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drawings/drawing2.xml" ContentType="application/vnd.openxmlformats-officedocument.drawing+xml"/>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drawings/drawing3.xml" ContentType="application/vnd.openxmlformats-officedocument.drawing+xml"/>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drawings/drawing4.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53222"/>
  <mc:AlternateContent xmlns:mc="http://schemas.openxmlformats.org/markup-compatibility/2006">
    <mc:Choice Requires="x15">
      <x15ac:absPath xmlns:x15ac="http://schemas.microsoft.com/office/spreadsheetml/2010/11/ac" url="K:\Bikalpa\"/>
    </mc:Choice>
  </mc:AlternateContent>
  <bookViews>
    <workbookView xWindow="0" yWindow="0" windowWidth="28800" windowHeight="12435" tabRatio="861" activeTab="1"/>
  </bookViews>
  <sheets>
    <sheet name="Summary" sheetId="21" r:id="rId1"/>
    <sheet name="Beam Spacing" sheetId="1" r:id="rId2"/>
    <sheet name="Define Beam" sheetId="2" r:id="rId3"/>
    <sheet name="Stiffeners" sheetId="11" r:id="rId4"/>
    <sheet name="SecProp" sheetId="9" r:id="rId5"/>
    <sheet name="Stress" sheetId="12" r:id="rId6"/>
    <sheet name="Seals" sheetId="14" r:id="rId7"/>
    <sheet name="Wheel Spacing" sheetId="8" r:id="rId8"/>
    <sheet name="Wheel Design" sheetId="10" r:id="rId9"/>
    <sheet name="Wheel Design IS" sheetId="23" state="hidden" r:id="rId10"/>
    <sheet name="Downpull" sheetId="15" state="veryHidden" r:id="rId11"/>
    <sheet name="Lib" sheetId="3" state="hidden" r:id="rId12"/>
    <sheet name="Plates" sheetId="13" state="hidden" r:id="rId13"/>
    <sheet name="Weight &amp; cg" sheetId="16" r:id="rId14"/>
    <sheet name="Operation" sheetId="17" r:id="rId15"/>
    <sheet name="Rope Drum Hoist" sheetId="18" state="hidden" r:id="rId16"/>
    <sheet name="Embedded" sheetId="22" state="hidden" r:id="rId17"/>
    <sheet name="Hoist(Rope Drum)" sheetId="24" r:id="rId18"/>
    <sheet name="Embedded Parts" sheetId="26" r:id="rId19"/>
    <sheet name="6x37 Rope specification" sheetId="25" state="hidden" r:id="rId20"/>
    <sheet name="ISMC" sheetId="28" state="hidden" r:id="rId21"/>
    <sheet name="ISMB" sheetId="29" state="hidden" r:id="rId22"/>
    <sheet name="material " sheetId="27" state="hidden" r:id="rId23"/>
    <sheet name="Sheet3" sheetId="20" state="hidden" r:id="rId24"/>
  </sheets>
  <functionGroups builtInGroupCount="18"/>
  <externalReferences>
    <externalReference r:id="rId25"/>
    <externalReference r:id="rId26"/>
  </externalReferences>
  <definedNames>
    <definedName name="Acc">'Beam Spacing'!$F$6</definedName>
    <definedName name="Alp">'Beam Spacing'!$F$11</definedName>
    <definedName name="Ballast">Lib!$Q$15:$Q$16</definedName>
    <definedName name="BeamT">SecProp!$F$3</definedName>
    <definedName name="BeamTypes">Lib!$J$5:$J$7</definedName>
    <definedName name="Bolt16">'Embedded Parts'!$AB$71:$AB$73</definedName>
    <definedName name="Bolt20">'Embedded Parts'!$AB$75:$AB$77</definedName>
    <definedName name="Bolt24">'Embedded Parts'!$AB$79:$AB$82</definedName>
    <definedName name="Bolt27">'Embedded Parts'!$AB$83:$AB$86</definedName>
    <definedName name="BSref">'Beam Spacing'!$S$5</definedName>
    <definedName name="BSrow">'Beam Spacing'!$S$6</definedName>
    <definedName name="CCCC">Plates!$B$89:$B$111</definedName>
    <definedName name="CCCCA">Plates!$C$89:$C$111</definedName>
    <definedName name="CCCCB">Plates!$D$89:$D$111</definedName>
    <definedName name="CCCCC">Plates!$E$89:$E$111</definedName>
    <definedName name="CCCCD">Plates!$F$89:$F$111</definedName>
    <definedName name="CCCCE">Plates!$G$89:$G$111</definedName>
    <definedName name="CCCCF">Plates!$H$89:$H$111</definedName>
    <definedName name="CCCCG">Plates!$I$89:$I$111</definedName>
    <definedName name="CCCCH">Plates!$J$89:$J$111</definedName>
    <definedName name="CCCCI">Plates!$K$89:$K$111</definedName>
    <definedName name="CCCF">Plates!$B$33:$B$56</definedName>
    <definedName name="CCCFA">Plates!$C$33:$C$56</definedName>
    <definedName name="CCCFB">Plates!$D$33:$D$56</definedName>
    <definedName name="CCCFD">Plates!$E$33:$E$56</definedName>
    <definedName name="CCCFE">Plates!$F$33:$F$56</definedName>
    <definedName name="CCCFG">Plates!$G$33:$G$56</definedName>
    <definedName name="CCCFH">Plates!$H$33:$H$56</definedName>
    <definedName name="CorAll">Lib!$N$10:$N$20</definedName>
    <definedName name="CType">Lib!$Q$22:$Q$30</definedName>
    <definedName name="D">'Beam Spacing'!$F$7</definedName>
    <definedName name="DBref">'Define Beam'!$N$4</definedName>
    <definedName name="DBrow">'Define Beam'!$N$5</definedName>
    <definedName name="dh">'Wheel Design'!$C$25</definedName>
    <definedName name="DKG">'Hoist(Rope Drum)'!$C$91</definedName>
    <definedName name="dt">'Wheel Design'!$C$26</definedName>
    <definedName name="dweb">SecProp!$S$8</definedName>
    <definedName name="E">SecProp!$I$5</definedName>
    <definedName name="ExistN">'Beam Spacing'!$N$5</definedName>
    <definedName name="existWSN">'Wheel Spacing'!$K$5</definedName>
    <definedName name="friction">Lib!$Q$5:$Q$10</definedName>
    <definedName name="Fyb">SecProp!$S$4</definedName>
    <definedName name="Fys">SecProp!$S$5</definedName>
    <definedName name="Fyw">SecProp!$S$6</definedName>
    <definedName name="GateType">Lib!$N$5:$N$7</definedName>
    <definedName name="GDF">SecProp!$I$7</definedName>
    <definedName name="GType">SecProp!$U$4</definedName>
    <definedName name="HB">'Beam Spacing'!$F$9</definedName>
    <definedName name="Hp">'Beam Spacing'!$F$10</definedName>
    <definedName name="IShape">Lib!$A$5:$A$18</definedName>
    <definedName name="ISMB">ISMB!$A$6:$A$19</definedName>
    <definedName name="LFH">'Hoist(Rope Drum)'!$C$6</definedName>
    <definedName name="LinType">Seals!$C$6</definedName>
    <definedName name="Loc">SecProp!$I$4</definedName>
    <definedName name="Lse">SecProp!$I$6</definedName>
    <definedName name="Lsup">'Beam Spacing'!$F$8</definedName>
    <definedName name="N">'Beam Spacing'!$F$4</definedName>
    <definedName name="_xlnm.Print_Area" localSheetId="1">'Beam Spacing'!$A$1:$AX$28</definedName>
    <definedName name="_xlnm.Print_Area" localSheetId="2">'Define Beam'!$A$1:$K$27</definedName>
    <definedName name="_xlnm.Print_Area" localSheetId="10">Downpull!$A$1:$G$63</definedName>
    <definedName name="_xlnm.Print_Area" localSheetId="16">Embedded!$A$1:$J$94</definedName>
    <definedName name="_xlnm.Print_Area" localSheetId="18">'Embedded Parts'!$B$1:$J$89</definedName>
    <definedName name="_xlnm.Print_Area" localSheetId="17">'Hoist(Rope Drum)'!$B$1:$L$353</definedName>
    <definedName name="_xlnm.Print_Area" localSheetId="14">Operation!$A$1:$O$51</definedName>
    <definedName name="_xlnm.Print_Area" localSheetId="15">'Rope Drum Hoist'!$A$1:$I$61</definedName>
    <definedName name="_xlnm.Print_Area" localSheetId="6">Seals!$A$1:$I$78</definedName>
    <definedName name="_xlnm.Print_Area" localSheetId="4">SecProp!$A$1:$W$46</definedName>
    <definedName name="_xlnm.Print_Area" localSheetId="5">Stress!$A$1:$W$71</definedName>
    <definedName name="_xlnm.Print_Area" localSheetId="0">Summary!$B$2:$D$91</definedName>
    <definedName name="_xlnm.Print_Area" localSheetId="13">'Weight &amp; cg'!$A$1:$M$51</definedName>
    <definedName name="_xlnm.Print_Area" localSheetId="7">'Wheel Spacing'!$A$1:$H$23</definedName>
    <definedName name="_xlnm.Print_Titles" localSheetId="16">Embedded!$1:$2</definedName>
    <definedName name="_xlnm.Print_Titles" localSheetId="4">SecProp!$1:$11</definedName>
    <definedName name="_xlnm.Print_Titles" localSheetId="3">Stiffeners!$1:$9</definedName>
    <definedName name="_xlnm.Print_Titles" localSheetId="5">Stress!$1:$7</definedName>
    <definedName name="PType">SecProp!$U$6</definedName>
    <definedName name="qr">'Hoist(Rope Drum)'!$AC$3:$AC$18</definedName>
    <definedName name="qv">'Hoist(Rope Drum)'!$AD$3:$AD$18</definedName>
    <definedName name="RopeData">Sheet3!$A$10:$I$34</definedName>
    <definedName name="RPW">'Hoist(Rope Drum)'!$U$8</definedName>
    <definedName name="RT">'Hoist(Rope Drum)'!$C$10</definedName>
    <definedName name="RTB">'Hoist(Rope Drum)'!$C$19</definedName>
    <definedName name="Rw">'Beam Spacing'!$F$12</definedName>
    <definedName name="Sdata">Lib!$B$5:$G$18</definedName>
    <definedName name="ShapeData">Lib!$A$5:$G$18</definedName>
    <definedName name="SidType">Seals!$C$28</definedName>
    <definedName name="Sigb">SecProp!$I$8</definedName>
    <definedName name="SilType">Seals!$C$50</definedName>
    <definedName name="SpaceMethod">'Beam Spacing'!$F$5</definedName>
    <definedName name="SPref">SecProp!$Z$4</definedName>
    <definedName name="SProw">SecProp!$Z$5</definedName>
    <definedName name="STref">Stress!$AH$6</definedName>
    <definedName name="STrow">Stress!$AH$7</definedName>
    <definedName name="tap">SecProp!$S$7</definedName>
    <definedName name="VSref">Stiffeners!$O$8</definedName>
    <definedName name="VSrow">Stiffeners!$O$9</definedName>
    <definedName name="WDD">'Wheel Design'!$C$7</definedName>
    <definedName name="WDE">'Wheel Design'!$C$11</definedName>
    <definedName name="WDmu">'Wheel Design'!$C$10</definedName>
    <definedName name="WDref">'Wheel Design'!#REF!</definedName>
    <definedName name="WDRt">'Wheel Design'!$C$8</definedName>
    <definedName name="WDT">'Wheel Design'!$C$9</definedName>
    <definedName name="WSacc">'Wheel Spacing'!$E$6</definedName>
    <definedName name="Wshape">[1]Lib!$A$5:$A$278</definedName>
    <definedName name="WSmethod">'Wheel Spacing'!$E$5</definedName>
    <definedName name="WSN">'Wheel Spacing'!$E$4</definedName>
    <definedName name="WSref">'Wheel Spacing'!$N$3</definedName>
    <definedName name="WSrow">'Wheel Spacing'!$N$4</definedName>
    <definedName name="WTref">'Weight &amp; cg'!$O$5</definedName>
    <definedName name="WTrow">'Weight &amp; cg'!$O$6</definedName>
  </definedNames>
  <calcPr calcId="152511"/>
</workbook>
</file>

<file path=xl/calcChain.xml><?xml version="1.0" encoding="utf-8"?>
<calcChain xmlns="http://schemas.openxmlformats.org/spreadsheetml/2006/main">
  <c r="E75" i="16" l="1"/>
  <c r="D75" i="16"/>
  <c r="I74" i="16"/>
  <c r="K74" i="16" s="1"/>
  <c r="G74" i="16"/>
  <c r="F74" i="16"/>
  <c r="F75" i="16" s="1"/>
  <c r="E74" i="16"/>
  <c r="G73" i="16"/>
  <c r="L73" i="16" s="1"/>
  <c r="F73" i="16"/>
  <c r="E73" i="16"/>
  <c r="E72" i="16"/>
  <c r="E71" i="16"/>
  <c r="E70" i="16"/>
  <c r="E69" i="16"/>
  <c r="B68" i="16"/>
  <c r="V58" i="12"/>
  <c r="V60" i="12" s="1"/>
  <c r="S58" i="12"/>
  <c r="S60" i="12" s="1"/>
  <c r="V57" i="12"/>
  <c r="S57" i="12"/>
  <c r="V56" i="12"/>
  <c r="V59" i="12" s="1"/>
  <c r="S56" i="12"/>
  <c r="S59" i="12" s="1"/>
  <c r="S55" i="12"/>
  <c r="AK52" i="12"/>
  <c r="F52" i="12"/>
  <c r="I96" i="9"/>
  <c r="W92" i="9"/>
  <c r="Q92" i="9"/>
  <c r="Q91" i="9"/>
  <c r="Q90" i="9"/>
  <c r="Q89" i="9"/>
  <c r="AM88" i="9"/>
  <c r="Z88" i="9"/>
  <c r="AM87" i="9"/>
  <c r="N87" i="9"/>
  <c r="F69" i="16" s="1"/>
  <c r="H87" i="9"/>
  <c r="H94" i="9" s="1"/>
  <c r="AO89" i="9" s="1"/>
  <c r="AM86" i="9"/>
  <c r="AM85" i="9"/>
  <c r="S85" i="9"/>
  <c r="AF84" i="9"/>
  <c r="I84" i="9"/>
  <c r="V90" i="9" s="1"/>
  <c r="S83" i="9"/>
  <c r="O83" i="9"/>
  <c r="D51" i="11"/>
  <c r="E49" i="11"/>
  <c r="D49" i="11"/>
  <c r="E48" i="11"/>
  <c r="D48" i="11"/>
  <c r="E47" i="11"/>
  <c r="E46" i="11"/>
  <c r="D46" i="11"/>
  <c r="E45" i="11"/>
  <c r="D45" i="11"/>
  <c r="D57" i="11"/>
  <c r="E56" i="11"/>
  <c r="D56" i="11"/>
  <c r="E55" i="11"/>
  <c r="E54" i="11"/>
  <c r="D54" i="11"/>
  <c r="E53" i="11"/>
  <c r="D53" i="11"/>
  <c r="H23" i="2"/>
  <c r="E23" i="2"/>
  <c r="K23" i="2" s="1"/>
  <c r="D23" i="2"/>
  <c r="C23" i="2"/>
  <c r="E30" i="1"/>
  <c r="M29" i="1"/>
  <c r="J29" i="1"/>
  <c r="E27" i="1"/>
  <c r="M26" i="1"/>
  <c r="J26" i="1"/>
  <c r="F33" i="1"/>
  <c r="G33" i="1" s="1"/>
  <c r="E33" i="1"/>
  <c r="M32" i="1"/>
  <c r="J32" i="1"/>
  <c r="F36" i="1"/>
  <c r="G36" i="1" s="1"/>
  <c r="M35" i="1"/>
  <c r="J35" i="1"/>
  <c r="I73" i="16" l="1"/>
  <c r="K73" i="16" s="1"/>
  <c r="M73" i="16" s="1"/>
  <c r="Z92" i="9"/>
  <c r="L74" i="16"/>
  <c r="L75" i="16" s="1"/>
  <c r="G69" i="16"/>
  <c r="G70" i="16"/>
  <c r="G72" i="16" s="1"/>
  <c r="Y60" i="12"/>
  <c r="AB58" i="12"/>
  <c r="Y58" i="12"/>
  <c r="V91" i="9"/>
  <c r="O92" i="9"/>
  <c r="B87" i="9"/>
  <c r="F71" i="16" s="1"/>
  <c r="D83" i="9"/>
  <c r="G71" i="16" s="1"/>
  <c r="C87" i="9"/>
  <c r="T89" i="9"/>
  <c r="E57" i="11"/>
  <c r="I23" i="2"/>
  <c r="F23" i="2"/>
  <c r="J23" i="2"/>
  <c r="G23" i="2"/>
  <c r="K33" i="1"/>
  <c r="F30" i="1"/>
  <c r="F27" i="1" s="1"/>
  <c r="G27" i="1" s="1"/>
  <c r="K30" i="1"/>
  <c r="K27" i="1"/>
  <c r="AC33" i="1"/>
  <c r="N34" i="1"/>
  <c r="P34" i="1" s="1"/>
  <c r="C137" i="10"/>
  <c r="AF83" i="9" l="1"/>
  <c r="F70" i="16"/>
  <c r="I69" i="16"/>
  <c r="K69" i="16" s="1"/>
  <c r="I71" i="16"/>
  <c r="K71" i="16" s="1"/>
  <c r="M74" i="16"/>
  <c r="Y57" i="12"/>
  <c r="Y56" i="12"/>
  <c r="AH58" i="12"/>
  <c r="AH59" i="12" s="1"/>
  <c r="AD58" i="12"/>
  <c r="AD59" i="12" s="1"/>
  <c r="AG58" i="12"/>
  <c r="AG59" i="12" s="1"/>
  <c r="AC58" i="12"/>
  <c r="AC59" i="12" s="1"/>
  <c r="AF58" i="12"/>
  <c r="AF59" i="12" s="1"/>
  <c r="H58" i="12"/>
  <c r="AI58" i="12"/>
  <c r="AI59" i="12" s="1"/>
  <c r="AE58" i="12"/>
  <c r="AE59" i="12" s="1"/>
  <c r="Z55" i="12" s="1"/>
  <c r="P55" i="12" s="1"/>
  <c r="Q55" i="12" s="1"/>
  <c r="S88" i="9"/>
  <c r="AC84" i="9"/>
  <c r="AO84" i="9"/>
  <c r="S84" i="9"/>
  <c r="G30" i="1"/>
  <c r="O31" i="1"/>
  <c r="N31" i="1"/>
  <c r="N28" i="1"/>
  <c r="N30" i="1"/>
  <c r="O28" i="1"/>
  <c r="O30" i="1"/>
  <c r="AA33" i="1"/>
  <c r="W33" i="1"/>
  <c r="S33" i="1"/>
  <c r="Y33" i="1"/>
  <c r="U33" i="1"/>
  <c r="AB33" i="1"/>
  <c r="X33" i="1"/>
  <c r="T33" i="1"/>
  <c r="Z33" i="1"/>
  <c r="V33" i="1"/>
  <c r="R33" i="1"/>
  <c r="I33" i="1" s="1"/>
  <c r="D65" i="21"/>
  <c r="C159" i="10"/>
  <c r="C126" i="10"/>
  <c r="C133" i="10"/>
  <c r="C135" i="10"/>
  <c r="Y13" i="11"/>
  <c r="Y15" i="11"/>
  <c r="Y17" i="11" s="1"/>
  <c r="S7" i="9" s="1"/>
  <c r="F72" i="16" l="1"/>
  <c r="I72" i="16" s="1"/>
  <c r="K72" i="16" s="1"/>
  <c r="I70" i="16"/>
  <c r="K70" i="16" s="1"/>
  <c r="Z56" i="12"/>
  <c r="P56" i="12" s="1"/>
  <c r="Q56" i="12" s="1"/>
  <c r="Z60" i="12"/>
  <c r="Z58" i="12"/>
  <c r="P58" i="12" s="1"/>
  <c r="Z57" i="12"/>
  <c r="P57" i="12" s="1"/>
  <c r="Q57" i="12" s="1"/>
  <c r="Z91" i="9"/>
  <c r="AO82" i="9"/>
  <c r="AO83" i="9" s="1"/>
  <c r="S94" i="9"/>
  <c r="Z86" i="9" s="1"/>
  <c r="Z87" i="9" s="1"/>
  <c r="S93" i="9"/>
  <c r="S82" i="9"/>
  <c r="S89" i="9" s="1"/>
  <c r="S87" i="9"/>
  <c r="AC83" i="9"/>
  <c r="F8" i="1"/>
  <c r="C128" i="10"/>
  <c r="I6" i="9"/>
  <c r="S86" i="9" l="1"/>
  <c r="AO63" i="12"/>
  <c r="Q58" i="12"/>
  <c r="Z59" i="12"/>
  <c r="P59" i="12" s="1"/>
  <c r="Q59" i="12" s="1"/>
  <c r="P60" i="12"/>
  <c r="S91" i="9"/>
  <c r="Z85" i="9"/>
  <c r="S90" i="9"/>
  <c r="S95" i="9"/>
  <c r="AO85" i="9"/>
  <c r="AO86" i="9" s="1"/>
  <c r="AO88" i="9" s="1"/>
  <c r="AF86" i="9"/>
  <c r="G66" i="16"/>
  <c r="E66" i="16"/>
  <c r="B60" i="16"/>
  <c r="V46" i="12"/>
  <c r="V48" i="12" s="1"/>
  <c r="S46" i="12"/>
  <c r="S48" i="12" s="1"/>
  <c r="V45" i="12"/>
  <c r="S45" i="12"/>
  <c r="V44" i="12"/>
  <c r="V47" i="12" s="1"/>
  <c r="S44" i="12"/>
  <c r="S47" i="12" s="1"/>
  <c r="S43" i="12"/>
  <c r="F40" i="12"/>
  <c r="AK40" i="12" s="1"/>
  <c r="W75" i="9"/>
  <c r="Q75" i="9"/>
  <c r="Q74" i="9"/>
  <c r="Q73" i="9"/>
  <c r="Q72" i="9"/>
  <c r="AM71" i="9"/>
  <c r="Z71" i="9"/>
  <c r="AM70" i="9"/>
  <c r="H70" i="9"/>
  <c r="AM69" i="9"/>
  <c r="AM68" i="9"/>
  <c r="AF67" i="9"/>
  <c r="D43" i="11"/>
  <c r="D37" i="11"/>
  <c r="C20" i="2"/>
  <c r="O66" i="9"/>
  <c r="D11" i="21"/>
  <c r="AO53" i="12" l="1"/>
  <c r="Z83" i="9"/>
  <c r="Z84" i="9" s="1"/>
  <c r="Z93" i="9"/>
  <c r="Z89" i="9"/>
  <c r="S92" i="9"/>
  <c r="AO87" i="9"/>
  <c r="F65" i="16"/>
  <c r="AB46" i="12"/>
  <c r="S66" i="9"/>
  <c r="O75" i="9"/>
  <c r="G41" i="26"/>
  <c r="O18" i="28"/>
  <c r="F7" i="1"/>
  <c r="G58" i="16"/>
  <c r="E58" i="16"/>
  <c r="B52" i="16"/>
  <c r="V34" i="12"/>
  <c r="V36" i="12" s="1"/>
  <c r="S34" i="12"/>
  <c r="S36" i="12" s="1"/>
  <c r="V32" i="12"/>
  <c r="V35" i="12" s="1"/>
  <c r="S32" i="12"/>
  <c r="S35" i="12" s="1"/>
  <c r="F28" i="12"/>
  <c r="AK28" i="12" s="1"/>
  <c r="W58" i="9"/>
  <c r="Q58" i="9"/>
  <c r="Q57" i="9"/>
  <c r="Q56" i="9"/>
  <c r="Q55" i="9"/>
  <c r="AM54" i="9"/>
  <c r="Z54" i="9"/>
  <c r="AM53" i="9"/>
  <c r="H53" i="9"/>
  <c r="AM52" i="9"/>
  <c r="AM51" i="9"/>
  <c r="AF50" i="9"/>
  <c r="D35" i="11"/>
  <c r="C17" i="2"/>
  <c r="O49" i="9"/>
  <c r="O58" i="9"/>
  <c r="E24" i="1"/>
  <c r="M23" i="1"/>
  <c r="AI86" i="9" l="1"/>
  <c r="AI83" i="9"/>
  <c r="AI84" i="9" s="1"/>
  <c r="AI85" i="9" s="1"/>
  <c r="AI87" i="9" s="1"/>
  <c r="AC88" i="9"/>
  <c r="AF85" i="9" s="1"/>
  <c r="Z90" i="9"/>
  <c r="Z95" i="9" s="1"/>
  <c r="Z94" i="9"/>
  <c r="AC85" i="9"/>
  <c r="O33" i="1"/>
  <c r="N33" i="1"/>
  <c r="AH46" i="12"/>
  <c r="AH47" i="12" s="1"/>
  <c r="AF46" i="12"/>
  <c r="AF47" i="12" s="1"/>
  <c r="AD46" i="12"/>
  <c r="AD47" i="12" s="1"/>
  <c r="H46" i="12"/>
  <c r="AI46" i="12"/>
  <c r="AI47" i="12" s="1"/>
  <c r="AG46" i="12"/>
  <c r="AG47" i="12" s="1"/>
  <c r="AE46" i="12"/>
  <c r="AE47" i="12" s="1"/>
  <c r="AC46" i="12"/>
  <c r="AC47" i="12" s="1"/>
  <c r="S33" i="12"/>
  <c r="S31" i="12"/>
  <c r="V33" i="12"/>
  <c r="F57" i="16"/>
  <c r="AF90" i="9" l="1"/>
  <c r="AF87" i="9"/>
  <c r="AF88" i="9"/>
  <c r="AF89" i="9" s="1"/>
  <c r="AC91" i="9"/>
  <c r="AC89" i="9"/>
  <c r="AC86" i="9"/>
  <c r="AC94" i="9" s="1"/>
  <c r="S96" i="9" s="1"/>
  <c r="AC87" i="9"/>
  <c r="E64" i="16"/>
  <c r="E56" i="16"/>
  <c r="Z44" i="12"/>
  <c r="P44" i="12" s="1"/>
  <c r="Z43" i="12"/>
  <c r="P43" i="12" s="1"/>
  <c r="Z48" i="12"/>
  <c r="Z46" i="12"/>
  <c r="P46" i="12" s="1"/>
  <c r="W85" i="9" l="1"/>
  <c r="W84" i="9"/>
  <c r="O57" i="12" s="1"/>
  <c r="O58" i="12" s="1"/>
  <c r="AC90" i="9"/>
  <c r="AC92" i="9"/>
  <c r="AC93" i="9" s="1"/>
  <c r="AO51" i="12"/>
  <c r="AM52" i="12" s="1"/>
  <c r="P48" i="12"/>
  <c r="C25" i="26"/>
  <c r="Q160" i="26" s="1"/>
  <c r="P20" i="28"/>
  <c r="L26" i="28"/>
  <c r="AO41" i="12" l="1"/>
  <c r="Q161" i="10"/>
  <c r="P27" i="28"/>
  <c r="P23" i="28"/>
  <c r="P19" i="28"/>
  <c r="P18" i="28"/>
  <c r="P25" i="28"/>
  <c r="P21" i="28"/>
  <c r="P28" i="28"/>
  <c r="P26" i="28"/>
  <c r="P24" i="28"/>
  <c r="P22" i="28"/>
  <c r="F29" i="26" l="1"/>
  <c r="J23" i="1" l="1"/>
  <c r="K24" i="1" s="1"/>
  <c r="H36" i="9"/>
  <c r="H19" i="9"/>
  <c r="B2" i="24" l="1"/>
  <c r="B2" i="26"/>
  <c r="I28" i="9"/>
  <c r="I45" i="9" s="1"/>
  <c r="I62" i="9" l="1"/>
  <c r="S51" i="9"/>
  <c r="S50" i="9" s="1"/>
  <c r="Z57" i="9" s="1"/>
  <c r="C350" i="24"/>
  <c r="H64" i="26"/>
  <c r="I79" i="9" l="1"/>
  <c r="G57" i="16"/>
  <c r="Q44" i="12"/>
  <c r="Q43" i="12"/>
  <c r="C6" i="24"/>
  <c r="L58" i="16" l="1"/>
  <c r="L59" i="16" s="1"/>
  <c r="L57" i="16"/>
  <c r="S68" i="9"/>
  <c r="S67" i="9" s="1"/>
  <c r="Z74" i="9" s="1"/>
  <c r="G65" i="16"/>
  <c r="D14" i="21"/>
  <c r="D13" i="21"/>
  <c r="L70" i="16" l="1"/>
  <c r="M70" i="16" s="1"/>
  <c r="L71" i="16"/>
  <c r="M71" i="16" s="1"/>
  <c r="L69" i="16"/>
  <c r="M69" i="16" s="1"/>
  <c r="L72" i="16"/>
  <c r="M72" i="16" s="1"/>
  <c r="L65" i="16"/>
  <c r="L66" i="16"/>
  <c r="L67" i="16" s="1"/>
  <c r="AA4" i="16"/>
  <c r="D8" i="16" s="1"/>
  <c r="F10" i="1"/>
  <c r="F9" i="1"/>
  <c r="AA68" i="26"/>
  <c r="C22" i="26"/>
  <c r="AB93" i="26"/>
  <c r="AB94" i="26"/>
  <c r="AB95" i="26"/>
  <c r="AB92" i="26"/>
  <c r="AA95" i="26"/>
  <c r="AA93" i="26"/>
  <c r="AA94" i="26"/>
  <c r="AA92" i="26"/>
  <c r="I79" i="26" s="1"/>
  <c r="J79" i="26" s="1"/>
  <c r="H84" i="26"/>
  <c r="I84" i="26" s="1"/>
  <c r="H78" i="26"/>
  <c r="I78" i="26" s="1"/>
  <c r="F77" i="26"/>
  <c r="D77" i="26"/>
  <c r="J82" i="26"/>
  <c r="AB89" i="26"/>
  <c r="AB90" i="26"/>
  <c r="AB88" i="26"/>
  <c r="AA89" i="26"/>
  <c r="AA90" i="26"/>
  <c r="AA88" i="26"/>
  <c r="O6" i="29"/>
  <c r="P7" i="29" s="1"/>
  <c r="F70" i="26"/>
  <c r="D70" i="26"/>
  <c r="C53" i="22"/>
  <c r="E83" i="22"/>
  <c r="D69" i="26"/>
  <c r="H67" i="26"/>
  <c r="I67" i="26" s="1"/>
  <c r="H66" i="26"/>
  <c r="I66" i="26" s="1"/>
  <c r="H65" i="26"/>
  <c r="I65" i="26" s="1"/>
  <c r="I64" i="26"/>
  <c r="F61" i="26"/>
  <c r="C52" i="26"/>
  <c r="C51" i="26"/>
  <c r="F30" i="26"/>
  <c r="G30" i="26"/>
  <c r="F31" i="26"/>
  <c r="G31" i="26"/>
  <c r="F32" i="26"/>
  <c r="F82" i="26" s="1"/>
  <c r="G32" i="26"/>
  <c r="F76" i="26" s="1"/>
  <c r="F33" i="26"/>
  <c r="D82" i="26" s="1"/>
  <c r="G33" i="26"/>
  <c r="D76" i="26" s="1"/>
  <c r="F34" i="26"/>
  <c r="G34" i="26"/>
  <c r="F35" i="26"/>
  <c r="G35" i="26"/>
  <c r="F36" i="26"/>
  <c r="G36" i="26"/>
  <c r="F37" i="26"/>
  <c r="G37" i="26"/>
  <c r="D31" i="26"/>
  <c r="D32" i="26"/>
  <c r="D33" i="26"/>
  <c r="D60" i="26" s="1"/>
  <c r="D34" i="26"/>
  <c r="D35" i="26"/>
  <c r="D36" i="26"/>
  <c r="D37" i="26"/>
  <c r="C37" i="26"/>
  <c r="C36" i="26"/>
  <c r="C35" i="26"/>
  <c r="C34" i="26"/>
  <c r="C33" i="26"/>
  <c r="D59" i="26" s="1"/>
  <c r="C32" i="26"/>
  <c r="F59" i="26" s="1"/>
  <c r="C31" i="26"/>
  <c r="D30" i="26"/>
  <c r="C30" i="26"/>
  <c r="E29" i="26"/>
  <c r="E37" i="26" s="1"/>
  <c r="C16" i="26"/>
  <c r="C19" i="28"/>
  <c r="C14" i="26"/>
  <c r="C5" i="26"/>
  <c r="C17" i="26" s="1"/>
  <c r="C84" i="26" s="1"/>
  <c r="E60" i="26" l="1"/>
  <c r="C65" i="26" s="1"/>
  <c r="E62" i="26"/>
  <c r="C67" i="26" s="1"/>
  <c r="E61" i="26"/>
  <c r="C66" i="26" s="1"/>
  <c r="E59" i="26"/>
  <c r="C64" i="26" s="1"/>
  <c r="AA5" i="16"/>
  <c r="AA7" i="16" s="1"/>
  <c r="E82" i="26"/>
  <c r="J84" i="26" s="1"/>
  <c r="E83" i="26"/>
  <c r="F60" i="26"/>
  <c r="K20" i="28"/>
  <c r="P18" i="29"/>
  <c r="P14" i="29"/>
  <c r="P10" i="29"/>
  <c r="P6" i="29"/>
  <c r="P16" i="29"/>
  <c r="P12" i="29"/>
  <c r="P8" i="29"/>
  <c r="P19" i="29"/>
  <c r="P17" i="29"/>
  <c r="P15" i="29"/>
  <c r="P13" i="29"/>
  <c r="P11" i="29"/>
  <c r="P9" i="29"/>
  <c r="I73" i="26"/>
  <c r="C42" i="26"/>
  <c r="D90" i="21" s="1"/>
  <c r="J67" i="26"/>
  <c r="E70" i="26"/>
  <c r="H70" i="26" s="1"/>
  <c r="I70" i="26" s="1"/>
  <c r="J70" i="26" s="1"/>
  <c r="E69" i="26"/>
  <c r="H69" i="26" s="1"/>
  <c r="I69" i="26" s="1"/>
  <c r="J69" i="26" s="1"/>
  <c r="E30" i="26"/>
  <c r="E32" i="26"/>
  <c r="E34" i="26"/>
  <c r="E36" i="26"/>
  <c r="E31" i="26"/>
  <c r="E33" i="26"/>
  <c r="D62" i="26" s="1"/>
  <c r="E35" i="26"/>
  <c r="C12" i="26"/>
  <c r="D15" i="26" s="1"/>
  <c r="I62" i="26" l="1"/>
  <c r="J62" i="26" s="1"/>
  <c r="J66" i="26"/>
  <c r="E71" i="26"/>
  <c r="H71" i="26" s="1"/>
  <c r="I71" i="26" s="1"/>
  <c r="J71" i="26" s="1"/>
  <c r="E77" i="26"/>
  <c r="H77" i="26" s="1"/>
  <c r="I77" i="26" s="1"/>
  <c r="J77" i="26" s="1"/>
  <c r="E76" i="26"/>
  <c r="C78" i="26" s="1"/>
  <c r="C50" i="26"/>
  <c r="D88" i="21" s="1"/>
  <c r="I60" i="26"/>
  <c r="J60" i="26" s="1"/>
  <c r="J65" i="26"/>
  <c r="I59" i="26"/>
  <c r="J59" i="26" s="1"/>
  <c r="F62" i="26"/>
  <c r="D80" i="21"/>
  <c r="D81" i="21" s="1"/>
  <c r="D78" i="21"/>
  <c r="D71" i="21"/>
  <c r="D70" i="21"/>
  <c r="D68" i="21"/>
  <c r="D67" i="21"/>
  <c r="D66" i="21"/>
  <c r="H219" i="24"/>
  <c r="C215" i="24"/>
  <c r="C217" i="24"/>
  <c r="C218" i="24" s="1"/>
  <c r="C216" i="24"/>
  <c r="F24" i="1" l="1"/>
  <c r="G24" i="1" s="1"/>
  <c r="K219" i="24"/>
  <c r="F219" i="24"/>
  <c r="J64" i="26"/>
  <c r="C73" i="26"/>
  <c r="J73" i="26" s="1"/>
  <c r="I76" i="26"/>
  <c r="J76" i="26" s="1"/>
  <c r="J78" i="26"/>
  <c r="C209" i="24"/>
  <c r="C202" i="24"/>
  <c r="D211" i="24" s="1"/>
  <c r="C204" i="24"/>
  <c r="C140" i="24"/>
  <c r="C147" i="24"/>
  <c r="J147" i="24" s="1"/>
  <c r="O27" i="1" l="1"/>
  <c r="N27" i="1"/>
  <c r="O25" i="1"/>
  <c r="N25" i="1"/>
  <c r="D206" i="24"/>
  <c r="D212" i="24"/>
  <c r="D205" i="24"/>
  <c r="J80" i="26"/>
  <c r="D81" i="24"/>
  <c r="U8" i="24"/>
  <c r="C141" i="24"/>
  <c r="F147" i="24" s="1"/>
  <c r="C155" i="24"/>
  <c r="C154" i="24"/>
  <c r="C153" i="24"/>
  <c r="C145" i="24"/>
  <c r="C148" i="24" l="1"/>
  <c r="E147" i="24"/>
  <c r="AD4" i="24"/>
  <c r="AD5" i="24"/>
  <c r="AD6" i="24"/>
  <c r="AD7" i="24"/>
  <c r="AD8" i="24"/>
  <c r="AD9" i="24"/>
  <c r="AD10" i="24"/>
  <c r="AD11" i="24"/>
  <c r="AD12" i="24"/>
  <c r="AD13" i="24"/>
  <c r="AD14" i="24"/>
  <c r="AD15" i="24"/>
  <c r="AD16" i="24"/>
  <c r="AD17" i="24"/>
  <c r="AD18" i="24"/>
  <c r="AD3" i="24"/>
  <c r="G135" i="24" l="1"/>
  <c r="G131" i="24"/>
  <c r="E137" i="24"/>
  <c r="G137" i="24" s="1"/>
  <c r="E133" i="24"/>
  <c r="D137" i="24"/>
  <c r="H137" i="24" s="1"/>
  <c r="D133" i="24"/>
  <c r="H133" i="24" s="1"/>
  <c r="D135" i="24"/>
  <c r="H135" i="24" s="1"/>
  <c r="D131" i="24"/>
  <c r="H131" i="24" s="1"/>
  <c r="F135" i="24" l="1"/>
  <c r="F131" i="24"/>
  <c r="F137" i="24"/>
  <c r="G133" i="24"/>
  <c r="F133" i="24"/>
  <c r="C224" i="24" l="1"/>
  <c r="D224" i="24"/>
  <c r="C229" i="24"/>
  <c r="D229" i="24"/>
  <c r="C129" i="24"/>
  <c r="C128" i="24"/>
  <c r="C121" i="24"/>
  <c r="C120" i="24"/>
  <c r="C45" i="24"/>
  <c r="D97" i="24"/>
  <c r="D82" i="24"/>
  <c r="C84" i="24"/>
  <c r="C75" i="24" l="1"/>
  <c r="D72" i="21" s="1"/>
  <c r="C74" i="24"/>
  <c r="C78" i="24" s="1"/>
  <c r="C59" i="24"/>
  <c r="C63" i="24" s="1"/>
  <c r="D24" i="24"/>
  <c r="C24" i="24"/>
  <c r="D23" i="24"/>
  <c r="C23" i="24"/>
  <c r="C52" i="24"/>
  <c r="D49" i="24"/>
  <c r="C49" i="24"/>
  <c r="B45" i="24"/>
  <c r="C18" i="24"/>
  <c r="D77" i="21" s="1"/>
  <c r="D76" i="21" l="1"/>
  <c r="C342" i="24"/>
  <c r="C347" i="24" s="1"/>
  <c r="C60" i="24"/>
  <c r="C85" i="24"/>
  <c r="C95" i="24" s="1"/>
  <c r="C91" i="24"/>
  <c r="C76" i="24"/>
  <c r="C79" i="24"/>
  <c r="C86" i="24"/>
  <c r="C26" i="24"/>
  <c r="C29" i="24" s="1"/>
  <c r="D26" i="24"/>
  <c r="C30" i="24" s="1"/>
  <c r="C54" i="24"/>
  <c r="C55" i="24" s="1"/>
  <c r="C56" i="24" s="1"/>
  <c r="C34" i="24"/>
  <c r="D45" i="24" s="1"/>
  <c r="D56" i="24"/>
  <c r="T5" i="24"/>
  <c r="T4" i="24"/>
  <c r="C10" i="24"/>
  <c r="C72" i="24" s="1"/>
  <c r="C349" i="24" l="1"/>
  <c r="C351" i="24" s="1"/>
  <c r="D85" i="21" s="1"/>
  <c r="D84" i="21"/>
  <c r="D83" i="21"/>
  <c r="C31" i="24"/>
  <c r="F169" i="24"/>
  <c r="D169" i="24"/>
  <c r="E169" i="24"/>
  <c r="C169" i="24"/>
  <c r="D162" i="24"/>
  <c r="F162" i="24"/>
  <c r="E162" i="24"/>
  <c r="C162" i="24"/>
  <c r="C93" i="24"/>
  <c r="C92" i="24"/>
  <c r="C94" i="24" s="1"/>
  <c r="C96" i="24" s="1"/>
  <c r="C87" i="24"/>
  <c r="C142" i="24"/>
  <c r="C104" i="24"/>
  <c r="D104" i="24" s="1"/>
  <c r="C81" i="24"/>
  <c r="C64" i="24"/>
  <c r="C19" i="24" s="1"/>
  <c r="T7" i="24"/>
  <c r="C16" i="24" s="1"/>
  <c r="D65" i="10"/>
  <c r="V42" i="10"/>
  <c r="U42" i="10"/>
  <c r="AA42" i="10" s="1"/>
  <c r="T43" i="10"/>
  <c r="C9" i="17"/>
  <c r="D27" i="11"/>
  <c r="C17" i="24" l="1"/>
  <c r="D69" i="21"/>
  <c r="V43" i="10"/>
  <c r="X43" i="10" s="1"/>
  <c r="W47" i="10"/>
  <c r="C88" i="24"/>
  <c r="D73" i="21"/>
  <c r="C97" i="24"/>
  <c r="C143" i="24"/>
  <c r="G139" i="24"/>
  <c r="C107" i="24"/>
  <c r="I131" i="24"/>
  <c r="J131" i="24" s="1"/>
  <c r="C223" i="24" s="1"/>
  <c r="C225" i="24" s="1"/>
  <c r="C82" i="24"/>
  <c r="C73" i="24"/>
  <c r="C20" i="24"/>
  <c r="X42" i="10"/>
  <c r="AA43" i="10"/>
  <c r="AA44" i="10" s="1"/>
  <c r="W42" i="10"/>
  <c r="W43" i="10"/>
  <c r="V44" i="10" l="1"/>
  <c r="U48" i="10" s="1"/>
  <c r="E161" i="24"/>
  <c r="C168" i="24"/>
  <c r="C161" i="24"/>
  <c r="E168" i="24" s="1"/>
  <c r="F161" i="24"/>
  <c r="F163" i="24" s="1"/>
  <c r="D161" i="24"/>
  <c r="F168" i="24" s="1"/>
  <c r="D168" i="24"/>
  <c r="E170" i="24"/>
  <c r="C170" i="24"/>
  <c r="C171" i="24" s="1"/>
  <c r="K131" i="24"/>
  <c r="L131" i="24" s="1"/>
  <c r="C176" i="24"/>
  <c r="E163" i="24"/>
  <c r="C105" i="24"/>
  <c r="D105" i="24" s="1"/>
  <c r="C108" i="24" s="1"/>
  <c r="F139" i="24"/>
  <c r="I139" i="24"/>
  <c r="D107" i="24"/>
  <c r="I133" i="24"/>
  <c r="J133" i="24" s="1"/>
  <c r="Z43" i="10"/>
  <c r="Y43" i="10"/>
  <c r="W44" i="10"/>
  <c r="Y42" i="10"/>
  <c r="Z42" i="10"/>
  <c r="K133" i="24" l="1"/>
  <c r="L133" i="24" s="1"/>
  <c r="C234" i="24"/>
  <c r="E188" i="24"/>
  <c r="C188" i="24"/>
  <c r="E171" i="24"/>
  <c r="E183" i="24" s="1"/>
  <c r="D163" i="24"/>
  <c r="C163" i="24"/>
  <c r="C182" i="24" s="1"/>
  <c r="I132" i="24"/>
  <c r="J132" i="24" s="1"/>
  <c r="D223" i="24" s="1"/>
  <c r="D225" i="24" s="1"/>
  <c r="C110" i="24"/>
  <c r="I135" i="24"/>
  <c r="J135" i="24" s="1"/>
  <c r="C235" i="24" s="1"/>
  <c r="D108" i="24"/>
  <c r="I134" i="24"/>
  <c r="J134" i="24" s="1"/>
  <c r="Y44" i="10"/>
  <c r="U47" i="10" s="1"/>
  <c r="U49" i="10" s="1"/>
  <c r="Z44" i="10"/>
  <c r="C245" i="24" l="1"/>
  <c r="C244" i="24"/>
  <c r="K134" i="24"/>
  <c r="L134" i="24" s="1"/>
  <c r="D234" i="24"/>
  <c r="K135" i="24"/>
  <c r="L135" i="24" s="1"/>
  <c r="C228" i="24"/>
  <c r="C230" i="24" s="1"/>
  <c r="C193" i="24"/>
  <c r="E194" i="24"/>
  <c r="C183" i="24"/>
  <c r="C194" i="24" s="1"/>
  <c r="E182" i="24"/>
  <c r="E193" i="24" s="1"/>
  <c r="C196" i="24" s="1"/>
  <c r="C205" i="24" s="1"/>
  <c r="F170" i="24"/>
  <c r="F171" i="24" s="1"/>
  <c r="D170" i="24"/>
  <c r="D171" i="24" s="1"/>
  <c r="F182" i="24" s="1"/>
  <c r="C177" i="24"/>
  <c r="K132" i="24"/>
  <c r="L132" i="24" s="1"/>
  <c r="C111" i="24"/>
  <c r="I136" i="24"/>
  <c r="J136" i="24" s="1"/>
  <c r="D235" i="24" s="1"/>
  <c r="D110" i="24"/>
  <c r="I137" i="24"/>
  <c r="J137" i="24" s="1"/>
  <c r="K137" i="24" s="1"/>
  <c r="L137" i="24" s="1"/>
  <c r="U50" i="10"/>
  <c r="U51" i="10" s="1"/>
  <c r="C136" i="10"/>
  <c r="C141" i="10"/>
  <c r="U52" i="10" l="1"/>
  <c r="C140" i="10"/>
  <c r="C146" i="10" s="1"/>
  <c r="C240" i="24"/>
  <c r="C250" i="24" s="1"/>
  <c r="C239" i="24"/>
  <c r="C249" i="24" s="1"/>
  <c r="D245" i="24"/>
  <c r="D244" i="24"/>
  <c r="K136" i="24"/>
  <c r="L136" i="24" s="1"/>
  <c r="D228" i="24"/>
  <c r="D230" i="24" s="1"/>
  <c r="C212" i="24"/>
  <c r="C211" i="24"/>
  <c r="F188" i="24"/>
  <c r="D188" i="24"/>
  <c r="D182" i="24"/>
  <c r="F183" i="24"/>
  <c r="D183" i="24"/>
  <c r="D111" i="24"/>
  <c r="I138" i="24"/>
  <c r="J138" i="24" s="1"/>
  <c r="K138" i="24" s="1"/>
  <c r="L138" i="24" s="1"/>
  <c r="C138" i="10"/>
  <c r="D239" i="24" l="1"/>
  <c r="D249" i="24" s="1"/>
  <c r="D240" i="24"/>
  <c r="D250" i="24" s="1"/>
  <c r="D193" i="24"/>
  <c r="D194" i="24"/>
  <c r="F193" i="24"/>
  <c r="F194" i="24"/>
  <c r="K11" i="2"/>
  <c r="J11" i="2"/>
  <c r="I11" i="2"/>
  <c r="H11" i="2"/>
  <c r="G11" i="2"/>
  <c r="F11" i="2"/>
  <c r="D14" i="2"/>
  <c r="D17" i="2" s="1"/>
  <c r="E14" i="2"/>
  <c r="E17" i="2" s="1"/>
  <c r="E20" i="2" s="1"/>
  <c r="V57" i="9" l="1"/>
  <c r="D20" i="2"/>
  <c r="V74" i="9" s="1"/>
  <c r="K20" i="2"/>
  <c r="I67" i="9" s="1"/>
  <c r="Q60" i="12" s="1"/>
  <c r="J20" i="2"/>
  <c r="F20" i="2"/>
  <c r="B70" i="9" s="1"/>
  <c r="F63" i="16" s="1"/>
  <c r="H20" i="2"/>
  <c r="I20" i="2"/>
  <c r="G20" i="2"/>
  <c r="D66" i="9" s="1"/>
  <c r="J17" i="2"/>
  <c r="Z47" i="12" s="1"/>
  <c r="P47" i="12" s="1"/>
  <c r="Q47" i="12" s="1"/>
  <c r="I17" i="2"/>
  <c r="F17" i="2"/>
  <c r="B53" i="9" s="1"/>
  <c r="F55" i="16" s="1"/>
  <c r="G17" i="2"/>
  <c r="D49" i="9" s="1"/>
  <c r="K17" i="2"/>
  <c r="I50" i="9" s="1"/>
  <c r="Q48" i="12" s="1"/>
  <c r="H17" i="2"/>
  <c r="E40" i="11" s="1"/>
  <c r="C197" i="24"/>
  <c r="C206" i="24" s="1"/>
  <c r="E39" i="11" l="1"/>
  <c r="G63" i="16"/>
  <c r="F66" i="16"/>
  <c r="C70" i="9"/>
  <c r="N70" i="9"/>
  <c r="Z45" i="12"/>
  <c r="P45" i="12" s="1"/>
  <c r="Q45" i="12" s="1"/>
  <c r="H77" i="9"/>
  <c r="V73" i="9"/>
  <c r="T72" i="9"/>
  <c r="G61" i="16"/>
  <c r="Z75" i="9"/>
  <c r="AF69" i="9" s="1"/>
  <c r="Q46" i="12"/>
  <c r="V56" i="9"/>
  <c r="G53" i="16"/>
  <c r="Z58" i="9"/>
  <c r="AF52" i="9" s="1"/>
  <c r="T55" i="9"/>
  <c r="N53" i="9"/>
  <c r="C53" i="9"/>
  <c r="F58" i="16"/>
  <c r="G55" i="16"/>
  <c r="H60" i="9"/>
  <c r="A2" i="22"/>
  <c r="A2" i="10"/>
  <c r="D4" i="21"/>
  <c r="D29" i="21"/>
  <c r="D45" i="21"/>
  <c r="D53" i="21"/>
  <c r="D52" i="21"/>
  <c r="D50" i="21"/>
  <c r="D49" i="21"/>
  <c r="D48" i="21"/>
  <c r="AC66" i="9" l="1"/>
  <c r="Y59" i="12"/>
  <c r="S70" i="9"/>
  <c r="L61" i="16"/>
  <c r="AO72" i="9"/>
  <c r="AO67" i="9" s="1"/>
  <c r="G62" i="16"/>
  <c r="G64" i="16" s="1"/>
  <c r="F62" i="16"/>
  <c r="AF66" i="9"/>
  <c r="F67" i="16"/>
  <c r="I66" i="16"/>
  <c r="K66" i="16" s="1"/>
  <c r="M66" i="16" s="1"/>
  <c r="S71" i="9"/>
  <c r="F61" i="16"/>
  <c r="S65" i="9"/>
  <c r="S69" i="9" s="1"/>
  <c r="S76" i="9"/>
  <c r="AC67" i="9"/>
  <c r="S53" i="9"/>
  <c r="AO55" i="9"/>
  <c r="AO50" i="9" s="1"/>
  <c r="G54" i="16"/>
  <c r="G56" i="16" s="1"/>
  <c r="S54" i="9"/>
  <c r="AC50" i="9"/>
  <c r="F59" i="16"/>
  <c r="I58" i="16"/>
  <c r="K58" i="16" s="1"/>
  <c r="M58" i="16" s="1"/>
  <c r="AF49" i="9"/>
  <c r="F54" i="16"/>
  <c r="F53" i="16"/>
  <c r="S48" i="9"/>
  <c r="S60" i="9" s="1"/>
  <c r="S59" i="9"/>
  <c r="AC49" i="9"/>
  <c r="C25" i="22"/>
  <c r="C10" i="22"/>
  <c r="C67" i="10"/>
  <c r="J30" i="16" s="1"/>
  <c r="C14" i="22"/>
  <c r="C12" i="22"/>
  <c r="C13" i="22"/>
  <c r="C21" i="22" s="1"/>
  <c r="D64" i="10"/>
  <c r="D47" i="10"/>
  <c r="C61" i="10"/>
  <c r="C63" i="10"/>
  <c r="C65" i="10" s="1"/>
  <c r="C54" i="10"/>
  <c r="D55" i="10" s="1"/>
  <c r="C46" i="10"/>
  <c r="C48" i="10" s="1"/>
  <c r="C41" i="10"/>
  <c r="C42" i="10" s="1"/>
  <c r="C45" i="10" s="1"/>
  <c r="C47" i="10" s="1"/>
  <c r="C40" i="10"/>
  <c r="D51" i="10" s="1"/>
  <c r="D38" i="23"/>
  <c r="C37" i="23"/>
  <c r="C35" i="23"/>
  <c r="C38" i="23" s="1"/>
  <c r="AO48" i="9" l="1"/>
  <c r="AO49" i="9" s="1"/>
  <c r="AO65" i="9"/>
  <c r="AO68" i="9" s="1"/>
  <c r="AO69" i="9" s="1"/>
  <c r="S72" i="9"/>
  <c r="S77" i="9"/>
  <c r="L62" i="16"/>
  <c r="AO66" i="9"/>
  <c r="F64" i="16"/>
  <c r="I64" i="16" s="1"/>
  <c r="K64" i="16" s="1"/>
  <c r="L64" i="16"/>
  <c r="L63" i="16"/>
  <c r="Z52" i="9"/>
  <c r="Z53" i="9" s="1"/>
  <c r="S61" i="9"/>
  <c r="F56" i="16"/>
  <c r="I56" i="16" s="1"/>
  <c r="K56" i="16" s="1"/>
  <c r="AO51" i="9"/>
  <c r="AO52" i="9" s="1"/>
  <c r="AO54" i="9" s="1"/>
  <c r="S55" i="9"/>
  <c r="S52" i="9"/>
  <c r="C64" i="10"/>
  <c r="C51" i="10"/>
  <c r="C55" i="10" s="1"/>
  <c r="AO71" i="9" l="1"/>
  <c r="AO70" i="9"/>
  <c r="Z68" i="9"/>
  <c r="S73" i="9"/>
  <c r="S75" i="9" s="1"/>
  <c r="M64" i="16"/>
  <c r="Z69" i="9"/>
  <c r="Z70" i="9" s="1"/>
  <c r="S78" i="9"/>
  <c r="S74" i="9"/>
  <c r="Z66" i="9" s="1"/>
  <c r="Z51" i="9"/>
  <c r="S56" i="9"/>
  <c r="S58" i="9" s="1"/>
  <c r="S57" i="9"/>
  <c r="Z49" i="9" s="1"/>
  <c r="Z50" i="9" s="1"/>
  <c r="AO53" i="9"/>
  <c r="D29" i="23"/>
  <c r="C29" i="23"/>
  <c r="C28" i="23"/>
  <c r="C21" i="23"/>
  <c r="D21" i="23"/>
  <c r="C19" i="23"/>
  <c r="D25" i="23"/>
  <c r="C22" i="23"/>
  <c r="C25" i="23" s="1"/>
  <c r="C20" i="23"/>
  <c r="C16" i="23"/>
  <c r="C15" i="23"/>
  <c r="C14" i="23"/>
  <c r="C9" i="23"/>
  <c r="J114" i="10"/>
  <c r="C98" i="10"/>
  <c r="D105" i="10"/>
  <c r="C89" i="10"/>
  <c r="AI69" i="9" l="1"/>
  <c r="AC71" i="9"/>
  <c r="AF68" i="9" s="1"/>
  <c r="AI66" i="9"/>
  <c r="Z67" i="9"/>
  <c r="Z76" i="9"/>
  <c r="Z72" i="9"/>
  <c r="AC54" i="9"/>
  <c r="AF51" i="9" s="1"/>
  <c r="AI52" i="9"/>
  <c r="AI49" i="9"/>
  <c r="Z59" i="9"/>
  <c r="Z55" i="9"/>
  <c r="C80" i="10"/>
  <c r="C77" i="10"/>
  <c r="C76" i="10"/>
  <c r="Z73" i="9" l="1"/>
  <c r="AF70" i="9" s="1"/>
  <c r="AI67" i="9"/>
  <c r="AI68" i="9" s="1"/>
  <c r="AI70" i="9" s="1"/>
  <c r="Z78" i="9"/>
  <c r="AF71" i="9"/>
  <c r="Z77" i="9"/>
  <c r="AC68" i="9"/>
  <c r="Z56" i="9"/>
  <c r="Z61" i="9" s="1"/>
  <c r="AI50" i="9"/>
  <c r="AI51" i="9" s="1"/>
  <c r="AI53" i="9" s="1"/>
  <c r="AF54" i="9"/>
  <c r="Z60" i="9"/>
  <c r="AC51" i="9"/>
  <c r="J168" i="10"/>
  <c r="D16" i="10"/>
  <c r="D15" i="10"/>
  <c r="AF73" i="9" l="1"/>
  <c r="AC69" i="9"/>
  <c r="AC77" i="9" s="1"/>
  <c r="AC70" i="9"/>
  <c r="AC74" i="9"/>
  <c r="AC72" i="9"/>
  <c r="AF72" i="9"/>
  <c r="AF53" i="9"/>
  <c r="AF56" i="9" s="1"/>
  <c r="AC52" i="9"/>
  <c r="AC57" i="9"/>
  <c r="AC55" i="9"/>
  <c r="AF55" i="9"/>
  <c r="D14" i="11"/>
  <c r="S79" i="9" l="1"/>
  <c r="AC75" i="9"/>
  <c r="AC76" i="9" s="1"/>
  <c r="AC73" i="9"/>
  <c r="W68" i="9"/>
  <c r="W67" i="9"/>
  <c r="J21" i="16"/>
  <c r="G21" i="17"/>
  <c r="H21" i="17"/>
  <c r="I21" i="17"/>
  <c r="J21" i="17"/>
  <c r="K21" i="17"/>
  <c r="L21" i="17"/>
  <c r="M21" i="17"/>
  <c r="N21" i="17"/>
  <c r="O21" i="17"/>
  <c r="C21" i="17"/>
  <c r="G20" i="17"/>
  <c r="H20" i="17"/>
  <c r="I20" i="17"/>
  <c r="J20" i="17"/>
  <c r="K20" i="17"/>
  <c r="L20" i="17"/>
  <c r="M20" i="17"/>
  <c r="N20" i="17"/>
  <c r="O20" i="17"/>
  <c r="C20" i="17"/>
  <c r="O45" i="12" l="1"/>
  <c r="O46" i="12" s="1"/>
  <c r="O60" i="12"/>
  <c r="D27" i="17"/>
  <c r="C27" i="17"/>
  <c r="C25" i="17"/>
  <c r="C24" i="17"/>
  <c r="O59" i="12" l="1"/>
  <c r="O56" i="12"/>
  <c r="O55" i="12" s="1"/>
  <c r="C37" i="14"/>
  <c r="C36" i="14"/>
  <c r="C35" i="14"/>
  <c r="C33" i="14"/>
  <c r="C32" i="14"/>
  <c r="C31" i="14"/>
  <c r="C30" i="14"/>
  <c r="C29" i="14"/>
  <c r="E50" i="16" l="1"/>
  <c r="E42" i="16"/>
  <c r="E35" i="16"/>
  <c r="D35" i="16"/>
  <c r="E34" i="16"/>
  <c r="G33" i="16"/>
  <c r="L33" i="16" s="1"/>
  <c r="L30" i="16"/>
  <c r="L31" i="16" s="1"/>
  <c r="D30" i="16"/>
  <c r="D31" i="16" s="1"/>
  <c r="G28" i="16"/>
  <c r="F28" i="16"/>
  <c r="G27" i="16"/>
  <c r="F27" i="16"/>
  <c r="C27" i="16"/>
  <c r="H26" i="16"/>
  <c r="D26" i="16"/>
  <c r="G25" i="16"/>
  <c r="F25" i="16"/>
  <c r="D25" i="16"/>
  <c r="C25" i="16"/>
  <c r="B24" i="16"/>
  <c r="G23" i="16"/>
  <c r="G22" i="16"/>
  <c r="F22" i="16"/>
  <c r="H21" i="16"/>
  <c r="D21" i="16"/>
  <c r="G20" i="16"/>
  <c r="L20" i="16" s="1"/>
  <c r="F20" i="16"/>
  <c r="F23" i="16" s="1"/>
  <c r="D20" i="16"/>
  <c r="B19" i="16"/>
  <c r="G18" i="16"/>
  <c r="G17" i="16"/>
  <c r="E17" i="16"/>
  <c r="H16" i="16"/>
  <c r="G15" i="16"/>
  <c r="E15" i="16"/>
  <c r="E18" i="16" s="1"/>
  <c r="D15" i="16"/>
  <c r="B14" i="16"/>
  <c r="C158" i="10"/>
  <c r="C104" i="10"/>
  <c r="O14" i="11"/>
  <c r="B15" i="17"/>
  <c r="A2" i="17"/>
  <c r="G50" i="16"/>
  <c r="E48" i="16"/>
  <c r="B44" i="16"/>
  <c r="F49" i="16" s="1"/>
  <c r="G42" i="16"/>
  <c r="E40" i="16"/>
  <c r="B36" i="16"/>
  <c r="G41" i="16" s="1"/>
  <c r="G34" i="16"/>
  <c r="J27" i="16"/>
  <c r="J26" i="16"/>
  <c r="D28" i="16"/>
  <c r="J22" i="16"/>
  <c r="D23" i="16"/>
  <c r="J17" i="16"/>
  <c r="J16" i="16"/>
  <c r="F15" i="16"/>
  <c r="F18" i="16" s="1"/>
  <c r="D18" i="16"/>
  <c r="A2" i="16"/>
  <c r="X111" i="13"/>
  <c r="W111" i="13"/>
  <c r="J111" i="13" s="1"/>
  <c r="V111" i="13"/>
  <c r="U111" i="13"/>
  <c r="H111" i="13" s="1"/>
  <c r="T111" i="13"/>
  <c r="K111" i="13"/>
  <c r="I111" i="13"/>
  <c r="G111" i="13"/>
  <c r="F111" i="13"/>
  <c r="E111" i="13"/>
  <c r="D111" i="13"/>
  <c r="C111" i="13"/>
  <c r="K110" i="13"/>
  <c r="J110" i="13"/>
  <c r="I110" i="13"/>
  <c r="H110" i="13"/>
  <c r="G110" i="13"/>
  <c r="F110" i="13"/>
  <c r="E110" i="13"/>
  <c r="D110" i="13"/>
  <c r="C110" i="13"/>
  <c r="X109" i="13"/>
  <c r="K109" i="13" s="1"/>
  <c r="W109" i="13"/>
  <c r="V109" i="13"/>
  <c r="I109" i="13" s="1"/>
  <c r="U109" i="13"/>
  <c r="T109" i="13"/>
  <c r="G109" i="13" s="1"/>
  <c r="J109" i="13"/>
  <c r="H109" i="13"/>
  <c r="F109" i="13"/>
  <c r="E109" i="13"/>
  <c r="D109" i="13"/>
  <c r="C109" i="13"/>
  <c r="X108" i="13"/>
  <c r="K108" i="13" s="1"/>
  <c r="W108" i="13"/>
  <c r="V108" i="13"/>
  <c r="I108" i="13" s="1"/>
  <c r="U108" i="13"/>
  <c r="T108" i="13"/>
  <c r="G108" i="13" s="1"/>
  <c r="J108" i="13"/>
  <c r="H108" i="13"/>
  <c r="F108" i="13"/>
  <c r="E108" i="13"/>
  <c r="D108" i="13"/>
  <c r="C108" i="13"/>
  <c r="X107" i="13"/>
  <c r="K107" i="13" s="1"/>
  <c r="W107" i="13"/>
  <c r="V107" i="13"/>
  <c r="I107" i="13" s="1"/>
  <c r="U107" i="13"/>
  <c r="T107" i="13"/>
  <c r="G107" i="13" s="1"/>
  <c r="J107" i="13"/>
  <c r="H107" i="13"/>
  <c r="F107" i="13"/>
  <c r="E107" i="13"/>
  <c r="D107" i="13"/>
  <c r="C107" i="13"/>
  <c r="X106" i="13"/>
  <c r="K106" i="13" s="1"/>
  <c r="W106" i="13"/>
  <c r="V106" i="13"/>
  <c r="I106" i="13" s="1"/>
  <c r="U106" i="13"/>
  <c r="T106" i="13"/>
  <c r="G106" i="13" s="1"/>
  <c r="J106" i="13"/>
  <c r="H106" i="13"/>
  <c r="F106" i="13"/>
  <c r="E106" i="13"/>
  <c r="D106" i="13"/>
  <c r="C106" i="13"/>
  <c r="X105" i="13"/>
  <c r="K105" i="13" s="1"/>
  <c r="W105" i="13"/>
  <c r="V105" i="13"/>
  <c r="I105" i="13" s="1"/>
  <c r="U105" i="13"/>
  <c r="T105" i="13"/>
  <c r="G105" i="13" s="1"/>
  <c r="J105" i="13"/>
  <c r="H105" i="13"/>
  <c r="F105" i="13"/>
  <c r="E105" i="13"/>
  <c r="D105" i="13"/>
  <c r="C105" i="13"/>
  <c r="X104" i="13"/>
  <c r="K104" i="13" s="1"/>
  <c r="W104" i="13"/>
  <c r="V104" i="13"/>
  <c r="I104" i="13" s="1"/>
  <c r="U104" i="13"/>
  <c r="T104" i="13"/>
  <c r="G104" i="13" s="1"/>
  <c r="J104" i="13"/>
  <c r="H104" i="13"/>
  <c r="F104" i="13"/>
  <c r="E104" i="13"/>
  <c r="D104" i="13"/>
  <c r="C104" i="13"/>
  <c r="X103" i="13"/>
  <c r="K103" i="13" s="1"/>
  <c r="W103" i="13"/>
  <c r="V103" i="13"/>
  <c r="I103" i="13" s="1"/>
  <c r="U103" i="13"/>
  <c r="T103" i="13"/>
  <c r="G103" i="13" s="1"/>
  <c r="J103" i="13"/>
  <c r="H103" i="13"/>
  <c r="F103" i="13"/>
  <c r="E103" i="13"/>
  <c r="D103" i="13"/>
  <c r="C103" i="13"/>
  <c r="X102" i="13"/>
  <c r="K102" i="13" s="1"/>
  <c r="W102" i="13"/>
  <c r="V102" i="13"/>
  <c r="I102" i="13" s="1"/>
  <c r="U102" i="13"/>
  <c r="T102" i="13"/>
  <c r="G102" i="13" s="1"/>
  <c r="J102" i="13"/>
  <c r="H102" i="13"/>
  <c r="F102" i="13"/>
  <c r="E102" i="13"/>
  <c r="D102" i="13"/>
  <c r="C102" i="13"/>
  <c r="X101" i="13"/>
  <c r="K101" i="13" s="1"/>
  <c r="W101" i="13"/>
  <c r="V101" i="13"/>
  <c r="I101" i="13" s="1"/>
  <c r="U101" i="13"/>
  <c r="T101" i="13"/>
  <c r="G101" i="13" s="1"/>
  <c r="J101" i="13"/>
  <c r="H101" i="13"/>
  <c r="F101" i="13"/>
  <c r="E101" i="13"/>
  <c r="D101" i="13"/>
  <c r="C101" i="13"/>
  <c r="X100" i="13"/>
  <c r="K100" i="13" s="1"/>
  <c r="W100" i="13"/>
  <c r="V100" i="13"/>
  <c r="I100" i="13" s="1"/>
  <c r="U100" i="13"/>
  <c r="T100" i="13"/>
  <c r="G100" i="13" s="1"/>
  <c r="J100" i="13"/>
  <c r="H100" i="13"/>
  <c r="F100" i="13"/>
  <c r="E100" i="13"/>
  <c r="D100" i="13"/>
  <c r="C100" i="13"/>
  <c r="X99" i="13"/>
  <c r="K99" i="13" s="1"/>
  <c r="W99" i="13"/>
  <c r="V99" i="13"/>
  <c r="I99" i="13" s="1"/>
  <c r="U99" i="13"/>
  <c r="T99" i="13"/>
  <c r="G99" i="13" s="1"/>
  <c r="J99" i="13"/>
  <c r="H99" i="13"/>
  <c r="F99" i="13"/>
  <c r="E99" i="13"/>
  <c r="D99" i="13"/>
  <c r="C99" i="13"/>
  <c r="X98" i="13"/>
  <c r="K98" i="13" s="1"/>
  <c r="W98" i="13"/>
  <c r="V98" i="13"/>
  <c r="I98" i="13" s="1"/>
  <c r="U98" i="13"/>
  <c r="T98" i="13"/>
  <c r="G98" i="13" s="1"/>
  <c r="J98" i="13"/>
  <c r="H98" i="13"/>
  <c r="F98" i="13"/>
  <c r="E98" i="13"/>
  <c r="D98" i="13"/>
  <c r="C98" i="13"/>
  <c r="X97" i="13"/>
  <c r="K97" i="13" s="1"/>
  <c r="W97" i="13"/>
  <c r="V97" i="13"/>
  <c r="I97" i="13" s="1"/>
  <c r="U97" i="13"/>
  <c r="T97" i="13"/>
  <c r="G97" i="13" s="1"/>
  <c r="J97" i="13"/>
  <c r="H97" i="13"/>
  <c r="F97" i="13"/>
  <c r="E97" i="13"/>
  <c r="D97" i="13"/>
  <c r="C97" i="13"/>
  <c r="X96" i="13"/>
  <c r="K96" i="13" s="1"/>
  <c r="W96" i="13"/>
  <c r="V96" i="13"/>
  <c r="I96" i="13" s="1"/>
  <c r="U96" i="13"/>
  <c r="T96" i="13"/>
  <c r="G96" i="13" s="1"/>
  <c r="J96" i="13"/>
  <c r="H96" i="13"/>
  <c r="F96" i="13"/>
  <c r="E96" i="13"/>
  <c r="D96" i="13"/>
  <c r="C96" i="13"/>
  <c r="X95" i="13"/>
  <c r="K95" i="13" s="1"/>
  <c r="W95" i="13"/>
  <c r="V95" i="13"/>
  <c r="I95" i="13" s="1"/>
  <c r="U95" i="13"/>
  <c r="T95" i="13"/>
  <c r="G95" i="13" s="1"/>
  <c r="J95" i="13"/>
  <c r="H95" i="13"/>
  <c r="F95" i="13"/>
  <c r="E95" i="13"/>
  <c r="D95" i="13"/>
  <c r="C95" i="13"/>
  <c r="X94" i="13"/>
  <c r="K94" i="13" s="1"/>
  <c r="W94" i="13"/>
  <c r="V94" i="13"/>
  <c r="I94" i="13" s="1"/>
  <c r="U94" i="13"/>
  <c r="T94" i="13"/>
  <c r="G94" i="13" s="1"/>
  <c r="J94" i="13"/>
  <c r="H94" i="13"/>
  <c r="F94" i="13"/>
  <c r="E94" i="13"/>
  <c r="D94" i="13"/>
  <c r="C94" i="13"/>
  <c r="X93" i="13"/>
  <c r="K93" i="13" s="1"/>
  <c r="W93" i="13"/>
  <c r="V93" i="13"/>
  <c r="I93" i="13" s="1"/>
  <c r="U93" i="13"/>
  <c r="T93" i="13"/>
  <c r="G93" i="13" s="1"/>
  <c r="J93" i="13"/>
  <c r="H93" i="13"/>
  <c r="F93" i="13"/>
  <c r="E93" i="13"/>
  <c r="D93" i="13"/>
  <c r="C93" i="13"/>
  <c r="X92" i="13"/>
  <c r="K92" i="13" s="1"/>
  <c r="W92" i="13"/>
  <c r="V92" i="13"/>
  <c r="I92" i="13" s="1"/>
  <c r="U92" i="13"/>
  <c r="T92" i="13"/>
  <c r="G92" i="13" s="1"/>
  <c r="J92" i="13"/>
  <c r="H92" i="13"/>
  <c r="F92" i="13"/>
  <c r="E92" i="13"/>
  <c r="D92" i="13"/>
  <c r="C92" i="13"/>
  <c r="X91" i="13"/>
  <c r="K91" i="13" s="1"/>
  <c r="W91" i="13"/>
  <c r="V91" i="13"/>
  <c r="I91" i="13" s="1"/>
  <c r="U91" i="13"/>
  <c r="T91" i="13"/>
  <c r="G91" i="13" s="1"/>
  <c r="J91" i="13"/>
  <c r="H91" i="13"/>
  <c r="F91" i="13"/>
  <c r="E91" i="13"/>
  <c r="D91" i="13"/>
  <c r="C91" i="13"/>
  <c r="X90" i="13"/>
  <c r="K90" i="13" s="1"/>
  <c r="W90" i="13"/>
  <c r="V90" i="13"/>
  <c r="I90" i="13" s="1"/>
  <c r="U90" i="13"/>
  <c r="T90" i="13"/>
  <c r="G90" i="13" s="1"/>
  <c r="J90" i="13"/>
  <c r="H90" i="13"/>
  <c r="F90" i="13"/>
  <c r="E90" i="13"/>
  <c r="D90" i="13"/>
  <c r="C90" i="13"/>
  <c r="K89" i="13"/>
  <c r="J89" i="13"/>
  <c r="I89" i="13"/>
  <c r="H89" i="13"/>
  <c r="G89" i="13"/>
  <c r="F89" i="13"/>
  <c r="E89" i="13"/>
  <c r="D89" i="13"/>
  <c r="C89" i="13"/>
  <c r="P56" i="13"/>
  <c r="O56" i="13"/>
  <c r="H56" i="13"/>
  <c r="G56" i="13"/>
  <c r="F56" i="13"/>
  <c r="E56" i="13"/>
  <c r="D56" i="13"/>
  <c r="C56" i="13"/>
  <c r="P55" i="13"/>
  <c r="O55" i="13"/>
  <c r="H55" i="13"/>
  <c r="G55" i="13"/>
  <c r="F55" i="13"/>
  <c r="E55" i="13"/>
  <c r="D55" i="13"/>
  <c r="C55" i="13"/>
  <c r="P54" i="13"/>
  <c r="O54" i="13"/>
  <c r="H54" i="13"/>
  <c r="G54" i="13"/>
  <c r="F54" i="13"/>
  <c r="E54" i="13"/>
  <c r="D54" i="13"/>
  <c r="C54" i="13"/>
  <c r="P53" i="13"/>
  <c r="O53" i="13"/>
  <c r="H53" i="13"/>
  <c r="G53" i="13"/>
  <c r="F53" i="13"/>
  <c r="E53" i="13"/>
  <c r="D53" i="13"/>
  <c r="C53" i="13"/>
  <c r="P52" i="13"/>
  <c r="O52" i="13"/>
  <c r="H52" i="13"/>
  <c r="G52" i="13"/>
  <c r="F52" i="13"/>
  <c r="E52" i="13"/>
  <c r="D52" i="13"/>
  <c r="C52" i="13"/>
  <c r="P51" i="13"/>
  <c r="O51" i="13"/>
  <c r="H51" i="13"/>
  <c r="G51" i="13"/>
  <c r="F51" i="13"/>
  <c r="E51" i="13"/>
  <c r="D51" i="13"/>
  <c r="C51" i="13"/>
  <c r="P50" i="13"/>
  <c r="O50" i="13"/>
  <c r="H50" i="13"/>
  <c r="G50" i="13"/>
  <c r="F50" i="13"/>
  <c r="E50" i="13"/>
  <c r="D50" i="13"/>
  <c r="C50" i="13"/>
  <c r="P49" i="13"/>
  <c r="O49" i="13"/>
  <c r="H49" i="13"/>
  <c r="G49" i="13"/>
  <c r="F49" i="13"/>
  <c r="E49" i="13"/>
  <c r="D49" i="13"/>
  <c r="C49" i="13"/>
  <c r="P48" i="13"/>
  <c r="O48" i="13"/>
  <c r="H48" i="13"/>
  <c r="G48" i="13"/>
  <c r="F48" i="13"/>
  <c r="E48" i="13"/>
  <c r="D48" i="13"/>
  <c r="C48" i="13"/>
  <c r="P47" i="13"/>
  <c r="O47" i="13"/>
  <c r="H47" i="13"/>
  <c r="G47" i="13"/>
  <c r="F47" i="13"/>
  <c r="E47" i="13"/>
  <c r="D47" i="13"/>
  <c r="C47" i="13"/>
  <c r="P46" i="13"/>
  <c r="O46" i="13"/>
  <c r="H46" i="13"/>
  <c r="G46" i="13"/>
  <c r="F46" i="13"/>
  <c r="E46" i="13"/>
  <c r="D46" i="13"/>
  <c r="C46" i="13"/>
  <c r="P45" i="13"/>
  <c r="O45" i="13"/>
  <c r="H45" i="13"/>
  <c r="G45" i="13"/>
  <c r="F45" i="13"/>
  <c r="E45" i="13"/>
  <c r="D45" i="13"/>
  <c r="C45" i="13"/>
  <c r="P44" i="13"/>
  <c r="O44" i="13"/>
  <c r="H44" i="13"/>
  <c r="G44" i="13"/>
  <c r="F44" i="13"/>
  <c r="E44" i="13"/>
  <c r="D44" i="13"/>
  <c r="C44" i="13"/>
  <c r="P43" i="13"/>
  <c r="O43" i="13"/>
  <c r="H43" i="13"/>
  <c r="G43" i="13"/>
  <c r="F43" i="13"/>
  <c r="E43" i="13"/>
  <c r="D43" i="13"/>
  <c r="C43" i="13"/>
  <c r="P42" i="13"/>
  <c r="O42" i="13"/>
  <c r="H42" i="13"/>
  <c r="G42" i="13"/>
  <c r="F42" i="13"/>
  <c r="E42" i="13"/>
  <c r="D42" i="13"/>
  <c r="C42" i="13"/>
  <c r="P41" i="13"/>
  <c r="O41" i="13"/>
  <c r="H41" i="13"/>
  <c r="G41" i="13"/>
  <c r="F41" i="13"/>
  <c r="E41" i="13"/>
  <c r="D41" i="13"/>
  <c r="C41" i="13"/>
  <c r="P40" i="13"/>
  <c r="O40" i="13"/>
  <c r="H40" i="13"/>
  <c r="G40" i="13"/>
  <c r="F40" i="13"/>
  <c r="E40" i="13"/>
  <c r="D40" i="13"/>
  <c r="C40" i="13"/>
  <c r="P39" i="13"/>
  <c r="O39" i="13"/>
  <c r="H39" i="13"/>
  <c r="G39" i="13"/>
  <c r="F39" i="13"/>
  <c r="E39" i="13"/>
  <c r="D39" i="13"/>
  <c r="C39" i="13"/>
  <c r="P38" i="13"/>
  <c r="O38" i="13"/>
  <c r="H38" i="13"/>
  <c r="G38" i="13"/>
  <c r="F38" i="13"/>
  <c r="E38" i="13"/>
  <c r="D38" i="13"/>
  <c r="C38" i="13"/>
  <c r="P37" i="13"/>
  <c r="O37" i="13"/>
  <c r="H37" i="13"/>
  <c r="G37" i="13"/>
  <c r="F37" i="13"/>
  <c r="E37" i="13"/>
  <c r="D37" i="13"/>
  <c r="C37" i="13"/>
  <c r="P36" i="13"/>
  <c r="O36" i="13"/>
  <c r="H36" i="13"/>
  <c r="G36" i="13"/>
  <c r="F36" i="13"/>
  <c r="E36" i="13"/>
  <c r="D36" i="13"/>
  <c r="C36" i="13"/>
  <c r="P35" i="13"/>
  <c r="O35" i="13"/>
  <c r="H35" i="13"/>
  <c r="G35" i="13"/>
  <c r="F35" i="13"/>
  <c r="E35" i="13"/>
  <c r="D35" i="13"/>
  <c r="C35" i="13"/>
  <c r="P34" i="13"/>
  <c r="O34" i="13"/>
  <c r="H34" i="13"/>
  <c r="G34" i="13"/>
  <c r="F34" i="13"/>
  <c r="E34" i="13"/>
  <c r="D34" i="13"/>
  <c r="C34" i="13"/>
  <c r="P33" i="13"/>
  <c r="O33" i="13"/>
  <c r="H33" i="13"/>
  <c r="G33" i="13"/>
  <c r="F33" i="13"/>
  <c r="E33" i="13"/>
  <c r="D33" i="13"/>
  <c r="C33" i="13"/>
  <c r="D149" i="10"/>
  <c r="D148" i="10" s="1"/>
  <c r="D147" i="10"/>
  <c r="D146" i="10"/>
  <c r="D145" i="10"/>
  <c r="J31" i="16"/>
  <c r="C108" i="10"/>
  <c r="C24" i="22" s="1"/>
  <c r="D95" i="10"/>
  <c r="D94" i="10"/>
  <c r="D93" i="10"/>
  <c r="C84" i="10"/>
  <c r="C91" i="10" s="1"/>
  <c r="C83" i="10"/>
  <c r="O13" i="11" s="1"/>
  <c r="C82" i="10"/>
  <c r="C81" i="10"/>
  <c r="N22" i="10"/>
  <c r="M22" i="10"/>
  <c r="L22" i="10"/>
  <c r="K22" i="10"/>
  <c r="N21" i="10"/>
  <c r="M21" i="10"/>
  <c r="L21" i="10"/>
  <c r="K21" i="10"/>
  <c r="N20" i="10"/>
  <c r="M20" i="10"/>
  <c r="L20" i="10"/>
  <c r="K20" i="10"/>
  <c r="N19" i="10"/>
  <c r="M19" i="10"/>
  <c r="L19" i="10"/>
  <c r="K19" i="10"/>
  <c r="N18" i="10"/>
  <c r="M18" i="10"/>
  <c r="L18" i="10"/>
  <c r="K18" i="10"/>
  <c r="N17" i="10"/>
  <c r="M17" i="10"/>
  <c r="L17" i="10"/>
  <c r="K17" i="10"/>
  <c r="G17" i="10"/>
  <c r="N16" i="10"/>
  <c r="M16" i="10"/>
  <c r="L16" i="10"/>
  <c r="K16" i="10"/>
  <c r="D17" i="10"/>
  <c r="N15" i="10"/>
  <c r="M15" i="10"/>
  <c r="L15" i="10"/>
  <c r="K15" i="10"/>
  <c r="N14" i="10"/>
  <c r="M14" i="10"/>
  <c r="L14" i="10"/>
  <c r="K14" i="10"/>
  <c r="N13" i="10"/>
  <c r="M13" i="10"/>
  <c r="L13" i="10"/>
  <c r="K13" i="10"/>
  <c r="N12" i="10"/>
  <c r="M12" i="10"/>
  <c r="L12" i="10"/>
  <c r="K12" i="10"/>
  <c r="N11" i="10"/>
  <c r="M11" i="10"/>
  <c r="L11" i="10"/>
  <c r="K11" i="10"/>
  <c r="N10" i="10"/>
  <c r="M10" i="10"/>
  <c r="L10" i="10"/>
  <c r="K10" i="10"/>
  <c r="N9" i="10"/>
  <c r="M9" i="10"/>
  <c r="L9" i="10"/>
  <c r="K9" i="10"/>
  <c r="G9" i="10"/>
  <c r="N8" i="10"/>
  <c r="M8" i="10"/>
  <c r="L8" i="10"/>
  <c r="K8" i="10"/>
  <c r="N7" i="10"/>
  <c r="M7" i="10"/>
  <c r="L7" i="10"/>
  <c r="K7" i="10"/>
  <c r="G7" i="10"/>
  <c r="G6" i="10"/>
  <c r="A1" i="10"/>
  <c r="E22" i="8"/>
  <c r="F22" i="8" s="1"/>
  <c r="J21" i="8"/>
  <c r="D19" i="8"/>
  <c r="J18" i="8"/>
  <c r="D16" i="8"/>
  <c r="K5" i="8" s="1"/>
  <c r="B15" i="8"/>
  <c r="B12" i="8"/>
  <c r="A2" i="8"/>
  <c r="A1" i="8"/>
  <c r="C65" i="14"/>
  <c r="C64" i="14"/>
  <c r="C66" i="14" s="1"/>
  <c r="C69" i="14" s="1"/>
  <c r="C63" i="14"/>
  <c r="C67" i="14" s="1"/>
  <c r="C68" i="14" s="1"/>
  <c r="C41" i="14"/>
  <c r="C39" i="14"/>
  <c r="C19" i="14"/>
  <c r="C17" i="14"/>
  <c r="A2" i="14"/>
  <c r="V69" i="12"/>
  <c r="S69" i="12"/>
  <c r="V68" i="12"/>
  <c r="V67" i="12"/>
  <c r="S67" i="12"/>
  <c r="F64" i="12"/>
  <c r="V22" i="12"/>
  <c r="V24" i="12" s="1"/>
  <c r="S22" i="12"/>
  <c r="S24" i="12" s="1"/>
  <c r="V20" i="12"/>
  <c r="V23" i="12" s="1"/>
  <c r="S20" i="12"/>
  <c r="S23" i="12" s="1"/>
  <c r="F16" i="12"/>
  <c r="V14" i="12"/>
  <c r="S14" i="12"/>
  <c r="V13" i="12"/>
  <c r="V12" i="12"/>
  <c r="S12" i="12"/>
  <c r="S13" i="12" s="1"/>
  <c r="A2" i="12"/>
  <c r="W41" i="9"/>
  <c r="Q41" i="9"/>
  <c r="Q40" i="9"/>
  <c r="Q39" i="9"/>
  <c r="Q38" i="9"/>
  <c r="AM37" i="9"/>
  <c r="AM36" i="9"/>
  <c r="AM35" i="9"/>
  <c r="AM34" i="9"/>
  <c r="S34" i="9"/>
  <c r="W24" i="9"/>
  <c r="Q24" i="9"/>
  <c r="Q23" i="9"/>
  <c r="Q22" i="9"/>
  <c r="Q21" i="9"/>
  <c r="AM20" i="9"/>
  <c r="AM19" i="9"/>
  <c r="AM18" i="9"/>
  <c r="AM17" i="9"/>
  <c r="S17" i="9"/>
  <c r="C157" i="10" s="1"/>
  <c r="D25" i="11"/>
  <c r="D33" i="11" s="1"/>
  <c r="D41" i="11" s="1"/>
  <c r="D24" i="11"/>
  <c r="D32" i="11" s="1"/>
  <c r="D40" i="11" s="1"/>
  <c r="D22" i="11"/>
  <c r="D30" i="11" s="1"/>
  <c r="D38" i="11" s="1"/>
  <c r="D21" i="11"/>
  <c r="D29" i="11" s="1"/>
  <c r="D19" i="11"/>
  <c r="E14" i="11"/>
  <c r="P12" i="11"/>
  <c r="A2" i="11"/>
  <c r="E67" i="16" l="1"/>
  <c r="E59" i="16"/>
  <c r="E38" i="11"/>
  <c r="E30" i="11"/>
  <c r="AB34" i="12"/>
  <c r="D56" i="21"/>
  <c r="E43" i="16"/>
  <c r="E22" i="11"/>
  <c r="D55" i="21"/>
  <c r="D89" i="21"/>
  <c r="C21" i="14"/>
  <c r="C22" i="14" s="1"/>
  <c r="D20" i="17" s="1"/>
  <c r="E20" i="16"/>
  <c r="E22" i="16" s="1"/>
  <c r="D51" i="16"/>
  <c r="G14" i="10"/>
  <c r="O15" i="11"/>
  <c r="O16" i="11" s="1"/>
  <c r="E37" i="11" s="1"/>
  <c r="C86" i="10"/>
  <c r="C92" i="10"/>
  <c r="L27" i="16"/>
  <c r="C93" i="10"/>
  <c r="C144" i="10"/>
  <c r="C143" i="10"/>
  <c r="K30" i="16"/>
  <c r="I30" i="16" s="1"/>
  <c r="AK66" i="12"/>
  <c r="F24" i="17"/>
  <c r="D24" i="17"/>
  <c r="E24" i="17"/>
  <c r="AB22" i="12"/>
  <c r="H22" i="12" s="1"/>
  <c r="E25" i="17"/>
  <c r="F25" i="17"/>
  <c r="D25" i="17"/>
  <c r="F41" i="16"/>
  <c r="G49" i="16"/>
  <c r="AK16" i="12"/>
  <c r="C161" i="10"/>
  <c r="J144" i="10" s="1"/>
  <c r="J146" i="10"/>
  <c r="J165" i="10" s="1"/>
  <c r="J141" i="10"/>
  <c r="J164" i="10"/>
  <c r="S11" i="12"/>
  <c r="O41" i="9"/>
  <c r="E25" i="16"/>
  <c r="E27" i="16" s="1"/>
  <c r="C103" i="10"/>
  <c r="J92" i="10" s="1"/>
  <c r="S15" i="9"/>
  <c r="D43" i="16"/>
  <c r="E51" i="16"/>
  <c r="C43" i="14"/>
  <c r="C44" i="14" s="1"/>
  <c r="L28" i="16"/>
  <c r="D27" i="16"/>
  <c r="D17" i="16"/>
  <c r="L41" i="16"/>
  <c r="Z37" i="9"/>
  <c r="S21" i="12"/>
  <c r="AF16" i="9"/>
  <c r="S19" i="12"/>
  <c r="V21" i="12"/>
  <c r="K31" i="16"/>
  <c r="I31" i="16" s="1"/>
  <c r="F17" i="16"/>
  <c r="I17" i="16" s="1"/>
  <c r="K17" i="16" s="1"/>
  <c r="I18" i="16"/>
  <c r="K18" i="16" s="1"/>
  <c r="L16" i="16"/>
  <c r="D22" i="16"/>
  <c r="L26" i="16"/>
  <c r="L25" i="16"/>
  <c r="L18" i="16"/>
  <c r="L17" i="16"/>
  <c r="L15" i="16"/>
  <c r="L23" i="16"/>
  <c r="L21" i="16"/>
  <c r="I15" i="16"/>
  <c r="F16" i="16"/>
  <c r="I16" i="16" s="1"/>
  <c r="K16" i="16" s="1"/>
  <c r="L22" i="16"/>
  <c r="K23" i="10"/>
  <c r="G10" i="10" s="1"/>
  <c r="M23" i="10"/>
  <c r="G15" i="10" s="1"/>
  <c r="G19" i="10"/>
  <c r="N23" i="10"/>
  <c r="G16" i="10" s="1"/>
  <c r="L23" i="10"/>
  <c r="G11" i="10" s="1"/>
  <c r="C85" i="10"/>
  <c r="C160" i="10"/>
  <c r="J142" i="10" s="1"/>
  <c r="C139" i="10"/>
  <c r="C149" i="10" s="1"/>
  <c r="E19" i="8"/>
  <c r="C70" i="14"/>
  <c r="AK64" i="12"/>
  <c r="S68" i="12"/>
  <c r="S66" i="12"/>
  <c r="Z20" i="9"/>
  <c r="AF33" i="9"/>
  <c r="AE21" i="1"/>
  <c r="E21" i="1"/>
  <c r="C17" i="1"/>
  <c r="Q10" i="1"/>
  <c r="Q9" i="1"/>
  <c r="Q8" i="1"/>
  <c r="Q7" i="1"/>
  <c r="Q6" i="1"/>
  <c r="A2" i="1"/>
  <c r="E41" i="11" l="1"/>
  <c r="D67" i="16"/>
  <c r="E21" i="16"/>
  <c r="I21" i="16" s="1"/>
  <c r="K21" i="16" s="1"/>
  <c r="D59" i="16"/>
  <c r="E29" i="11"/>
  <c r="E33" i="11"/>
  <c r="AF34" i="12"/>
  <c r="AF35" i="12" s="1"/>
  <c r="H34" i="12"/>
  <c r="AG34" i="12"/>
  <c r="AG35" i="12" s="1"/>
  <c r="AC34" i="12"/>
  <c r="AC35" i="12" s="1"/>
  <c r="AH34" i="12"/>
  <c r="AH35" i="12" s="1"/>
  <c r="AD34" i="12"/>
  <c r="AD35" i="12" s="1"/>
  <c r="AI34" i="12"/>
  <c r="AI35" i="12" s="1"/>
  <c r="AE34" i="12"/>
  <c r="AE35" i="12" s="1"/>
  <c r="S49" i="9"/>
  <c r="L56" i="16"/>
  <c r="M56" i="16" s="1"/>
  <c r="L55" i="16"/>
  <c r="L54" i="16"/>
  <c r="L53" i="16"/>
  <c r="S32" i="9"/>
  <c r="C49" i="26"/>
  <c r="D87" i="21" s="1"/>
  <c r="K21" i="28"/>
  <c r="C39" i="26"/>
  <c r="D19" i="28"/>
  <c r="E19" i="28" s="1"/>
  <c r="F20" i="17"/>
  <c r="I27" i="16"/>
  <c r="K27" i="16" s="1"/>
  <c r="M27" i="16" s="1"/>
  <c r="E20" i="17"/>
  <c r="M16" i="16"/>
  <c r="I20" i="16"/>
  <c r="K20" i="16" s="1"/>
  <c r="M20" i="16" s="1"/>
  <c r="E23" i="16"/>
  <c r="I23" i="16" s="1"/>
  <c r="K23" i="16" s="1"/>
  <c r="M23" i="16" s="1"/>
  <c r="I22" i="16"/>
  <c r="K22" i="16" s="1"/>
  <c r="M22" i="16" s="1"/>
  <c r="C13" i="10"/>
  <c r="C18" i="10" s="1"/>
  <c r="C107" i="10"/>
  <c r="J90" i="10" s="1"/>
  <c r="C106" i="10"/>
  <c r="J89" i="10" s="1"/>
  <c r="J145" i="10"/>
  <c r="E13" i="11"/>
  <c r="E21" i="11"/>
  <c r="M31" i="16"/>
  <c r="E33" i="16"/>
  <c r="E17" i="11"/>
  <c r="E25" i="11"/>
  <c r="J140" i="10"/>
  <c r="J166" i="10"/>
  <c r="C145" i="10"/>
  <c r="C87" i="10"/>
  <c r="C88" i="10" s="1"/>
  <c r="C94" i="10" s="1"/>
  <c r="C95" i="10"/>
  <c r="G18" i="10"/>
  <c r="C147" i="10"/>
  <c r="C148" i="10"/>
  <c r="I25" i="16"/>
  <c r="K25" i="16" s="1"/>
  <c r="E26" i="16"/>
  <c r="I26" i="16" s="1"/>
  <c r="K26" i="16" s="1"/>
  <c r="M26" i="16" s="1"/>
  <c r="M25" i="16"/>
  <c r="M21" i="16"/>
  <c r="N22" i="17"/>
  <c r="L22" i="17"/>
  <c r="J22" i="17"/>
  <c r="H22" i="17"/>
  <c r="F22" i="17"/>
  <c r="D22" i="17"/>
  <c r="O22" i="17"/>
  <c r="M22" i="17"/>
  <c r="K22" i="17"/>
  <c r="I22" i="17"/>
  <c r="G22" i="17"/>
  <c r="E22" i="17"/>
  <c r="C22" i="17"/>
  <c r="E28" i="16"/>
  <c r="I28" i="16" s="1"/>
  <c r="K28" i="16" s="1"/>
  <c r="M28" i="16" s="1"/>
  <c r="J110" i="10"/>
  <c r="J87" i="10"/>
  <c r="O24" i="9"/>
  <c r="O32" i="9"/>
  <c r="S33" i="9" s="1"/>
  <c r="AC22" i="12"/>
  <c r="AG22" i="12"/>
  <c r="AF22" i="12"/>
  <c r="AI22" i="12"/>
  <c r="AE22" i="12"/>
  <c r="AH22" i="12"/>
  <c r="AD22" i="12"/>
  <c r="L42" i="16"/>
  <c r="L43" i="16" s="1"/>
  <c r="L34" i="16"/>
  <c r="L35" i="16" s="1"/>
  <c r="M30" i="16"/>
  <c r="M17" i="16"/>
  <c r="K15" i="16"/>
  <c r="L50" i="16"/>
  <c r="L51" i="16" s="1"/>
  <c r="L49" i="16"/>
  <c r="M18" i="16"/>
  <c r="G12" i="10"/>
  <c r="G21" i="10"/>
  <c r="G20" i="10"/>
  <c r="G22" i="10"/>
  <c r="G23" i="10"/>
  <c r="J111" i="10"/>
  <c r="J112" i="10"/>
  <c r="J86" i="10"/>
  <c r="J147" i="10"/>
  <c r="J143" i="10"/>
  <c r="C163" i="10"/>
  <c r="E16" i="8"/>
  <c r="F19" i="8"/>
  <c r="N5" i="1"/>
  <c r="S4" i="1"/>
  <c r="C20" i="1"/>
  <c r="AB12" i="12" s="1"/>
  <c r="E65" i="16" l="1"/>
  <c r="I65" i="16" s="1"/>
  <c r="K65" i="16" s="1"/>
  <c r="M65" i="16" s="1"/>
  <c r="E63" i="16"/>
  <c r="I63" i="16" s="1"/>
  <c r="K63" i="16" s="1"/>
  <c r="M63" i="16" s="1"/>
  <c r="E61" i="16"/>
  <c r="I61" i="16" s="1"/>
  <c r="K61" i="16" s="1"/>
  <c r="M61" i="16" s="1"/>
  <c r="E62" i="16"/>
  <c r="I62" i="16" s="1"/>
  <c r="K62" i="16" s="1"/>
  <c r="M62" i="16" s="1"/>
  <c r="D61" i="26"/>
  <c r="F40" i="26"/>
  <c r="J22" i="28"/>
  <c r="J25" i="28"/>
  <c r="J20" i="28"/>
  <c r="J23" i="28"/>
  <c r="J28" i="28"/>
  <c r="J24" i="28"/>
  <c r="J29" i="28"/>
  <c r="J21" i="28"/>
  <c r="J27" i="28"/>
  <c r="J30" i="28"/>
  <c r="J26" i="28"/>
  <c r="E41" i="16"/>
  <c r="I41" i="16" s="1"/>
  <c r="K41" i="16" s="1"/>
  <c r="E57" i="16"/>
  <c r="I57" i="16" s="1"/>
  <c r="K57" i="16" s="1"/>
  <c r="M57" i="16" s="1"/>
  <c r="E55" i="16"/>
  <c r="I55" i="16" s="1"/>
  <c r="K55" i="16" s="1"/>
  <c r="M55" i="16" s="1"/>
  <c r="E53" i="16"/>
  <c r="I53" i="16" s="1"/>
  <c r="K53" i="16" s="1"/>
  <c r="M53" i="16" s="1"/>
  <c r="E54" i="16"/>
  <c r="I54" i="16" s="1"/>
  <c r="K54" i="16" s="1"/>
  <c r="M54" i="16" s="1"/>
  <c r="AC53" i="9"/>
  <c r="AC56" i="9"/>
  <c r="AC60" i="9"/>
  <c r="S62" i="9" s="1"/>
  <c r="AC58" i="9"/>
  <c r="AC59" i="9" s="1"/>
  <c r="Z31" i="12"/>
  <c r="P31" i="12" s="1"/>
  <c r="Q31" i="12" s="1"/>
  <c r="Z32" i="12"/>
  <c r="Z36" i="12"/>
  <c r="P36" i="12" s="1"/>
  <c r="AO29" i="12" s="1"/>
  <c r="Z34" i="12"/>
  <c r="P34" i="12" s="1"/>
  <c r="G26" i="10"/>
  <c r="D24" i="28"/>
  <c r="E24" i="28" s="1"/>
  <c r="H61" i="26"/>
  <c r="I61" i="26" s="1"/>
  <c r="J61" i="26" s="1"/>
  <c r="D26" i="28"/>
  <c r="E26" i="28" s="1"/>
  <c r="D25" i="28"/>
  <c r="E25" i="28" s="1"/>
  <c r="D20" i="28"/>
  <c r="E20" i="28" s="1"/>
  <c r="D22" i="28"/>
  <c r="E22" i="28" s="1"/>
  <c r="D21" i="28"/>
  <c r="E21" i="28" s="1"/>
  <c r="D27" i="28"/>
  <c r="E27" i="28" s="1"/>
  <c r="D28" i="28"/>
  <c r="E28" i="28" s="1"/>
  <c r="C21" i="28"/>
  <c r="F22" i="28" s="1"/>
  <c r="D23" i="28"/>
  <c r="E23" i="28" s="1"/>
  <c r="D29" i="28"/>
  <c r="E29" i="28" s="1"/>
  <c r="E37" i="16"/>
  <c r="C16" i="10"/>
  <c r="C14" i="10"/>
  <c r="C15" i="10" s="1"/>
  <c r="J88" i="10"/>
  <c r="J91" i="10"/>
  <c r="J93" i="10"/>
  <c r="C109" i="10"/>
  <c r="D109" i="10" s="1"/>
  <c r="E38" i="16"/>
  <c r="E49" i="16"/>
  <c r="I49" i="16" s="1"/>
  <c r="K49" i="16" s="1"/>
  <c r="M49" i="16" s="1"/>
  <c r="E46" i="16"/>
  <c r="E47" i="16"/>
  <c r="E39" i="16"/>
  <c r="E45" i="16"/>
  <c r="J149" i="10"/>
  <c r="M41" i="16"/>
  <c r="H11" i="12"/>
  <c r="AD12" i="12"/>
  <c r="AC12" i="12"/>
  <c r="AF12" i="12"/>
  <c r="AE12" i="12"/>
  <c r="J163" i="10"/>
  <c r="J167" i="10" s="1"/>
  <c r="J169" i="10" s="1"/>
  <c r="J109" i="10"/>
  <c r="J113" i="10" s="1"/>
  <c r="J115" i="10" s="1"/>
  <c r="J20" i="1"/>
  <c r="K21" i="1" s="1"/>
  <c r="F33" i="16"/>
  <c r="I33" i="16" s="1"/>
  <c r="K33" i="16" s="1"/>
  <c r="M33" i="16" s="1"/>
  <c r="M15" i="16"/>
  <c r="G24" i="10"/>
  <c r="G25" i="10"/>
  <c r="J148" i="10"/>
  <c r="C165" i="10" s="1"/>
  <c r="C166" i="10" s="1"/>
  <c r="K20" i="8"/>
  <c r="M20" i="8" s="1"/>
  <c r="Z19" i="8"/>
  <c r="E13" i="8"/>
  <c r="F13" i="8" s="1"/>
  <c r="F16" i="8"/>
  <c r="W51" i="9" l="1"/>
  <c r="W50" i="9"/>
  <c r="AO39" i="12"/>
  <c r="AM40" i="12" s="1"/>
  <c r="Q34" i="12"/>
  <c r="Z33" i="12"/>
  <c r="P33" i="12" s="1"/>
  <c r="Q33" i="12" s="1"/>
  <c r="P32" i="12"/>
  <c r="Q32" i="12" s="1"/>
  <c r="G27" i="10"/>
  <c r="C17" i="10" s="1"/>
  <c r="L27" i="28"/>
  <c r="J74" i="26"/>
  <c r="AB68" i="12"/>
  <c r="F23" i="28"/>
  <c r="F24" i="28"/>
  <c r="F26" i="28"/>
  <c r="F19" i="28"/>
  <c r="F21" i="28"/>
  <c r="F25" i="28"/>
  <c r="F28" i="28"/>
  <c r="F29" i="28"/>
  <c r="F20" i="28"/>
  <c r="F27" i="28"/>
  <c r="J94" i="10"/>
  <c r="C111" i="10" s="1"/>
  <c r="C112" i="10" s="1"/>
  <c r="J95" i="10"/>
  <c r="O15" i="9"/>
  <c r="S16" i="9" s="1"/>
  <c r="C164" i="10"/>
  <c r="C168" i="10" s="1"/>
  <c r="K19" i="8"/>
  <c r="K17" i="8"/>
  <c r="L19" i="8"/>
  <c r="L17" i="8"/>
  <c r="Y19" i="8"/>
  <c r="W19" i="8"/>
  <c r="U19" i="8"/>
  <c r="S19" i="8"/>
  <c r="Q19" i="8"/>
  <c r="O19" i="8"/>
  <c r="H19" i="8" s="1"/>
  <c r="X19" i="8"/>
  <c r="V19" i="8"/>
  <c r="T19" i="8"/>
  <c r="R19" i="8"/>
  <c r="P19" i="8"/>
  <c r="K16" i="8"/>
  <c r="M16" i="8" s="1"/>
  <c r="Z16" i="8"/>
  <c r="O33" i="12" l="1"/>
  <c r="O34" i="12" s="1"/>
  <c r="O48" i="12"/>
  <c r="AF68" i="12"/>
  <c r="AF69" i="12" s="1"/>
  <c r="H69" i="12"/>
  <c r="AE68" i="12"/>
  <c r="AE69" i="12" s="1"/>
  <c r="AD68" i="12"/>
  <c r="AD69" i="12" s="1"/>
  <c r="AC68" i="12"/>
  <c r="AC69" i="12" s="1"/>
  <c r="C110" i="10"/>
  <c r="C113" i="10" s="1"/>
  <c r="D113" i="10" s="1"/>
  <c r="C167" i="10"/>
  <c r="J170" i="10" s="1"/>
  <c r="AF17" i="8"/>
  <c r="AE16" i="8"/>
  <c r="X16" i="8"/>
  <c r="V16" i="8"/>
  <c r="T16" i="8"/>
  <c r="R16" i="8"/>
  <c r="P16" i="8"/>
  <c r="AE17" i="8"/>
  <c r="AF16" i="8"/>
  <c r="Y16" i="8"/>
  <c r="W16" i="8"/>
  <c r="U16" i="8"/>
  <c r="S16" i="8"/>
  <c r="Q16" i="8"/>
  <c r="O16" i="8"/>
  <c r="H16" i="8" s="1"/>
  <c r="K3" i="8" s="1"/>
  <c r="O47" i="12" l="1"/>
  <c r="O44" i="12"/>
  <c r="O43" i="12" s="1"/>
  <c r="Z69" i="12"/>
  <c r="P69" i="12" s="1"/>
  <c r="AO65" i="12" s="1"/>
  <c r="Z66" i="12"/>
  <c r="P66" i="12" s="1"/>
  <c r="Q66" i="12" s="1"/>
  <c r="D170" i="10"/>
  <c r="D171" i="10"/>
  <c r="D110" i="10"/>
  <c r="C114" i="10"/>
  <c r="J116" i="10" s="1"/>
  <c r="D116" i="10" s="1"/>
  <c r="C155" i="10"/>
  <c r="C101" i="10"/>
  <c r="C116" i="10" s="1"/>
  <c r="M19" i="8"/>
  <c r="N19" i="8" s="1"/>
  <c r="G19" i="8" s="1"/>
  <c r="M17" i="8"/>
  <c r="AS16" i="8"/>
  <c r="AQ16" i="8"/>
  <c r="AO16" i="8"/>
  <c r="AM16" i="8"/>
  <c r="AK16" i="8"/>
  <c r="AI16" i="8"/>
  <c r="AB16" i="8" s="1"/>
  <c r="AT16" i="8"/>
  <c r="AR16" i="8"/>
  <c r="AP16" i="8"/>
  <c r="AN16" i="8"/>
  <c r="AL16" i="8"/>
  <c r="AJ16" i="8"/>
  <c r="D114" i="10" l="1"/>
  <c r="D117" i="10"/>
  <c r="C117" i="10"/>
  <c r="C170" i="10"/>
  <c r="C171" i="10"/>
  <c r="AG17" i="8"/>
  <c r="AG16" i="8"/>
  <c r="G12" i="8"/>
  <c r="C8" i="17" s="1"/>
  <c r="N16" i="8"/>
  <c r="E17" i="17" l="1"/>
  <c r="G17" i="17"/>
  <c r="I17" i="17"/>
  <c r="K17" i="17"/>
  <c r="M17" i="17"/>
  <c r="O17" i="17"/>
  <c r="C17" i="17"/>
  <c r="F17" i="17"/>
  <c r="H17" i="17"/>
  <c r="J17" i="17"/>
  <c r="L17" i="17"/>
  <c r="N17" i="17"/>
  <c r="D17" i="17"/>
  <c r="G18" i="17"/>
  <c r="K18" i="17"/>
  <c r="O18" i="17"/>
  <c r="F18" i="17"/>
  <c r="J18" i="17"/>
  <c r="N18" i="17"/>
  <c r="E18" i="17"/>
  <c r="I18" i="17"/>
  <c r="M18" i="17"/>
  <c r="D18" i="17"/>
  <c r="H18" i="17"/>
  <c r="L18" i="17"/>
  <c r="C18" i="17"/>
  <c r="AH16" i="8"/>
  <c r="G16" i="8"/>
  <c r="K4" i="8"/>
  <c r="C5" i="10" s="1"/>
  <c r="C11" i="22"/>
  <c r="C3" i="23" l="1"/>
  <c r="C29" i="10"/>
  <c r="F21" i="1" l="1"/>
  <c r="G21" i="1" l="1"/>
  <c r="F18" i="1"/>
  <c r="J86" i="22"/>
  <c r="G38" i="22"/>
  <c r="G37" i="22"/>
  <c r="F83" i="22" s="1"/>
  <c r="G36" i="22"/>
  <c r="G35" i="22"/>
  <c r="G34" i="22"/>
  <c r="D83" i="22" s="1"/>
  <c r="G32" i="22"/>
  <c r="I91" i="22"/>
  <c r="H91" i="22"/>
  <c r="F90" i="22"/>
  <c r="D90" i="22"/>
  <c r="H85" i="22"/>
  <c r="I85" i="22" s="1"/>
  <c r="F84" i="22"/>
  <c r="D84" i="22"/>
  <c r="F38" i="22"/>
  <c r="E38" i="22"/>
  <c r="F37" i="22"/>
  <c r="F89" i="22" s="1"/>
  <c r="F36" i="22"/>
  <c r="F35" i="22"/>
  <c r="F34" i="22"/>
  <c r="D89" i="22" s="1"/>
  <c r="F32" i="22"/>
  <c r="E32" i="22"/>
  <c r="D39" i="22"/>
  <c r="C39" i="22"/>
  <c r="D38" i="22"/>
  <c r="C38" i="22"/>
  <c r="C4" i="22"/>
  <c r="C5" i="22"/>
  <c r="F77" i="22"/>
  <c r="D77" i="22"/>
  <c r="F76" i="22"/>
  <c r="D76" i="22"/>
  <c r="H74" i="22"/>
  <c r="I74" i="22" s="1"/>
  <c r="H73" i="22"/>
  <c r="I73" i="22" s="1"/>
  <c r="H72" i="22"/>
  <c r="I72" i="22" s="1"/>
  <c r="H71" i="22"/>
  <c r="I71" i="22" s="1"/>
  <c r="F68" i="22"/>
  <c r="C26" i="22"/>
  <c r="O24" i="1" l="1"/>
  <c r="N24" i="1"/>
  <c r="AD23" i="12"/>
  <c r="AE23" i="12"/>
  <c r="AC23" i="12"/>
  <c r="AH23" i="12"/>
  <c r="AF23" i="12"/>
  <c r="AG23" i="12"/>
  <c r="AI23" i="12"/>
  <c r="G18" i="1"/>
  <c r="AC21" i="1" s="1"/>
  <c r="C40" i="14"/>
  <c r="C42" i="14" s="1"/>
  <c r="C45" i="14" s="1"/>
  <c r="C18" i="14"/>
  <c r="C20" i="14" s="1"/>
  <c r="C23" i="14" s="1"/>
  <c r="O22" i="1"/>
  <c r="N22" i="1"/>
  <c r="D37" i="22"/>
  <c r="D36" i="22"/>
  <c r="D35" i="22"/>
  <c r="D67" i="22" s="1"/>
  <c r="D34" i="22"/>
  <c r="F67" i="22" s="1"/>
  <c r="D33" i="22"/>
  <c r="D32" i="22"/>
  <c r="AC24" i="1" l="1"/>
  <c r="AC27" i="1" s="1"/>
  <c r="AC30" i="1" s="1"/>
  <c r="D21" i="17"/>
  <c r="F21" i="17"/>
  <c r="E21" i="17"/>
  <c r="C24" i="14"/>
  <c r="N21" i="1"/>
  <c r="P21" i="1" s="1"/>
  <c r="AK14" i="12"/>
  <c r="AC13" i="12"/>
  <c r="AD13" i="12"/>
  <c r="AE13" i="12"/>
  <c r="Z19" i="12"/>
  <c r="P19" i="12" s="1"/>
  <c r="Q19" i="12" s="1"/>
  <c r="C46" i="14"/>
  <c r="N23" i="17"/>
  <c r="L23" i="17"/>
  <c r="J23" i="17"/>
  <c r="H23" i="17"/>
  <c r="F23" i="17"/>
  <c r="D23" i="17"/>
  <c r="O23" i="17"/>
  <c r="M23" i="17"/>
  <c r="K23" i="17"/>
  <c r="I23" i="17"/>
  <c r="G23" i="17"/>
  <c r="E23" i="17"/>
  <c r="C23" i="17"/>
  <c r="AF13" i="12"/>
  <c r="Z22" i="12"/>
  <c r="Z24" i="12"/>
  <c r="Z20" i="12"/>
  <c r="AB21" i="1"/>
  <c r="AB24" i="1" s="1"/>
  <c r="AB27" i="1" s="1"/>
  <c r="AB30" i="1" s="1"/>
  <c r="Z21" i="1"/>
  <c r="X21" i="1"/>
  <c r="V21" i="1"/>
  <c r="T21" i="1"/>
  <c r="R21" i="1"/>
  <c r="I21" i="1" s="1"/>
  <c r="Y14" i="12" s="1"/>
  <c r="AA21" i="1"/>
  <c r="W21" i="1"/>
  <c r="S21" i="1"/>
  <c r="Y21" i="1"/>
  <c r="U21" i="1"/>
  <c r="C49" i="22"/>
  <c r="C48" i="22"/>
  <c r="AA24" i="1" l="1"/>
  <c r="Y24" i="12"/>
  <c r="P24" i="12" s="1"/>
  <c r="Z11" i="12"/>
  <c r="P11" i="12" s="1"/>
  <c r="Z14" i="12"/>
  <c r="AI21" i="1"/>
  <c r="AH21" i="1"/>
  <c r="C50" i="22"/>
  <c r="C80" i="22" s="1"/>
  <c r="E37" i="22"/>
  <c r="E36" i="22"/>
  <c r="E35" i="22"/>
  <c r="E34" i="22"/>
  <c r="D69" i="22" s="1"/>
  <c r="C37" i="22"/>
  <c r="C36" i="22"/>
  <c r="C35" i="22"/>
  <c r="D66" i="22" s="1"/>
  <c r="C34" i="22"/>
  <c r="F66" i="22" s="1"/>
  <c r="C33" i="22"/>
  <c r="C32" i="22"/>
  <c r="C9" i="22"/>
  <c r="C27" i="22" s="1"/>
  <c r="C28" i="22" s="1"/>
  <c r="C29" i="22" s="1"/>
  <c r="AA27" i="1" l="1"/>
  <c r="C44" i="22"/>
  <c r="F69" i="22"/>
  <c r="Q11" i="12"/>
  <c r="P14" i="12"/>
  <c r="AO15" i="12" s="1"/>
  <c r="AO17" i="12"/>
  <c r="P19" i="11"/>
  <c r="E66" i="22"/>
  <c r="J80" i="22"/>
  <c r="C72" i="22"/>
  <c r="J72" i="22" s="1"/>
  <c r="C71" i="22"/>
  <c r="J71" i="22" s="1"/>
  <c r="K14" i="2"/>
  <c r="I33" i="9" s="1"/>
  <c r="J14" i="2"/>
  <c r="I14" i="2"/>
  <c r="H14" i="2"/>
  <c r="E32" i="11" s="1"/>
  <c r="G14" i="2"/>
  <c r="D32" i="9" s="1"/>
  <c r="F14" i="2"/>
  <c r="I16" i="9"/>
  <c r="E23" i="11"/>
  <c r="D15" i="9"/>
  <c r="E31" i="11" l="1"/>
  <c r="Z24" i="1"/>
  <c r="AA30" i="1"/>
  <c r="Z27" i="1"/>
  <c r="Z68" i="12"/>
  <c r="P68" i="12" s="1"/>
  <c r="Z35" i="12"/>
  <c r="P35" i="12" s="1"/>
  <c r="Q35" i="12" s="1"/>
  <c r="Q69" i="12"/>
  <c r="Q36" i="12"/>
  <c r="E16" i="11"/>
  <c r="E15" i="11"/>
  <c r="D15" i="11" s="1"/>
  <c r="N19" i="9"/>
  <c r="Z23" i="12"/>
  <c r="N36" i="9"/>
  <c r="Z21" i="12"/>
  <c r="Z13" i="12"/>
  <c r="AM16" i="12"/>
  <c r="Q14" i="12"/>
  <c r="Q24" i="12"/>
  <c r="G39" i="16"/>
  <c r="H26" i="9"/>
  <c r="S20" i="9" s="1"/>
  <c r="G37" i="16"/>
  <c r="Z24" i="9"/>
  <c r="T21" i="9"/>
  <c r="G47" i="16"/>
  <c r="H43" i="9"/>
  <c r="AC33" i="9" s="1"/>
  <c r="G45" i="16"/>
  <c r="T38" i="9"/>
  <c r="Z41" i="9"/>
  <c r="B19" i="9"/>
  <c r="J21" i="11"/>
  <c r="J29" i="11" s="1"/>
  <c r="J37" i="11" s="1"/>
  <c r="J45" i="11" s="1"/>
  <c r="F42" i="16"/>
  <c r="E24" i="11"/>
  <c r="C19" i="9"/>
  <c r="F34" i="16"/>
  <c r="B36" i="9"/>
  <c r="F50" i="16"/>
  <c r="C36" i="9"/>
  <c r="C85" i="22"/>
  <c r="J85" i="22" s="1"/>
  <c r="I83" i="22"/>
  <c r="I66" i="22"/>
  <c r="J66" i="22" s="1"/>
  <c r="E67" i="22"/>
  <c r="C73" i="22"/>
  <c r="J73" i="22" s="1"/>
  <c r="C74" i="22"/>
  <c r="J74" i="22" s="1"/>
  <c r="J53" i="11" l="1"/>
  <c r="Y24" i="1"/>
  <c r="Z30" i="1"/>
  <c r="Y27" i="1"/>
  <c r="Y68" i="12"/>
  <c r="F45" i="16"/>
  <c r="Y13" i="12"/>
  <c r="S19" i="9"/>
  <c r="F47" i="16"/>
  <c r="Z40" i="9"/>
  <c r="AF35" i="9" s="1"/>
  <c r="F39" i="16"/>
  <c r="Z23" i="9"/>
  <c r="AF18" i="9" s="1"/>
  <c r="AC32" i="9"/>
  <c r="F37" i="16"/>
  <c r="AC15" i="9"/>
  <c r="S31" i="9"/>
  <c r="S43" i="9" s="1"/>
  <c r="Z35" i="9" s="1"/>
  <c r="S25" i="9"/>
  <c r="S42" i="9"/>
  <c r="S14" i="9"/>
  <c r="F46" i="16"/>
  <c r="AF32" i="9"/>
  <c r="I34" i="16"/>
  <c r="K34" i="16" s="1"/>
  <c r="M34" i="16" s="1"/>
  <c r="F35" i="16"/>
  <c r="S36" i="9"/>
  <c r="J16" i="11"/>
  <c r="J15" i="11"/>
  <c r="D23" i="11"/>
  <c r="G35" i="16"/>
  <c r="G46" i="16"/>
  <c r="AO38" i="9"/>
  <c r="S37" i="9"/>
  <c r="F51" i="16"/>
  <c r="I50" i="16"/>
  <c r="K50" i="16" s="1"/>
  <c r="M50" i="16" s="1"/>
  <c r="F38" i="16"/>
  <c r="AF15" i="9"/>
  <c r="I42" i="16"/>
  <c r="K42" i="16" s="1"/>
  <c r="F43" i="16"/>
  <c r="G38" i="16"/>
  <c r="AO21" i="9"/>
  <c r="AC16" i="9"/>
  <c r="E84" i="22"/>
  <c r="H84" i="22" s="1"/>
  <c r="I84" i="22" s="1"/>
  <c r="J84" i="22" s="1"/>
  <c r="J83" i="22"/>
  <c r="E68" i="22"/>
  <c r="E69" i="22" s="1"/>
  <c r="I67" i="22"/>
  <c r="J67" i="22" s="1"/>
  <c r="D48" i="18"/>
  <c r="D74" i="21"/>
  <c r="D82" i="21"/>
  <c r="D75" i="21"/>
  <c r="D42" i="21"/>
  <c r="D41" i="21"/>
  <c r="D38" i="21"/>
  <c r="D37" i="21"/>
  <c r="D36" i="21"/>
  <c r="D33" i="21"/>
  <c r="D32" i="21"/>
  <c r="D31" i="21"/>
  <c r="D28" i="21"/>
  <c r="D27" i="21"/>
  <c r="D26" i="21"/>
  <c r="D25" i="21"/>
  <c r="D23" i="21"/>
  <c r="D22" i="21"/>
  <c r="D19" i="21"/>
  <c r="D18" i="21"/>
  <c r="D17" i="21"/>
  <c r="D16" i="21"/>
  <c r="X24" i="1" l="1"/>
  <c r="Y30" i="1"/>
  <c r="X27" i="1" s="1"/>
  <c r="D31" i="11"/>
  <c r="S26" i="9"/>
  <c r="Z18" i="9" s="1"/>
  <c r="M42" i="16"/>
  <c r="S35" i="9"/>
  <c r="AI22" i="1"/>
  <c r="AU21" i="1" s="1"/>
  <c r="J17" i="11"/>
  <c r="S44" i="9"/>
  <c r="S18" i="9"/>
  <c r="AO31" i="9"/>
  <c r="AO34" i="9" s="1"/>
  <c r="AO35" i="9" s="1"/>
  <c r="AO33" i="9"/>
  <c r="AO16" i="9"/>
  <c r="AO14" i="9"/>
  <c r="AO17" i="9" s="1"/>
  <c r="AO18" i="9" s="1"/>
  <c r="G43" i="16"/>
  <c r="J24" i="11"/>
  <c r="AH22" i="1"/>
  <c r="J87" i="22"/>
  <c r="I69" i="22"/>
  <c r="J69" i="22" s="1"/>
  <c r="E76" i="22"/>
  <c r="D61" i="18"/>
  <c r="D56" i="18"/>
  <c r="D53" i="18"/>
  <c r="D54" i="18" s="1"/>
  <c r="D49" i="18"/>
  <c r="D33" i="18"/>
  <c r="D34" i="18" s="1"/>
  <c r="D55" i="18" s="1"/>
  <c r="D59" i="18" s="1"/>
  <c r="D40" i="18"/>
  <c r="E37" i="18"/>
  <c r="D79" i="21" s="1"/>
  <c r="D22" i="18"/>
  <c r="D28" i="18" s="1"/>
  <c r="D19" i="18"/>
  <c r="D18" i="18"/>
  <c r="D11" i="18"/>
  <c r="W24" i="1" l="1"/>
  <c r="X30" i="1"/>
  <c r="W27" i="1" s="1"/>
  <c r="D39" i="11"/>
  <c r="J31" i="11"/>
  <c r="P28" i="11"/>
  <c r="J32" i="11"/>
  <c r="AO32" i="9"/>
  <c r="AO37" i="9" s="1"/>
  <c r="AO15" i="9"/>
  <c r="AO20" i="9" s="1"/>
  <c r="AL21" i="1"/>
  <c r="AJ21" i="1" s="1"/>
  <c r="AO21" i="1"/>
  <c r="AP21" i="1"/>
  <c r="AW21" i="1"/>
  <c r="AR21" i="1"/>
  <c r="AQ21" i="1"/>
  <c r="AS21" i="1"/>
  <c r="AN21" i="1"/>
  <c r="AM21" i="1"/>
  <c r="AT21" i="1"/>
  <c r="AV21" i="1"/>
  <c r="S27" i="9"/>
  <c r="G51" i="16"/>
  <c r="E77" i="22"/>
  <c r="H76" i="22"/>
  <c r="I76" i="22" s="1"/>
  <c r="J76" i="22" s="1"/>
  <c r="D51" i="18"/>
  <c r="D35" i="18"/>
  <c r="D47" i="18"/>
  <c r="G59" i="16" l="1"/>
  <c r="I59" i="16" s="1"/>
  <c r="K59" i="16" s="1"/>
  <c r="M59" i="16" s="1"/>
  <c r="D47" i="11"/>
  <c r="V24" i="1"/>
  <c r="W30" i="1"/>
  <c r="V27" i="1" s="1"/>
  <c r="J39" i="11"/>
  <c r="P36" i="11"/>
  <c r="J40" i="11"/>
  <c r="AJ22" i="1"/>
  <c r="AK21" i="1" s="1"/>
  <c r="AO19" i="9"/>
  <c r="AO36" i="9"/>
  <c r="E78" i="22"/>
  <c r="H78" i="22" s="1"/>
  <c r="I78" i="22" s="1"/>
  <c r="J78" i="22" s="1"/>
  <c r="H77" i="22"/>
  <c r="I77" i="22" s="1"/>
  <c r="J77" i="22" s="1"/>
  <c r="D52" i="18"/>
  <c r="P44" i="11" l="1"/>
  <c r="J47" i="11"/>
  <c r="J48" i="11"/>
  <c r="G67" i="16"/>
  <c r="I67" i="16" s="1"/>
  <c r="K67" i="16" s="1"/>
  <c r="M67" i="16" s="1"/>
  <c r="D55" i="11"/>
  <c r="G75" i="16" s="1"/>
  <c r="I75" i="16" s="1"/>
  <c r="K75" i="16" s="1"/>
  <c r="M75" i="16" s="1"/>
  <c r="U24" i="1"/>
  <c r="V30" i="1"/>
  <c r="U27" i="1" s="1"/>
  <c r="C14" i="2"/>
  <c r="C11" i="2"/>
  <c r="A2" i="2"/>
  <c r="J55" i="11" l="1"/>
  <c r="J57" i="11" s="1"/>
  <c r="J56" i="11"/>
  <c r="T24" i="1"/>
  <c r="U30" i="1"/>
  <c r="T27" i="1" s="1"/>
  <c r="Q20" i="3"/>
  <c r="S24" i="1" l="1"/>
  <c r="T30" i="1"/>
  <c r="S27" i="1"/>
  <c r="S30" i="1" s="1"/>
  <c r="C11" i="15"/>
  <c r="C10" i="15"/>
  <c r="H10" i="15"/>
  <c r="C12" i="15"/>
  <c r="R24" i="1" l="1"/>
  <c r="R27" i="1" s="1"/>
  <c r="R30" i="1" s="1"/>
  <c r="I24" i="1"/>
  <c r="Y36" i="12" s="1"/>
  <c r="P24" i="1"/>
  <c r="D22" i="22"/>
  <c r="E22" i="22"/>
  <c r="C43" i="22"/>
  <c r="D68" i="22" s="1"/>
  <c r="H68" i="22" s="1"/>
  <c r="I68" i="22" s="1"/>
  <c r="J68" i="22" s="1"/>
  <c r="J81" i="22" s="1"/>
  <c r="C22" i="22"/>
  <c r="J29" i="15"/>
  <c r="C17" i="15"/>
  <c r="I30" i="1" l="1"/>
  <c r="Y46" i="12" s="1"/>
  <c r="P31" i="1"/>
  <c r="P30" i="1"/>
  <c r="Q30" i="1" s="1"/>
  <c r="H30" i="1" s="1"/>
  <c r="P33" i="1"/>
  <c r="Q33" i="1" s="1"/>
  <c r="H33" i="1" s="1"/>
  <c r="I27" i="1"/>
  <c r="P28" i="1"/>
  <c r="P27" i="1"/>
  <c r="Q27" i="1" s="1"/>
  <c r="H27" i="1" s="1"/>
  <c r="P25" i="1"/>
  <c r="Q24" i="1" s="1"/>
  <c r="H24" i="1" s="1"/>
  <c r="P22" i="1"/>
  <c r="J43" i="15"/>
  <c r="C43" i="15"/>
  <c r="J37" i="15"/>
  <c r="C37" i="15"/>
  <c r="J36" i="15"/>
  <c r="C36" i="15"/>
  <c r="J35" i="15"/>
  <c r="C35" i="15"/>
  <c r="J34" i="15"/>
  <c r="C34" i="15"/>
  <c r="J33" i="15"/>
  <c r="C33" i="15"/>
  <c r="J32" i="15"/>
  <c r="C32" i="15"/>
  <c r="J31" i="15"/>
  <c r="C31" i="15"/>
  <c r="J30" i="15"/>
  <c r="J38" i="15" s="1"/>
  <c r="C30" i="15"/>
  <c r="C38" i="15" s="1"/>
  <c r="J44" i="15"/>
  <c r="J45" i="15" s="1"/>
  <c r="C29" i="15"/>
  <c r="K25" i="15"/>
  <c r="K43" i="15" s="1"/>
  <c r="J26" i="15"/>
  <c r="A2" i="15"/>
  <c r="Y34" i="12" l="1"/>
  <c r="Y48" i="12"/>
  <c r="H17" i="1"/>
  <c r="Q21" i="1"/>
  <c r="H21" i="1" s="1"/>
  <c r="Y69" i="12"/>
  <c r="Y22" i="12"/>
  <c r="L25" i="15"/>
  <c r="L43" i="15" s="1"/>
  <c r="C44" i="15"/>
  <c r="C45" i="15" s="1"/>
  <c r="K29" i="15"/>
  <c r="K44" i="15" s="1"/>
  <c r="K45" i="15" s="1"/>
  <c r="K30" i="15"/>
  <c r="K31" i="15"/>
  <c r="K32" i="15"/>
  <c r="K33" i="15"/>
  <c r="K34" i="15"/>
  <c r="K35" i="15"/>
  <c r="K36" i="15"/>
  <c r="K37" i="15"/>
  <c r="C26" i="15"/>
  <c r="C27" i="15" s="1"/>
  <c r="K26" i="15"/>
  <c r="K40" i="15" s="1"/>
  <c r="J40" i="15"/>
  <c r="Y47" i="12" l="1"/>
  <c r="Y44" i="12"/>
  <c r="Y45" i="12"/>
  <c r="Y33" i="12"/>
  <c r="Y35" i="12"/>
  <c r="Y32" i="12"/>
  <c r="Y20" i="12"/>
  <c r="P20" i="12" s="1"/>
  <c r="Q20" i="12" s="1"/>
  <c r="P22" i="12"/>
  <c r="Y23" i="12"/>
  <c r="Y21" i="12"/>
  <c r="K38" i="15"/>
  <c r="K59" i="15"/>
  <c r="J59" i="15"/>
  <c r="C40" i="15"/>
  <c r="L37" i="15"/>
  <c r="L36" i="15"/>
  <c r="L35" i="15"/>
  <c r="L34" i="15"/>
  <c r="L33" i="15"/>
  <c r="L32" i="15"/>
  <c r="L31" i="15"/>
  <c r="L30" i="15"/>
  <c r="L38" i="15" s="1"/>
  <c r="L29" i="15"/>
  <c r="L44" i="15" s="1"/>
  <c r="L45" i="15" s="1"/>
  <c r="M25" i="15"/>
  <c r="M43" i="15" s="1"/>
  <c r="L26" i="15"/>
  <c r="L40" i="15" s="1"/>
  <c r="AO27" i="12" l="1"/>
  <c r="Q22" i="12"/>
  <c r="J23" i="11"/>
  <c r="P20" i="11"/>
  <c r="L59" i="15"/>
  <c r="C59" i="15"/>
  <c r="M26" i="15"/>
  <c r="M37" i="15"/>
  <c r="M36" i="15"/>
  <c r="M35" i="15"/>
  <c r="M34" i="15"/>
  <c r="M33" i="15"/>
  <c r="M32" i="15"/>
  <c r="M31" i="15"/>
  <c r="M30" i="15"/>
  <c r="M38" i="15" s="1"/>
  <c r="M29" i="15"/>
  <c r="M44" i="15" s="1"/>
  <c r="M45" i="15" s="1"/>
  <c r="N25" i="15"/>
  <c r="N43" i="15" s="1"/>
  <c r="AM64" i="12" l="1"/>
  <c r="AM28" i="12"/>
  <c r="M40" i="15"/>
  <c r="M59" i="15" s="1"/>
  <c r="N37" i="15"/>
  <c r="N36" i="15"/>
  <c r="N35" i="15"/>
  <c r="N34" i="15"/>
  <c r="N33" i="15"/>
  <c r="N32" i="15"/>
  <c r="N31" i="15"/>
  <c r="N30" i="15"/>
  <c r="N29" i="15"/>
  <c r="N44" i="15" s="1"/>
  <c r="N45" i="15" s="1"/>
  <c r="O25" i="15"/>
  <c r="O43" i="15" s="1"/>
  <c r="N26" i="15"/>
  <c r="N40" i="15" s="1"/>
  <c r="AK54" i="12" l="1"/>
  <c r="AK62" i="12"/>
  <c r="AK50" i="12"/>
  <c r="AK42" i="12"/>
  <c r="AK38" i="12"/>
  <c r="AK30" i="12"/>
  <c r="AK18" i="12"/>
  <c r="AL16" i="12" s="1"/>
  <c r="L16" i="12" s="1"/>
  <c r="AK26" i="12"/>
  <c r="N38" i="15"/>
  <c r="N59" i="15"/>
  <c r="O26" i="15"/>
  <c r="O40" i="15" s="1"/>
  <c r="O37" i="15"/>
  <c r="O36" i="15"/>
  <c r="O35" i="15"/>
  <c r="O34" i="15"/>
  <c r="O33" i="15"/>
  <c r="O32" i="15"/>
  <c r="O31" i="15"/>
  <c r="O30" i="15"/>
  <c r="O38" i="15" s="1"/>
  <c r="O29" i="15"/>
  <c r="O44" i="15" s="1"/>
  <c r="O45" i="15" s="1"/>
  <c r="P25" i="15"/>
  <c r="P43" i="15" s="1"/>
  <c r="AL52" i="12" l="1"/>
  <c r="AL40" i="12"/>
  <c r="L40" i="12" s="1"/>
  <c r="AL28" i="12"/>
  <c r="L28" i="12" s="1"/>
  <c r="V14" i="9"/>
  <c r="V26" i="9" s="1"/>
  <c r="V27" i="9" s="1"/>
  <c r="L11" i="12"/>
  <c r="AN16" i="12"/>
  <c r="S16" i="12" s="1"/>
  <c r="L14" i="12"/>
  <c r="L24" i="12"/>
  <c r="O59" i="15"/>
  <c r="P37" i="15"/>
  <c r="P36" i="15"/>
  <c r="P35" i="15"/>
  <c r="P34" i="15"/>
  <c r="P33" i="15"/>
  <c r="P32" i="15"/>
  <c r="P31" i="15"/>
  <c r="P30" i="15"/>
  <c r="P38" i="15" s="1"/>
  <c r="P29" i="15"/>
  <c r="P44" i="15" s="1"/>
  <c r="P45" i="15" s="1"/>
  <c r="Q25" i="15"/>
  <c r="Q43" i="15" s="1"/>
  <c r="P26" i="15"/>
  <c r="P40" i="15" s="1"/>
  <c r="L60" i="12" l="1"/>
  <c r="L52" i="12"/>
  <c r="AN52" i="12"/>
  <c r="S52" i="12" s="1"/>
  <c r="L48" i="12"/>
  <c r="AN40" i="12"/>
  <c r="S40" i="12" s="1"/>
  <c r="L36" i="12"/>
  <c r="AN28" i="12"/>
  <c r="S28" i="12" s="1"/>
  <c r="V24" i="9"/>
  <c r="V41" i="9"/>
  <c r="V18" i="9"/>
  <c r="L23" i="12"/>
  <c r="L13" i="12"/>
  <c r="L12" i="12"/>
  <c r="P59" i="15"/>
  <c r="Q26" i="15"/>
  <c r="Q37" i="15"/>
  <c r="Q36" i="15"/>
  <c r="Q35" i="15"/>
  <c r="Q34" i="15"/>
  <c r="Q33" i="15"/>
  <c r="Q32" i="15"/>
  <c r="Q31" i="15"/>
  <c r="Q30" i="15"/>
  <c r="Q38" i="15" s="1"/>
  <c r="Q29" i="15"/>
  <c r="Q44" i="15" s="1"/>
  <c r="Q45" i="15" s="1"/>
  <c r="R25" i="15"/>
  <c r="R43" i="15" s="1"/>
  <c r="L59" i="12" l="1"/>
  <c r="M59" i="12" s="1"/>
  <c r="T59" i="12" s="1"/>
  <c r="W59" i="12" s="1"/>
  <c r="M60" i="12"/>
  <c r="T60" i="12" s="1"/>
  <c r="W60" i="12" s="1"/>
  <c r="L47" i="12"/>
  <c r="M47" i="12" s="1"/>
  <c r="T47" i="12" s="1"/>
  <c r="W47" i="12" s="1"/>
  <c r="M48" i="12"/>
  <c r="T48" i="12" s="1"/>
  <c r="W48" i="12" s="1"/>
  <c r="L35" i="12"/>
  <c r="V28" i="9"/>
  <c r="Q40" i="15"/>
  <c r="Q59" i="15" s="1"/>
  <c r="R37" i="15"/>
  <c r="R36" i="15"/>
  <c r="R35" i="15"/>
  <c r="R34" i="15"/>
  <c r="R33" i="15"/>
  <c r="R32" i="15"/>
  <c r="R31" i="15"/>
  <c r="R30" i="15"/>
  <c r="R29" i="15"/>
  <c r="R44" i="15" s="1"/>
  <c r="R45" i="15" s="1"/>
  <c r="S25" i="15"/>
  <c r="S43" i="15" s="1"/>
  <c r="R26" i="15"/>
  <c r="R40" i="15" s="1"/>
  <c r="R38" i="15" l="1"/>
  <c r="R59" i="15"/>
  <c r="S26" i="15"/>
  <c r="S40" i="15" s="1"/>
  <c r="S37" i="15"/>
  <c r="S36" i="15"/>
  <c r="S35" i="15"/>
  <c r="S34" i="15"/>
  <c r="S33" i="15"/>
  <c r="S32" i="15"/>
  <c r="S31" i="15"/>
  <c r="S30" i="15"/>
  <c r="S38" i="15" s="1"/>
  <c r="S29" i="15"/>
  <c r="S44" i="15" s="1"/>
  <c r="S45" i="15" s="1"/>
  <c r="T25" i="15"/>
  <c r="T43" i="15" s="1"/>
  <c r="S59" i="15" l="1"/>
  <c r="T37" i="15"/>
  <c r="T36" i="15"/>
  <c r="T35" i="15"/>
  <c r="T34" i="15"/>
  <c r="T33" i="15"/>
  <c r="T32" i="15"/>
  <c r="T31" i="15"/>
  <c r="T30" i="15"/>
  <c r="T38" i="15" s="1"/>
  <c r="T29" i="15"/>
  <c r="T44" i="15" s="1"/>
  <c r="T45" i="15" s="1"/>
  <c r="U25" i="15"/>
  <c r="U43" i="15" s="1"/>
  <c r="T26" i="15"/>
  <c r="T40" i="15" s="1"/>
  <c r="AL64" i="12" l="1"/>
  <c r="N4" i="1"/>
  <c r="T59" i="15"/>
  <c r="U26" i="15"/>
  <c r="U37" i="15"/>
  <c r="U36" i="15"/>
  <c r="U35" i="15"/>
  <c r="U34" i="15"/>
  <c r="U33" i="15"/>
  <c r="U32" i="15"/>
  <c r="U31" i="15"/>
  <c r="U30" i="15"/>
  <c r="U29" i="15"/>
  <c r="U44" i="15" s="1"/>
  <c r="U45" i="15" s="1"/>
  <c r="V25" i="15"/>
  <c r="V43" i="15" s="1"/>
  <c r="L64" i="12" l="1"/>
  <c r="V82" i="9"/>
  <c r="L58" i="12"/>
  <c r="L55" i="12"/>
  <c r="M55" i="12" s="1"/>
  <c r="W55" i="12" s="1"/>
  <c r="V65" i="9"/>
  <c r="L46" i="12"/>
  <c r="L43" i="12"/>
  <c r="M43" i="12" s="1"/>
  <c r="W43" i="12" s="1"/>
  <c r="V48" i="9"/>
  <c r="V75" i="9" s="1"/>
  <c r="L34" i="12"/>
  <c r="L31" i="12"/>
  <c r="L22" i="12"/>
  <c r="L19" i="12"/>
  <c r="V31" i="9"/>
  <c r="V58" i="9" s="1"/>
  <c r="L66" i="12"/>
  <c r="L69" i="12"/>
  <c r="AK10" i="12"/>
  <c r="AN64" i="12"/>
  <c r="S64" i="12" s="1"/>
  <c r="U38" i="15"/>
  <c r="U40" i="15"/>
  <c r="U59" i="15" s="1"/>
  <c r="V37" i="15"/>
  <c r="V36" i="15"/>
  <c r="V35" i="15"/>
  <c r="V34" i="15"/>
  <c r="V33" i="15"/>
  <c r="V32" i="15"/>
  <c r="V31" i="15"/>
  <c r="V30" i="15"/>
  <c r="V38" i="15" s="1"/>
  <c r="V29" i="15"/>
  <c r="V44" i="15" s="1"/>
  <c r="V45" i="15" s="1"/>
  <c r="W25" i="15"/>
  <c r="W43" i="15" s="1"/>
  <c r="V26" i="15"/>
  <c r="V40" i="15" s="1"/>
  <c r="M58" i="12" l="1"/>
  <c r="L57" i="12"/>
  <c r="M57" i="12" s="1"/>
  <c r="T57" i="12" s="1"/>
  <c r="W57" i="12" s="1"/>
  <c r="L56" i="12"/>
  <c r="V83" i="9"/>
  <c r="V94" i="9"/>
  <c r="V88" i="9"/>
  <c r="AK91" i="9" s="1"/>
  <c r="V86" i="9"/>
  <c r="V87" i="9" s="1"/>
  <c r="V89" i="9"/>
  <c r="V66" i="9"/>
  <c r="V92" i="9"/>
  <c r="J46" i="11"/>
  <c r="J49" i="11" s="1"/>
  <c r="V69" i="9"/>
  <c r="V70" i="9" s="1"/>
  <c r="V77" i="9"/>
  <c r="V79" i="9" s="1"/>
  <c r="V71" i="9"/>
  <c r="AK74" i="9" s="1"/>
  <c r="V72" i="9"/>
  <c r="M46" i="12"/>
  <c r="L45" i="12"/>
  <c r="M45" i="12" s="1"/>
  <c r="T45" i="12" s="1"/>
  <c r="W45" i="12" s="1"/>
  <c r="L44" i="12"/>
  <c r="V68" i="9"/>
  <c r="W79" i="9" s="1"/>
  <c r="V67" i="9"/>
  <c r="W78" i="9" s="1"/>
  <c r="V49" i="9"/>
  <c r="V51" i="9" s="1"/>
  <c r="W62" i="9" s="1"/>
  <c r="J38" i="11"/>
  <c r="J41" i="11" s="1"/>
  <c r="V54" i="9"/>
  <c r="AK57" i="9" s="1"/>
  <c r="V60" i="9"/>
  <c r="V61" i="9" s="1"/>
  <c r="V55" i="9"/>
  <c r="V52" i="9"/>
  <c r="V53" i="9" s="1"/>
  <c r="M34" i="12"/>
  <c r="L33" i="12"/>
  <c r="M33" i="12" s="1"/>
  <c r="T33" i="12" s="1"/>
  <c r="W33" i="12" s="1"/>
  <c r="L32" i="12"/>
  <c r="V43" i="9"/>
  <c r="V45" i="9" s="1"/>
  <c r="J30" i="11"/>
  <c r="J33" i="11" s="1"/>
  <c r="L20" i="12"/>
  <c r="L21" i="12"/>
  <c r="L67" i="12"/>
  <c r="L68" i="12"/>
  <c r="V59" i="15"/>
  <c r="W26" i="15"/>
  <c r="W37" i="15"/>
  <c r="W36" i="15"/>
  <c r="W35" i="15"/>
  <c r="W34" i="15"/>
  <c r="W33" i="15"/>
  <c r="W32" i="15"/>
  <c r="W31" i="15"/>
  <c r="W30" i="15"/>
  <c r="W29" i="15"/>
  <c r="W44" i="15" s="1"/>
  <c r="W45" i="15" s="1"/>
  <c r="X25" i="15"/>
  <c r="X43" i="15" s="1"/>
  <c r="V84" i="9" l="1"/>
  <c r="W95" i="9" s="1"/>
  <c r="V85" i="9"/>
  <c r="W96" i="9" s="1"/>
  <c r="V96" i="9"/>
  <c r="V95" i="9"/>
  <c r="T58" i="12"/>
  <c r="W58" i="12" s="1"/>
  <c r="M56" i="12"/>
  <c r="T56" i="12" s="1"/>
  <c r="W56" i="12" s="1"/>
  <c r="V50" i="9"/>
  <c r="W61" i="9" s="1"/>
  <c r="V62" i="9"/>
  <c r="V78" i="9"/>
  <c r="V44" i="9"/>
  <c r="T46" i="12"/>
  <c r="W46" i="12" s="1"/>
  <c r="M44" i="12"/>
  <c r="T44" i="12" s="1"/>
  <c r="W44" i="12" s="1"/>
  <c r="T34" i="12"/>
  <c r="W34" i="12" s="1"/>
  <c r="W38" i="15"/>
  <c r="W40" i="15"/>
  <c r="W59" i="15" s="1"/>
  <c r="X37" i="15"/>
  <c r="X36" i="15"/>
  <c r="X35" i="15"/>
  <c r="X34" i="15"/>
  <c r="X33" i="15"/>
  <c r="X32" i="15"/>
  <c r="X31" i="15"/>
  <c r="X30" i="15"/>
  <c r="X38" i="15" s="1"/>
  <c r="X29" i="15"/>
  <c r="X44" i="15" s="1"/>
  <c r="X45" i="15" s="1"/>
  <c r="Y25" i="15"/>
  <c r="Y43" i="15" s="1"/>
  <c r="X26" i="15"/>
  <c r="X40" i="15" s="1"/>
  <c r="X59" i="15" l="1"/>
  <c r="Y26" i="15"/>
  <c r="Y37" i="15"/>
  <c r="Y36" i="15"/>
  <c r="Y35" i="15"/>
  <c r="Y34" i="15"/>
  <c r="Y33" i="15"/>
  <c r="Y32" i="15"/>
  <c r="Y31" i="15"/>
  <c r="Y30" i="15"/>
  <c r="Y29" i="15"/>
  <c r="Y44" i="15" s="1"/>
  <c r="Y45" i="15" s="1"/>
  <c r="Z25" i="15"/>
  <c r="Z43" i="15" s="1"/>
  <c r="Y38" i="15" l="1"/>
  <c r="Y40" i="15"/>
  <c r="Y59" i="15" s="1"/>
  <c r="Z37" i="15"/>
  <c r="Z36" i="15"/>
  <c r="Z35" i="15"/>
  <c r="Z34" i="15"/>
  <c r="Z33" i="15"/>
  <c r="Z32" i="15"/>
  <c r="Z31" i="15"/>
  <c r="Z30" i="15"/>
  <c r="Z38" i="15" s="1"/>
  <c r="Z29" i="15"/>
  <c r="Z44" i="15" s="1"/>
  <c r="Z45" i="15" s="1"/>
  <c r="AA25" i="15"/>
  <c r="AA43" i="15" s="1"/>
  <c r="Z26" i="15"/>
  <c r="Z40" i="15" s="1"/>
  <c r="Z59" i="15" l="1"/>
  <c r="AA26" i="15"/>
  <c r="AA37" i="15"/>
  <c r="AA36" i="15"/>
  <c r="AA35" i="15"/>
  <c r="AA34" i="15"/>
  <c r="AA33" i="15"/>
  <c r="AA32" i="15"/>
  <c r="AA31" i="15"/>
  <c r="AA30" i="15"/>
  <c r="AA29" i="15"/>
  <c r="AA44" i="15" s="1"/>
  <c r="AA45" i="15" s="1"/>
  <c r="AB25" i="15"/>
  <c r="AB43" i="15" s="1"/>
  <c r="AA38" i="15" l="1"/>
  <c r="AA40" i="15"/>
  <c r="AA59" i="15" s="1"/>
  <c r="AB37" i="15"/>
  <c r="AB36" i="15"/>
  <c r="AB35" i="15"/>
  <c r="AB34" i="15"/>
  <c r="AB33" i="15"/>
  <c r="AB32" i="15"/>
  <c r="AB31" i="15"/>
  <c r="AB30" i="15"/>
  <c r="AB38" i="15" s="1"/>
  <c r="AB29" i="15"/>
  <c r="AB44" i="15" s="1"/>
  <c r="AB45" i="15" s="1"/>
  <c r="AC25" i="15"/>
  <c r="AC43" i="15" s="1"/>
  <c r="AB26" i="15"/>
  <c r="AB40" i="15" s="1"/>
  <c r="AB59" i="15" l="1"/>
  <c r="AC26" i="15"/>
  <c r="AC37" i="15"/>
  <c r="AC36" i="15"/>
  <c r="AC35" i="15"/>
  <c r="AC34" i="15"/>
  <c r="AC33" i="15"/>
  <c r="AC32" i="15"/>
  <c r="AC31" i="15"/>
  <c r="AC30" i="15"/>
  <c r="AC29" i="15"/>
  <c r="AC44" i="15" s="1"/>
  <c r="AC45" i="15" s="1"/>
  <c r="AD25" i="15"/>
  <c r="AD43" i="15" s="1"/>
  <c r="AC38" i="15" l="1"/>
  <c r="AC40" i="15"/>
  <c r="AC59" i="15" s="1"/>
  <c r="AD37" i="15"/>
  <c r="AD36" i="15"/>
  <c r="AD35" i="15"/>
  <c r="AD34" i="15"/>
  <c r="AD33" i="15"/>
  <c r="AD32" i="15"/>
  <c r="AD31" i="15"/>
  <c r="AD30" i="15"/>
  <c r="AD38" i="15" s="1"/>
  <c r="AD29" i="15"/>
  <c r="AD44" i="15" s="1"/>
  <c r="AD45" i="15" s="1"/>
  <c r="AE25" i="15"/>
  <c r="AE43" i="15" s="1"/>
  <c r="AD26" i="15"/>
  <c r="AD40" i="15" s="1"/>
  <c r="AD59" i="15" l="1"/>
  <c r="AE26" i="15"/>
  <c r="AE37" i="15"/>
  <c r="AE36" i="15"/>
  <c r="AE35" i="15"/>
  <c r="AE34" i="15"/>
  <c r="AE33" i="15"/>
  <c r="AE32" i="15"/>
  <c r="AE31" i="15"/>
  <c r="AE30" i="15"/>
  <c r="AE29" i="15"/>
  <c r="AE44" i="15" s="1"/>
  <c r="AE45" i="15" s="1"/>
  <c r="AF25" i="15"/>
  <c r="AF43" i="15" s="1"/>
  <c r="AE38" i="15" l="1"/>
  <c r="AE40" i="15"/>
  <c r="AE59" i="15" s="1"/>
  <c r="AF37" i="15"/>
  <c r="AF36" i="15"/>
  <c r="AF35" i="15"/>
  <c r="AF34" i="15"/>
  <c r="AF33" i="15"/>
  <c r="AF32" i="15"/>
  <c r="AF31" i="15"/>
  <c r="AF30" i="15"/>
  <c r="AF38" i="15" s="1"/>
  <c r="AF29" i="15"/>
  <c r="AF44" i="15" s="1"/>
  <c r="AF45" i="15" s="1"/>
  <c r="AG25" i="15"/>
  <c r="AG43" i="15" s="1"/>
  <c r="AF26" i="15"/>
  <c r="AF40" i="15" s="1"/>
  <c r="AF59" i="15" l="1"/>
  <c r="AG26" i="15"/>
  <c r="AG37" i="15"/>
  <c r="AG36" i="15"/>
  <c r="AG35" i="15"/>
  <c r="AG34" i="15"/>
  <c r="AG33" i="15"/>
  <c r="AG32" i="15"/>
  <c r="AG31" i="15"/>
  <c r="AG30" i="15"/>
  <c r="AG38" i="15" s="1"/>
  <c r="AG29" i="15"/>
  <c r="AG44" i="15" s="1"/>
  <c r="AG45" i="15" s="1"/>
  <c r="AH25" i="15"/>
  <c r="AH43" i="15" s="1"/>
  <c r="AG40" i="15" l="1"/>
  <c r="AG59" i="15" s="1"/>
  <c r="AH37" i="15"/>
  <c r="AH36" i="15"/>
  <c r="AH35" i="15"/>
  <c r="AH34" i="15"/>
  <c r="AH33" i="15"/>
  <c r="AH32" i="15"/>
  <c r="AH31" i="15"/>
  <c r="AH30" i="15"/>
  <c r="AH29" i="15"/>
  <c r="AH44" i="15" s="1"/>
  <c r="AH45" i="15" s="1"/>
  <c r="AI25" i="15"/>
  <c r="AI43" i="15" s="1"/>
  <c r="AH26" i="15"/>
  <c r="AH40" i="15" s="1"/>
  <c r="AH38" i="15" l="1"/>
  <c r="AH59" i="15"/>
  <c r="AI26" i="15"/>
  <c r="AI40" i="15" s="1"/>
  <c r="AI37" i="15"/>
  <c r="AI36" i="15"/>
  <c r="AI35" i="15"/>
  <c r="AI34" i="15"/>
  <c r="AI33" i="15"/>
  <c r="AI32" i="15"/>
  <c r="AI31" i="15"/>
  <c r="AI30" i="15"/>
  <c r="AI38" i="15" s="1"/>
  <c r="AI29" i="15"/>
  <c r="AI44" i="15" s="1"/>
  <c r="AI45" i="15" s="1"/>
  <c r="AJ25" i="15"/>
  <c r="AJ43" i="15" s="1"/>
  <c r="AI59" i="15" l="1"/>
  <c r="AJ37" i="15"/>
  <c r="AJ36" i="15"/>
  <c r="AJ35" i="15"/>
  <c r="AJ34" i="15"/>
  <c r="AJ33" i="15"/>
  <c r="AJ32" i="15"/>
  <c r="AJ31" i="15"/>
  <c r="AJ30" i="15"/>
  <c r="AJ38" i="15" s="1"/>
  <c r="AJ29" i="15"/>
  <c r="AJ44" i="15" s="1"/>
  <c r="AJ45" i="15" s="1"/>
  <c r="AK25" i="15"/>
  <c r="AK43" i="15" s="1"/>
  <c r="AJ26" i="15"/>
  <c r="AJ40" i="15" s="1"/>
  <c r="AJ59" i="15" l="1"/>
  <c r="AK26" i="15"/>
  <c r="AK37" i="15"/>
  <c r="AK36" i="15"/>
  <c r="AK35" i="15"/>
  <c r="AK34" i="15"/>
  <c r="AK33" i="15"/>
  <c r="AK32" i="15"/>
  <c r="AK31" i="15"/>
  <c r="AK30" i="15"/>
  <c r="AK29" i="15"/>
  <c r="AK44" i="15" s="1"/>
  <c r="AK45" i="15" s="1"/>
  <c r="AL25" i="15"/>
  <c r="AL43" i="15" s="1"/>
  <c r="AK38" i="15" l="1"/>
  <c r="AK40" i="15"/>
  <c r="AK59" i="15" s="1"/>
  <c r="AL37" i="15"/>
  <c r="AL36" i="15"/>
  <c r="AL35" i="15"/>
  <c r="AL34" i="15"/>
  <c r="AL33" i="15"/>
  <c r="AL32" i="15"/>
  <c r="AL31" i="15"/>
  <c r="AL30" i="15"/>
  <c r="AL38" i="15" s="1"/>
  <c r="AL29" i="15"/>
  <c r="AL44" i="15" s="1"/>
  <c r="AL45" i="15" s="1"/>
  <c r="AM25" i="15"/>
  <c r="AM43" i="15" s="1"/>
  <c r="AL26" i="15"/>
  <c r="AL40" i="15" s="1"/>
  <c r="AL59" i="15" l="1"/>
  <c r="AM26" i="15"/>
  <c r="AM37" i="15"/>
  <c r="AM36" i="15"/>
  <c r="AM35" i="15"/>
  <c r="AM34" i="15"/>
  <c r="AM33" i="15"/>
  <c r="AM32" i="15"/>
  <c r="AM31" i="15"/>
  <c r="AM30" i="15"/>
  <c r="AM29" i="15"/>
  <c r="AM44" i="15" s="1"/>
  <c r="AM45" i="15" s="1"/>
  <c r="AN25" i="15"/>
  <c r="AN43" i="15" s="1"/>
  <c r="AM38" i="15" l="1"/>
  <c r="AM40" i="15"/>
  <c r="AM59" i="15" s="1"/>
  <c r="AN37" i="15"/>
  <c r="AN36" i="15"/>
  <c r="AN35" i="15"/>
  <c r="AN34" i="15"/>
  <c r="AN33" i="15"/>
  <c r="AN32" i="15"/>
  <c r="AN31" i="15"/>
  <c r="AN30" i="15"/>
  <c r="AN29" i="15"/>
  <c r="AN44" i="15" s="1"/>
  <c r="AN45" i="15" s="1"/>
  <c r="AO25" i="15"/>
  <c r="AO43" i="15" s="1"/>
  <c r="AN26" i="15"/>
  <c r="AN40" i="15" s="1"/>
  <c r="AN38" i="15" l="1"/>
  <c r="AN59" i="15"/>
  <c r="AO26" i="15"/>
  <c r="AO40" i="15" s="1"/>
  <c r="AO37" i="15"/>
  <c r="AO36" i="15"/>
  <c r="AO35" i="15"/>
  <c r="AO34" i="15"/>
  <c r="AO33" i="15"/>
  <c r="AO32" i="15"/>
  <c r="AO31" i="15"/>
  <c r="AO30" i="15"/>
  <c r="AO38" i="15" s="1"/>
  <c r="AO29" i="15"/>
  <c r="AO44" i="15" s="1"/>
  <c r="AO45" i="15" s="1"/>
  <c r="AP25" i="15"/>
  <c r="AP43" i="15" s="1"/>
  <c r="AO59" i="15" l="1"/>
  <c r="AP37" i="15"/>
  <c r="AP36" i="15"/>
  <c r="AP35" i="15"/>
  <c r="AP34" i="15"/>
  <c r="AP33" i="15"/>
  <c r="AP32" i="15"/>
  <c r="AP31" i="15"/>
  <c r="AP30" i="15"/>
  <c r="AP38" i="15" s="1"/>
  <c r="AP29" i="15"/>
  <c r="AP44" i="15" s="1"/>
  <c r="AP45" i="15" s="1"/>
  <c r="AQ25" i="15"/>
  <c r="AQ43" i="15" s="1"/>
  <c r="AP26" i="15"/>
  <c r="AP40" i="15" s="1"/>
  <c r="AP59" i="15" l="1"/>
  <c r="AQ26" i="15"/>
  <c r="AQ37" i="15"/>
  <c r="AQ36" i="15"/>
  <c r="AQ35" i="15"/>
  <c r="AQ34" i="15"/>
  <c r="AQ33" i="15"/>
  <c r="AQ32" i="15"/>
  <c r="AQ31" i="15"/>
  <c r="AQ30" i="15"/>
  <c r="AQ29" i="15"/>
  <c r="AQ44" i="15" s="1"/>
  <c r="AQ45" i="15" s="1"/>
  <c r="AR25" i="15"/>
  <c r="AR43" i="15" s="1"/>
  <c r="AQ38" i="15" l="1"/>
  <c r="AQ40" i="15"/>
  <c r="AQ59" i="15" s="1"/>
  <c r="AR37" i="15"/>
  <c r="AR36" i="15"/>
  <c r="AR35" i="15"/>
  <c r="AR34" i="15"/>
  <c r="AR33" i="15"/>
  <c r="AR32" i="15"/>
  <c r="AR31" i="15"/>
  <c r="AR30" i="15"/>
  <c r="AR38" i="15" s="1"/>
  <c r="AR29" i="15"/>
  <c r="AR44" i="15" s="1"/>
  <c r="AR45" i="15" s="1"/>
  <c r="AS25" i="15"/>
  <c r="AS43" i="15" s="1"/>
  <c r="AR26" i="15"/>
  <c r="AR40" i="15" s="1"/>
  <c r="AR59" i="15" l="1"/>
  <c r="AS26" i="15"/>
  <c r="AS37" i="15"/>
  <c r="AS36" i="15"/>
  <c r="AS35" i="15"/>
  <c r="AS34" i="15"/>
  <c r="AS33" i="15"/>
  <c r="AS32" i="15"/>
  <c r="AS31" i="15"/>
  <c r="AS30" i="15"/>
  <c r="AS29" i="15"/>
  <c r="AS44" i="15" s="1"/>
  <c r="AS45" i="15" s="1"/>
  <c r="AT25" i="15"/>
  <c r="AT43" i="15" s="1"/>
  <c r="AS38" i="15" l="1"/>
  <c r="AS40" i="15"/>
  <c r="AS59" i="15" s="1"/>
  <c r="AT37" i="15"/>
  <c r="AT36" i="15"/>
  <c r="AT35" i="15"/>
  <c r="AT34" i="15"/>
  <c r="AT33" i="15"/>
  <c r="AT32" i="15"/>
  <c r="AT31" i="15"/>
  <c r="AT30" i="15"/>
  <c r="AT38" i="15" s="1"/>
  <c r="AT29" i="15"/>
  <c r="AT44" i="15" s="1"/>
  <c r="AT45" i="15" s="1"/>
  <c r="AU25" i="15"/>
  <c r="AU43" i="15" s="1"/>
  <c r="AT26" i="15"/>
  <c r="AT40" i="15" s="1"/>
  <c r="AT59" i="15" l="1"/>
  <c r="AU26" i="15"/>
  <c r="AU37" i="15"/>
  <c r="AU36" i="15"/>
  <c r="AU35" i="15"/>
  <c r="AU34" i="15"/>
  <c r="AU33" i="15"/>
  <c r="AU32" i="15"/>
  <c r="AU31" i="15"/>
  <c r="AU30" i="15"/>
  <c r="AU29" i="15"/>
  <c r="AU44" i="15" s="1"/>
  <c r="AU45" i="15" s="1"/>
  <c r="AV25" i="15"/>
  <c r="AV43" i="15" s="1"/>
  <c r="AU38" i="15" l="1"/>
  <c r="AU40" i="15"/>
  <c r="AU59" i="15" s="1"/>
  <c r="AV37" i="15"/>
  <c r="AV36" i="15"/>
  <c r="AV35" i="15"/>
  <c r="AV34" i="15"/>
  <c r="AV33" i="15"/>
  <c r="AV32" i="15"/>
  <c r="AV31" i="15"/>
  <c r="AV30" i="15"/>
  <c r="AV38" i="15" s="1"/>
  <c r="AV29" i="15"/>
  <c r="AV44" i="15" s="1"/>
  <c r="AV45" i="15" s="1"/>
  <c r="AW25" i="15"/>
  <c r="AW43" i="15" s="1"/>
  <c r="AV26" i="15"/>
  <c r="AV40" i="15" s="1"/>
  <c r="AV59" i="15" l="1"/>
  <c r="AW26" i="15"/>
  <c r="AW37" i="15"/>
  <c r="AW36" i="15"/>
  <c r="AW35" i="15"/>
  <c r="AW34" i="15"/>
  <c r="AW33" i="15"/>
  <c r="AW32" i="15"/>
  <c r="AW31" i="15"/>
  <c r="AW30" i="15"/>
  <c r="AW29" i="15"/>
  <c r="AW44" i="15" s="1"/>
  <c r="AW45" i="15" s="1"/>
  <c r="AX25" i="15"/>
  <c r="AX43" i="15" s="1"/>
  <c r="AW38" i="15" l="1"/>
  <c r="AW40" i="15"/>
  <c r="AW59" i="15" s="1"/>
  <c r="AX37" i="15"/>
  <c r="AX36" i="15"/>
  <c r="AX35" i="15"/>
  <c r="AX34" i="15"/>
  <c r="AX33" i="15"/>
  <c r="AX32" i="15"/>
  <c r="AX31" i="15"/>
  <c r="AX30" i="15"/>
  <c r="AX38" i="15" s="1"/>
  <c r="AX29" i="15"/>
  <c r="AX44" i="15" s="1"/>
  <c r="AX45" i="15" s="1"/>
  <c r="AY25" i="15"/>
  <c r="AY43" i="15" s="1"/>
  <c r="AX26" i="15"/>
  <c r="AX40" i="15" s="1"/>
  <c r="AX59" i="15" l="1"/>
  <c r="AY26" i="15"/>
  <c r="AY37" i="15"/>
  <c r="AY36" i="15"/>
  <c r="AY35" i="15"/>
  <c r="AY34" i="15"/>
  <c r="AY33" i="15"/>
  <c r="AY32" i="15"/>
  <c r="AY31" i="15"/>
  <c r="AY30" i="15"/>
  <c r="AY29" i="15"/>
  <c r="AY44" i="15" s="1"/>
  <c r="AY45" i="15" s="1"/>
  <c r="AZ25" i="15"/>
  <c r="AZ43" i="15" s="1"/>
  <c r="AY38" i="15" l="1"/>
  <c r="AY40" i="15"/>
  <c r="AY59" i="15" s="1"/>
  <c r="AZ37" i="15"/>
  <c r="AZ36" i="15"/>
  <c r="AZ35" i="15"/>
  <c r="AZ34" i="15"/>
  <c r="AZ33" i="15"/>
  <c r="AZ32" i="15"/>
  <c r="AZ31" i="15"/>
  <c r="AZ30" i="15"/>
  <c r="AZ38" i="15" s="1"/>
  <c r="AZ29" i="15"/>
  <c r="AZ44" i="15" s="1"/>
  <c r="AZ45" i="15" s="1"/>
  <c r="BA25" i="15"/>
  <c r="BA43" i="15" s="1"/>
  <c r="AZ26" i="15"/>
  <c r="AZ40" i="15" s="1"/>
  <c r="AZ59" i="15" l="1"/>
  <c r="BA26" i="15"/>
  <c r="BA37" i="15"/>
  <c r="BA36" i="15"/>
  <c r="BA35" i="15"/>
  <c r="BA34" i="15"/>
  <c r="BA33" i="15"/>
  <c r="BA32" i="15"/>
  <c r="BA31" i="15"/>
  <c r="BA30" i="15"/>
  <c r="BA29" i="15"/>
  <c r="BA44" i="15" s="1"/>
  <c r="BA45" i="15" s="1"/>
  <c r="BB25" i="15"/>
  <c r="BB43" i="15" s="1"/>
  <c r="BA38" i="15" l="1"/>
  <c r="BA40" i="15"/>
  <c r="BA59" i="15" s="1"/>
  <c r="BB37" i="15"/>
  <c r="BB36" i="15"/>
  <c r="BB35" i="15"/>
  <c r="BB34" i="15"/>
  <c r="BB33" i="15"/>
  <c r="BB32" i="15"/>
  <c r="BB31" i="15"/>
  <c r="BB30" i="15"/>
  <c r="BB38" i="15" s="1"/>
  <c r="BB29" i="15"/>
  <c r="BB44" i="15" s="1"/>
  <c r="BB45" i="15" s="1"/>
  <c r="BC25" i="15"/>
  <c r="BC43" i="15" s="1"/>
  <c r="BB26" i="15"/>
  <c r="BB40" i="15" s="1"/>
  <c r="BB59" i="15" l="1"/>
  <c r="BC26" i="15"/>
  <c r="BC37" i="15"/>
  <c r="BC36" i="15"/>
  <c r="BC35" i="15"/>
  <c r="BC34" i="15"/>
  <c r="BC33" i="15"/>
  <c r="BC32" i="15"/>
  <c r="BC31" i="15"/>
  <c r="BC30" i="15"/>
  <c r="BC29" i="15"/>
  <c r="BC44" i="15" s="1"/>
  <c r="BC45" i="15" s="1"/>
  <c r="BD25" i="15"/>
  <c r="BD43" i="15" s="1"/>
  <c r="BC38" i="15" l="1"/>
  <c r="BC40" i="15"/>
  <c r="BC59" i="15" s="1"/>
  <c r="BD37" i="15"/>
  <c r="BD36" i="15"/>
  <c r="BD35" i="15"/>
  <c r="BD34" i="15"/>
  <c r="BD33" i="15"/>
  <c r="BD32" i="15"/>
  <c r="BD31" i="15"/>
  <c r="BD30" i="15"/>
  <c r="BD38" i="15" s="1"/>
  <c r="BD29" i="15"/>
  <c r="BD44" i="15" s="1"/>
  <c r="BD45" i="15" s="1"/>
  <c r="BE25" i="15"/>
  <c r="BE43" i="15" s="1"/>
  <c r="BD26" i="15"/>
  <c r="BD40" i="15" s="1"/>
  <c r="BD59" i="15" l="1"/>
  <c r="BE26" i="15"/>
  <c r="BE37" i="15"/>
  <c r="BE36" i="15"/>
  <c r="BE35" i="15"/>
  <c r="BE34" i="15"/>
  <c r="BE33" i="15"/>
  <c r="BE32" i="15"/>
  <c r="BE31" i="15"/>
  <c r="BE30" i="15"/>
  <c r="BE29" i="15"/>
  <c r="BE44" i="15" s="1"/>
  <c r="BE45" i="15" s="1"/>
  <c r="BF25" i="15"/>
  <c r="BF43" i="15" s="1"/>
  <c r="BE38" i="15" l="1"/>
  <c r="BE40" i="15"/>
  <c r="BE59" i="15" s="1"/>
  <c r="BF37" i="15"/>
  <c r="BF36" i="15"/>
  <c r="BF35" i="15"/>
  <c r="BF34" i="15"/>
  <c r="BF33" i="15"/>
  <c r="BF32" i="15"/>
  <c r="BF31" i="15"/>
  <c r="BF30" i="15"/>
  <c r="BF38" i="15" s="1"/>
  <c r="BF29" i="15"/>
  <c r="BF44" i="15" s="1"/>
  <c r="BF45" i="15" s="1"/>
  <c r="BG25" i="15"/>
  <c r="BG43" i="15" s="1"/>
  <c r="BF26" i="15"/>
  <c r="BF40" i="15" s="1"/>
  <c r="BF59" i="15" l="1"/>
  <c r="BG26" i="15"/>
  <c r="BG37" i="15"/>
  <c r="BG36" i="15"/>
  <c r="BG35" i="15"/>
  <c r="BG34" i="15"/>
  <c r="BG33" i="15"/>
  <c r="BG32" i="15"/>
  <c r="BG31" i="15"/>
  <c r="BG30" i="15"/>
  <c r="BG29" i="15"/>
  <c r="BG44" i="15" s="1"/>
  <c r="BG45" i="15" s="1"/>
  <c r="BH25" i="15"/>
  <c r="BH43" i="15" s="1"/>
  <c r="BG38" i="15" l="1"/>
  <c r="BG40" i="15"/>
  <c r="BG59" i="15" s="1"/>
  <c r="BH37" i="15"/>
  <c r="BH36" i="15"/>
  <c r="BH35" i="15"/>
  <c r="BH34" i="15"/>
  <c r="BH33" i="15"/>
  <c r="BH32" i="15"/>
  <c r="BH31" i="15"/>
  <c r="BH30" i="15"/>
  <c r="BH38" i="15" s="1"/>
  <c r="BH29" i="15"/>
  <c r="BH44" i="15" s="1"/>
  <c r="BH45" i="15" s="1"/>
  <c r="BI25" i="15"/>
  <c r="BI43" i="15" s="1"/>
  <c r="BH26" i="15"/>
  <c r="BH40" i="15" s="1"/>
  <c r="BH59" i="15" l="1"/>
  <c r="BI26" i="15"/>
  <c r="BI37" i="15"/>
  <c r="BI36" i="15"/>
  <c r="BI35" i="15"/>
  <c r="BI34" i="15"/>
  <c r="BI33" i="15"/>
  <c r="BI32" i="15"/>
  <c r="BI31" i="15"/>
  <c r="BI30" i="15"/>
  <c r="BI29" i="15"/>
  <c r="BI44" i="15" s="1"/>
  <c r="BI45" i="15" s="1"/>
  <c r="BJ25" i="15"/>
  <c r="BJ43" i="15" s="1"/>
  <c r="BI38" i="15" l="1"/>
  <c r="BI40" i="15"/>
  <c r="BI59" i="15" s="1"/>
  <c r="BJ37" i="15"/>
  <c r="BJ36" i="15"/>
  <c r="BJ35" i="15"/>
  <c r="BJ34" i="15"/>
  <c r="BJ33" i="15"/>
  <c r="BJ32" i="15"/>
  <c r="BJ31" i="15"/>
  <c r="BJ30" i="15"/>
  <c r="BJ38" i="15" s="1"/>
  <c r="BJ29" i="15"/>
  <c r="BJ44" i="15" s="1"/>
  <c r="BJ45" i="15" s="1"/>
  <c r="BK25" i="15"/>
  <c r="BK43" i="15" s="1"/>
  <c r="BJ26" i="15"/>
  <c r="BJ40" i="15" s="1"/>
  <c r="BJ59" i="15" l="1"/>
  <c r="BK26" i="15"/>
  <c r="BK37" i="15"/>
  <c r="BK36" i="15"/>
  <c r="BK35" i="15"/>
  <c r="BK34" i="15"/>
  <c r="BK33" i="15"/>
  <c r="BK32" i="15"/>
  <c r="BK31" i="15"/>
  <c r="BK30" i="15"/>
  <c r="BK29" i="15"/>
  <c r="BK44" i="15" s="1"/>
  <c r="BK45" i="15" s="1"/>
  <c r="BL25" i="15"/>
  <c r="BL43" i="15" s="1"/>
  <c r="BK38" i="15" l="1"/>
  <c r="BK40" i="15"/>
  <c r="BK59" i="15" s="1"/>
  <c r="BL37" i="15"/>
  <c r="BL36" i="15"/>
  <c r="BL35" i="15"/>
  <c r="BL34" i="15"/>
  <c r="BL33" i="15"/>
  <c r="BL32" i="15"/>
  <c r="BL31" i="15"/>
  <c r="BL30" i="15"/>
  <c r="BL38" i="15" s="1"/>
  <c r="BL29" i="15"/>
  <c r="BL44" i="15" s="1"/>
  <c r="BL45" i="15" s="1"/>
  <c r="BM25" i="15"/>
  <c r="BM43" i="15" s="1"/>
  <c r="BL26" i="15"/>
  <c r="BL40" i="15" s="1"/>
  <c r="BL59" i="15" l="1"/>
  <c r="BM26" i="15"/>
  <c r="BM37" i="15"/>
  <c r="BM36" i="15"/>
  <c r="BM35" i="15"/>
  <c r="BM34" i="15"/>
  <c r="BM33" i="15"/>
  <c r="BM32" i="15"/>
  <c r="BM31" i="15"/>
  <c r="BM30" i="15"/>
  <c r="BM29" i="15"/>
  <c r="BM44" i="15" s="1"/>
  <c r="BM45" i="15" s="1"/>
  <c r="BN25" i="15"/>
  <c r="BN43" i="15" s="1"/>
  <c r="BM38" i="15" l="1"/>
  <c r="BM40" i="15"/>
  <c r="BM59" i="15" s="1"/>
  <c r="BN37" i="15"/>
  <c r="BN36" i="15"/>
  <c r="BN35" i="15"/>
  <c r="BN34" i="15"/>
  <c r="BN33" i="15"/>
  <c r="BN32" i="15"/>
  <c r="BN31" i="15"/>
  <c r="BN30" i="15"/>
  <c r="BN38" i="15" s="1"/>
  <c r="BN29" i="15"/>
  <c r="BN44" i="15" s="1"/>
  <c r="BN45" i="15" s="1"/>
  <c r="BO25" i="15"/>
  <c r="BO43" i="15" s="1"/>
  <c r="BN26" i="15"/>
  <c r="BN40" i="15" s="1"/>
  <c r="BN59" i="15" l="1"/>
  <c r="BO26" i="15"/>
  <c r="BO37" i="15"/>
  <c r="BO36" i="15"/>
  <c r="BO35" i="15"/>
  <c r="BO34" i="15"/>
  <c r="BO33" i="15"/>
  <c r="BO32" i="15"/>
  <c r="BO31" i="15"/>
  <c r="BO30" i="15"/>
  <c r="BO29" i="15"/>
  <c r="BO44" i="15" s="1"/>
  <c r="BO45" i="15" s="1"/>
  <c r="BP25" i="15"/>
  <c r="BP43" i="15" s="1"/>
  <c r="BO38" i="15" l="1"/>
  <c r="BO40" i="15"/>
  <c r="BO59" i="15" s="1"/>
  <c r="BP37" i="15"/>
  <c r="BP36" i="15"/>
  <c r="BP35" i="15"/>
  <c r="BP34" i="15"/>
  <c r="BP33" i="15"/>
  <c r="BP32" i="15"/>
  <c r="BP31" i="15"/>
  <c r="BP30" i="15"/>
  <c r="BP38" i="15" s="1"/>
  <c r="BP29" i="15"/>
  <c r="BP44" i="15" s="1"/>
  <c r="BP45" i="15" s="1"/>
  <c r="BQ25" i="15"/>
  <c r="BQ43" i="15" s="1"/>
  <c r="BP26" i="15"/>
  <c r="BP40" i="15" s="1"/>
  <c r="BP59" i="15" l="1"/>
  <c r="BQ26" i="15"/>
  <c r="BQ37" i="15"/>
  <c r="BQ36" i="15"/>
  <c r="BQ35" i="15"/>
  <c r="BQ34" i="15"/>
  <c r="BQ33" i="15"/>
  <c r="BQ32" i="15"/>
  <c r="BQ31" i="15"/>
  <c r="BQ30" i="15"/>
  <c r="BQ29" i="15"/>
  <c r="BQ44" i="15" s="1"/>
  <c r="BQ45" i="15" s="1"/>
  <c r="BR25" i="15"/>
  <c r="BR43" i="15" s="1"/>
  <c r="BQ38" i="15" l="1"/>
  <c r="BQ40" i="15"/>
  <c r="BQ59" i="15" s="1"/>
  <c r="BR37" i="15"/>
  <c r="BR36" i="15"/>
  <c r="BR35" i="15"/>
  <c r="BR34" i="15"/>
  <c r="BR33" i="15"/>
  <c r="BR32" i="15"/>
  <c r="BR31" i="15"/>
  <c r="BR30" i="15"/>
  <c r="BR38" i="15" s="1"/>
  <c r="BR29" i="15"/>
  <c r="BR44" i="15" s="1"/>
  <c r="BR45" i="15" s="1"/>
  <c r="BS25" i="15"/>
  <c r="BS43" i="15" s="1"/>
  <c r="BR26" i="15"/>
  <c r="BR40" i="15" s="1"/>
  <c r="BR59" i="15" l="1"/>
  <c r="BS26" i="15"/>
  <c r="BS37" i="15"/>
  <c r="BS36" i="15"/>
  <c r="BS35" i="15"/>
  <c r="BS34" i="15"/>
  <c r="BS33" i="15"/>
  <c r="BS32" i="15"/>
  <c r="BS31" i="15"/>
  <c r="BS30" i="15"/>
  <c r="BS29" i="15"/>
  <c r="BS44" i="15" s="1"/>
  <c r="BS45" i="15" s="1"/>
  <c r="BT25" i="15"/>
  <c r="BT43" i="15" s="1"/>
  <c r="BS38" i="15" l="1"/>
  <c r="BS40" i="15"/>
  <c r="BS59" i="15" s="1"/>
  <c r="BT37" i="15"/>
  <c r="BT36" i="15"/>
  <c r="BT35" i="15"/>
  <c r="BT34" i="15"/>
  <c r="BT33" i="15"/>
  <c r="BT32" i="15"/>
  <c r="BT31" i="15"/>
  <c r="BT30" i="15"/>
  <c r="BT38" i="15" s="1"/>
  <c r="BT29" i="15"/>
  <c r="BT44" i="15" s="1"/>
  <c r="BT45" i="15" s="1"/>
  <c r="BU25" i="15"/>
  <c r="BU43" i="15" s="1"/>
  <c r="BT26" i="15"/>
  <c r="BT40" i="15" s="1"/>
  <c r="BT59" i="15" l="1"/>
  <c r="BU26" i="15"/>
  <c r="BU37" i="15"/>
  <c r="BU36" i="15"/>
  <c r="BU35" i="15"/>
  <c r="BU34" i="15"/>
  <c r="BU33" i="15"/>
  <c r="BU32" i="15"/>
  <c r="BU31" i="15"/>
  <c r="BU30" i="15"/>
  <c r="BU29" i="15"/>
  <c r="BU44" i="15" s="1"/>
  <c r="BU45" i="15" s="1"/>
  <c r="BV25" i="15"/>
  <c r="BV43" i="15" s="1"/>
  <c r="BU38" i="15" l="1"/>
  <c r="BU40" i="15"/>
  <c r="BU59" i="15" s="1"/>
  <c r="BV37" i="15"/>
  <c r="BV36" i="15"/>
  <c r="BV35" i="15"/>
  <c r="BV34" i="15"/>
  <c r="BV33" i="15"/>
  <c r="BV32" i="15"/>
  <c r="BV31" i="15"/>
  <c r="BV30" i="15"/>
  <c r="BV38" i="15" s="1"/>
  <c r="BV29" i="15"/>
  <c r="BV44" i="15" s="1"/>
  <c r="BV45" i="15" s="1"/>
  <c r="BW25" i="15"/>
  <c r="BW43" i="15" s="1"/>
  <c r="BV26" i="15"/>
  <c r="BV40" i="15" s="1"/>
  <c r="BV59" i="15" l="1"/>
  <c r="BW26" i="15"/>
  <c r="BW37" i="15"/>
  <c r="BW36" i="15"/>
  <c r="BW35" i="15"/>
  <c r="BW34" i="15"/>
  <c r="BW33" i="15"/>
  <c r="BW32" i="15"/>
  <c r="BW31" i="15"/>
  <c r="BW30" i="15"/>
  <c r="BW29" i="15"/>
  <c r="BW44" i="15" s="1"/>
  <c r="BW45" i="15" s="1"/>
  <c r="BX25" i="15"/>
  <c r="BX43" i="15" s="1"/>
  <c r="BW38" i="15" l="1"/>
  <c r="BW40" i="15"/>
  <c r="BW59" i="15" s="1"/>
  <c r="BX37" i="15"/>
  <c r="BX36" i="15"/>
  <c r="BX35" i="15"/>
  <c r="BX34" i="15"/>
  <c r="BX33" i="15"/>
  <c r="BX32" i="15"/>
  <c r="BX31" i="15"/>
  <c r="BX30" i="15"/>
  <c r="BX38" i="15" s="1"/>
  <c r="BX29" i="15"/>
  <c r="BX44" i="15" s="1"/>
  <c r="BX45" i="15" s="1"/>
  <c r="BY25" i="15"/>
  <c r="BY43" i="15" s="1"/>
  <c r="BX26" i="15"/>
  <c r="BX40" i="15" s="1"/>
  <c r="BX59" i="15" l="1"/>
  <c r="BY26" i="15"/>
  <c r="BY37" i="15"/>
  <c r="BY36" i="15"/>
  <c r="BY35" i="15"/>
  <c r="BY34" i="15"/>
  <c r="BY33" i="15"/>
  <c r="BY32" i="15"/>
  <c r="BY31" i="15"/>
  <c r="BY30" i="15"/>
  <c r="BY29" i="15"/>
  <c r="BY44" i="15" s="1"/>
  <c r="BY45" i="15" s="1"/>
  <c r="BZ25" i="15"/>
  <c r="BZ43" i="15" s="1"/>
  <c r="BY38" i="15" l="1"/>
  <c r="BY40" i="15"/>
  <c r="BY59" i="15" s="1"/>
  <c r="BZ37" i="15"/>
  <c r="BZ36" i="15"/>
  <c r="BZ35" i="15"/>
  <c r="BZ34" i="15"/>
  <c r="BZ33" i="15"/>
  <c r="BZ32" i="15"/>
  <c r="BZ31" i="15"/>
  <c r="BZ30" i="15"/>
  <c r="BZ38" i="15" s="1"/>
  <c r="BZ29" i="15"/>
  <c r="BZ44" i="15" s="1"/>
  <c r="BZ45" i="15" s="1"/>
  <c r="CA25" i="15"/>
  <c r="CA43" i="15" s="1"/>
  <c r="BZ26" i="15"/>
  <c r="BZ40" i="15" s="1"/>
  <c r="BZ59" i="15" l="1"/>
  <c r="CA26" i="15"/>
  <c r="CA37" i="15"/>
  <c r="CA36" i="15"/>
  <c r="CA35" i="15"/>
  <c r="CA34" i="15"/>
  <c r="CA33" i="15"/>
  <c r="CA32" i="15"/>
  <c r="CA31" i="15"/>
  <c r="CA30" i="15"/>
  <c r="CA29" i="15"/>
  <c r="CA44" i="15" s="1"/>
  <c r="CA45" i="15" s="1"/>
  <c r="CB25" i="15"/>
  <c r="CB43" i="15" s="1"/>
  <c r="CA38" i="15" l="1"/>
  <c r="CA40" i="15"/>
  <c r="CA59" i="15" s="1"/>
  <c r="CB37" i="15"/>
  <c r="CB36" i="15"/>
  <c r="CB35" i="15"/>
  <c r="CB34" i="15"/>
  <c r="CB33" i="15"/>
  <c r="CB32" i="15"/>
  <c r="CB31" i="15"/>
  <c r="CB30" i="15"/>
  <c r="CB38" i="15" s="1"/>
  <c r="CB29" i="15"/>
  <c r="CB44" i="15" s="1"/>
  <c r="CB45" i="15" s="1"/>
  <c r="CC25" i="15"/>
  <c r="CC43" i="15" s="1"/>
  <c r="CB26" i="15"/>
  <c r="CB40" i="15" s="1"/>
  <c r="CB59" i="15" l="1"/>
  <c r="CC26" i="15"/>
  <c r="CC37" i="15"/>
  <c r="CC36" i="15"/>
  <c r="CC35" i="15"/>
  <c r="CC34" i="15"/>
  <c r="CC33" i="15"/>
  <c r="CC32" i="15"/>
  <c r="CC31" i="15"/>
  <c r="CC30" i="15"/>
  <c r="CC29" i="15"/>
  <c r="CC44" i="15" s="1"/>
  <c r="CC45" i="15" s="1"/>
  <c r="CD25" i="15"/>
  <c r="CD43" i="15" s="1"/>
  <c r="CC38" i="15" l="1"/>
  <c r="CC40" i="15"/>
  <c r="CC59" i="15" s="1"/>
  <c r="CD37" i="15"/>
  <c r="CD36" i="15"/>
  <c r="CD35" i="15"/>
  <c r="CD34" i="15"/>
  <c r="CD33" i="15"/>
  <c r="CD32" i="15"/>
  <c r="CD31" i="15"/>
  <c r="CD30" i="15"/>
  <c r="CD38" i="15" s="1"/>
  <c r="CD29" i="15"/>
  <c r="CD44" i="15" s="1"/>
  <c r="CD45" i="15" s="1"/>
  <c r="CE25" i="15"/>
  <c r="CE43" i="15" s="1"/>
  <c r="CD26" i="15"/>
  <c r="CD40" i="15" s="1"/>
  <c r="CD59" i="15" l="1"/>
  <c r="CE26" i="15"/>
  <c r="CE37" i="15"/>
  <c r="CE36" i="15"/>
  <c r="CE35" i="15"/>
  <c r="CE34" i="15"/>
  <c r="CE33" i="15"/>
  <c r="CE32" i="15"/>
  <c r="CE31" i="15"/>
  <c r="CE30" i="15"/>
  <c r="CE29" i="15"/>
  <c r="CE44" i="15" s="1"/>
  <c r="CE45" i="15" s="1"/>
  <c r="CF25" i="15"/>
  <c r="CF43" i="15" s="1"/>
  <c r="CE38" i="15" l="1"/>
  <c r="CE40" i="15"/>
  <c r="CE59" i="15" s="1"/>
  <c r="CF37" i="15"/>
  <c r="CF36" i="15"/>
  <c r="CF35" i="15"/>
  <c r="CF34" i="15"/>
  <c r="CF33" i="15"/>
  <c r="CF32" i="15"/>
  <c r="CF31" i="15"/>
  <c r="CF30" i="15"/>
  <c r="CF38" i="15" s="1"/>
  <c r="CF29" i="15"/>
  <c r="CF44" i="15" s="1"/>
  <c r="CF45" i="15" s="1"/>
  <c r="CG25" i="15"/>
  <c r="CG43" i="15" s="1"/>
  <c r="CF26" i="15"/>
  <c r="CF40" i="15" s="1"/>
  <c r="CF59" i="15" l="1"/>
  <c r="CG26" i="15"/>
  <c r="CG37" i="15"/>
  <c r="CG36" i="15"/>
  <c r="CG35" i="15"/>
  <c r="CG34" i="15"/>
  <c r="CG33" i="15"/>
  <c r="CG32" i="15"/>
  <c r="CG31" i="15"/>
  <c r="CG30" i="15"/>
  <c r="CG29" i="15"/>
  <c r="CG44" i="15" s="1"/>
  <c r="CG45" i="15" s="1"/>
  <c r="CH25" i="15"/>
  <c r="CH43" i="15" s="1"/>
  <c r="CG38" i="15" l="1"/>
  <c r="CG40" i="15"/>
  <c r="CG59" i="15" s="1"/>
  <c r="CH37" i="15"/>
  <c r="CH36" i="15"/>
  <c r="CH35" i="15"/>
  <c r="CH34" i="15"/>
  <c r="CH33" i="15"/>
  <c r="CH32" i="15"/>
  <c r="CH31" i="15"/>
  <c r="CH30" i="15"/>
  <c r="CH38" i="15" s="1"/>
  <c r="CH29" i="15"/>
  <c r="CH44" i="15" s="1"/>
  <c r="CH45" i="15" s="1"/>
  <c r="CI25" i="15"/>
  <c r="CI43" i="15" s="1"/>
  <c r="CH26" i="15"/>
  <c r="CH40" i="15" s="1"/>
  <c r="CH59" i="15" l="1"/>
  <c r="CI26" i="15"/>
  <c r="CI37" i="15"/>
  <c r="CI36" i="15"/>
  <c r="CI35" i="15"/>
  <c r="CI34" i="15"/>
  <c r="CI33" i="15"/>
  <c r="CI32" i="15"/>
  <c r="CI31" i="15"/>
  <c r="CI30" i="15"/>
  <c r="CI29" i="15"/>
  <c r="CI44" i="15" s="1"/>
  <c r="CI45" i="15" s="1"/>
  <c r="CJ25" i="15"/>
  <c r="CJ43" i="15" s="1"/>
  <c r="CI38" i="15" l="1"/>
  <c r="CI40" i="15"/>
  <c r="CI59" i="15" s="1"/>
  <c r="CJ37" i="15"/>
  <c r="CJ36" i="15"/>
  <c r="CJ35" i="15"/>
  <c r="CJ34" i="15"/>
  <c r="CJ33" i="15"/>
  <c r="CJ32" i="15"/>
  <c r="CJ31" i="15"/>
  <c r="CJ30" i="15"/>
  <c r="CJ38" i="15" s="1"/>
  <c r="CJ29" i="15"/>
  <c r="CJ44" i="15" s="1"/>
  <c r="CJ45" i="15" s="1"/>
  <c r="CK25" i="15"/>
  <c r="CK43" i="15" s="1"/>
  <c r="CJ26" i="15"/>
  <c r="CJ40" i="15" s="1"/>
  <c r="CJ59" i="15" l="1"/>
  <c r="CK26" i="15"/>
  <c r="CK37" i="15"/>
  <c r="CK36" i="15"/>
  <c r="CK35" i="15"/>
  <c r="CK34" i="15"/>
  <c r="CK33" i="15"/>
  <c r="CK32" i="15"/>
  <c r="CK31" i="15"/>
  <c r="CK30" i="15"/>
  <c r="CK29" i="15"/>
  <c r="CK44" i="15" s="1"/>
  <c r="CK45" i="15" s="1"/>
  <c r="CL25" i="15"/>
  <c r="CL43" i="15" s="1"/>
  <c r="CK38" i="15" l="1"/>
  <c r="CK40" i="15"/>
  <c r="CK59" i="15" s="1"/>
  <c r="CL37" i="15"/>
  <c r="CL36" i="15"/>
  <c r="CL35" i="15"/>
  <c r="CL34" i="15"/>
  <c r="CL33" i="15"/>
  <c r="CL32" i="15"/>
  <c r="CL31" i="15"/>
  <c r="CL30" i="15"/>
  <c r="CL38" i="15" s="1"/>
  <c r="CL29" i="15"/>
  <c r="CL44" i="15" s="1"/>
  <c r="CL45" i="15" s="1"/>
  <c r="CM25" i="15"/>
  <c r="CM43" i="15" s="1"/>
  <c r="CL26" i="15"/>
  <c r="CL40" i="15" s="1"/>
  <c r="CL59" i="15" l="1"/>
  <c r="CM26" i="15"/>
  <c r="CM37" i="15"/>
  <c r="CM36" i="15"/>
  <c r="CM35" i="15"/>
  <c r="CM34" i="15"/>
  <c r="CM33" i="15"/>
  <c r="CM32" i="15"/>
  <c r="CM31" i="15"/>
  <c r="CM30" i="15"/>
  <c r="CM29" i="15"/>
  <c r="CM44" i="15" s="1"/>
  <c r="CM45" i="15" s="1"/>
  <c r="CN25" i="15"/>
  <c r="CN43" i="15" s="1"/>
  <c r="CM38" i="15" l="1"/>
  <c r="CM40" i="15"/>
  <c r="CM59" i="15" s="1"/>
  <c r="CN37" i="15"/>
  <c r="CN36" i="15"/>
  <c r="CN35" i="15"/>
  <c r="CN34" i="15"/>
  <c r="CN33" i="15"/>
  <c r="CN32" i="15"/>
  <c r="CN31" i="15"/>
  <c r="CN30" i="15"/>
  <c r="CN38" i="15" s="1"/>
  <c r="CN29" i="15"/>
  <c r="CN44" i="15" s="1"/>
  <c r="CN45" i="15" s="1"/>
  <c r="CO25" i="15"/>
  <c r="CO43" i="15" s="1"/>
  <c r="CN26" i="15"/>
  <c r="CN40" i="15" s="1"/>
  <c r="CN59" i="15" l="1"/>
  <c r="CO26" i="15"/>
  <c r="CO37" i="15"/>
  <c r="CO36" i="15"/>
  <c r="CO35" i="15"/>
  <c r="CO34" i="15"/>
  <c r="CO33" i="15"/>
  <c r="CO32" i="15"/>
  <c r="CO31" i="15"/>
  <c r="CO30" i="15"/>
  <c r="CO29" i="15"/>
  <c r="CO44" i="15" s="1"/>
  <c r="CO45" i="15" s="1"/>
  <c r="CP25" i="15"/>
  <c r="CP43" i="15" s="1"/>
  <c r="CO38" i="15" l="1"/>
  <c r="CO40" i="15"/>
  <c r="CO59" i="15" s="1"/>
  <c r="CP37" i="15"/>
  <c r="CP36" i="15"/>
  <c r="CP35" i="15"/>
  <c r="CP34" i="15"/>
  <c r="CP33" i="15"/>
  <c r="CP32" i="15"/>
  <c r="CP31" i="15"/>
  <c r="CP30" i="15"/>
  <c r="CP38" i="15" s="1"/>
  <c r="CP29" i="15"/>
  <c r="CP44" i="15" s="1"/>
  <c r="CP45" i="15" s="1"/>
  <c r="CQ25" i="15"/>
  <c r="CQ43" i="15" s="1"/>
  <c r="CP26" i="15"/>
  <c r="CP40" i="15" s="1"/>
  <c r="CP59" i="15" l="1"/>
  <c r="CQ26" i="15"/>
  <c r="CQ37" i="15"/>
  <c r="CQ36" i="15"/>
  <c r="CQ35" i="15"/>
  <c r="CQ34" i="15"/>
  <c r="CQ33" i="15"/>
  <c r="CQ32" i="15"/>
  <c r="CQ31" i="15"/>
  <c r="CQ30" i="15"/>
  <c r="CQ29" i="15"/>
  <c r="CQ44" i="15" s="1"/>
  <c r="CQ45" i="15" s="1"/>
  <c r="CR25" i="15"/>
  <c r="CR43" i="15" s="1"/>
  <c r="CQ38" i="15" l="1"/>
  <c r="CQ40" i="15"/>
  <c r="CQ59" i="15" s="1"/>
  <c r="CR37" i="15"/>
  <c r="CR36" i="15"/>
  <c r="CR35" i="15"/>
  <c r="CR34" i="15"/>
  <c r="CR33" i="15"/>
  <c r="CR32" i="15"/>
  <c r="CR31" i="15"/>
  <c r="CR30" i="15"/>
  <c r="CR38" i="15" s="1"/>
  <c r="CR29" i="15"/>
  <c r="CR44" i="15" s="1"/>
  <c r="CR45" i="15" s="1"/>
  <c r="CS25" i="15"/>
  <c r="CS43" i="15" s="1"/>
  <c r="CR26" i="15"/>
  <c r="CR40" i="15" s="1"/>
  <c r="CR59" i="15" l="1"/>
  <c r="CS26" i="15"/>
  <c r="CS37" i="15"/>
  <c r="CS36" i="15"/>
  <c r="CS35" i="15"/>
  <c r="CS34" i="15"/>
  <c r="CS33" i="15"/>
  <c r="CS32" i="15"/>
  <c r="CS31" i="15"/>
  <c r="CS30" i="15"/>
  <c r="CS29" i="15"/>
  <c r="CS44" i="15" s="1"/>
  <c r="CS45" i="15" s="1"/>
  <c r="CT25" i="15"/>
  <c r="CT43" i="15" s="1"/>
  <c r="CS38" i="15" l="1"/>
  <c r="CS40" i="15"/>
  <c r="CS59" i="15" s="1"/>
  <c r="CT37" i="15"/>
  <c r="CT36" i="15"/>
  <c r="CT35" i="15"/>
  <c r="CT34" i="15"/>
  <c r="CT33" i="15"/>
  <c r="CT32" i="15"/>
  <c r="CT31" i="15"/>
  <c r="CT30" i="15"/>
  <c r="CT38" i="15" s="1"/>
  <c r="CT29" i="15"/>
  <c r="CT44" i="15" s="1"/>
  <c r="CT45" i="15" s="1"/>
  <c r="CU25" i="15"/>
  <c r="CU43" i="15" s="1"/>
  <c r="CT26" i="15"/>
  <c r="CT40" i="15" s="1"/>
  <c r="CT59" i="15" l="1"/>
  <c r="CU26" i="15"/>
  <c r="CU37" i="15"/>
  <c r="CU36" i="15"/>
  <c r="CU35" i="15"/>
  <c r="CU34" i="15"/>
  <c r="CU33" i="15"/>
  <c r="CU32" i="15"/>
  <c r="CU31" i="15"/>
  <c r="CU30" i="15"/>
  <c r="CU29" i="15"/>
  <c r="CU44" i="15" s="1"/>
  <c r="CU45" i="15" s="1"/>
  <c r="CV25" i="15"/>
  <c r="CV43" i="15" s="1"/>
  <c r="CU38" i="15" l="1"/>
  <c r="CU40" i="15"/>
  <c r="CU59" i="15" s="1"/>
  <c r="CV37" i="15"/>
  <c r="CV36" i="15"/>
  <c r="CV35" i="15"/>
  <c r="CV34" i="15"/>
  <c r="CV33" i="15"/>
  <c r="CV32" i="15"/>
  <c r="CV31" i="15"/>
  <c r="CV30" i="15"/>
  <c r="CV38" i="15" s="1"/>
  <c r="CV29" i="15"/>
  <c r="CV44" i="15" s="1"/>
  <c r="CV45" i="15" s="1"/>
  <c r="CW25" i="15"/>
  <c r="CW43" i="15" s="1"/>
  <c r="CV26" i="15"/>
  <c r="CV40" i="15" s="1"/>
  <c r="CV59" i="15" l="1"/>
  <c r="CW26" i="15"/>
  <c r="CW37" i="15"/>
  <c r="CW36" i="15"/>
  <c r="CW35" i="15"/>
  <c r="CW34" i="15"/>
  <c r="CW33" i="15"/>
  <c r="CW32" i="15"/>
  <c r="CW31" i="15"/>
  <c r="CW30" i="15"/>
  <c r="CW29" i="15"/>
  <c r="CW44" i="15" s="1"/>
  <c r="CW45" i="15" s="1"/>
  <c r="CX25" i="15"/>
  <c r="CX43" i="15" s="1"/>
  <c r="CW38" i="15" l="1"/>
  <c r="CW40" i="15"/>
  <c r="CW59" i="15" s="1"/>
  <c r="CX37" i="15"/>
  <c r="CX36" i="15"/>
  <c r="CX35" i="15"/>
  <c r="CX34" i="15"/>
  <c r="CX33" i="15"/>
  <c r="CX32" i="15"/>
  <c r="CX31" i="15"/>
  <c r="CX30" i="15"/>
  <c r="CX38" i="15" s="1"/>
  <c r="CX29" i="15"/>
  <c r="CX44" i="15" s="1"/>
  <c r="CX45" i="15" s="1"/>
  <c r="CY25" i="15"/>
  <c r="CY43" i="15" s="1"/>
  <c r="CX26" i="15"/>
  <c r="CX40" i="15" s="1"/>
  <c r="CX59" i="15" l="1"/>
  <c r="CY26" i="15"/>
  <c r="CY37" i="15"/>
  <c r="CY36" i="15"/>
  <c r="CY35" i="15"/>
  <c r="CY34" i="15"/>
  <c r="CY33" i="15"/>
  <c r="CY32" i="15"/>
  <c r="CY31" i="15"/>
  <c r="CY30" i="15"/>
  <c r="CY29" i="15"/>
  <c r="CY44" i="15" s="1"/>
  <c r="CY45" i="15" s="1"/>
  <c r="CZ25" i="15"/>
  <c r="CZ43" i="15" s="1"/>
  <c r="CY38" i="15" l="1"/>
  <c r="CY40" i="15"/>
  <c r="CY59" i="15" s="1"/>
  <c r="CZ37" i="15"/>
  <c r="CZ36" i="15"/>
  <c r="CZ35" i="15"/>
  <c r="CZ34" i="15"/>
  <c r="CZ33" i="15"/>
  <c r="CZ32" i="15"/>
  <c r="CZ31" i="15"/>
  <c r="CZ30" i="15"/>
  <c r="CZ38" i="15" s="1"/>
  <c r="CZ29" i="15"/>
  <c r="CZ44" i="15" s="1"/>
  <c r="CZ45" i="15" s="1"/>
  <c r="DA25" i="15"/>
  <c r="DA43" i="15" s="1"/>
  <c r="CZ26" i="15"/>
  <c r="CZ40" i="15" s="1"/>
  <c r="CZ59" i="15" l="1"/>
  <c r="DA26" i="15"/>
  <c r="DA37" i="15"/>
  <c r="DA36" i="15"/>
  <c r="DA35" i="15"/>
  <c r="DA34" i="15"/>
  <c r="DA33" i="15"/>
  <c r="DA32" i="15"/>
  <c r="DA31" i="15"/>
  <c r="DA30" i="15"/>
  <c r="DA29" i="15"/>
  <c r="DA44" i="15" s="1"/>
  <c r="DA45" i="15" s="1"/>
  <c r="DB25" i="15"/>
  <c r="DB43" i="15" s="1"/>
  <c r="DA38" i="15" l="1"/>
  <c r="DA40" i="15"/>
  <c r="DA59" i="15" s="1"/>
  <c r="DB37" i="15"/>
  <c r="DB36" i="15"/>
  <c r="DB35" i="15"/>
  <c r="DB34" i="15"/>
  <c r="DB33" i="15"/>
  <c r="DB32" i="15"/>
  <c r="DB31" i="15"/>
  <c r="DB30" i="15"/>
  <c r="DB38" i="15" s="1"/>
  <c r="DB29" i="15"/>
  <c r="DB44" i="15" s="1"/>
  <c r="DB45" i="15" s="1"/>
  <c r="DC25" i="15"/>
  <c r="DC43" i="15" s="1"/>
  <c r="DB26" i="15"/>
  <c r="DB40" i="15" s="1"/>
  <c r="DB59" i="15" l="1"/>
  <c r="DC26" i="15"/>
  <c r="DC37" i="15"/>
  <c r="DC36" i="15"/>
  <c r="DC35" i="15"/>
  <c r="DC34" i="15"/>
  <c r="DC33" i="15"/>
  <c r="DC32" i="15"/>
  <c r="DC31" i="15"/>
  <c r="DC30" i="15"/>
  <c r="DC29" i="15"/>
  <c r="DC44" i="15" s="1"/>
  <c r="DC45" i="15" s="1"/>
  <c r="DD25" i="15"/>
  <c r="DD43" i="15" s="1"/>
  <c r="DC38" i="15" l="1"/>
  <c r="DC40" i="15"/>
  <c r="DC59" i="15" s="1"/>
  <c r="DD37" i="15"/>
  <c r="DD36" i="15"/>
  <c r="DD35" i="15"/>
  <c r="DD34" i="15"/>
  <c r="DD33" i="15"/>
  <c r="DD32" i="15"/>
  <c r="DD31" i="15"/>
  <c r="DD30" i="15"/>
  <c r="DD38" i="15" s="1"/>
  <c r="DD29" i="15"/>
  <c r="DD44" i="15" s="1"/>
  <c r="DD45" i="15" s="1"/>
  <c r="DD26" i="15"/>
  <c r="DD40" i="15" s="1"/>
  <c r="DD59" i="15" l="1"/>
  <c r="N20" i="3"/>
  <c r="N19" i="3"/>
  <c r="N18" i="3"/>
  <c r="N17" i="3"/>
  <c r="N16" i="3"/>
  <c r="N15" i="3"/>
  <c r="N13" i="3"/>
  <c r="N11" i="3"/>
  <c r="C9" i="15" l="1"/>
  <c r="C19" i="15" s="1"/>
  <c r="C20" i="15" s="1"/>
  <c r="L46" i="15" l="1"/>
  <c r="P46" i="15"/>
  <c r="T46" i="15"/>
  <c r="X46" i="15"/>
  <c r="AB46" i="15"/>
  <c r="AF46" i="15"/>
  <c r="AJ46" i="15"/>
  <c r="AN46" i="15"/>
  <c r="AR46" i="15"/>
  <c r="AV46" i="15"/>
  <c r="AZ46" i="15"/>
  <c r="BD46" i="15"/>
  <c r="BH46" i="15"/>
  <c r="BL46" i="15"/>
  <c r="BP46" i="15"/>
  <c r="BT46" i="15"/>
  <c r="BX46" i="15"/>
  <c r="CB46" i="15"/>
  <c r="CF46" i="15"/>
  <c r="CJ46" i="15"/>
  <c r="CN46" i="15"/>
  <c r="CR46" i="15"/>
  <c r="CV46" i="15"/>
  <c r="DB46" i="15"/>
  <c r="M46" i="15"/>
  <c r="Q46" i="15"/>
  <c r="U46" i="15"/>
  <c r="Y46" i="15"/>
  <c r="AC46" i="15"/>
  <c r="AG46" i="15"/>
  <c r="AK46" i="15"/>
  <c r="AO46" i="15"/>
  <c r="AS46" i="15"/>
  <c r="AW46" i="15"/>
  <c r="BA46" i="15"/>
  <c r="BE46" i="15"/>
  <c r="BI46" i="15"/>
  <c r="BM46" i="15"/>
  <c r="BQ46" i="15"/>
  <c r="BU46" i="15"/>
  <c r="BY46" i="15"/>
  <c r="CC46" i="15"/>
  <c r="CG46" i="15"/>
  <c r="CK46" i="15"/>
  <c r="CO46" i="15"/>
  <c r="CS46" i="15"/>
  <c r="CW46" i="15"/>
  <c r="DA46" i="15"/>
  <c r="CZ46" i="15"/>
  <c r="J46" i="15"/>
  <c r="N46" i="15"/>
  <c r="R46" i="15"/>
  <c r="V46" i="15"/>
  <c r="Z46" i="15"/>
  <c r="AD46" i="15"/>
  <c r="AH46" i="15"/>
  <c r="AL46" i="15"/>
  <c r="AP46" i="15"/>
  <c r="AT46" i="15"/>
  <c r="AX46" i="15"/>
  <c r="BB46" i="15"/>
  <c r="BF46" i="15"/>
  <c r="BJ46" i="15"/>
  <c r="BN46" i="15"/>
  <c r="BR46" i="15"/>
  <c r="BV46" i="15"/>
  <c r="BZ46" i="15"/>
  <c r="CD46" i="15"/>
  <c r="CH46" i="15"/>
  <c r="CL46" i="15"/>
  <c r="CP46" i="15"/>
  <c r="CT46" i="15"/>
  <c r="CX46" i="15"/>
  <c r="K46" i="15"/>
  <c r="O46" i="15"/>
  <c r="S46" i="15"/>
  <c r="W46" i="15"/>
  <c r="AA46" i="15"/>
  <c r="AE46" i="15"/>
  <c r="AI46" i="15"/>
  <c r="AM46" i="15"/>
  <c r="AQ46" i="15"/>
  <c r="AU46" i="15"/>
  <c r="AY46" i="15"/>
  <c r="BC46" i="15"/>
  <c r="BG46" i="15"/>
  <c r="BK46" i="15"/>
  <c r="BO46" i="15"/>
  <c r="BS46" i="15"/>
  <c r="BW46" i="15"/>
  <c r="CA46" i="15"/>
  <c r="CE46" i="15"/>
  <c r="CI46" i="15"/>
  <c r="CM46" i="15"/>
  <c r="CQ46" i="15"/>
  <c r="CU46" i="15"/>
  <c r="CY46" i="15"/>
  <c r="DC46" i="15"/>
  <c r="DD46" i="15"/>
  <c r="C46" i="15"/>
  <c r="H12" i="15" l="1"/>
  <c r="C18" i="15"/>
  <c r="H11" i="15"/>
  <c r="J23" i="15"/>
  <c r="C21" i="15"/>
  <c r="C40" i="22" l="1"/>
  <c r="K41" i="15"/>
  <c r="K42" i="15" s="1"/>
  <c r="L41" i="15"/>
  <c r="L42" i="15" s="1"/>
  <c r="M41" i="15"/>
  <c r="M42" i="15" s="1"/>
  <c r="N41" i="15"/>
  <c r="N42" i="15" s="1"/>
  <c r="O41" i="15"/>
  <c r="O42" i="15" s="1"/>
  <c r="P41" i="15"/>
  <c r="P42" i="15" s="1"/>
  <c r="Q41" i="15"/>
  <c r="Q42" i="15" s="1"/>
  <c r="R41" i="15"/>
  <c r="R42" i="15" s="1"/>
  <c r="S41" i="15"/>
  <c r="S42" i="15" s="1"/>
  <c r="T41" i="15"/>
  <c r="T42" i="15" s="1"/>
  <c r="U41" i="15"/>
  <c r="U42" i="15" s="1"/>
  <c r="V41" i="15"/>
  <c r="V42" i="15" s="1"/>
  <c r="W41" i="15"/>
  <c r="W42" i="15" s="1"/>
  <c r="X41" i="15"/>
  <c r="X42" i="15" s="1"/>
  <c r="Y41" i="15"/>
  <c r="Y42" i="15" s="1"/>
  <c r="Z41" i="15"/>
  <c r="Z42" i="15" s="1"/>
  <c r="AA41" i="15"/>
  <c r="AA42" i="15" s="1"/>
  <c r="AB41" i="15"/>
  <c r="AB42" i="15" s="1"/>
  <c r="AC41" i="15"/>
  <c r="AC42" i="15" s="1"/>
  <c r="AD41" i="15"/>
  <c r="AD42" i="15" s="1"/>
  <c r="AE41" i="15"/>
  <c r="AE42" i="15" s="1"/>
  <c r="AF41" i="15"/>
  <c r="AF42" i="15" s="1"/>
  <c r="AG41" i="15"/>
  <c r="AG42" i="15" s="1"/>
  <c r="AH41" i="15"/>
  <c r="AH42" i="15" s="1"/>
  <c r="AI41" i="15"/>
  <c r="AI42" i="15" s="1"/>
  <c r="AJ41" i="15"/>
  <c r="AJ42" i="15" s="1"/>
  <c r="AK41" i="15"/>
  <c r="AK42" i="15" s="1"/>
  <c r="AL41" i="15"/>
  <c r="AL42" i="15" s="1"/>
  <c r="AM41" i="15"/>
  <c r="AM42" i="15" s="1"/>
  <c r="AN41" i="15"/>
  <c r="AN42" i="15" s="1"/>
  <c r="AO41" i="15"/>
  <c r="AO42" i="15" s="1"/>
  <c r="AP41" i="15"/>
  <c r="AP42" i="15" s="1"/>
  <c r="AQ41" i="15"/>
  <c r="AQ42" i="15" s="1"/>
  <c r="AR41" i="15"/>
  <c r="AR42" i="15" s="1"/>
  <c r="AS41" i="15"/>
  <c r="AS42" i="15" s="1"/>
  <c r="AT41" i="15"/>
  <c r="AT42" i="15" s="1"/>
  <c r="AU41" i="15"/>
  <c r="AU42" i="15" s="1"/>
  <c r="AV41" i="15"/>
  <c r="AV42" i="15" s="1"/>
  <c r="AW41" i="15"/>
  <c r="AW42" i="15" s="1"/>
  <c r="AX41" i="15"/>
  <c r="AX42" i="15" s="1"/>
  <c r="AY41" i="15"/>
  <c r="AY42" i="15" s="1"/>
  <c r="AZ41" i="15"/>
  <c r="AZ42" i="15" s="1"/>
  <c r="BA41" i="15"/>
  <c r="BA42" i="15" s="1"/>
  <c r="BB41" i="15"/>
  <c r="BB42" i="15" s="1"/>
  <c r="BC41" i="15"/>
  <c r="BC42" i="15" s="1"/>
  <c r="BD41" i="15"/>
  <c r="BD42" i="15" s="1"/>
  <c r="BE41" i="15"/>
  <c r="BE42" i="15" s="1"/>
  <c r="BF41" i="15"/>
  <c r="BF42" i="15" s="1"/>
  <c r="BG41" i="15"/>
  <c r="BG42" i="15" s="1"/>
  <c r="BH41" i="15"/>
  <c r="BH42" i="15" s="1"/>
  <c r="BI41" i="15"/>
  <c r="BI42" i="15" s="1"/>
  <c r="BJ41" i="15"/>
  <c r="BJ42" i="15" s="1"/>
  <c r="BK41" i="15"/>
  <c r="BK42" i="15" s="1"/>
  <c r="BL41" i="15"/>
  <c r="BL42" i="15" s="1"/>
  <c r="BM41" i="15"/>
  <c r="BM42" i="15" s="1"/>
  <c r="BN41" i="15"/>
  <c r="BN42" i="15" s="1"/>
  <c r="BO41" i="15"/>
  <c r="BO42" i="15" s="1"/>
  <c r="BP41" i="15"/>
  <c r="BP42" i="15" s="1"/>
  <c r="BQ41" i="15"/>
  <c r="BQ42" i="15" s="1"/>
  <c r="BR41" i="15"/>
  <c r="BR42" i="15" s="1"/>
  <c r="BS41" i="15"/>
  <c r="BS42" i="15" s="1"/>
  <c r="BT41" i="15"/>
  <c r="BT42" i="15" s="1"/>
  <c r="BU41" i="15"/>
  <c r="BU42" i="15" s="1"/>
  <c r="BV41" i="15"/>
  <c r="BV42" i="15" s="1"/>
  <c r="BW41" i="15"/>
  <c r="BW42" i="15" s="1"/>
  <c r="BX41" i="15"/>
  <c r="BX42" i="15" s="1"/>
  <c r="BY41" i="15"/>
  <c r="BY42" i="15" s="1"/>
  <c r="BZ41" i="15"/>
  <c r="BZ42" i="15" s="1"/>
  <c r="CA41" i="15"/>
  <c r="CA42" i="15" s="1"/>
  <c r="CB41" i="15"/>
  <c r="CB42" i="15" s="1"/>
  <c r="CC41" i="15"/>
  <c r="CC42" i="15" s="1"/>
  <c r="CD41" i="15"/>
  <c r="CD42" i="15" s="1"/>
  <c r="CE41" i="15"/>
  <c r="CE42" i="15" s="1"/>
  <c r="CF41" i="15"/>
  <c r="CF42" i="15" s="1"/>
  <c r="CG41" i="15"/>
  <c r="CG42" i="15" s="1"/>
  <c r="CH41" i="15"/>
  <c r="CH42" i="15" s="1"/>
  <c r="CI41" i="15"/>
  <c r="CI42" i="15" s="1"/>
  <c r="CJ41" i="15"/>
  <c r="CJ42" i="15" s="1"/>
  <c r="CK41" i="15"/>
  <c r="CK42" i="15" s="1"/>
  <c r="CL41" i="15"/>
  <c r="CL42" i="15" s="1"/>
  <c r="CM41" i="15"/>
  <c r="CM42" i="15" s="1"/>
  <c r="CN41" i="15"/>
  <c r="CN42" i="15" s="1"/>
  <c r="CO41" i="15"/>
  <c r="CO42" i="15" s="1"/>
  <c r="CP41" i="15"/>
  <c r="CP42" i="15" s="1"/>
  <c r="CQ41" i="15"/>
  <c r="CQ42" i="15" s="1"/>
  <c r="CR41" i="15"/>
  <c r="CR42" i="15" s="1"/>
  <c r="CS41" i="15"/>
  <c r="CS42" i="15" s="1"/>
  <c r="CT41" i="15"/>
  <c r="CT42" i="15" s="1"/>
  <c r="CU41" i="15"/>
  <c r="CU42" i="15" s="1"/>
  <c r="CV41" i="15"/>
  <c r="CV42" i="15" s="1"/>
  <c r="CW41" i="15"/>
  <c r="CW42" i="15" s="1"/>
  <c r="CX41" i="15"/>
  <c r="CX42" i="15" s="1"/>
  <c r="CY41" i="15"/>
  <c r="CY42" i="15" s="1"/>
  <c r="CZ41" i="15"/>
  <c r="CZ42" i="15" s="1"/>
  <c r="DA41" i="15"/>
  <c r="DA42" i="15" s="1"/>
  <c r="DB41" i="15"/>
  <c r="DB42" i="15" s="1"/>
  <c r="DC41" i="15"/>
  <c r="DC42" i="15" s="1"/>
  <c r="DD41" i="15"/>
  <c r="DD42" i="15" s="1"/>
  <c r="J41" i="15"/>
  <c r="C41" i="15"/>
  <c r="C41" i="22" l="1"/>
  <c r="C58" i="22" s="1"/>
  <c r="DD62" i="15"/>
  <c r="DD63" i="15" s="1"/>
  <c r="DD48" i="15" s="1"/>
  <c r="DD49" i="15" s="1"/>
  <c r="DB62" i="15"/>
  <c r="DB63" i="15" s="1"/>
  <c r="DB48" i="15" s="1"/>
  <c r="DB49" i="15" s="1"/>
  <c r="CZ62" i="15"/>
  <c r="CZ63" i="15" s="1"/>
  <c r="CZ48" i="15" s="1"/>
  <c r="CZ49" i="15" s="1"/>
  <c r="CX62" i="15"/>
  <c r="CX63" i="15" s="1"/>
  <c r="CX48" i="15" s="1"/>
  <c r="CX49" i="15" s="1"/>
  <c r="CV62" i="15"/>
  <c r="CV63" i="15" s="1"/>
  <c r="CV48" i="15" s="1"/>
  <c r="CV49" i="15" s="1"/>
  <c r="CT62" i="15"/>
  <c r="CT63" i="15" s="1"/>
  <c r="CT48" i="15" s="1"/>
  <c r="CT49" i="15" s="1"/>
  <c r="CR62" i="15"/>
  <c r="CR63" i="15" s="1"/>
  <c r="CR48" i="15" s="1"/>
  <c r="CR49" i="15" s="1"/>
  <c r="CP62" i="15"/>
  <c r="CP63" i="15" s="1"/>
  <c r="CP48" i="15" s="1"/>
  <c r="CP49" i="15" s="1"/>
  <c r="CL62" i="15"/>
  <c r="CL63" i="15" s="1"/>
  <c r="CL48" i="15" s="1"/>
  <c r="CL49" i="15" s="1"/>
  <c r="CJ62" i="15"/>
  <c r="CJ63" i="15" s="1"/>
  <c r="CJ48" i="15" s="1"/>
  <c r="CJ49" i="15" s="1"/>
  <c r="CH62" i="15"/>
  <c r="CH63" i="15" s="1"/>
  <c r="CH48" i="15" s="1"/>
  <c r="CH49" i="15" s="1"/>
  <c r="CF62" i="15"/>
  <c r="CF63" i="15" s="1"/>
  <c r="CF48" i="15" s="1"/>
  <c r="CF49" i="15" s="1"/>
  <c r="CD62" i="15"/>
  <c r="CD63" i="15" s="1"/>
  <c r="CD48" i="15" s="1"/>
  <c r="CD49" i="15" s="1"/>
  <c r="CB62" i="15"/>
  <c r="CB63" i="15" s="1"/>
  <c r="CB48" i="15" s="1"/>
  <c r="CB49" i="15" s="1"/>
  <c r="BZ62" i="15"/>
  <c r="BZ63" i="15" s="1"/>
  <c r="BZ48" i="15" s="1"/>
  <c r="BZ49" i="15" s="1"/>
  <c r="BX62" i="15"/>
  <c r="BX63" i="15" s="1"/>
  <c r="BX48" i="15" s="1"/>
  <c r="BX49" i="15" s="1"/>
  <c r="BV62" i="15"/>
  <c r="BV63" i="15" s="1"/>
  <c r="BV48" i="15" s="1"/>
  <c r="BV49" i="15" s="1"/>
  <c r="BT62" i="15"/>
  <c r="BT63" i="15" s="1"/>
  <c r="BT48" i="15" s="1"/>
  <c r="BT49" i="15" s="1"/>
  <c r="BR62" i="15"/>
  <c r="BR63" i="15" s="1"/>
  <c r="BR48" i="15" s="1"/>
  <c r="BR49" i="15" s="1"/>
  <c r="BP62" i="15"/>
  <c r="BP63" i="15" s="1"/>
  <c r="BP48" i="15" s="1"/>
  <c r="BP49" i="15" s="1"/>
  <c r="BN62" i="15"/>
  <c r="BN63" i="15" s="1"/>
  <c r="BN48" i="15" s="1"/>
  <c r="BN49" i="15" s="1"/>
  <c r="BJ62" i="15"/>
  <c r="BJ63" i="15" s="1"/>
  <c r="BJ48" i="15" s="1"/>
  <c r="BJ49" i="15" s="1"/>
  <c r="BH62" i="15"/>
  <c r="BH63" i="15" s="1"/>
  <c r="BH48" i="15" s="1"/>
  <c r="BH49" i="15" s="1"/>
  <c r="BF62" i="15"/>
  <c r="BF63" i="15" s="1"/>
  <c r="BF48" i="15" s="1"/>
  <c r="BF49" i="15" s="1"/>
  <c r="BD62" i="15"/>
  <c r="BD63" i="15" s="1"/>
  <c r="BD48" i="15" s="1"/>
  <c r="BD49" i="15" s="1"/>
  <c r="BB62" i="15"/>
  <c r="BB63" i="15" s="1"/>
  <c r="BB48" i="15" s="1"/>
  <c r="BB49" i="15" s="1"/>
  <c r="AZ62" i="15"/>
  <c r="AZ63" i="15" s="1"/>
  <c r="AZ48" i="15" s="1"/>
  <c r="AZ49" i="15" s="1"/>
  <c r="AX62" i="15"/>
  <c r="AX63" i="15" s="1"/>
  <c r="AX48" i="15" s="1"/>
  <c r="AX49" i="15" s="1"/>
  <c r="AV62" i="15"/>
  <c r="AV63" i="15" s="1"/>
  <c r="AV48" i="15" s="1"/>
  <c r="AV49" i="15" s="1"/>
  <c r="AT62" i="15"/>
  <c r="AT63" i="15" s="1"/>
  <c r="AT48" i="15" s="1"/>
  <c r="AT49" i="15" s="1"/>
  <c r="AR62" i="15"/>
  <c r="AR63" i="15" s="1"/>
  <c r="AR48" i="15" s="1"/>
  <c r="AR49" i="15" s="1"/>
  <c r="AP62" i="15"/>
  <c r="AP63" i="15" s="1"/>
  <c r="AP48" i="15" s="1"/>
  <c r="AP49" i="15" s="1"/>
  <c r="AN62" i="15"/>
  <c r="AN63" i="15" s="1"/>
  <c r="AN48" i="15" s="1"/>
  <c r="AN49" i="15" s="1"/>
  <c r="AL62" i="15"/>
  <c r="AL63" i="15" s="1"/>
  <c r="AL48" i="15" s="1"/>
  <c r="AL49" i="15" s="1"/>
  <c r="AJ62" i="15"/>
  <c r="AJ63" i="15" s="1"/>
  <c r="AJ48" i="15" s="1"/>
  <c r="AJ49" i="15" s="1"/>
  <c r="AH62" i="15"/>
  <c r="AH63" i="15" s="1"/>
  <c r="AH48" i="15" s="1"/>
  <c r="AH49" i="15" s="1"/>
  <c r="AF62" i="15"/>
  <c r="AF63" i="15" s="1"/>
  <c r="AF48" i="15" s="1"/>
  <c r="AF49" i="15" s="1"/>
  <c r="AD62" i="15"/>
  <c r="AD63" i="15" s="1"/>
  <c r="AD48" i="15" s="1"/>
  <c r="AD49" i="15" s="1"/>
  <c r="AB62" i="15"/>
  <c r="AB63" i="15" s="1"/>
  <c r="AB48" i="15" s="1"/>
  <c r="AB49" i="15" s="1"/>
  <c r="Z62" i="15"/>
  <c r="Z63" i="15" s="1"/>
  <c r="Z48" i="15" s="1"/>
  <c r="Z49" i="15" s="1"/>
  <c r="X62" i="15"/>
  <c r="X63" i="15" s="1"/>
  <c r="X48" i="15" s="1"/>
  <c r="X49" i="15" s="1"/>
  <c r="V62" i="15"/>
  <c r="V63" i="15" s="1"/>
  <c r="V48" i="15" s="1"/>
  <c r="V49" i="15" s="1"/>
  <c r="T62" i="15"/>
  <c r="T63" i="15" s="1"/>
  <c r="T48" i="15" s="1"/>
  <c r="T49" i="15" s="1"/>
  <c r="R62" i="15"/>
  <c r="R63" i="15" s="1"/>
  <c r="R48" i="15" s="1"/>
  <c r="R49" i="15" s="1"/>
  <c r="P62" i="15"/>
  <c r="P63" i="15" s="1"/>
  <c r="P48" i="15" s="1"/>
  <c r="P49" i="15" s="1"/>
  <c r="N62" i="15"/>
  <c r="N63" i="15" s="1"/>
  <c r="N48" i="15" s="1"/>
  <c r="N49" i="15" s="1"/>
  <c r="C42" i="15"/>
  <c r="J42" i="15"/>
  <c r="J62" i="15" s="1"/>
  <c r="J63" i="15" s="1"/>
  <c r="J48" i="15" s="1"/>
  <c r="J49" i="15" s="1"/>
  <c r="DC62" i="15"/>
  <c r="DC63" i="15" s="1"/>
  <c r="DC48" i="15" s="1"/>
  <c r="DC49" i="15" s="1"/>
  <c r="DA62" i="15"/>
  <c r="DA63" i="15" s="1"/>
  <c r="DA48" i="15" s="1"/>
  <c r="DA49" i="15" s="1"/>
  <c r="CY62" i="15"/>
  <c r="CY63" i="15" s="1"/>
  <c r="CY48" i="15" s="1"/>
  <c r="CY49" i="15" s="1"/>
  <c r="CW62" i="15"/>
  <c r="CW63" i="15" s="1"/>
  <c r="CW48" i="15" s="1"/>
  <c r="CW49" i="15" s="1"/>
  <c r="CU62" i="15"/>
  <c r="CU63" i="15" s="1"/>
  <c r="CU48" i="15" s="1"/>
  <c r="CU49" i="15" s="1"/>
  <c r="CS62" i="15"/>
  <c r="CS63" i="15" s="1"/>
  <c r="CS48" i="15" s="1"/>
  <c r="CS49" i="15" s="1"/>
  <c r="CQ62" i="15"/>
  <c r="CQ63" i="15" s="1"/>
  <c r="CQ48" i="15" s="1"/>
  <c r="CQ49" i="15" s="1"/>
  <c r="CO62" i="15"/>
  <c r="CO63" i="15" s="1"/>
  <c r="CO48" i="15" s="1"/>
  <c r="CO49" i="15" s="1"/>
  <c r="CM62" i="15"/>
  <c r="CM63" i="15" s="1"/>
  <c r="CM48" i="15" s="1"/>
  <c r="CM49" i="15" s="1"/>
  <c r="CK62" i="15"/>
  <c r="CK63" i="15" s="1"/>
  <c r="CK48" i="15" s="1"/>
  <c r="CK49" i="15" s="1"/>
  <c r="CI62" i="15"/>
  <c r="CI63" i="15" s="1"/>
  <c r="CI48" i="15" s="1"/>
  <c r="CI49" i="15" s="1"/>
  <c r="CG62" i="15"/>
  <c r="CG63" i="15" s="1"/>
  <c r="CG48" i="15" s="1"/>
  <c r="CG49" i="15" s="1"/>
  <c r="CE62" i="15"/>
  <c r="CE63" i="15" s="1"/>
  <c r="CE48" i="15" s="1"/>
  <c r="CE49" i="15" s="1"/>
  <c r="CC62" i="15"/>
  <c r="CC63" i="15" s="1"/>
  <c r="CC48" i="15" s="1"/>
  <c r="CC49" i="15" s="1"/>
  <c r="CA62" i="15"/>
  <c r="CA63" i="15" s="1"/>
  <c r="CA48" i="15" s="1"/>
  <c r="CA49" i="15" s="1"/>
  <c r="BY62" i="15"/>
  <c r="BY63" i="15" s="1"/>
  <c r="BY48" i="15" s="1"/>
  <c r="BY49" i="15" s="1"/>
  <c r="BW62" i="15"/>
  <c r="BW63" i="15" s="1"/>
  <c r="BW48" i="15" s="1"/>
  <c r="BW49" i="15" s="1"/>
  <c r="BS62" i="15"/>
  <c r="BS63" i="15" s="1"/>
  <c r="BS48" i="15" s="1"/>
  <c r="BS49" i="15" s="1"/>
  <c r="BQ62" i="15"/>
  <c r="BQ63" i="15" s="1"/>
  <c r="BQ48" i="15" s="1"/>
  <c r="BQ49" i="15" s="1"/>
  <c r="BM62" i="15"/>
  <c r="BM63" i="15" s="1"/>
  <c r="BM48" i="15" s="1"/>
  <c r="BM49" i="15" s="1"/>
  <c r="BK62" i="15"/>
  <c r="BK63" i="15" s="1"/>
  <c r="BK48" i="15" s="1"/>
  <c r="BK49" i="15" s="1"/>
  <c r="BI62" i="15"/>
  <c r="BI63" i="15" s="1"/>
  <c r="BI48" i="15" s="1"/>
  <c r="BI49" i="15" s="1"/>
  <c r="BG62" i="15"/>
  <c r="BG63" i="15" s="1"/>
  <c r="BG48" i="15" s="1"/>
  <c r="BG49" i="15" s="1"/>
  <c r="BC62" i="15"/>
  <c r="BC63" i="15" s="1"/>
  <c r="BC48" i="15" s="1"/>
  <c r="BC49" i="15" s="1"/>
  <c r="AY62" i="15"/>
  <c r="AY63" i="15" s="1"/>
  <c r="AY48" i="15" s="1"/>
  <c r="AY49" i="15" s="1"/>
  <c r="AW62" i="15"/>
  <c r="AW63" i="15" s="1"/>
  <c r="AW48" i="15" s="1"/>
  <c r="AW49" i="15" s="1"/>
  <c r="AU62" i="15"/>
  <c r="AU63" i="15" s="1"/>
  <c r="AU48" i="15" s="1"/>
  <c r="AU49" i="15" s="1"/>
  <c r="AS62" i="15"/>
  <c r="AS63" i="15" s="1"/>
  <c r="AS48" i="15" s="1"/>
  <c r="AS49" i="15" s="1"/>
  <c r="AQ62" i="15"/>
  <c r="AQ63" i="15" s="1"/>
  <c r="AQ48" i="15" s="1"/>
  <c r="AQ49" i="15" s="1"/>
  <c r="AO62" i="15"/>
  <c r="AO63" i="15" s="1"/>
  <c r="AO48" i="15" s="1"/>
  <c r="AO49" i="15" s="1"/>
  <c r="AM62" i="15"/>
  <c r="AM63" i="15" s="1"/>
  <c r="AM48" i="15" s="1"/>
  <c r="AM49" i="15" s="1"/>
  <c r="AK62" i="15"/>
  <c r="AK63" i="15" s="1"/>
  <c r="AK48" i="15" s="1"/>
  <c r="AK49" i="15" s="1"/>
  <c r="AI62" i="15"/>
  <c r="AI63" i="15" s="1"/>
  <c r="AI48" i="15" s="1"/>
  <c r="AI49" i="15" s="1"/>
  <c r="AG62" i="15"/>
  <c r="AG63" i="15" s="1"/>
  <c r="AG48" i="15" s="1"/>
  <c r="AG49" i="15" s="1"/>
  <c r="AE62" i="15"/>
  <c r="AE63" i="15" s="1"/>
  <c r="AE48" i="15" s="1"/>
  <c r="AE49" i="15" s="1"/>
  <c r="AC62" i="15"/>
  <c r="AC63" i="15" s="1"/>
  <c r="AC48" i="15" s="1"/>
  <c r="AC49" i="15" s="1"/>
  <c r="AA62" i="15"/>
  <c r="AA63" i="15" s="1"/>
  <c r="AA48" i="15" s="1"/>
  <c r="AA49" i="15" s="1"/>
  <c r="Y62" i="15"/>
  <c r="Y63" i="15" s="1"/>
  <c r="Y48" i="15" s="1"/>
  <c r="Y49" i="15" s="1"/>
  <c r="W62" i="15"/>
  <c r="W63" i="15" s="1"/>
  <c r="W48" i="15" s="1"/>
  <c r="W49" i="15" s="1"/>
  <c r="U62" i="15"/>
  <c r="U63" i="15" s="1"/>
  <c r="U48" i="15" s="1"/>
  <c r="U49" i="15" s="1"/>
  <c r="S62" i="15"/>
  <c r="S63" i="15" s="1"/>
  <c r="S48" i="15" s="1"/>
  <c r="S49" i="15" s="1"/>
  <c r="Q62" i="15"/>
  <c r="Q63" i="15" s="1"/>
  <c r="Q48" i="15" s="1"/>
  <c r="Q49" i="15" s="1"/>
  <c r="O62" i="15"/>
  <c r="O63" i="15" s="1"/>
  <c r="O48" i="15" s="1"/>
  <c r="O49" i="15" s="1"/>
  <c r="M62" i="15"/>
  <c r="M63" i="15" s="1"/>
  <c r="M48" i="15" s="1"/>
  <c r="M49" i="15" s="1"/>
  <c r="L62" i="15"/>
  <c r="L63" i="15" s="1"/>
  <c r="L48" i="15" s="1"/>
  <c r="L49" i="15" s="1"/>
  <c r="K62" i="15"/>
  <c r="K63" i="15" s="1"/>
  <c r="K48" i="15" s="1"/>
  <c r="K49" i="15" s="1"/>
  <c r="C45" i="22" l="1"/>
  <c r="K50" i="15"/>
  <c r="K47" i="15" s="1"/>
  <c r="K51" i="15" s="1"/>
  <c r="K52" i="15" s="1"/>
  <c r="K53" i="15" s="1"/>
  <c r="K54" i="15" s="1"/>
  <c r="K55" i="15" s="1"/>
  <c r="M50" i="15"/>
  <c r="M47" i="15" s="1"/>
  <c r="M51" i="15" s="1"/>
  <c r="M52" i="15" s="1"/>
  <c r="M53" i="15" s="1"/>
  <c r="Q50" i="15"/>
  <c r="Q47" i="15" s="1"/>
  <c r="Q51" i="15" s="1"/>
  <c r="Q52" i="15" s="1"/>
  <c r="Q53" i="15" s="1"/>
  <c r="Q54" i="15" s="1"/>
  <c r="Q55" i="15" s="1"/>
  <c r="U50" i="15"/>
  <c r="U47" i="15" s="1"/>
  <c r="U51" i="15" s="1"/>
  <c r="U52" i="15" s="1"/>
  <c r="U53" i="15" s="1"/>
  <c r="U54" i="15" s="1"/>
  <c r="U55" i="15" s="1"/>
  <c r="Y50" i="15"/>
  <c r="Y47" i="15" s="1"/>
  <c r="Y51" i="15" s="1"/>
  <c r="Y52" i="15" s="1"/>
  <c r="Y53" i="15" s="1"/>
  <c r="Y54" i="15" s="1"/>
  <c r="Y55" i="15" s="1"/>
  <c r="AC50" i="15"/>
  <c r="AC47" i="15" s="1"/>
  <c r="AC51" i="15" s="1"/>
  <c r="AC52" i="15" s="1"/>
  <c r="AC53" i="15" s="1"/>
  <c r="AC54" i="15" s="1"/>
  <c r="AC55" i="15" s="1"/>
  <c r="AG50" i="15"/>
  <c r="AG47" i="15" s="1"/>
  <c r="AG51" i="15" s="1"/>
  <c r="AG52" i="15" s="1"/>
  <c r="AG53" i="15" s="1"/>
  <c r="AG54" i="15" s="1"/>
  <c r="AG55" i="15" s="1"/>
  <c r="AK50" i="15"/>
  <c r="AK47" i="15" s="1"/>
  <c r="AK51" i="15" s="1"/>
  <c r="AK52" i="15" s="1"/>
  <c r="AK53" i="15" s="1"/>
  <c r="AK54" i="15" s="1"/>
  <c r="AK55" i="15" s="1"/>
  <c r="AO50" i="15"/>
  <c r="AO47" i="15" s="1"/>
  <c r="AO51" i="15" s="1"/>
  <c r="AO52" i="15" s="1"/>
  <c r="AO53" i="15" s="1"/>
  <c r="AO54" i="15" s="1"/>
  <c r="AO55" i="15" s="1"/>
  <c r="AS50" i="15"/>
  <c r="AS47" i="15" s="1"/>
  <c r="AS51" i="15" s="1"/>
  <c r="AS52" i="15" s="1"/>
  <c r="AS53" i="15" s="1"/>
  <c r="AS54" i="15" s="1"/>
  <c r="AS55" i="15" s="1"/>
  <c r="AW50" i="15"/>
  <c r="AW47" i="15" s="1"/>
  <c r="AW51" i="15" s="1"/>
  <c r="AW52" i="15" s="1"/>
  <c r="AW53" i="15" s="1"/>
  <c r="AW54" i="15" s="1"/>
  <c r="AW55" i="15" s="1"/>
  <c r="BC50" i="15"/>
  <c r="BC47" i="15" s="1"/>
  <c r="BC51" i="15" s="1"/>
  <c r="BC52" i="15" s="1"/>
  <c r="BC53" i="15" s="1"/>
  <c r="BC54" i="15" s="1"/>
  <c r="BC55" i="15" s="1"/>
  <c r="BI50" i="15"/>
  <c r="BI47" i="15" s="1"/>
  <c r="BI51" i="15" s="1"/>
  <c r="BI52" i="15" s="1"/>
  <c r="BI53" i="15" s="1"/>
  <c r="BI54" i="15" s="1"/>
  <c r="BI55" i="15" s="1"/>
  <c r="BM50" i="15"/>
  <c r="BM47" i="15" s="1"/>
  <c r="BM51" i="15" s="1"/>
  <c r="BM52" i="15" s="1"/>
  <c r="BM53" i="15" s="1"/>
  <c r="BM54" i="15" s="1"/>
  <c r="BM55" i="15" s="1"/>
  <c r="BS50" i="15"/>
  <c r="BS47" i="15" s="1"/>
  <c r="BS51" i="15" s="1"/>
  <c r="BS52" i="15" s="1"/>
  <c r="BS53" i="15" s="1"/>
  <c r="BS54" i="15" s="1"/>
  <c r="BS55" i="15" s="1"/>
  <c r="BY50" i="15"/>
  <c r="BY47" i="15" s="1"/>
  <c r="BY51" i="15" s="1"/>
  <c r="BY52" i="15" s="1"/>
  <c r="BY53" i="15" s="1"/>
  <c r="BY54" i="15" s="1"/>
  <c r="BY55" i="15" s="1"/>
  <c r="CC50" i="15"/>
  <c r="CC47" i="15" s="1"/>
  <c r="CC51" i="15" s="1"/>
  <c r="CC52" i="15" s="1"/>
  <c r="CC53" i="15" s="1"/>
  <c r="CC54" i="15" s="1"/>
  <c r="CC55" i="15" s="1"/>
  <c r="CG50" i="15"/>
  <c r="CG47" i="15" s="1"/>
  <c r="CG51" i="15" s="1"/>
  <c r="CG52" i="15" s="1"/>
  <c r="CG53" i="15" s="1"/>
  <c r="CG54" i="15" s="1"/>
  <c r="CG55" i="15" s="1"/>
  <c r="CK50" i="15"/>
  <c r="CK47" i="15" s="1"/>
  <c r="CK51" i="15" s="1"/>
  <c r="CK52" i="15" s="1"/>
  <c r="CK53" i="15" s="1"/>
  <c r="CK54" i="15" s="1"/>
  <c r="CK55" i="15" s="1"/>
  <c r="CO50" i="15"/>
  <c r="CO47" i="15" s="1"/>
  <c r="CO51" i="15" s="1"/>
  <c r="CO52" i="15" s="1"/>
  <c r="CO53" i="15" s="1"/>
  <c r="CO54" i="15" s="1"/>
  <c r="CO55" i="15" s="1"/>
  <c r="CS50" i="15"/>
  <c r="CS47" i="15" s="1"/>
  <c r="CS51" i="15" s="1"/>
  <c r="CS52" i="15" s="1"/>
  <c r="CS53" i="15" s="1"/>
  <c r="CS54" i="15" s="1"/>
  <c r="CS55" i="15" s="1"/>
  <c r="CW50" i="15"/>
  <c r="CW47" i="15" s="1"/>
  <c r="CW51" i="15" s="1"/>
  <c r="CW52" i="15" s="1"/>
  <c r="CW53" i="15" s="1"/>
  <c r="CW54" i="15" s="1"/>
  <c r="CW55" i="15" s="1"/>
  <c r="DA50" i="15"/>
  <c r="DA47" i="15" s="1"/>
  <c r="DA51" i="15" s="1"/>
  <c r="DA52" i="15" s="1"/>
  <c r="DA53" i="15" s="1"/>
  <c r="DA54" i="15" s="1"/>
  <c r="DA55" i="15" s="1"/>
  <c r="P50" i="15"/>
  <c r="P47" i="15" s="1"/>
  <c r="P51" i="15" s="1"/>
  <c r="P52" i="15" s="1"/>
  <c r="P53" i="15" s="1"/>
  <c r="P54" i="15" s="1"/>
  <c r="P55" i="15" s="1"/>
  <c r="T50" i="15"/>
  <c r="T47" i="15" s="1"/>
  <c r="T51" i="15" s="1"/>
  <c r="T52" i="15" s="1"/>
  <c r="T53" i="15" s="1"/>
  <c r="T54" i="15" s="1"/>
  <c r="T55" i="15" s="1"/>
  <c r="X50" i="15"/>
  <c r="X47" i="15" s="1"/>
  <c r="X51" i="15" s="1"/>
  <c r="X52" i="15" s="1"/>
  <c r="X53" i="15" s="1"/>
  <c r="X54" i="15" s="1"/>
  <c r="X55" i="15" s="1"/>
  <c r="AB50" i="15"/>
  <c r="AB47" i="15" s="1"/>
  <c r="AB51" i="15" s="1"/>
  <c r="AB52" i="15" s="1"/>
  <c r="AB53" i="15" s="1"/>
  <c r="AB54" i="15" s="1"/>
  <c r="AB55" i="15" s="1"/>
  <c r="AF50" i="15"/>
  <c r="AF47" i="15" s="1"/>
  <c r="AF51" i="15" s="1"/>
  <c r="AF52" i="15" s="1"/>
  <c r="AF53" i="15" s="1"/>
  <c r="AF54" i="15" s="1"/>
  <c r="AF55" i="15" s="1"/>
  <c r="AJ50" i="15"/>
  <c r="AJ47" i="15" s="1"/>
  <c r="AJ51" i="15" s="1"/>
  <c r="AJ52" i="15" s="1"/>
  <c r="AJ53" i="15" s="1"/>
  <c r="AJ54" i="15" s="1"/>
  <c r="AJ55" i="15" s="1"/>
  <c r="AN50" i="15"/>
  <c r="AN47" i="15" s="1"/>
  <c r="AN51" i="15" s="1"/>
  <c r="AN52" i="15" s="1"/>
  <c r="AN53" i="15" s="1"/>
  <c r="AN54" i="15" s="1"/>
  <c r="AN55" i="15" s="1"/>
  <c r="AR50" i="15"/>
  <c r="AR47" i="15" s="1"/>
  <c r="AR51" i="15" s="1"/>
  <c r="AR52" i="15" s="1"/>
  <c r="AR53" i="15" s="1"/>
  <c r="AR54" i="15" s="1"/>
  <c r="AR55" i="15" s="1"/>
  <c r="AV50" i="15"/>
  <c r="AV47" i="15" s="1"/>
  <c r="AV51" i="15" s="1"/>
  <c r="AV52" i="15" s="1"/>
  <c r="AV53" i="15" s="1"/>
  <c r="AV54" i="15" s="1"/>
  <c r="AV55" i="15" s="1"/>
  <c r="AZ50" i="15"/>
  <c r="AZ47" i="15" s="1"/>
  <c r="AZ51" i="15" s="1"/>
  <c r="AZ52" i="15" s="1"/>
  <c r="AZ53" i="15" s="1"/>
  <c r="AZ54" i="15" s="1"/>
  <c r="AZ55" i="15" s="1"/>
  <c r="BD50" i="15"/>
  <c r="BD47" i="15" s="1"/>
  <c r="BD51" i="15" s="1"/>
  <c r="BD52" i="15" s="1"/>
  <c r="BD53" i="15" s="1"/>
  <c r="BD54" i="15" s="1"/>
  <c r="BD55" i="15" s="1"/>
  <c r="BH50" i="15"/>
  <c r="BH47" i="15" s="1"/>
  <c r="BH51" i="15" s="1"/>
  <c r="BH52" i="15" s="1"/>
  <c r="BH53" i="15" s="1"/>
  <c r="BH54" i="15" s="1"/>
  <c r="BH55" i="15" s="1"/>
  <c r="BN50" i="15"/>
  <c r="BN47" i="15" s="1"/>
  <c r="BN51" i="15" s="1"/>
  <c r="BN52" i="15" s="1"/>
  <c r="BN53" i="15" s="1"/>
  <c r="BN54" i="15" s="1"/>
  <c r="BN55" i="15" s="1"/>
  <c r="BR50" i="15"/>
  <c r="BR47" i="15" s="1"/>
  <c r="BR51" i="15" s="1"/>
  <c r="BR52" i="15" s="1"/>
  <c r="BR53" i="15" s="1"/>
  <c r="BR54" i="15" s="1"/>
  <c r="BR55" i="15" s="1"/>
  <c r="BV50" i="15"/>
  <c r="BV47" i="15" s="1"/>
  <c r="BV51" i="15" s="1"/>
  <c r="BV52" i="15" s="1"/>
  <c r="BV53" i="15" s="1"/>
  <c r="BV54" i="15" s="1"/>
  <c r="BV55" i="15" s="1"/>
  <c r="BZ50" i="15"/>
  <c r="BZ47" i="15" s="1"/>
  <c r="BZ51" i="15" s="1"/>
  <c r="BZ52" i="15" s="1"/>
  <c r="BZ53" i="15" s="1"/>
  <c r="BZ54" i="15" s="1"/>
  <c r="BZ55" i="15" s="1"/>
  <c r="CD50" i="15"/>
  <c r="CD47" i="15" s="1"/>
  <c r="CD51" i="15" s="1"/>
  <c r="CD52" i="15" s="1"/>
  <c r="CD53" i="15" s="1"/>
  <c r="CD54" i="15" s="1"/>
  <c r="CD55" i="15" s="1"/>
  <c r="CH50" i="15"/>
  <c r="CH47" i="15" s="1"/>
  <c r="CH51" i="15" s="1"/>
  <c r="CH52" i="15" s="1"/>
  <c r="CH53" i="15" s="1"/>
  <c r="CH54" i="15" s="1"/>
  <c r="CH55" i="15" s="1"/>
  <c r="CL50" i="15"/>
  <c r="CL47" i="15" s="1"/>
  <c r="CL51" i="15" s="1"/>
  <c r="CL52" i="15" s="1"/>
  <c r="CL53" i="15" s="1"/>
  <c r="CL54" i="15" s="1"/>
  <c r="CL55" i="15" s="1"/>
  <c r="CR50" i="15"/>
  <c r="CR47" i="15" s="1"/>
  <c r="CR51" i="15" s="1"/>
  <c r="CR52" i="15" s="1"/>
  <c r="CR53" i="15" s="1"/>
  <c r="CR54" i="15" s="1"/>
  <c r="CR55" i="15" s="1"/>
  <c r="CV50" i="15"/>
  <c r="CV47" i="15" s="1"/>
  <c r="CV51" i="15" s="1"/>
  <c r="CV52" i="15" s="1"/>
  <c r="CV53" i="15" s="1"/>
  <c r="CV54" i="15" s="1"/>
  <c r="CV55" i="15" s="1"/>
  <c r="CZ50" i="15"/>
  <c r="CZ47" i="15" s="1"/>
  <c r="CZ51" i="15" s="1"/>
  <c r="CZ52" i="15" s="1"/>
  <c r="CZ53" i="15" s="1"/>
  <c r="CZ54" i="15" s="1"/>
  <c r="CZ55" i="15" s="1"/>
  <c r="DD50" i="15"/>
  <c r="DD47" i="15" s="1"/>
  <c r="DD51" i="15" s="1"/>
  <c r="DD52" i="15" s="1"/>
  <c r="DD53" i="15" s="1"/>
  <c r="DD54" i="15" s="1"/>
  <c r="DD55" i="15" s="1"/>
  <c r="L50" i="15"/>
  <c r="L47" i="15" s="1"/>
  <c r="L51" i="15" s="1"/>
  <c r="L52" i="15" s="1"/>
  <c r="L53" i="15" s="1"/>
  <c r="L54" i="15" s="1"/>
  <c r="L55" i="15" s="1"/>
  <c r="O50" i="15"/>
  <c r="O47" i="15" s="1"/>
  <c r="O51" i="15" s="1"/>
  <c r="O52" i="15" s="1"/>
  <c r="O53" i="15" s="1"/>
  <c r="O54" i="15" s="1"/>
  <c r="O55" i="15" s="1"/>
  <c r="S50" i="15"/>
  <c r="S47" i="15" s="1"/>
  <c r="S51" i="15" s="1"/>
  <c r="S52" i="15" s="1"/>
  <c r="S53" i="15" s="1"/>
  <c r="S54" i="15" s="1"/>
  <c r="S55" i="15" s="1"/>
  <c r="W50" i="15"/>
  <c r="W47" i="15" s="1"/>
  <c r="W51" i="15" s="1"/>
  <c r="W52" i="15" s="1"/>
  <c r="W53" i="15" s="1"/>
  <c r="W54" i="15" s="1"/>
  <c r="W55" i="15" s="1"/>
  <c r="AA50" i="15"/>
  <c r="AA47" i="15" s="1"/>
  <c r="AA51" i="15" s="1"/>
  <c r="AA52" i="15" s="1"/>
  <c r="AA53" i="15" s="1"/>
  <c r="AA54" i="15" s="1"/>
  <c r="AA55" i="15" s="1"/>
  <c r="AE50" i="15"/>
  <c r="AE47" i="15" s="1"/>
  <c r="AE51" i="15" s="1"/>
  <c r="AE52" i="15" s="1"/>
  <c r="AE53" i="15" s="1"/>
  <c r="AE54" i="15" s="1"/>
  <c r="AE55" i="15" s="1"/>
  <c r="AI50" i="15"/>
  <c r="AI47" i="15" s="1"/>
  <c r="AI51" i="15" s="1"/>
  <c r="AI52" i="15" s="1"/>
  <c r="AI53" i="15" s="1"/>
  <c r="AI54" i="15" s="1"/>
  <c r="AI55" i="15" s="1"/>
  <c r="AM50" i="15"/>
  <c r="AM47" i="15" s="1"/>
  <c r="AM51" i="15" s="1"/>
  <c r="AM52" i="15" s="1"/>
  <c r="AM53" i="15" s="1"/>
  <c r="AM54" i="15" s="1"/>
  <c r="AM55" i="15" s="1"/>
  <c r="AQ50" i="15"/>
  <c r="AQ47" i="15" s="1"/>
  <c r="AQ51" i="15" s="1"/>
  <c r="AQ52" i="15" s="1"/>
  <c r="AQ53" i="15" s="1"/>
  <c r="AQ54" i="15" s="1"/>
  <c r="AQ55" i="15" s="1"/>
  <c r="AU50" i="15"/>
  <c r="AU47" i="15" s="1"/>
  <c r="AU51" i="15" s="1"/>
  <c r="AU52" i="15" s="1"/>
  <c r="AU53" i="15" s="1"/>
  <c r="AU54" i="15" s="1"/>
  <c r="AU55" i="15" s="1"/>
  <c r="AY50" i="15"/>
  <c r="AY47" i="15" s="1"/>
  <c r="AY51" i="15" s="1"/>
  <c r="AY52" i="15" s="1"/>
  <c r="AY53" i="15" s="1"/>
  <c r="AY54" i="15" s="1"/>
  <c r="AY55" i="15" s="1"/>
  <c r="BG50" i="15"/>
  <c r="BG47" i="15" s="1"/>
  <c r="BG51" i="15" s="1"/>
  <c r="BG52" i="15" s="1"/>
  <c r="BG53" i="15" s="1"/>
  <c r="BG54" i="15" s="1"/>
  <c r="BG55" i="15" s="1"/>
  <c r="BK50" i="15"/>
  <c r="BK47" i="15" s="1"/>
  <c r="BK51" i="15" s="1"/>
  <c r="BK52" i="15" s="1"/>
  <c r="BK53" i="15" s="1"/>
  <c r="BK54" i="15" s="1"/>
  <c r="BK55" i="15" s="1"/>
  <c r="BQ50" i="15"/>
  <c r="BQ47" i="15" s="1"/>
  <c r="BQ51" i="15" s="1"/>
  <c r="BQ52" i="15" s="1"/>
  <c r="BQ53" i="15" s="1"/>
  <c r="BQ54" i="15" s="1"/>
  <c r="BQ55" i="15" s="1"/>
  <c r="BW50" i="15"/>
  <c r="BW47" i="15" s="1"/>
  <c r="BW51" i="15" s="1"/>
  <c r="BW52" i="15" s="1"/>
  <c r="BW53" i="15" s="1"/>
  <c r="CA50" i="15"/>
  <c r="CA47" i="15" s="1"/>
  <c r="CA51" i="15" s="1"/>
  <c r="CA52" i="15" s="1"/>
  <c r="CA53" i="15" s="1"/>
  <c r="CA54" i="15" s="1"/>
  <c r="CA55" i="15" s="1"/>
  <c r="CE50" i="15"/>
  <c r="CE47" i="15" s="1"/>
  <c r="CE51" i="15" s="1"/>
  <c r="CE52" i="15" s="1"/>
  <c r="CE53" i="15" s="1"/>
  <c r="CE54" i="15" s="1"/>
  <c r="CE55" i="15" s="1"/>
  <c r="CI50" i="15"/>
  <c r="CI47" i="15" s="1"/>
  <c r="CI51" i="15" s="1"/>
  <c r="CI52" i="15" s="1"/>
  <c r="CI53" i="15" s="1"/>
  <c r="CI54" i="15" s="1"/>
  <c r="CI55" i="15" s="1"/>
  <c r="CM50" i="15"/>
  <c r="CM47" i="15" s="1"/>
  <c r="CM51" i="15" s="1"/>
  <c r="CM52" i="15" s="1"/>
  <c r="CM53" i="15" s="1"/>
  <c r="CM54" i="15" s="1"/>
  <c r="CM55" i="15" s="1"/>
  <c r="CQ50" i="15"/>
  <c r="CQ47" i="15" s="1"/>
  <c r="CQ51" i="15" s="1"/>
  <c r="CQ52" i="15" s="1"/>
  <c r="CQ53" i="15" s="1"/>
  <c r="CQ54" i="15" s="1"/>
  <c r="CQ55" i="15" s="1"/>
  <c r="CU50" i="15"/>
  <c r="CU47" i="15" s="1"/>
  <c r="CU51" i="15" s="1"/>
  <c r="CU52" i="15" s="1"/>
  <c r="CU53" i="15" s="1"/>
  <c r="CU54" i="15" s="1"/>
  <c r="CU55" i="15" s="1"/>
  <c r="CY50" i="15"/>
  <c r="CY47" i="15" s="1"/>
  <c r="CY51" i="15" s="1"/>
  <c r="CY52" i="15" s="1"/>
  <c r="CY53" i="15" s="1"/>
  <c r="CY54" i="15" s="1"/>
  <c r="CY55" i="15" s="1"/>
  <c r="DC50" i="15"/>
  <c r="DC47" i="15" s="1"/>
  <c r="DC51" i="15" s="1"/>
  <c r="DC52" i="15" s="1"/>
  <c r="DC53" i="15" s="1"/>
  <c r="DC54" i="15" s="1"/>
  <c r="DC55" i="15" s="1"/>
  <c r="J50" i="15"/>
  <c r="J47" i="15" s="1"/>
  <c r="J51" i="15" s="1"/>
  <c r="J52" i="15" s="1"/>
  <c r="J53" i="15" s="1"/>
  <c r="J54" i="15" s="1"/>
  <c r="J55" i="15" s="1"/>
  <c r="N50" i="15"/>
  <c r="N47" i="15" s="1"/>
  <c r="N51" i="15" s="1"/>
  <c r="N52" i="15" s="1"/>
  <c r="N53" i="15" s="1"/>
  <c r="N54" i="15" s="1"/>
  <c r="N55" i="15" s="1"/>
  <c r="R50" i="15"/>
  <c r="R47" i="15" s="1"/>
  <c r="R51" i="15" s="1"/>
  <c r="R52" i="15" s="1"/>
  <c r="R53" i="15" s="1"/>
  <c r="R54" i="15" s="1"/>
  <c r="R55" i="15" s="1"/>
  <c r="V50" i="15"/>
  <c r="V47" i="15" s="1"/>
  <c r="V51" i="15" s="1"/>
  <c r="V52" i="15" s="1"/>
  <c r="V53" i="15" s="1"/>
  <c r="V54" i="15" s="1"/>
  <c r="V55" i="15" s="1"/>
  <c r="Z50" i="15"/>
  <c r="Z47" i="15" s="1"/>
  <c r="Z51" i="15" s="1"/>
  <c r="Z52" i="15" s="1"/>
  <c r="Z53" i="15" s="1"/>
  <c r="Z54" i="15" s="1"/>
  <c r="Z55" i="15" s="1"/>
  <c r="AD50" i="15"/>
  <c r="AD47" i="15" s="1"/>
  <c r="AD51" i="15" s="1"/>
  <c r="AD52" i="15" s="1"/>
  <c r="AD53" i="15" s="1"/>
  <c r="AD54" i="15" s="1"/>
  <c r="AD55" i="15" s="1"/>
  <c r="AH50" i="15"/>
  <c r="AH47" i="15" s="1"/>
  <c r="AH51" i="15" s="1"/>
  <c r="AH52" i="15" s="1"/>
  <c r="AH53" i="15" s="1"/>
  <c r="AH54" i="15" s="1"/>
  <c r="AH55" i="15" s="1"/>
  <c r="AL50" i="15"/>
  <c r="AL47" i="15" s="1"/>
  <c r="AL51" i="15" s="1"/>
  <c r="AL52" i="15" s="1"/>
  <c r="AL53" i="15" s="1"/>
  <c r="AL54" i="15" s="1"/>
  <c r="AL55" i="15" s="1"/>
  <c r="AP50" i="15"/>
  <c r="AP47" i="15" s="1"/>
  <c r="AP51" i="15" s="1"/>
  <c r="AP52" i="15" s="1"/>
  <c r="AP53" i="15" s="1"/>
  <c r="AP54" i="15" s="1"/>
  <c r="AP55" i="15" s="1"/>
  <c r="AT50" i="15"/>
  <c r="AT47" i="15" s="1"/>
  <c r="AT51" i="15" s="1"/>
  <c r="AT52" i="15" s="1"/>
  <c r="AT53" i="15" s="1"/>
  <c r="AT54" i="15" s="1"/>
  <c r="AT55" i="15" s="1"/>
  <c r="AX50" i="15"/>
  <c r="AX47" i="15" s="1"/>
  <c r="AX51" i="15" s="1"/>
  <c r="AX52" i="15" s="1"/>
  <c r="AX53" i="15" s="1"/>
  <c r="AX54" i="15" s="1"/>
  <c r="AX55" i="15" s="1"/>
  <c r="BB50" i="15"/>
  <c r="BB47" i="15" s="1"/>
  <c r="BB51" i="15" s="1"/>
  <c r="BB52" i="15" s="1"/>
  <c r="BB53" i="15" s="1"/>
  <c r="BB54" i="15" s="1"/>
  <c r="BB55" i="15" s="1"/>
  <c r="BF50" i="15"/>
  <c r="BF47" i="15" s="1"/>
  <c r="BF51" i="15" s="1"/>
  <c r="BF52" i="15" s="1"/>
  <c r="BF53" i="15" s="1"/>
  <c r="BF54" i="15" s="1"/>
  <c r="BF55" i="15" s="1"/>
  <c r="BJ50" i="15"/>
  <c r="BJ47" i="15" s="1"/>
  <c r="BJ51" i="15" s="1"/>
  <c r="BJ52" i="15" s="1"/>
  <c r="BJ53" i="15" s="1"/>
  <c r="BJ54" i="15" s="1"/>
  <c r="BJ55" i="15" s="1"/>
  <c r="BP50" i="15"/>
  <c r="BP47" i="15" s="1"/>
  <c r="BP51" i="15" s="1"/>
  <c r="BP52" i="15" s="1"/>
  <c r="BP53" i="15" s="1"/>
  <c r="BP54" i="15" s="1"/>
  <c r="BP55" i="15" s="1"/>
  <c r="BT50" i="15"/>
  <c r="BT47" i="15" s="1"/>
  <c r="BT51" i="15" s="1"/>
  <c r="BT52" i="15" s="1"/>
  <c r="BT53" i="15" s="1"/>
  <c r="BT54" i="15" s="1"/>
  <c r="BT55" i="15" s="1"/>
  <c r="BX50" i="15"/>
  <c r="BX47" i="15" s="1"/>
  <c r="BX51" i="15" s="1"/>
  <c r="BX52" i="15" s="1"/>
  <c r="BX53" i="15" s="1"/>
  <c r="BX54" i="15" s="1"/>
  <c r="BX55" i="15" s="1"/>
  <c r="CB50" i="15"/>
  <c r="CB47" i="15" s="1"/>
  <c r="CB51" i="15" s="1"/>
  <c r="CB52" i="15" s="1"/>
  <c r="CB53" i="15" s="1"/>
  <c r="CB54" i="15" s="1"/>
  <c r="CB55" i="15" s="1"/>
  <c r="CF50" i="15"/>
  <c r="CF47" i="15" s="1"/>
  <c r="CF51" i="15" s="1"/>
  <c r="CF52" i="15" s="1"/>
  <c r="CF53" i="15" s="1"/>
  <c r="CF54" i="15" s="1"/>
  <c r="CF55" i="15" s="1"/>
  <c r="CJ50" i="15"/>
  <c r="CJ47" i="15" s="1"/>
  <c r="CJ51" i="15" s="1"/>
  <c r="CJ52" i="15" s="1"/>
  <c r="CJ53" i="15" s="1"/>
  <c r="CJ54" i="15" s="1"/>
  <c r="CJ55" i="15" s="1"/>
  <c r="CP50" i="15"/>
  <c r="CP47" i="15" s="1"/>
  <c r="CP51" i="15" s="1"/>
  <c r="CP52" i="15" s="1"/>
  <c r="CP53" i="15" s="1"/>
  <c r="CP54" i="15" s="1"/>
  <c r="CP55" i="15" s="1"/>
  <c r="CT50" i="15"/>
  <c r="CT47" i="15" s="1"/>
  <c r="CT51" i="15" s="1"/>
  <c r="CT52" i="15" s="1"/>
  <c r="CT53" i="15" s="1"/>
  <c r="CT54" i="15" s="1"/>
  <c r="CT55" i="15" s="1"/>
  <c r="CX50" i="15"/>
  <c r="CX47" i="15" s="1"/>
  <c r="CX51" i="15" s="1"/>
  <c r="CX52" i="15" s="1"/>
  <c r="CX53" i="15" s="1"/>
  <c r="CX54" i="15" s="1"/>
  <c r="CX55" i="15" s="1"/>
  <c r="DB50" i="15"/>
  <c r="DB47" i="15" s="1"/>
  <c r="DB51" i="15" s="1"/>
  <c r="DB52" i="15" s="1"/>
  <c r="DB53" i="15" s="1"/>
  <c r="DB54" i="15" s="1"/>
  <c r="DB55" i="15" s="1"/>
  <c r="C62" i="15"/>
  <c r="C63" i="15" s="1"/>
  <c r="C48" i="15" s="1"/>
  <c r="C49" i="15" s="1"/>
  <c r="BW54" i="15"/>
  <c r="BW55" i="15" s="1"/>
  <c r="M54" i="15"/>
  <c r="M55" i="15" s="1"/>
  <c r="BA62" i="15"/>
  <c r="BA63" i="15" s="1"/>
  <c r="BA48" i="15" s="1"/>
  <c r="BA49" i="15" s="1"/>
  <c r="BE62" i="15"/>
  <c r="BE63" i="15" s="1"/>
  <c r="BE48" i="15" s="1"/>
  <c r="BE49" i="15" s="1"/>
  <c r="BO62" i="15"/>
  <c r="BO63" i="15" s="1"/>
  <c r="BO48" i="15" s="1"/>
  <c r="BO49" i="15" s="1"/>
  <c r="BU62" i="15"/>
  <c r="BU63" i="15" s="1"/>
  <c r="BU48" i="15" s="1"/>
  <c r="BU49" i="15" s="1"/>
  <c r="BL62" i="15"/>
  <c r="BL63" i="15" s="1"/>
  <c r="BL48" i="15" s="1"/>
  <c r="BL49" i="15" s="1"/>
  <c r="CN62" i="15"/>
  <c r="CN63" i="15" s="1"/>
  <c r="CN48" i="15" s="1"/>
  <c r="CN49" i="15" s="1"/>
  <c r="E89" i="22" l="1"/>
  <c r="C91" i="22"/>
  <c r="J91" i="22" s="1"/>
  <c r="C50" i="15"/>
  <c r="C47" i="15" s="1"/>
  <c r="C51" i="15" s="1"/>
  <c r="C52" i="15" s="1"/>
  <c r="C53" i="15" s="1"/>
  <c r="C54" i="15" s="1"/>
  <c r="C55" i="15" s="1"/>
  <c r="CN50" i="15"/>
  <c r="CN47" i="15" s="1"/>
  <c r="CN51" i="15" s="1"/>
  <c r="CN52" i="15" s="1"/>
  <c r="CN53" i="15" s="1"/>
  <c r="CN54" i="15" s="1"/>
  <c r="CN55" i="15" s="1"/>
  <c r="BE50" i="15"/>
  <c r="BE47" i="15" s="1"/>
  <c r="BE51" i="15" s="1"/>
  <c r="BE52" i="15" s="1"/>
  <c r="BE53" i="15" s="1"/>
  <c r="BE54" i="15" s="1"/>
  <c r="BL50" i="15"/>
  <c r="BL47" i="15" s="1"/>
  <c r="BL51" i="15" s="1"/>
  <c r="BL52" i="15" s="1"/>
  <c r="BL53" i="15" s="1"/>
  <c r="BL54" i="15" s="1"/>
  <c r="BL55" i="15" s="1"/>
  <c r="BO50" i="15"/>
  <c r="BO47" i="15" s="1"/>
  <c r="BO51" i="15" s="1"/>
  <c r="BO52" i="15" s="1"/>
  <c r="BO53" i="15" s="1"/>
  <c r="BO54" i="15" s="1"/>
  <c r="BO55" i="15" s="1"/>
  <c r="BA50" i="15"/>
  <c r="BA47" i="15" s="1"/>
  <c r="BA51" i="15" s="1"/>
  <c r="BA52" i="15" s="1"/>
  <c r="BA53" i="15" s="1"/>
  <c r="BA54" i="15" s="1"/>
  <c r="BA55" i="15" s="1"/>
  <c r="BU50" i="15"/>
  <c r="BU47" i="15" s="1"/>
  <c r="BU51" i="15" s="1"/>
  <c r="BU52" i="15" s="1"/>
  <c r="BU53" i="15" s="1"/>
  <c r="BU54" i="15" s="1"/>
  <c r="BU55" i="15" s="1"/>
  <c r="I89" i="22" l="1"/>
  <c r="J89" i="22" s="1"/>
  <c r="E90" i="22"/>
  <c r="H90" i="22" s="1"/>
  <c r="I90" i="22" s="1"/>
  <c r="J90" i="22" s="1"/>
  <c r="BE55" i="15"/>
  <c r="J92" i="22" l="1"/>
  <c r="J93" i="22" s="1"/>
  <c r="J94" i="22" s="1"/>
  <c r="L6" i="3" l="1"/>
  <c r="L7" i="3" s="1"/>
  <c r="C14" i="15" l="1"/>
  <c r="C16" i="15" s="1"/>
  <c r="M58" i="15"/>
  <c r="U58" i="15"/>
  <c r="AC58" i="15"/>
  <c r="AK58" i="15"/>
  <c r="AS58" i="15"/>
  <c r="BC58" i="15"/>
  <c r="BM58" i="15"/>
  <c r="BY58" i="15"/>
  <c r="CG58" i="15"/>
  <c r="CO58" i="15"/>
  <c r="CW58" i="15"/>
  <c r="T58" i="15"/>
  <c r="AB58" i="15"/>
  <c r="AJ58" i="15"/>
  <c r="AR58" i="15"/>
  <c r="AZ58" i="15"/>
  <c r="BH58" i="15"/>
  <c r="BR58" i="15"/>
  <c r="BZ58" i="15"/>
  <c r="CH58" i="15"/>
  <c r="CR58" i="15"/>
  <c r="CZ58" i="15"/>
  <c r="S58" i="15"/>
  <c r="AA58" i="15"/>
  <c r="AI58" i="15"/>
  <c r="AQ58" i="15"/>
  <c r="AY58" i="15"/>
  <c r="BK58" i="15"/>
  <c r="BW58" i="15"/>
  <c r="CE58" i="15"/>
  <c r="CM58" i="15"/>
  <c r="CU58" i="15"/>
  <c r="DC58" i="15"/>
  <c r="N58" i="15"/>
  <c r="V58" i="15"/>
  <c r="AD58" i="15"/>
  <c r="AL58" i="15"/>
  <c r="AT58" i="15"/>
  <c r="BB58" i="15"/>
  <c r="BJ58" i="15"/>
  <c r="BT58" i="15"/>
  <c r="CB58" i="15"/>
  <c r="CJ58" i="15"/>
  <c r="CT58" i="15"/>
  <c r="DB58" i="15"/>
  <c r="K58" i="15"/>
  <c r="Q58" i="15"/>
  <c r="Y58" i="15"/>
  <c r="AG58" i="15"/>
  <c r="AO58" i="15"/>
  <c r="AW58" i="15"/>
  <c r="BI58" i="15"/>
  <c r="BS58" i="15"/>
  <c r="CC58" i="15"/>
  <c r="CK58" i="15"/>
  <c r="CS58" i="15"/>
  <c r="DA58" i="15"/>
  <c r="P58" i="15"/>
  <c r="X58" i="15"/>
  <c r="AF58" i="15"/>
  <c r="AN58" i="15"/>
  <c r="AV58" i="15"/>
  <c r="BD58" i="15"/>
  <c r="BN58" i="15"/>
  <c r="BV58" i="15"/>
  <c r="CD58" i="15"/>
  <c r="CL58" i="15"/>
  <c r="CV58" i="15"/>
  <c r="DD58" i="15"/>
  <c r="L58" i="15"/>
  <c r="O58" i="15"/>
  <c r="W58" i="15"/>
  <c r="AE58" i="15"/>
  <c r="AM58" i="15"/>
  <c r="AU58" i="15"/>
  <c r="BG58" i="15"/>
  <c r="BQ58" i="15"/>
  <c r="CA58" i="15"/>
  <c r="CI58" i="15"/>
  <c r="CQ58" i="15"/>
  <c r="CY58" i="15"/>
  <c r="J58" i="15"/>
  <c r="R58" i="15"/>
  <c r="Z58" i="15"/>
  <c r="AH58" i="15"/>
  <c r="AP58" i="15"/>
  <c r="AX58" i="15"/>
  <c r="BF58" i="15"/>
  <c r="BP58" i="15"/>
  <c r="BX58" i="15"/>
  <c r="CF58" i="15"/>
  <c r="CP58" i="15"/>
  <c r="CX58" i="15"/>
  <c r="C58" i="15"/>
  <c r="BE58" i="15"/>
  <c r="BO58" i="15"/>
  <c r="BU58" i="15"/>
  <c r="CN58" i="15"/>
  <c r="BL58" i="15"/>
  <c r="BA58" i="15"/>
  <c r="L57" i="15" l="1"/>
  <c r="L60" i="15" s="1"/>
  <c r="BU57" i="15"/>
  <c r="BU60" i="15" s="1"/>
  <c r="BO57" i="15"/>
  <c r="BO60" i="15" s="1"/>
  <c r="BE57" i="15"/>
  <c r="BE60" i="15" s="1"/>
  <c r="CW57" i="15"/>
  <c r="CW60" i="15" s="1"/>
  <c r="CO57" i="15"/>
  <c r="CO60" i="15" s="1"/>
  <c r="CG57" i="15"/>
  <c r="CG60" i="15" s="1"/>
  <c r="BY57" i="15"/>
  <c r="BY60" i="15" s="1"/>
  <c r="BM57" i="15"/>
  <c r="BM60" i="15" s="1"/>
  <c r="BC57" i="15"/>
  <c r="BC60" i="15" s="1"/>
  <c r="AS57" i="15"/>
  <c r="AS60" i="15" s="1"/>
  <c r="AK57" i="15"/>
  <c r="AK60" i="15" s="1"/>
  <c r="AC57" i="15"/>
  <c r="AC60" i="15" s="1"/>
  <c r="G27" i="17" s="1"/>
  <c r="U57" i="15"/>
  <c r="U60" i="15" s="1"/>
  <c r="M57" i="15"/>
  <c r="M60" i="15" s="1"/>
  <c r="C57" i="15"/>
  <c r="C60" i="15" s="1"/>
  <c r="BA57" i="15"/>
  <c r="BA60" i="15" s="1"/>
  <c r="BL57" i="15"/>
  <c r="BL60" i="15" s="1"/>
  <c r="CN57" i="15"/>
  <c r="CN60" i="15" s="1"/>
  <c r="DB57" i="15"/>
  <c r="DB60" i="15" s="1"/>
  <c r="CT57" i="15"/>
  <c r="CT60" i="15" s="1"/>
  <c r="CJ57" i="15"/>
  <c r="CJ60" i="15" s="1"/>
  <c r="CB57" i="15"/>
  <c r="CB60" i="15" s="1"/>
  <c r="BT57" i="15"/>
  <c r="BT60" i="15" s="1"/>
  <c r="BJ57" i="15"/>
  <c r="BJ60" i="15" s="1"/>
  <c r="BB57" i="15"/>
  <c r="BB60" i="15" s="1"/>
  <c r="AT57" i="15"/>
  <c r="AT60" i="15" s="1"/>
  <c r="AL57" i="15"/>
  <c r="AL60" i="15" s="1"/>
  <c r="AD57" i="15"/>
  <c r="AD60" i="15" s="1"/>
  <c r="V57" i="15"/>
  <c r="V60" i="15" s="1"/>
  <c r="N57" i="15"/>
  <c r="N60" i="15" s="1"/>
  <c r="DC57" i="15"/>
  <c r="DC60" i="15" s="1"/>
  <c r="CU57" i="15"/>
  <c r="CU60" i="15" s="1"/>
  <c r="N27" i="17" s="1"/>
  <c r="CM57" i="15"/>
  <c r="CM60" i="15" s="1"/>
  <c r="CE57" i="15"/>
  <c r="CE60" i="15" s="1"/>
  <c r="BW57" i="15"/>
  <c r="BW60" i="15" s="1"/>
  <c r="BK57" i="15"/>
  <c r="BK60" i="15" s="1"/>
  <c r="AY57" i="15"/>
  <c r="AY60" i="15" s="1"/>
  <c r="AQ57" i="15"/>
  <c r="AQ60" i="15" s="1"/>
  <c r="AI57" i="15"/>
  <c r="AI60" i="15" s="1"/>
  <c r="AA57" i="15"/>
  <c r="AA60" i="15" s="1"/>
  <c r="S57" i="15"/>
  <c r="S60" i="15" s="1"/>
  <c r="F27" i="17" s="1"/>
  <c r="CZ57" i="15"/>
  <c r="CZ60" i="15" s="1"/>
  <c r="CR57" i="15"/>
  <c r="CR60" i="15" s="1"/>
  <c r="CH57" i="15"/>
  <c r="CH60" i="15" s="1"/>
  <c r="BZ57" i="15"/>
  <c r="BZ60" i="15" s="1"/>
  <c r="BR57" i="15"/>
  <c r="BR60" i="15" s="1"/>
  <c r="BH57" i="15"/>
  <c r="BH60" i="15" s="1"/>
  <c r="AZ57" i="15"/>
  <c r="AZ60" i="15" s="1"/>
  <c r="AR57" i="15"/>
  <c r="AR60" i="15" s="1"/>
  <c r="AJ57" i="15"/>
  <c r="AJ60" i="15" s="1"/>
  <c r="AB57" i="15"/>
  <c r="AB60" i="15" s="1"/>
  <c r="T57" i="15"/>
  <c r="T60" i="15" s="1"/>
  <c r="CX57" i="15"/>
  <c r="CX60" i="15" s="1"/>
  <c r="CP57" i="15"/>
  <c r="CP60" i="15" s="1"/>
  <c r="CF57" i="15"/>
  <c r="CF60" i="15" s="1"/>
  <c r="BX57" i="15"/>
  <c r="BX60" i="15" s="1"/>
  <c r="BP57" i="15"/>
  <c r="BP60" i="15" s="1"/>
  <c r="BF57" i="15"/>
  <c r="BF60" i="15" s="1"/>
  <c r="AX57" i="15"/>
  <c r="AX60" i="15" s="1"/>
  <c r="AP57" i="15"/>
  <c r="AP60" i="15" s="1"/>
  <c r="AH57" i="15"/>
  <c r="AH60" i="15" s="1"/>
  <c r="Z57" i="15"/>
  <c r="Z60" i="15" s="1"/>
  <c r="R57" i="15"/>
  <c r="R60" i="15" s="1"/>
  <c r="J57" i="15"/>
  <c r="J60" i="15" s="1"/>
  <c r="CY57" i="15"/>
  <c r="CY60" i="15" s="1"/>
  <c r="CQ57" i="15"/>
  <c r="CQ60" i="15" s="1"/>
  <c r="CI57" i="15"/>
  <c r="CI60" i="15" s="1"/>
  <c r="CA57" i="15"/>
  <c r="CA60" i="15" s="1"/>
  <c r="L27" i="17" s="1"/>
  <c r="BQ57" i="15"/>
  <c r="BQ60" i="15" s="1"/>
  <c r="K27" i="17" s="1"/>
  <c r="BG57" i="15"/>
  <c r="BG60" i="15" s="1"/>
  <c r="J27" i="17" s="1"/>
  <c r="AU57" i="15"/>
  <c r="AU60" i="15" s="1"/>
  <c r="AM57" i="15"/>
  <c r="AM60" i="15" s="1"/>
  <c r="H27" i="17" s="1"/>
  <c r="AE57" i="15"/>
  <c r="AE60" i="15" s="1"/>
  <c r="W57" i="15"/>
  <c r="W60" i="15" s="1"/>
  <c r="O57" i="15"/>
  <c r="O60" i="15" s="1"/>
  <c r="DD57" i="15"/>
  <c r="DD60" i="15" s="1"/>
  <c r="CV57" i="15"/>
  <c r="CV60" i="15" s="1"/>
  <c r="CL57" i="15"/>
  <c r="CL60" i="15" s="1"/>
  <c r="CD57" i="15"/>
  <c r="CD60" i="15" s="1"/>
  <c r="BV57" i="15"/>
  <c r="BV60" i="15" s="1"/>
  <c r="BN57" i="15"/>
  <c r="BN60" i="15" s="1"/>
  <c r="BD57" i="15"/>
  <c r="BD60" i="15" s="1"/>
  <c r="AV57" i="15"/>
  <c r="AV60" i="15" s="1"/>
  <c r="AN57" i="15"/>
  <c r="AN60" i="15" s="1"/>
  <c r="AF57" i="15"/>
  <c r="AF60" i="15" s="1"/>
  <c r="X57" i="15"/>
  <c r="X60" i="15" s="1"/>
  <c r="P57" i="15"/>
  <c r="P60" i="15" s="1"/>
  <c r="DA57" i="15"/>
  <c r="DA60" i="15" s="1"/>
  <c r="CS57" i="15"/>
  <c r="CS60" i="15" s="1"/>
  <c r="CK57" i="15"/>
  <c r="CK60" i="15" s="1"/>
  <c r="M27" i="17" s="1"/>
  <c r="CC57" i="15"/>
  <c r="CC60" i="15" s="1"/>
  <c r="BS57" i="15"/>
  <c r="BS60" i="15" s="1"/>
  <c r="BI57" i="15"/>
  <c r="BI60" i="15" s="1"/>
  <c r="AW57" i="15"/>
  <c r="AW60" i="15" s="1"/>
  <c r="I27" i="17" s="1"/>
  <c r="AO57" i="15"/>
  <c r="AO60" i="15" s="1"/>
  <c r="AG57" i="15"/>
  <c r="AG60" i="15" s="1"/>
  <c r="Y57" i="15"/>
  <c r="Y60" i="15" s="1"/>
  <c r="Q57" i="15"/>
  <c r="Q60" i="15" s="1"/>
  <c r="K57" i="15"/>
  <c r="K60" i="15" s="1"/>
  <c r="J20" i="15" l="1"/>
  <c r="K20" i="15" s="1"/>
  <c r="E25" i="15" s="1"/>
  <c r="J19" i="15"/>
  <c r="K19" i="15" s="1"/>
  <c r="D25" i="15" s="1"/>
  <c r="E37" i="15" l="1"/>
  <c r="E33" i="15"/>
  <c r="E38" i="15" s="1"/>
  <c r="E26" i="15"/>
  <c r="E27" i="15" s="1"/>
  <c r="E34" i="15"/>
  <c r="E30" i="15"/>
  <c r="E43" i="15"/>
  <c r="E46" i="15" s="1"/>
  <c r="E35" i="15"/>
  <c r="E31" i="15"/>
  <c r="E36" i="15"/>
  <c r="E32" i="15"/>
  <c r="E29" i="15"/>
  <c r="D43" i="15"/>
  <c r="D46" i="15" s="1"/>
  <c r="D35" i="15"/>
  <c r="D31" i="15"/>
  <c r="D36" i="15"/>
  <c r="D33" i="15"/>
  <c r="D38" i="15" s="1"/>
  <c r="D30" i="15"/>
  <c r="D32" i="15"/>
  <c r="D26" i="15"/>
  <c r="D27" i="15" s="1"/>
  <c r="D29" i="15"/>
  <c r="D37" i="15"/>
  <c r="D34" i="15"/>
  <c r="E44" i="15" l="1"/>
  <c r="E45" i="15" s="1"/>
  <c r="E40" i="15"/>
  <c r="E59" i="15" s="1"/>
  <c r="D44" i="15"/>
  <c r="D45" i="15" s="1"/>
  <c r="D40" i="15"/>
  <c r="D59" i="15" s="1"/>
  <c r="D41" i="15" l="1"/>
  <c r="E41" i="15"/>
  <c r="E42" i="15" s="1"/>
  <c r="E62" i="15" l="1"/>
  <c r="E63" i="15" s="1"/>
  <c r="E48" i="15" s="1"/>
  <c r="E49" i="15" s="1"/>
  <c r="D42" i="15"/>
  <c r="D62" i="15" s="1"/>
  <c r="D63" i="15" s="1"/>
  <c r="E58" i="15" l="1"/>
  <c r="E57" i="15"/>
  <c r="E50" i="15"/>
  <c r="E47" i="15" s="1"/>
  <c r="E51" i="15" s="1"/>
  <c r="E52" i="15" s="1"/>
  <c r="E53" i="15" s="1"/>
  <c r="E54" i="15" s="1"/>
  <c r="E55" i="15" s="1"/>
  <c r="D48" i="15"/>
  <c r="D49" i="15" s="1"/>
  <c r="E60" i="15" l="1"/>
  <c r="D50" i="15"/>
  <c r="D47" i="15" s="1"/>
  <c r="D51" i="15" s="1"/>
  <c r="D52" i="15" s="1"/>
  <c r="D53" i="15" s="1"/>
  <c r="D54" i="15" s="1"/>
  <c r="D55" i="15" s="1"/>
  <c r="D57" i="15"/>
  <c r="D58" i="15"/>
  <c r="D60" i="15" l="1"/>
  <c r="D20" i="21" l="1"/>
  <c r="C46" i="22" l="1"/>
  <c r="C47" i="22" s="1"/>
  <c r="C16" i="22"/>
  <c r="C17" i="22" s="1"/>
  <c r="C18" i="22" s="1"/>
  <c r="C15" i="22"/>
  <c r="G40" i="16" l="1"/>
  <c r="G48" i="16"/>
  <c r="I35" i="16"/>
  <c r="I39" i="16" l="1"/>
  <c r="K39" i="16" s="1"/>
  <c r="K35" i="16"/>
  <c r="L48" i="16"/>
  <c r="L46" i="16"/>
  <c r="L47" i="16"/>
  <c r="L45" i="16"/>
  <c r="I45" i="16"/>
  <c r="K45" i="16" s="1"/>
  <c r="L39" i="16"/>
  <c r="L37" i="16"/>
  <c r="L40" i="16"/>
  <c r="L38" i="16"/>
  <c r="F40" i="16"/>
  <c r="I40" i="16" s="1"/>
  <c r="K40" i="16" s="1"/>
  <c r="I38" i="16"/>
  <c r="K38" i="16" s="1"/>
  <c r="F48" i="16"/>
  <c r="I48" i="16" s="1"/>
  <c r="K48" i="16" s="1"/>
  <c r="I46" i="16"/>
  <c r="K46" i="16" s="1"/>
  <c r="I47" i="16"/>
  <c r="K47" i="16" s="1"/>
  <c r="I37" i="16"/>
  <c r="K37" i="16" s="1"/>
  <c r="P21" i="12"/>
  <c r="Q21" i="12" s="1"/>
  <c r="P13" i="12"/>
  <c r="Q13" i="12" s="1"/>
  <c r="P23" i="12"/>
  <c r="Q23" i="12" s="1"/>
  <c r="I43" i="16"/>
  <c r="K43" i="16" s="1"/>
  <c r="M43" i="16" l="1"/>
  <c r="M39" i="16"/>
  <c r="M37" i="16"/>
  <c r="M46" i="16"/>
  <c r="M47" i="16"/>
  <c r="M48" i="16"/>
  <c r="M38" i="16"/>
  <c r="M40" i="16"/>
  <c r="M45" i="16"/>
  <c r="M35" i="16"/>
  <c r="I51" i="16"/>
  <c r="K51" i="16" s="1"/>
  <c r="M51" i="16" s="1"/>
  <c r="Q68" i="12" l="1"/>
  <c r="O31" i="17" l="1"/>
  <c r="D60" i="21"/>
  <c r="D5" i="16" l="1"/>
  <c r="D6" i="16" l="1"/>
  <c r="F38" i="26" s="1"/>
  <c r="F39" i="26" s="1"/>
  <c r="F41" i="26" s="1"/>
  <c r="C6" i="26" l="1"/>
  <c r="H83" i="26" s="1"/>
  <c r="I83" i="26" s="1"/>
  <c r="J83" i="26" s="1"/>
  <c r="J85" i="26" s="1"/>
  <c r="J86" i="26" s="1"/>
  <c r="J87" i="26" s="1"/>
  <c r="D91" i="21" s="1"/>
  <c r="AB68" i="26"/>
  <c r="C7" i="26"/>
  <c r="C8" i="26" s="1"/>
  <c r="C9" i="26" s="1"/>
  <c r="D58" i="21"/>
  <c r="D9" i="16"/>
  <c r="C15" i="17"/>
  <c r="E15" i="17"/>
  <c r="D15" i="17"/>
  <c r="F15" i="17"/>
  <c r="N15" i="17"/>
  <c r="L15" i="17"/>
  <c r="J15" i="17"/>
  <c r="H15" i="17"/>
  <c r="O15" i="17"/>
  <c r="M15" i="17"/>
  <c r="K15" i="17"/>
  <c r="I15" i="17"/>
  <c r="G15" i="17"/>
  <c r="D7" i="16"/>
  <c r="C11" i="26" l="1"/>
  <c r="C15" i="26" s="1"/>
  <c r="J89" i="26"/>
  <c r="J88" i="26"/>
  <c r="C31" i="17"/>
  <c r="D30" i="17" l="1"/>
  <c r="D29" i="17"/>
  <c r="D61" i="21" s="1"/>
  <c r="D31" i="17"/>
  <c r="H30" i="17"/>
  <c r="H29" i="17"/>
  <c r="H31" i="17"/>
  <c r="L30" i="17"/>
  <c r="L29" i="17"/>
  <c r="L31" i="17"/>
  <c r="C29" i="17"/>
  <c r="C30" i="17"/>
  <c r="G29" i="17"/>
  <c r="G30" i="17"/>
  <c r="G31" i="17"/>
  <c r="K29" i="17"/>
  <c r="K30" i="17"/>
  <c r="K31" i="17"/>
  <c r="F30" i="17"/>
  <c r="F29" i="17"/>
  <c r="F31" i="17"/>
  <c r="J30" i="17"/>
  <c r="J29" i="17"/>
  <c r="J31" i="17"/>
  <c r="N30" i="17"/>
  <c r="N29" i="17"/>
  <c r="N31" i="17"/>
  <c r="E29" i="17"/>
  <c r="E30" i="17"/>
  <c r="E31" i="17"/>
  <c r="I29" i="17"/>
  <c r="I30" i="17"/>
  <c r="I31" i="17"/>
  <c r="M29" i="17"/>
  <c r="M30" i="17"/>
  <c r="M31" i="17"/>
  <c r="O29" i="17"/>
  <c r="O30" i="17"/>
  <c r="C3" i="24" l="1"/>
  <c r="D64" i="21" s="1"/>
  <c r="D4" i="18"/>
  <c r="D5" i="18" s="1"/>
  <c r="D6" i="18" s="1"/>
  <c r="C4" i="24" l="1"/>
  <c r="D7" i="18"/>
  <c r="D13" i="18" l="1"/>
  <c r="D16" i="18" s="1"/>
  <c r="D17" i="18" s="1"/>
  <c r="D36" i="18"/>
  <c r="D43" i="18"/>
  <c r="D45" i="18" s="1"/>
  <c r="D46" i="18" s="1"/>
  <c r="V15" i="9" l="1"/>
  <c r="V20" i="9"/>
  <c r="AK23" i="9" s="1"/>
  <c r="J22" i="11" l="1"/>
  <c r="V19" i="9"/>
  <c r="V37" i="9"/>
  <c r="AK40" i="9" s="1"/>
  <c r="V35" i="9"/>
  <c r="V32" i="9"/>
  <c r="V36" i="9" l="1"/>
  <c r="J25" i="11"/>
  <c r="C20" i="10" l="1"/>
  <c r="C21" i="10" l="1"/>
  <c r="D23" i="10" l="1"/>
  <c r="Z36" i="9" l="1"/>
  <c r="S38" i="9"/>
  <c r="S21" i="9"/>
  <c r="V23" i="9" s="1"/>
  <c r="Z34" i="9" l="1"/>
  <c r="Z38" i="9" s="1"/>
  <c r="V40" i="9"/>
  <c r="S39" i="9"/>
  <c r="S40" i="9"/>
  <c r="Z17" i="9"/>
  <c r="S23" i="9"/>
  <c r="S22" i="9"/>
  <c r="V22" i="9" s="1"/>
  <c r="Z32" i="9" l="1"/>
  <c r="Z33" i="9" s="1"/>
  <c r="M36" i="12"/>
  <c r="M35" i="12"/>
  <c r="T35" i="12" s="1"/>
  <c r="W35" i="12" s="1"/>
  <c r="M31" i="12"/>
  <c r="M66" i="12"/>
  <c r="Z42" i="9"/>
  <c r="Z43" i="9" s="1"/>
  <c r="V38" i="9"/>
  <c r="V39" i="9"/>
  <c r="V33" i="9"/>
  <c r="W44" i="9" s="1"/>
  <c r="S41" i="9"/>
  <c r="V34" i="9" s="1"/>
  <c r="W45" i="9" s="1"/>
  <c r="M22" i="12"/>
  <c r="T22" i="12" s="1"/>
  <c r="W22" i="12" s="1"/>
  <c r="M69" i="12"/>
  <c r="T69" i="12" s="1"/>
  <c r="W69" i="12" s="1"/>
  <c r="M21" i="12"/>
  <c r="T21" i="12" s="1"/>
  <c r="W21" i="12" s="1"/>
  <c r="M11" i="12"/>
  <c r="Z15" i="9"/>
  <c r="Z16" i="9" s="1"/>
  <c r="Z19" i="9" s="1"/>
  <c r="M19" i="12"/>
  <c r="V16" i="9"/>
  <c r="W27" i="9" s="1"/>
  <c r="M23" i="12"/>
  <c r="T23" i="12" s="1"/>
  <c r="W23" i="12" s="1"/>
  <c r="M14" i="12"/>
  <c r="M24" i="12"/>
  <c r="T24" i="12" s="1"/>
  <c r="W24" i="12" s="1"/>
  <c r="Z39" i="9"/>
  <c r="Z44" i="9" s="1"/>
  <c r="S24" i="9"/>
  <c r="V21" i="9"/>
  <c r="Z25" i="9"/>
  <c r="Z21" i="9"/>
  <c r="T36" i="12" l="1"/>
  <c r="W36" i="12" s="1"/>
  <c r="M32" i="12"/>
  <c r="T32" i="12" s="1"/>
  <c r="W32" i="12" s="1"/>
  <c r="AC34" i="9"/>
  <c r="AC36" i="9" s="1"/>
  <c r="M67" i="12"/>
  <c r="T67" i="12" s="1"/>
  <c r="W67" i="12" s="1"/>
  <c r="AC37" i="9"/>
  <c r="AF34" i="9" s="1"/>
  <c r="AF37" i="9" s="1"/>
  <c r="AF38" i="9" s="1"/>
  <c r="AI35" i="9"/>
  <c r="AI32" i="9"/>
  <c r="AI33" i="9" s="1"/>
  <c r="AI34" i="9" s="1"/>
  <c r="AI36" i="9" s="1"/>
  <c r="M68" i="12"/>
  <c r="T68" i="12" s="1"/>
  <c r="W68" i="12" s="1"/>
  <c r="AC17" i="9"/>
  <c r="Z26" i="9"/>
  <c r="AI15" i="9"/>
  <c r="AI16" i="9" s="1"/>
  <c r="AI17" i="9" s="1"/>
  <c r="AC20" i="9"/>
  <c r="AF17" i="9" s="1"/>
  <c r="V17" i="9"/>
  <c r="AI18" i="9"/>
  <c r="M12" i="12"/>
  <c r="T12" i="12" s="1"/>
  <c r="W12" i="12" s="1"/>
  <c r="T14" i="12"/>
  <c r="W14" i="12" s="1"/>
  <c r="M13" i="12"/>
  <c r="T13" i="12" s="1"/>
  <c r="W13" i="12" s="1"/>
  <c r="Z22" i="9"/>
  <c r="Z27" i="9" s="1"/>
  <c r="M20" i="12"/>
  <c r="T20" i="12" s="1"/>
  <c r="W20" i="12" s="1"/>
  <c r="AC35" i="9" l="1"/>
  <c r="AC43" i="9" s="1"/>
  <c r="AC38" i="9"/>
  <c r="AC40" i="9"/>
  <c r="AF36" i="9"/>
  <c r="AF39" i="9" s="1"/>
  <c r="AI19" i="9"/>
  <c r="W28" i="9"/>
  <c r="AF20" i="9"/>
  <c r="AF21" i="9" s="1"/>
  <c r="AF19" i="9"/>
  <c r="AF22" i="9" s="1"/>
  <c r="AC21" i="9"/>
  <c r="AC19" i="9"/>
  <c r="AC18" i="9"/>
  <c r="AC23" i="9"/>
  <c r="AC41" i="9" l="1"/>
  <c r="AC42" i="9" s="1"/>
  <c r="S45" i="9"/>
  <c r="W34" i="9" s="1"/>
  <c r="AC39" i="9"/>
  <c r="AC24" i="9"/>
  <c r="AC25" i="9" s="1"/>
  <c r="AC22" i="9"/>
  <c r="AC26" i="9" s="1"/>
  <c r="S28" i="9" s="1"/>
  <c r="W17" i="9" s="1"/>
  <c r="W33" i="9" l="1"/>
  <c r="O36" i="12" s="1"/>
  <c r="O35" i="12" s="1"/>
  <c r="W16" i="9"/>
  <c r="O24" i="12" s="1"/>
  <c r="O23" i="12" s="1"/>
  <c r="O21" i="12" l="1"/>
  <c r="O22" i="12" s="1"/>
  <c r="O32" i="12"/>
  <c r="O31" i="12" s="1"/>
  <c r="W31" i="12" s="1"/>
  <c r="O67" i="12"/>
  <c r="O14" i="12"/>
  <c r="O13" i="12" s="1"/>
  <c r="O20" i="12"/>
  <c r="O19" i="12" s="1"/>
  <c r="W19" i="12" s="1"/>
  <c r="O12" i="12" l="1"/>
  <c r="O11" i="12" s="1"/>
  <c r="W11" i="12" s="1"/>
  <c r="O66" i="12"/>
  <c r="W66" i="12" s="1"/>
  <c r="O69" i="12"/>
  <c r="O68" i="12"/>
</calcChain>
</file>

<file path=xl/comments1.xml><?xml version="1.0" encoding="utf-8"?>
<comments xmlns="http://schemas.openxmlformats.org/spreadsheetml/2006/main">
  <authors>
    <author>Sunil Maharjan</author>
  </authors>
  <commentList>
    <comment ref="D10" authorId="0" shapeId="0">
      <text>
        <r>
          <rPr>
            <b/>
            <sz val="9"/>
            <color indexed="81"/>
            <rFont val="Tahoma"/>
            <family val="2"/>
          </rPr>
          <t>Sunil Maharjan:</t>
        </r>
        <r>
          <rPr>
            <sz val="9"/>
            <color indexed="81"/>
            <rFont val="Tahoma"/>
            <family val="2"/>
          </rPr>
          <t xml:space="preserve">
Fibre core (CF)
Steel core (CWR)</t>
        </r>
      </text>
    </comment>
  </commentList>
</comments>
</file>

<file path=xl/sharedStrings.xml><?xml version="1.0" encoding="utf-8"?>
<sst xmlns="http://schemas.openxmlformats.org/spreadsheetml/2006/main" count="3221" uniqueCount="1361">
  <si>
    <t>Number of beams</t>
  </si>
  <si>
    <t>Method of beam spacing</t>
  </si>
  <si>
    <t>Spacing accuracy</t>
  </si>
  <si>
    <t>Gate height to top seal</t>
  </si>
  <si>
    <t>Span between supports</t>
  </si>
  <si>
    <t>Depth of water to sill</t>
  </si>
  <si>
    <t>Upstream pool depth</t>
  </si>
  <si>
    <t>Seismic OBE factor</t>
  </si>
  <si>
    <t>Density of water</t>
  </si>
  <si>
    <t>Equal moments</t>
  </si>
  <si>
    <t>Manual</t>
  </si>
  <si>
    <t>Equal load (classic method)</t>
  </si>
  <si>
    <t>Equal load (exact method)</t>
  </si>
  <si>
    <t>max load on a beam</t>
  </si>
  <si>
    <t>number of displayed beams</t>
  </si>
  <si>
    <t>RoundAcc</t>
  </si>
  <si>
    <t>reference row</t>
  </si>
  <si>
    <t>row spacing</t>
  </si>
  <si>
    <t>Beam Spacing</t>
  </si>
  <si>
    <t>Head</t>
  </si>
  <si>
    <t>Beam Load</t>
  </si>
  <si>
    <t>BEAM SPACING</t>
  </si>
  <si>
    <t>Seal</t>
  </si>
  <si>
    <t>Sill</t>
  </si>
  <si>
    <t>RB/RA</t>
  </si>
  <si>
    <t>q</t>
  </si>
  <si>
    <t>BEAM DEFINITION</t>
  </si>
  <si>
    <t>Beam Number</t>
  </si>
  <si>
    <t>Beam Type</t>
  </si>
  <si>
    <t>Designation</t>
  </si>
  <si>
    <t>Back flange</t>
  </si>
  <si>
    <t>Width</t>
  </si>
  <si>
    <t>Thickness</t>
  </si>
  <si>
    <t>Depth</t>
  </si>
  <si>
    <t>bfb</t>
  </si>
  <si>
    <t>tfb</t>
  </si>
  <si>
    <t>tw</t>
  </si>
  <si>
    <t>dw</t>
  </si>
  <si>
    <t>Web</t>
  </si>
  <si>
    <t>Front flange</t>
  </si>
  <si>
    <t xml:space="preserve">Back Flange </t>
  </si>
  <si>
    <t>Flange</t>
  </si>
  <si>
    <t xml:space="preserve">Width </t>
  </si>
  <si>
    <t>Fabricated</t>
  </si>
  <si>
    <t>This space reserved for on/off switch</t>
  </si>
  <si>
    <t>Fabricated Shape</t>
  </si>
  <si>
    <t>Fixed Wheel (cantilevered)</t>
  </si>
  <si>
    <t>Fixed Wheel (double support)</t>
  </si>
  <si>
    <t>0.02 antifriction bearings (static)</t>
  </si>
  <si>
    <t>0.01 anti-friction bearings (dynamic)</t>
  </si>
  <si>
    <t>0.15 self-lubricated bronze bearings (static)</t>
  </si>
  <si>
    <t>0.10 self-lubricated bronze bearings (dynamic)</t>
  </si>
  <si>
    <t>0.20 bronze on stainless steel - unlubricated (dynamic)</t>
  </si>
  <si>
    <t>0.40 bronze on stainless steel - unlubricated (static)</t>
  </si>
  <si>
    <t>ISMB 100</t>
  </si>
  <si>
    <t>ISMB 125</t>
  </si>
  <si>
    <t>ISMB 150</t>
  </si>
  <si>
    <t>ISMB 175</t>
  </si>
  <si>
    <t>ISMB 200</t>
  </si>
  <si>
    <t>ISMB 225</t>
  </si>
  <si>
    <t>ISMB 250</t>
  </si>
  <si>
    <t>ISMB 300</t>
  </si>
  <si>
    <t>ISMB 350</t>
  </si>
  <si>
    <t>ISMB 400</t>
  </si>
  <si>
    <t>ISMB 450</t>
  </si>
  <si>
    <t>ISMB 500</t>
  </si>
  <si>
    <t>ISMB 550</t>
  </si>
  <si>
    <t>ISMB 600</t>
  </si>
  <si>
    <t>ISNT Shape</t>
  </si>
  <si>
    <t>BEAM SECTION PROPERTIES AND ANALYSIS</t>
  </si>
  <si>
    <t>Skinplate location</t>
  </si>
  <si>
    <t>Elastic modulus</t>
  </si>
  <si>
    <t>Span between centerline of seals</t>
  </si>
  <si>
    <t>Gate design factor</t>
  </si>
  <si>
    <t>Bending safety factor</t>
  </si>
  <si>
    <t>E</t>
  </si>
  <si>
    <t>Lse</t>
  </si>
  <si>
    <t>β</t>
  </si>
  <si>
    <t>Material yield strength for beams</t>
  </si>
  <si>
    <t>Material yield strength for plates</t>
  </si>
  <si>
    <t>Weld yield strength</t>
  </si>
  <si>
    <t>Taper length from support</t>
  </si>
  <si>
    <t>Web depth at support</t>
  </si>
  <si>
    <t>Type of Gate:</t>
  </si>
  <si>
    <t>BEAM SECTION PROPERTIES</t>
  </si>
  <si>
    <t>Section area</t>
  </si>
  <si>
    <t>Spacing of lateral bracing</t>
  </si>
  <si>
    <t>Effective skinplate width</t>
  </si>
  <si>
    <t>Average skinplate thickness</t>
  </si>
  <si>
    <t>Moment of inertia about major axis</t>
  </si>
  <si>
    <t>Moment of inertia about minor axis</t>
  </si>
  <si>
    <t>Full depth of section</t>
  </si>
  <si>
    <t>Torsional constant</t>
  </si>
  <si>
    <t>Plastic centroid to skinplate face</t>
  </si>
  <si>
    <t>Plastic modulus</t>
  </si>
  <si>
    <t>Nominal flexural strength</t>
  </si>
  <si>
    <t>-----</t>
  </si>
  <si>
    <t>Poissons ratio</t>
  </si>
  <si>
    <t>Maximum wheel load from spacing</t>
  </si>
  <si>
    <t>Design wheel load</t>
  </si>
  <si>
    <t>Wheel diameter</t>
  </si>
  <si>
    <t>Wheel cross-radius</t>
  </si>
  <si>
    <t>Track cross-radius (0=none)</t>
  </si>
  <si>
    <t>Minimum wheel / track hardness</t>
  </si>
  <si>
    <t>Semi-major axis of contact ellipse</t>
  </si>
  <si>
    <t>Semi-minor axis of contact ellipse</t>
  </si>
  <si>
    <t>Maximum pressure at ellipse center</t>
  </si>
  <si>
    <t>Maximum shear stress at surface</t>
  </si>
  <si>
    <t>Maximum shear stress below surface</t>
  </si>
  <si>
    <t>Required depth of hardness</t>
  </si>
  <si>
    <t>Maximum end rotation of beam</t>
  </si>
  <si>
    <t>Offset of wheel contact point</t>
  </si>
  <si>
    <t>Allowance on each side of contact</t>
  </si>
  <si>
    <t>Wheel tread width</t>
  </si>
  <si>
    <t>Wheel center thickness</t>
  </si>
  <si>
    <t>Wheel hub OD</t>
  </si>
  <si>
    <t>Wheel rim ID</t>
  </si>
  <si>
    <t>P</t>
  </si>
  <si>
    <t>D</t>
  </si>
  <si>
    <t>Rt</t>
  </si>
  <si>
    <t>RT</t>
  </si>
  <si>
    <t>a</t>
  </si>
  <si>
    <t>b</t>
  </si>
  <si>
    <t>τ0</t>
  </si>
  <si>
    <t>τ1</t>
  </si>
  <si>
    <t>Zreq</t>
  </si>
  <si>
    <t>ψ</t>
  </si>
  <si>
    <t>c</t>
  </si>
  <si>
    <t>bt</t>
  </si>
  <si>
    <t>t</t>
  </si>
  <si>
    <t>dh</t>
  </si>
  <si>
    <t>dt</t>
  </si>
  <si>
    <t>Wtw</t>
  </si>
  <si>
    <t>Number of wheels</t>
  </si>
  <si>
    <t>Method of wheel spacing</t>
  </si>
  <si>
    <t>Equal load</t>
  </si>
  <si>
    <t>Wheel Load</t>
  </si>
  <si>
    <t>O</t>
  </si>
  <si>
    <t>max end beam moment</t>
  </si>
  <si>
    <t>max load on a wheel</t>
  </si>
  <si>
    <t>number of displayed wheels</t>
  </si>
  <si>
    <t>Moment Iteration 9</t>
  </si>
  <si>
    <t>Moment Iteration 8</t>
  </si>
  <si>
    <t>Moment Iteration 7</t>
  </si>
  <si>
    <t>Moment Iteration 6</t>
  </si>
  <si>
    <t>Moment Iteration 5</t>
  </si>
  <si>
    <t>Moment Iteration 4</t>
  </si>
  <si>
    <t>Moment Iteration 3</t>
  </si>
  <si>
    <t>Moment Iteration 2</t>
  </si>
  <si>
    <t>Moment Iteration 1</t>
  </si>
  <si>
    <t>Moment        Initial        Guess</t>
  </si>
  <si>
    <t>A</t>
  </si>
  <si>
    <t>B</t>
  </si>
  <si>
    <t>k'</t>
  </si>
  <si>
    <t>k</t>
  </si>
  <si>
    <t>K</t>
  </si>
  <si>
    <t>Bal</t>
  </si>
  <si>
    <t>φ</t>
  </si>
  <si>
    <t>Λ</t>
  </si>
  <si>
    <t>H</t>
  </si>
  <si>
    <t>F</t>
  </si>
  <si>
    <t>ζ</t>
  </si>
  <si>
    <t>M</t>
  </si>
  <si>
    <t>τ</t>
  </si>
  <si>
    <t>Ωx</t>
  </si>
  <si>
    <t>Ω'x</t>
  </si>
  <si>
    <t>Ωy</t>
  </si>
  <si>
    <t>Ω'y</t>
  </si>
  <si>
    <t>Xx</t>
  </si>
  <si>
    <t>Yy</t>
  </si>
  <si>
    <t>Zz</t>
  </si>
  <si>
    <t>Zy</t>
  </si>
  <si>
    <t>Elliptic Integral</t>
  </si>
  <si>
    <t>Legendre Gauss Integration Coefficients</t>
  </si>
  <si>
    <t>U</t>
  </si>
  <si>
    <t>W</t>
  </si>
  <si>
    <t>Elliptic Functions</t>
  </si>
  <si>
    <t>Wheel Axle Design</t>
  </si>
  <si>
    <t>Lateral wheel load factor</t>
  </si>
  <si>
    <t>Wheel hub length</t>
  </si>
  <si>
    <t>Wheel axle diameter</t>
  </si>
  <si>
    <t>Wheel axle yield strength</t>
  </si>
  <si>
    <t>Axle support plate yield strength</t>
  </si>
  <si>
    <t>Support member thickness</t>
  </si>
  <si>
    <t>Clearance - wheel to member</t>
  </si>
  <si>
    <t>Allowable wheel bearing stress</t>
  </si>
  <si>
    <t>Uniform distributed radial load</t>
  </si>
  <si>
    <t>Radial load from moment</t>
  </si>
  <si>
    <t>Wheel axle support span</t>
  </si>
  <si>
    <t>Bending moment from lateral load</t>
  </si>
  <si>
    <t>Left reaction</t>
  </si>
  <si>
    <t>Right reaction</t>
  </si>
  <si>
    <t>Location of zero shear (max moment)</t>
  </si>
  <si>
    <t>Maximum moment in axle</t>
  </si>
  <si>
    <t>Axle weight</t>
  </si>
  <si>
    <t>Max bearing stress from lateral load</t>
  </si>
  <si>
    <t>Bearing stress from uniform load</t>
  </si>
  <si>
    <t>Total bearing stress</t>
  </si>
  <si>
    <t>Maximum axle bending stress</t>
  </si>
  <si>
    <t>Bearing stress in support plate</t>
  </si>
  <si>
    <t>Wlat</t>
  </si>
  <si>
    <t>bh</t>
  </si>
  <si>
    <t>d</t>
  </si>
  <si>
    <t>FyS</t>
  </si>
  <si>
    <t>FyB</t>
  </si>
  <si>
    <t>Fbe</t>
  </si>
  <si>
    <t>w</t>
  </si>
  <si>
    <t>wm</t>
  </si>
  <si>
    <t>Lr</t>
  </si>
  <si>
    <t>Mo</t>
  </si>
  <si>
    <t>R1</t>
  </si>
  <si>
    <t>R2</t>
  </si>
  <si>
    <t>z</t>
  </si>
  <si>
    <t>Mmax</t>
  </si>
  <si>
    <t>Wta</t>
  </si>
  <si>
    <t>Plat</t>
  </si>
  <si>
    <t>Prad</t>
  </si>
  <si>
    <t>fb</t>
  </si>
  <si>
    <t>fB</t>
  </si>
  <si>
    <t>End Beam Design</t>
  </si>
  <si>
    <t>Maximum bending moment</t>
  </si>
  <si>
    <t>Skinplate thickness</t>
  </si>
  <si>
    <t>Skinplate face to wheel axis</t>
  </si>
  <si>
    <t>Moment of inertia</t>
  </si>
  <si>
    <t>CG from skinplate</t>
  </si>
  <si>
    <t>CG from back</t>
  </si>
  <si>
    <t>Section modulus at skinplate</t>
  </si>
  <si>
    <t>Section modulus at back</t>
  </si>
  <si>
    <t>Bending stress at skinplate</t>
  </si>
  <si>
    <t>Bending stress at back</t>
  </si>
  <si>
    <t>ts</t>
  </si>
  <si>
    <t>dweb</t>
  </si>
  <si>
    <t>y</t>
  </si>
  <si>
    <t>e</t>
  </si>
  <si>
    <t>f</t>
  </si>
  <si>
    <t>Sr</t>
  </si>
  <si>
    <t>I</t>
  </si>
  <si>
    <t>cg1</t>
  </si>
  <si>
    <t>cg2</t>
  </si>
  <si>
    <t>Sx1</t>
  </si>
  <si>
    <t>Sx2</t>
  </si>
  <si>
    <t>fb1</t>
  </si>
  <si>
    <t>fb2</t>
  </si>
  <si>
    <t>Moment of Inertia Calculation</t>
  </si>
  <si>
    <t>a1</t>
  </si>
  <si>
    <t>skinplate area</t>
  </si>
  <si>
    <t>h1</t>
  </si>
  <si>
    <t>centroid distance from skinplate face</t>
  </si>
  <si>
    <t>a2</t>
  </si>
  <si>
    <t>stem area part 1</t>
  </si>
  <si>
    <t>h2</t>
  </si>
  <si>
    <t>a3</t>
  </si>
  <si>
    <t>stem area part 2</t>
  </si>
  <si>
    <t>h3</t>
  </si>
  <si>
    <t>x1</t>
  </si>
  <si>
    <t>associated width of skinplate</t>
  </si>
  <si>
    <t>Σ (I)</t>
  </si>
  <si>
    <t>element moment of inertia sum</t>
  </si>
  <si>
    <t>Σ (ah)</t>
  </si>
  <si>
    <t>Σ (ah)^2</t>
  </si>
  <si>
    <t>Lateral Torsional Buckling of Stem</t>
  </si>
  <si>
    <t>Lb</t>
  </si>
  <si>
    <t>maximum beam spacing</t>
  </si>
  <si>
    <t>beam depth</t>
  </si>
  <si>
    <t>J</t>
  </si>
  <si>
    <t>torsional constant</t>
  </si>
  <si>
    <t>Iy</t>
  </si>
  <si>
    <t>lateral moment of inertia (ignores vertical stiffener)</t>
  </si>
  <si>
    <t>factor for lateral torsional buckling (negative for stem compression)</t>
  </si>
  <si>
    <t>G</t>
  </si>
  <si>
    <t>shear modulus of elasticity</t>
  </si>
  <si>
    <t>Mcr</t>
  </si>
  <si>
    <t>lateral torsional buckling of stem</t>
  </si>
  <si>
    <t>Mn</t>
  </si>
  <si>
    <t>nominal flexural strength</t>
  </si>
  <si>
    <t>Section properties are determined for each beam.  Consideration is given to compression and tension flange yielding, lateral torsional buckling and compression flange local buckling.  All in accordance with the 13th edition of AISC Steel Construction Manual.  Major beam bending is determined considering the load on each beam.  Beam deflection and end rotation are determined.</t>
  </si>
  <si>
    <t>Fyb</t>
  </si>
  <si>
    <t>Fys</t>
  </si>
  <si>
    <t>Fyw</t>
  </si>
  <si>
    <t>tap</t>
  </si>
  <si>
    <t>Ωb</t>
  </si>
  <si>
    <t>BEAM ANALYSIS</t>
  </si>
  <si>
    <t>───►</t>
  </si>
  <si>
    <t>◄──</t>
  </si>
  <si>
    <t>──►</t>
  </si>
  <si>
    <t>Beam load</t>
  </si>
  <si>
    <t>Compression Flange Yielding</t>
  </si>
  <si>
    <t>Lateral Torsional Buckling</t>
  </si>
  <si>
    <t>Compression Flange Local Buckling</t>
  </si>
  <si>
    <t>Tension Flange Yielding</t>
  </si>
  <si>
    <t>Bending moment at center of span</t>
  </si>
  <si>
    <t>MB</t>
  </si>
  <si>
    <t>Myc</t>
  </si>
  <si>
    <t>Yield moment for compression (Eqn F4-4)</t>
  </si>
  <si>
    <t>Iyc</t>
  </si>
  <si>
    <t>Moment of inertia of compression flange about minor axis</t>
  </si>
  <si>
    <t>kc</t>
  </si>
  <si>
    <t>Coefficient for slender unstiffened elements (Table B4.1 &amp; Eqn F5-9)</t>
  </si>
  <si>
    <t>Myt</t>
  </si>
  <si>
    <t>Yield moment for tension (Eqn F4-14)</t>
  </si>
  <si>
    <t>Ix</t>
  </si>
  <si>
    <t>sk</t>
  </si>
  <si>
    <t>Mp</t>
  </si>
  <si>
    <t>Plastic bending moment (Eqn F4-9b)</t>
  </si>
  <si>
    <t>ho</t>
  </si>
  <si>
    <t>Distance between flange centroids</t>
  </si>
  <si>
    <t>Limiting width-thickness ratio for compact flange (Table B4.1 Case 2)</t>
  </si>
  <si>
    <t>Rpt</t>
  </si>
  <si>
    <t>Web plastification factor</t>
  </si>
  <si>
    <t>Bending stress at back flange</t>
  </si>
  <si>
    <t>hc</t>
  </si>
  <si>
    <t>Twice distance of centroid to compression flange (Sec B4.2)</t>
  </si>
  <si>
    <t>rt</t>
  </si>
  <si>
    <t>Radius of gyration of compression flange component (Eqn F4-10)</t>
  </si>
  <si>
    <t>Limiting width-thickness ratio for noncompact flange (Table B4.1 Case 2)</t>
  </si>
  <si>
    <t>Mn4</t>
  </si>
  <si>
    <t>Nominal flexural strength if web not slender (Eqn F4-14)</t>
  </si>
  <si>
    <t>Deflection at center of beam span</t>
  </si>
  <si>
    <t>Δ</t>
  </si>
  <si>
    <t>hp</t>
  </si>
  <si>
    <t>Twice distance from plastic neutral axis to inside face of compression flange (Sec B4.2)</t>
  </si>
  <si>
    <t>Lp</t>
  </si>
  <si>
    <t>Limiting laterally unbraced length for yielding (Eqn F4-7)</t>
  </si>
  <si>
    <t>λf</t>
  </si>
  <si>
    <t>Compression flange width-thickness ratio</t>
  </si>
  <si>
    <t>Nominal flexural strength if web is slender (Eqn F5-10)</t>
  </si>
  <si>
    <t>──►│◄──</t>
  </si>
  <si>
    <t>Ratio of deflection to support span</t>
  </si>
  <si>
    <t>Limiting width-thickness ratio for compact web (Table B4.1 Case 11)</t>
  </si>
  <si>
    <t>Fcr</t>
  </si>
  <si>
    <t>Critical stress (Eqn F4-5)</t>
  </si>
  <si>
    <t>Mn3</t>
  </si>
  <si>
    <t>End rotation of beam</t>
  </si>
  <si>
    <t>Limiting width-thickness ratio for noncompact web</t>
  </si>
  <si>
    <t>FL</t>
  </si>
  <si>
    <t>A calculated stress (Table B4.1 &amp; Eqn F4-6)</t>
  </si>
  <si>
    <t>Critical stress (Eqn F5-8 &amp; 5-9)</t>
  </si>
  <si>
    <t>cgc</t>
  </si>
  <si>
    <t>Web width-thickness ratio</t>
  </si>
  <si>
    <t>Limiting laterally unbraced length (Eqn F4-8)</t>
  </si>
  <si>
    <t>Nominal flexural strength if web is slender (Eqn F5-7)</t>
  </si>
  <si>
    <t>Web depth at this point</t>
  </si>
  <si>
    <t>dwe</t>
  </si>
  <si>
    <t>cgt</t>
  </si>
  <si>
    <t>Weld size - front flange to web</t>
  </si>
  <si>
    <t>Rpc</t>
  </si>
  <si>
    <t>Web plastification factor for compression (Eqn F4-9)</t>
  </si>
  <si>
    <t>Mn2</t>
  </si>
  <si>
    <t>Nominal flexural strength if web not slender (Eqn F4-2 &amp; F4-3)</t>
  </si>
  <si>
    <t>Sxc</t>
  </si>
  <si>
    <t>Weld size - web to back flange</t>
  </si>
  <si>
    <t>bfc</t>
  </si>
  <si>
    <t>Compression flange width</t>
  </si>
  <si>
    <t>Limiting laterally unbraced length (Eqn F5-5)</t>
  </si>
  <si>
    <t>Sxt</t>
  </si>
  <si>
    <t>Shear stress at support</t>
  </si>
  <si>
    <t>fv</t>
  </si>
  <si>
    <t>tfc</t>
  </si>
  <si>
    <t>Compression flange thickness</t>
  </si>
  <si>
    <t>Critical stress (Eqn F5-3 &amp; F5-4)</t>
  </si>
  <si>
    <t>Distance from support for max moment</t>
  </si>
  <si>
    <t>aw</t>
  </si>
  <si>
    <t>Web area ratio (Eqn F4-11)</t>
  </si>
  <si>
    <t>Nominal flexural strength if web is slender (Eqn F5-2)</t>
  </si>
  <si>
    <t>◄───────────────────</t>
  </si>
  <si>
    <t>─────────────────►</t>
  </si>
  <si>
    <t>yp</t>
  </si>
  <si>
    <t>Maximum bending moment in taper</t>
  </si>
  <si>
    <t>MBt</t>
  </si>
  <si>
    <t>Rpg</t>
  </si>
  <si>
    <t>Bending strength reduction factor (Eqn F5-6)</t>
  </si>
  <si>
    <t>Zx</t>
  </si>
  <si>
    <t>Bending stress in taper at skinplate</t>
  </si>
  <si>
    <t>fbt1</t>
  </si>
  <si>
    <t>Mn1</t>
  </si>
  <si>
    <t>Nominal flexural strength (Eqn F4-1 &amp; F5-1)</t>
  </si>
  <si>
    <t>Bending stress in taper at back flange</t>
  </si>
  <si>
    <t>fbt2</t>
  </si>
  <si>
    <t>The ellipse of contact and the resultant stresses are determined for a wheel bearing on a track.  The method uses elliptic integrals as described by Skinner with Thomas &amp; Hoersch.  The roller treads typically have a surface hardness in the range 280 to 320 BHN with the roller paths having a hardness in the range 290 to 330 BHN.  The permissible shear stress is based on the Skinner paper while the permissible compressive stress is based on DIN 19704.</t>
  </si>
  <si>
    <t>The definite integral of a function is numerically integrated over a finite interval by</t>
  </si>
  <si>
    <t>Composite Gaussian Quadrature with 32 points and no sub-intervals</t>
  </si>
  <si>
    <t>The axle bending strength is checked assuming that it is supported on each side of the wheel by vertical stiffeners on the gate.  The axle ends with a triangular pressure distribution; i.e. zero pressure on the outer edge and max pressure on inner edge.  The point of load support is therefore 1/3 of the plate thickness from the inner edge.  The wheels are loaded both radially and laterally.</t>
  </si>
  <si>
    <t>The end beam is checked for bending between the wheels assuming an associated width of skinplate.  Two vertical stiffeners are used to support the axle ends.</t>
  </si>
  <si>
    <t>The axle bending strength is checked assuming that it is cantilevered from the end of the gate.  Two support points are assumed for the wheel axle corresponding to vertical stiffeners.  This design usually results in a heavy wheel axle but has the advantage of easier wheel maintenance.  It may also economize on the space required in the gate guides.  The wheels are loaded both radially and laterally.</t>
  </si>
  <si>
    <t>Lateral wheel load</t>
  </si>
  <si>
    <t>d1</t>
  </si>
  <si>
    <t>Axle diameter at R1</t>
  </si>
  <si>
    <t>d2</t>
  </si>
  <si>
    <t>Main support member thickness</t>
  </si>
  <si>
    <t>Secondary support member thickness</t>
  </si>
  <si>
    <t>Shear stress at R1</t>
  </si>
  <si>
    <t>fv1</t>
  </si>
  <si>
    <t>Bearing stress at R1</t>
  </si>
  <si>
    <t>fB1</t>
  </si>
  <si>
    <t>Bearing stress at R2</t>
  </si>
  <si>
    <t>fB2</t>
  </si>
  <si>
    <t>The end beam is checked for bending between the wheels assuming an associated width of skinplate.  One vertical stiffener takes the majority of the wheel load.  An inner stiffener is required to support the inner end of the wheel axle.</t>
  </si>
  <si>
    <t>VERTICAL STIFFENERS</t>
  </si>
  <si>
    <t>Details of any vertical stiffeners are entered and the stiffener analyzed.  Suggested inputs, shown in italics, are based on data provided.  The number of stiffeners are calculated according to the type of gate selected and the vertical stiffener spacing provided.  Vertical stiffeners are located between the vertical end beams and have three principal functions:</t>
  </si>
  <si>
    <t>1)  Provides lateral stability to the back flange of the beams, if required</t>
  </si>
  <si>
    <t>2)  Provides strengthening to the skinplate, if required</t>
  </si>
  <si>
    <t>3)  Attachment of lifting points with transfer of load to the gate</t>
  </si>
  <si>
    <t>VERTICAL STIFFENER ANALYSIS</t>
  </si>
  <si>
    <t>Vertical stiffener spacing</t>
  </si>
  <si>
    <t>Weight of beams above</t>
  </si>
  <si>
    <t>2 x distance from wheel to inner stiffener - double support</t>
  </si>
  <si>
    <t>Vertical stiffener distance from gate center</t>
  </si>
  <si>
    <t>Shear stress</t>
  </si>
  <si>
    <t>2 x distance from wheel to inner stiffener - cantilevered</t>
  </si>
  <si>
    <t>Vertical stiffener depth</t>
  </si>
  <si>
    <t>Bending stress</t>
  </si>
  <si>
    <t>Vertical stiffener thickness</t>
  </si>
  <si>
    <t>Vertical compressive stress</t>
  </si>
  <si>
    <t>span between inner end stiffeners</t>
  </si>
  <si>
    <t>Number of vertical stiffeners</t>
  </si>
  <si>
    <t>Combined stress</t>
  </si>
  <si>
    <t>SKINPLATE PANEL STRESSES</t>
  </si>
  <si>
    <t>The calculation below modifies load at each beam due to any change in the moment at the beam.  The moment changes when the spacing of vertical stiffeners becomes less than the critical ratio.  The moment from plate bending above and below the beam can be different so we take the moment to be the average of the two for the purposes of getting the beam load.</t>
  </si>
  <si>
    <t>Stresses for the skinplate panel closest to the center of the gate span are determined.  These stresses are combined using von-Mises theory where they are biaxial.  Bending moments for the skinplate panel are determined by flat plate bending theory if the ratio of stiffener spacing divided by panel height (b/a) is less than 2 for intermediate spaces or 4 for above the top beam and below the bottom beam.  For ratios above this value the bending moment is determined using beam spacing.  The capacity ratio for the combined stress is determined and must be no more than unity.</t>
  </si>
  <si>
    <t>Critical b/a ratio (stiffener spacing / panel height)</t>
  </si>
  <si>
    <t>Major Beam Bending</t>
  </si>
  <si>
    <t>Skinplate Panel Bending</t>
  </si>
  <si>
    <t>Capacity Ratio</t>
  </si>
  <si>
    <t>Load per</t>
  </si>
  <si>
    <t>Total load per</t>
  </si>
  <si>
    <t>Average</t>
  </si>
  <si>
    <t>End</t>
  </si>
  <si>
    <t>Mt above</t>
  </si>
  <si>
    <t>Moment</t>
  </si>
  <si>
    <t>Stress</t>
  </si>
  <si>
    <t>from Beams</t>
  </si>
  <si>
    <t>from Plates</t>
  </si>
  <si>
    <t>inch width</t>
  </si>
  <si>
    <t>Load</t>
  </si>
  <si>
    <t>&amp; below</t>
  </si>
  <si>
    <t>stiffener</t>
  </si>
  <si>
    <t>←</t>
  </si>
  <si>
    <t>↑②↑</t>
  </si>
  <si>
    <t>Bending Moments in Rectangular Plate with One Edge Free</t>
  </si>
  <si>
    <t xml:space="preserve"> ①</t>
  </si>
  <si>
    <t>b/a</t>
  </si>
  <si>
    <t>Mx-uniform</t>
  </si>
  <si>
    <t>My-uniform</t>
  </si>
  <si>
    <t>Mx-hydroA</t>
  </si>
  <si>
    <t>My-hydroA</t>
  </si>
  <si>
    <t>b/a =</t>
  </si>
  <si>
    <t>①</t>
  </si>
  <si>
    <t>&lt;</t>
  </si>
  <si>
    <t>④</t>
  </si>
  <si>
    <t>↓③↓</t>
  </si>
  <si>
    <t>②</t>
  </si>
  <si>
    <t>③</t>
  </si>
  <si>
    <t>↓④ ↓</t>
  </si>
  <si>
    <t>End load</t>
  </si>
  <si>
    <t>↑⑥↑</t>
  </si>
  <si>
    <t>Bending Moments in Rectangular Plate with All Edges Fixed</t>
  </si>
  <si>
    <t>↑⑤↑</t>
  </si>
  <si>
    <t>Mx-hydro</t>
  </si>
  <si>
    <t>My-hydro</t>
  </si>
  <si>
    <t>④⑥</t>
  </si>
  <si>
    <t>⑥</t>
  </si>
  <si>
    <t>↕②↕</t>
  </si>
  <si>
    <t>⑤</t>
  </si>
  <si>
    <t>Mx-hydroC</t>
  </si>
  <si>
    <t>My-hydroC</t>
  </si>
  <si>
    <t>↓② ↓</t>
  </si>
  <si>
    <t>PLATE BENDING COEFFICIENTS</t>
  </si>
  <si>
    <t xml:space="preserve">  PLATE FORMULAE FOR TOP OR BOTTOM BEAM</t>
  </si>
  <si>
    <t xml:space="preserve">  Bending moment coefficients determined by finite element analysis using quad plate elements of unity thickness.  Moment coefficients determined from dividing x &amp; y direction</t>
  </si>
  <si>
    <r>
      <t xml:space="preserve">  stress tensors by qa</t>
    </r>
    <r>
      <rPr>
        <vertAlign val="superscript"/>
        <sz val="10"/>
        <rFont val="Arial"/>
        <family val="2"/>
      </rPr>
      <t>2</t>
    </r>
    <r>
      <rPr>
        <sz val="10"/>
        <rFont val="Arial"/>
        <family val="2"/>
      </rPr>
      <t xml:space="preserve"> and section modulus.  Tables are coefficients that need to be multiplied by qa</t>
    </r>
    <r>
      <rPr>
        <vertAlign val="superscript"/>
        <sz val="10"/>
        <rFont val="Arial"/>
        <family val="2"/>
      </rPr>
      <t>2</t>
    </r>
    <r>
      <rPr>
        <sz val="10"/>
        <rFont val="Arial"/>
        <family val="2"/>
      </rPr>
      <t xml:space="preserve"> (uniform) or q</t>
    </r>
    <r>
      <rPr>
        <vertAlign val="subscript"/>
        <sz val="10"/>
        <rFont val="Arial"/>
        <family val="2"/>
      </rPr>
      <t xml:space="preserve">0 </t>
    </r>
    <r>
      <rPr>
        <sz val="10"/>
        <rFont val="Arial"/>
        <family val="2"/>
      </rPr>
      <t>a</t>
    </r>
    <r>
      <rPr>
        <vertAlign val="superscript"/>
        <sz val="10"/>
        <rFont val="Arial"/>
        <family val="2"/>
      </rPr>
      <t>2</t>
    </r>
    <r>
      <rPr>
        <sz val="10"/>
        <rFont val="Arial"/>
        <family val="2"/>
      </rPr>
      <t xml:space="preserve"> (hydrostatic) to obtain the bending moment.</t>
    </r>
  </si>
  <si>
    <t>Uniform Loading B</t>
  </si>
  <si>
    <t>Hydrostatic Loading A</t>
  </si>
  <si>
    <t>Hydrostatic Loading C</t>
  </si>
  <si>
    <t>Mx</t>
  </si>
  <si>
    <t>My</t>
  </si>
  <si>
    <t>x=0,y=0</t>
  </si>
  <si>
    <t>x=b/2,y=a</t>
  </si>
  <si>
    <t>CCCF</t>
  </si>
  <si>
    <t xml:space="preserve">  PLATE FORMULAE FOR INTERMEDIATE BEAMS</t>
  </si>
  <si>
    <t xml:space="preserve">  Bending moment coefficients for uniform loading determined by calculation using Timoshenko equations.  Bending moment coefficients for hydrostatic loading determined by finite </t>
  </si>
  <si>
    <r>
      <t xml:space="preserve"> element analysis using quad plate elements of unity thickness.  Moment coefficients determined from dividing x &amp; y direction stress tensors by qa</t>
    </r>
    <r>
      <rPr>
        <vertAlign val="superscript"/>
        <sz val="10"/>
        <rFont val="Arial"/>
        <family val="2"/>
      </rPr>
      <t>2</t>
    </r>
    <r>
      <rPr>
        <sz val="10"/>
        <rFont val="Arial"/>
        <family val="2"/>
      </rPr>
      <t xml:space="preserve"> and section modulus.  </t>
    </r>
  </si>
  <si>
    <t>Uniform Loading</t>
  </si>
  <si>
    <t>Hydrostatic Loading</t>
  </si>
  <si>
    <t>x=0,y=a/2</t>
  </si>
  <si>
    <t>x=b/2,y=a/2</t>
  </si>
  <si>
    <t>x=0,y=a</t>
  </si>
  <si>
    <t>CCCC</t>
  </si>
  <si>
    <t>C</t>
  </si>
  <si>
    <t>Total load per meter width</t>
  </si>
  <si>
    <t>SEALS</t>
  </si>
  <si>
    <t>Lintel Seal</t>
  </si>
  <si>
    <t>Seal type</t>
  </si>
  <si>
    <t>Bulb diameter</t>
  </si>
  <si>
    <t>Seal stem thickness</t>
  </si>
  <si>
    <t>Deflection</t>
  </si>
  <si>
    <t>δ</t>
  </si>
  <si>
    <t>Projection from clamp</t>
  </si>
  <si>
    <t>x</t>
  </si>
  <si>
    <t>Static coefficient of friction</t>
  </si>
  <si>
    <t>μ</t>
  </si>
  <si>
    <t>Clamp / mount bar width</t>
  </si>
  <si>
    <t>cw</t>
  </si>
  <si>
    <t>Clamp bar thickness</t>
  </si>
  <si>
    <t>ct</t>
  </si>
  <si>
    <t>Mount bar thickness</t>
  </si>
  <si>
    <t>mt</t>
  </si>
  <si>
    <t>Seal spring constant</t>
  </si>
  <si>
    <t>Water pressure at seal</t>
  </si>
  <si>
    <t>Seal length</t>
  </si>
  <si>
    <t>Load on seal due to water pressure</t>
  </si>
  <si>
    <t>Deflection load</t>
  </si>
  <si>
    <t>Friction - deflection</t>
  </si>
  <si>
    <t>Friction - water pressure</t>
  </si>
  <si>
    <t>TOTAL FRICTION</t>
  </si>
  <si>
    <t>Side Seals</t>
  </si>
  <si>
    <t>J Seal</t>
  </si>
  <si>
    <t>Sill Seal</t>
  </si>
  <si>
    <t>Wedge Seal</t>
  </si>
  <si>
    <t>Top bar thickness</t>
  </si>
  <si>
    <t>tbt</t>
  </si>
  <si>
    <t>Seal height</t>
  </si>
  <si>
    <t>sh</t>
  </si>
  <si>
    <t>HYDRAULIC DOWNPULL</t>
  </si>
  <si>
    <t>The downpull on a vertical lift gate is determined with the gate partially open.  Downpull only applies to a submerged fixed wheel gate with a downstream lintel seal and downstream skinplate, under flow conditions.  Valid only for fully ventilated flow downstream of the gate.  Calculation is per "Hydrodynamic Forces" by Eduard Naudascher.</t>
  </si>
  <si>
    <t>Gate location</t>
  </si>
  <si>
    <t>Tunnel</t>
  </si>
  <si>
    <t>Gate bottom angle</t>
  </si>
  <si>
    <t>θ</t>
  </si>
  <si>
    <t>Bottom lip ratio</t>
  </si>
  <si>
    <t>e/d</t>
  </si>
  <si>
    <t>Lintel seal protrusion</t>
  </si>
  <si>
    <t>Clearance upstream of gate</t>
  </si>
  <si>
    <t>Recess depth</t>
  </si>
  <si>
    <t>a"2</t>
  </si>
  <si>
    <t>Maximum total flow</t>
  </si>
  <si>
    <t>Q</t>
  </si>
  <si>
    <t>Gate thickness</t>
  </si>
  <si>
    <t>Lead-in radius ratio</t>
  </si>
  <si>
    <t>r/d</t>
  </si>
  <si>
    <t>Bottom lip projection</t>
  </si>
  <si>
    <t>Height of tunnel</t>
  </si>
  <si>
    <t>yo</t>
  </si>
  <si>
    <t>Projection area of top seal</t>
  </si>
  <si>
    <t>As</t>
  </si>
  <si>
    <t>a"2/(a2+a"2)</t>
  </si>
  <si>
    <t>Flow coefficient over gate</t>
  </si>
  <si>
    <t>C2</t>
  </si>
  <si>
    <t>Tunnel area</t>
  </si>
  <si>
    <t>Ao</t>
  </si>
  <si>
    <t>hmax</t>
  </si>
  <si>
    <t>MIN</t>
  </si>
  <si>
    <t>MAX</t>
  </si>
  <si>
    <t>Gate opening ratio</t>
  </si>
  <si>
    <t>Gate opening</t>
  </si>
  <si>
    <t>Contraction coefficient</t>
  </si>
  <si>
    <t>Cc</t>
  </si>
  <si>
    <t>θ=45°; e/d=0</t>
  </si>
  <si>
    <t>κB</t>
  </si>
  <si>
    <t>θ=30°; e/d=0</t>
  </si>
  <si>
    <t>θ=20°; e/d=0</t>
  </si>
  <si>
    <t>θ=0°; e/d=0</t>
  </si>
  <si>
    <t>θ=0°; e/d=0.15</t>
  </si>
  <si>
    <t>θ=0°; e/d=0.30</t>
  </si>
  <si>
    <t>θ=0°; e/d=0.45</t>
  </si>
  <si>
    <t>θ=0°; e/d=0.60</t>
  </si>
  <si>
    <t>Downpull coefficient</t>
  </si>
  <si>
    <t>Downstream head</t>
  </si>
  <si>
    <t>h</t>
  </si>
  <si>
    <t>Discharge jet velocity</t>
  </si>
  <si>
    <t>Vj</t>
  </si>
  <si>
    <t>Discharge under the gate</t>
  </si>
  <si>
    <t>Q'</t>
  </si>
  <si>
    <t>C1</t>
  </si>
  <si>
    <t>Cc.x</t>
  </si>
  <si>
    <t>Corner eddy coefficient</t>
  </si>
  <si>
    <t>ξce</t>
  </si>
  <si>
    <t>Coefficient</t>
  </si>
  <si>
    <t>κT"</t>
  </si>
  <si>
    <t>Q"</t>
  </si>
  <si>
    <t>κT'</t>
  </si>
  <si>
    <t>κT</t>
  </si>
  <si>
    <t>Δh2</t>
  </si>
  <si>
    <t>Total flow</t>
  </si>
  <si>
    <t>Approach velocity</t>
  </si>
  <si>
    <t>Vo</t>
  </si>
  <si>
    <t>Corner eddy head loss</t>
  </si>
  <si>
    <t>Hce</t>
  </si>
  <si>
    <t>Δh1</t>
  </si>
  <si>
    <t>Head in gate well</t>
  </si>
  <si>
    <t>hT</t>
  </si>
  <si>
    <t>F1</t>
  </si>
  <si>
    <t>Downpull component due to the pressure difference between the top surface of the gate and the bottom surface</t>
  </si>
  <si>
    <t>F2</t>
  </si>
  <si>
    <t>Downpull component due to the pressure difference acting on the extended skinplate</t>
  </si>
  <si>
    <t>F3</t>
  </si>
  <si>
    <t>Downpull component due to the lintel seal protrusion at the top of the gate</t>
  </si>
  <si>
    <t>Total Downpull</t>
  </si>
  <si>
    <t>Qp</t>
  </si>
  <si>
    <t>ESTIMATED GATE WEIGHT AND CENTER OF GRAVITY IN AIR</t>
  </si>
  <si>
    <t>The weight of the gate is estimated based on evaluated components of the gate.  The actual weight may vary depending upon final gate details.  The center of gravity is used to locate the lifting point such that the gate hangs vertically when suspended from the hoist.  The weight of any ballast is not included here.</t>
  </si>
  <si>
    <t xml:space="preserve">Total Volume  </t>
  </si>
  <si>
    <t>reference row for Beam 2</t>
  </si>
  <si>
    <t xml:space="preserve">Total Weight  </t>
  </si>
  <si>
    <t xml:space="preserve">Center of Gravity  </t>
  </si>
  <si>
    <t>Description</t>
  </si>
  <si>
    <t>Number</t>
  </si>
  <si>
    <t>Dimensions</t>
  </si>
  <si>
    <t>Volume</t>
  </si>
  <si>
    <t>Unit</t>
  </si>
  <si>
    <t>Total</t>
  </si>
  <si>
    <t>CG</t>
  </si>
  <si>
    <t>Height</t>
  </si>
  <si>
    <t>Diam.</t>
  </si>
  <si>
    <t>Weight</t>
  </si>
  <si>
    <t>zbar</t>
  </si>
  <si>
    <t>W*zbar</t>
  </si>
  <si>
    <t>Mount bar</t>
  </si>
  <si>
    <t>Bulb</t>
  </si>
  <si>
    <t>Stem</t>
  </si>
  <si>
    <t>Clamp bar</t>
  </si>
  <si>
    <t>Wheels</t>
  </si>
  <si>
    <t>Wheel axles</t>
  </si>
  <si>
    <t>Skinplate</t>
  </si>
  <si>
    <t>Vertical End Beams</t>
  </si>
  <si>
    <t>Vertical Stiffeners</t>
  </si>
  <si>
    <t>Subtract taper</t>
  </si>
  <si>
    <t>GATE OPERATING LOADS</t>
  </si>
  <si>
    <t>Loads associated with raising and lowering the gate are determined.  Downpull is included for fixed wheel gates assuming the gate will be used under flow conditions.  Any uplift at the gate seals would need to be added to the lowering resistance load.  Submerged gate weight is used for upstream sealing only.  Preponderance (Weight/Lowering load) usually required to be 120% minimum to ensure lowering under self-weight.</t>
  </si>
  <si>
    <t>Ballast weight in air</t>
  </si>
  <si>
    <t>ballast required to allow gate to lower under self weight</t>
  </si>
  <si>
    <t>Ballast density</t>
  </si>
  <si>
    <t>Wheel bearing friction coefficient</t>
  </si>
  <si>
    <t>0.02 anti-friction bearings (static)</t>
  </si>
  <si>
    <t>Total hydrostatic load on gate</t>
  </si>
  <si>
    <t>Resistance to rolling factor</t>
  </si>
  <si>
    <t>per DIN 19704</t>
  </si>
  <si>
    <t>Min</t>
  </si>
  <si>
    <t>Max</t>
  </si>
  <si>
    <t>Closed</t>
  </si>
  <si>
    <t>Open</t>
  </si>
  <si>
    <t>Wheel bearing friction</t>
  </si>
  <si>
    <t>Resistance to rolling</t>
  </si>
  <si>
    <t>Lintel seal friction - deflection</t>
  </si>
  <si>
    <t>Lintel seal friction - water pressure</t>
  </si>
  <si>
    <t>Side seal friction - deflection</t>
  </si>
  <si>
    <t>Side seal friction - water pressure</t>
  </si>
  <si>
    <t>Sill seal friction - deflection</t>
  </si>
  <si>
    <t>Sill seal friction - water pressure</t>
  </si>
  <si>
    <t>Downpull force</t>
  </si>
  <si>
    <t>Hoist load - lifting</t>
  </si>
  <si>
    <t>Hoist load - lowering</t>
  </si>
  <si>
    <t>Preponderance (%)</t>
  </si>
  <si>
    <t>mm</t>
  </si>
  <si>
    <t>m</t>
  </si>
  <si>
    <t>m2</t>
  </si>
  <si>
    <t>m3/s</t>
  </si>
  <si>
    <t>kg</t>
  </si>
  <si>
    <t>m/s</t>
  </si>
  <si>
    <t>m/s2</t>
  </si>
  <si>
    <t>kN</t>
  </si>
  <si>
    <t>Bulkhead (no wheels)</t>
  </si>
  <si>
    <t>max spacing</t>
  </si>
  <si>
    <t>Water Pressure</t>
  </si>
  <si>
    <t>Skinplate Bending Moment</t>
  </si>
  <si>
    <t>Effective Width Factor</t>
  </si>
  <si>
    <t>Skinplate Effective Width</t>
  </si>
  <si>
    <t>Moment Accurate</t>
  </si>
  <si>
    <t>Moment Iteration 10</t>
  </si>
  <si>
    <t>This is a cut and paste of range K24:AC25</t>
  </si>
  <si>
    <t>Upstream</t>
  </si>
  <si>
    <t>bff</t>
  </si>
  <si>
    <t>tff</t>
  </si>
  <si>
    <t>I Shape</t>
  </si>
  <si>
    <t>Dmin</t>
  </si>
  <si>
    <t>Hoist load- Lifting</t>
  </si>
  <si>
    <t>Jammed Condition</t>
  </si>
  <si>
    <t>Design Lifitng Load</t>
  </si>
  <si>
    <t>Calculated Lifting Load</t>
  </si>
  <si>
    <t>Wire Rope</t>
  </si>
  <si>
    <t>Rope diameter</t>
  </si>
  <si>
    <t>Breaking force</t>
  </si>
  <si>
    <t>6 X 37 M (18/12/6-1) Construction Ropes</t>
  </si>
  <si>
    <t>Fibre Core (CF)</t>
  </si>
  <si>
    <t>Steel Core (CWR)</t>
  </si>
  <si>
    <t>8 to 64 mm</t>
  </si>
  <si>
    <t>8 to 52 mm</t>
  </si>
  <si>
    <t>Nominal diameter</t>
  </si>
  <si>
    <t>Approximate Mass</t>
  </si>
  <si>
    <t>Fibre core</t>
  </si>
  <si>
    <t>Steel core</t>
  </si>
  <si>
    <t xml:space="preserve">Minimum Breaking Force Corresponding to Rope Grade of </t>
  </si>
  <si>
    <t>CF</t>
  </si>
  <si>
    <t>CWR</t>
  </si>
  <si>
    <t>kg/100 m</t>
  </si>
  <si>
    <t>Rope Grade</t>
  </si>
  <si>
    <t>Number of drums</t>
  </si>
  <si>
    <t>Weight per drum</t>
  </si>
  <si>
    <t>No.of sheave</t>
  </si>
  <si>
    <t>Efficiency of sheave</t>
  </si>
  <si>
    <t>Force required to lift</t>
  </si>
  <si>
    <t>Safety Factor</t>
  </si>
  <si>
    <t>Diameter of drum, min</t>
  </si>
  <si>
    <t>Dimaeter of sheave, min</t>
  </si>
  <si>
    <t>Design diameter of drum</t>
  </si>
  <si>
    <t>Design diameter of sheave</t>
  </si>
  <si>
    <t>Sheave pulley</t>
  </si>
  <si>
    <t>Reducer</t>
  </si>
  <si>
    <t>1st Gear</t>
  </si>
  <si>
    <t>2nd Gear</t>
  </si>
  <si>
    <t>Drum</t>
  </si>
  <si>
    <t>Bearing</t>
  </si>
  <si>
    <t>Overall Efficiency</t>
  </si>
  <si>
    <t>Electric Source</t>
  </si>
  <si>
    <t>AC 400V, 3 PH, 50 Hz</t>
  </si>
  <si>
    <t>Motor rpm</t>
  </si>
  <si>
    <t>Lifting speed</t>
  </si>
  <si>
    <t>Number of wire rope</t>
  </si>
  <si>
    <t>Drum PCD</t>
  </si>
  <si>
    <t>Drum rpm</t>
  </si>
  <si>
    <t>±10%</t>
  </si>
  <si>
    <t xml:space="preserve">Reduction ratio </t>
  </si>
  <si>
    <t>Capacity of motor</t>
  </si>
  <si>
    <t>Design Capacity of motor</t>
  </si>
  <si>
    <t>kW</t>
  </si>
  <si>
    <t>Manual handle torque</t>
  </si>
  <si>
    <t>Average force of person for operation</t>
  </si>
  <si>
    <t>Handle diameter</t>
  </si>
  <si>
    <t>Handle radius</t>
  </si>
  <si>
    <t>Gear ratio</t>
  </si>
  <si>
    <t>Efficiency</t>
  </si>
  <si>
    <t>Lifting load</t>
  </si>
  <si>
    <t>Reduction ratio of worm gear</t>
  </si>
  <si>
    <t>Operating force</t>
  </si>
  <si>
    <t>Shaft A rpm</t>
  </si>
  <si>
    <t>Shaft B rpm</t>
  </si>
  <si>
    <t>Shaft C rpm</t>
  </si>
  <si>
    <t>Lifitng velocity</t>
  </si>
  <si>
    <t>operating stroke</t>
  </si>
  <si>
    <t xml:space="preserve">Wire pitch </t>
  </si>
  <si>
    <t>Length of drum</t>
  </si>
  <si>
    <t>Winding number</t>
  </si>
  <si>
    <t>Calculated length of drum</t>
  </si>
  <si>
    <t>Reducer gear ratio</t>
  </si>
  <si>
    <t>1/100</t>
  </si>
  <si>
    <t>1st Gear ratio</t>
  </si>
  <si>
    <t>2nd Gear ratio</t>
  </si>
  <si>
    <t>Sheave ratio</t>
  </si>
  <si>
    <t>Open/Close time</t>
  </si>
  <si>
    <t>Wj max</t>
  </si>
  <si>
    <t>FLc</t>
  </si>
  <si>
    <t>FLd</t>
  </si>
  <si>
    <t>dR</t>
  </si>
  <si>
    <t>N</t>
  </si>
  <si>
    <t>RG</t>
  </si>
  <si>
    <t>SF</t>
  </si>
  <si>
    <t>n</t>
  </si>
  <si>
    <t>ns</t>
  </si>
  <si>
    <t>dmin</t>
  </si>
  <si>
    <t>n1</t>
  </si>
  <si>
    <t>n2</t>
  </si>
  <si>
    <t>nD</t>
  </si>
  <si>
    <t>nB</t>
  </si>
  <si>
    <t>nR</t>
  </si>
  <si>
    <t>nO</t>
  </si>
  <si>
    <t>V</t>
  </si>
  <si>
    <t>Dm</t>
  </si>
  <si>
    <t>Nw</t>
  </si>
  <si>
    <t>dm</t>
  </si>
  <si>
    <t>Nd</t>
  </si>
  <si>
    <t>i</t>
  </si>
  <si>
    <t>Ni</t>
  </si>
  <si>
    <t>Nid</t>
  </si>
  <si>
    <t>Dh</t>
  </si>
  <si>
    <t>Rh</t>
  </si>
  <si>
    <t>nm</t>
  </si>
  <si>
    <t>Tm</t>
  </si>
  <si>
    <t>Fo</t>
  </si>
  <si>
    <t>Vl</t>
  </si>
  <si>
    <t>Bc</t>
  </si>
  <si>
    <t>Ot</t>
  </si>
  <si>
    <t>1570CWR</t>
  </si>
  <si>
    <t>Design Parameters</t>
  </si>
  <si>
    <t>Type of gate</t>
  </si>
  <si>
    <t>Clear span</t>
  </si>
  <si>
    <t>Clear height</t>
  </si>
  <si>
    <t>Number of opening</t>
  </si>
  <si>
    <t>High Flood Level (HFL)</t>
  </si>
  <si>
    <t>Normal Water Level (NWL)</t>
  </si>
  <si>
    <t>Sill Level</t>
  </si>
  <si>
    <t>Design Head (at HFL)</t>
  </si>
  <si>
    <t>Depth of water sill</t>
  </si>
  <si>
    <t>Total Beam load per meter width</t>
  </si>
  <si>
    <t>Beam Definition</t>
  </si>
  <si>
    <t>Skin plate location</t>
  </si>
  <si>
    <t>Wheel Spacing</t>
  </si>
  <si>
    <t>Wheel Design</t>
  </si>
  <si>
    <t>Total weight</t>
  </si>
  <si>
    <t>Rope Drum Hoist</t>
  </si>
  <si>
    <t>Hoisting System</t>
  </si>
  <si>
    <t>Type</t>
  </si>
  <si>
    <t>Gate Operating Loads</t>
  </si>
  <si>
    <t>Hoist load-lifting ( Max.)</t>
  </si>
  <si>
    <t>Lifting load (Jammed condition)</t>
  </si>
  <si>
    <t>Poles</t>
  </si>
  <si>
    <t>Skin plate thickness</t>
  </si>
  <si>
    <t>Hoist Deck Level</t>
  </si>
  <si>
    <t>Embedded Parts</t>
  </si>
  <si>
    <t>Niche contour length (M)</t>
  </si>
  <si>
    <t>Niche contour depth (N)</t>
  </si>
  <si>
    <t>Slot contour length (L)</t>
  </si>
  <si>
    <t>Slot contour depth (B)</t>
  </si>
  <si>
    <t>GATE HOISTING SELECTTION</t>
  </si>
  <si>
    <t>6 X 37 M (18/12/9-1) 
Construction Ropes</t>
  </si>
  <si>
    <t>Seal diameter</t>
  </si>
  <si>
    <t>Skin plate face to wheel axis</t>
  </si>
  <si>
    <t>Radius of wheel</t>
  </si>
  <si>
    <t>Reaction force on roller</t>
  </si>
  <si>
    <t>Diameter of roller</t>
  </si>
  <si>
    <t>Width of roller</t>
  </si>
  <si>
    <t>Hertz's contact stress</t>
  </si>
  <si>
    <t>Half of contact width</t>
  </si>
  <si>
    <t>Max. shearting stress depth</t>
  </si>
  <si>
    <t>Thickness of track rail</t>
  </si>
  <si>
    <t>Design thickness of track rail</t>
  </si>
  <si>
    <t>Seal plate thickness</t>
  </si>
  <si>
    <t>Precompression</t>
  </si>
  <si>
    <t>offset downstream corner</t>
  </si>
  <si>
    <t>Wheel supports</t>
  </si>
  <si>
    <t>Slot contour length, L</t>
  </si>
  <si>
    <t>Slot contour depth, B</t>
  </si>
  <si>
    <t>Gate leaf slot extension length</t>
  </si>
  <si>
    <t>ISMC 75</t>
  </si>
  <si>
    <t>ISMC 100</t>
  </si>
  <si>
    <t>ISMC 125</t>
  </si>
  <si>
    <t>ISMC 150</t>
  </si>
  <si>
    <t>ISMC 175</t>
  </si>
  <si>
    <t>ISMC 200</t>
  </si>
  <si>
    <t>ISMC 225</t>
  </si>
  <si>
    <t>ISMC 250</t>
  </si>
  <si>
    <t>ISMC 300</t>
  </si>
  <si>
    <t>ISMC 350</t>
  </si>
  <si>
    <t>ISMC 400</t>
  </si>
  <si>
    <t>Weight per meter</t>
  </si>
  <si>
    <t>Sectional area</t>
  </si>
  <si>
    <t xml:space="preserve">Depth </t>
  </si>
  <si>
    <t>width</t>
  </si>
  <si>
    <t>thickness of flange</t>
  </si>
  <si>
    <t>thickness of web</t>
  </si>
  <si>
    <t>Ixx</t>
  </si>
  <si>
    <t>Zxx</t>
  </si>
  <si>
    <t>Channel section selection</t>
  </si>
  <si>
    <t>Depth of section</t>
  </si>
  <si>
    <t>Width of section</t>
  </si>
  <si>
    <t>Thickness of flange</t>
  </si>
  <si>
    <t>Thickness of web</t>
  </si>
  <si>
    <t>Sectiona modulus</t>
  </si>
  <si>
    <t xml:space="preserve">Moment of inertia </t>
  </si>
  <si>
    <t>Side roller clearance</t>
  </si>
  <si>
    <t>Seal plate width</t>
  </si>
  <si>
    <t>Clear span edge to roller wheel</t>
  </si>
  <si>
    <t>Niche contour length, M</t>
  </si>
  <si>
    <t>Thickness of holding plate</t>
  </si>
  <si>
    <t>Niche contour depth, N</t>
  </si>
  <si>
    <t>Bearing stress of concrete</t>
  </si>
  <si>
    <t>Shearing stress of concrete</t>
  </si>
  <si>
    <t xml:space="preserve">Sill level </t>
  </si>
  <si>
    <t>Gate operating platform</t>
  </si>
  <si>
    <t>Operating length</t>
  </si>
  <si>
    <t>Width of holding plate</t>
  </si>
  <si>
    <t>Anchor spacing</t>
  </si>
  <si>
    <t>Width of track plate</t>
  </si>
  <si>
    <t>EMBEDDED PARTS</t>
  </si>
  <si>
    <t>Total weight of Embedded parts</t>
  </si>
  <si>
    <t>Design offset downstream corner</t>
  </si>
  <si>
    <t xml:space="preserve">Support span </t>
  </si>
  <si>
    <t>Total gate length</t>
  </si>
  <si>
    <t>Channel section 1</t>
  </si>
  <si>
    <t>Channel section 2</t>
  </si>
  <si>
    <t>Channel supporting plate</t>
  </si>
  <si>
    <t>Unit weight</t>
  </si>
  <si>
    <t>Anchor for channel 1</t>
  </si>
  <si>
    <t>Anchor for channel 2</t>
  </si>
  <si>
    <t>Anchor for supporting plate</t>
  </si>
  <si>
    <t>I beam</t>
  </si>
  <si>
    <t>Anchor for beam</t>
  </si>
  <si>
    <t>Seal plate</t>
  </si>
  <si>
    <t>Roller track plate</t>
  </si>
  <si>
    <t>Side roller track plate</t>
  </si>
  <si>
    <t>Diameter</t>
  </si>
  <si>
    <t>Bolt, Nut, Washers</t>
  </si>
  <si>
    <t>-</t>
  </si>
  <si>
    <t>Sill Embedded Parts</t>
  </si>
  <si>
    <t>Side Embedded Parts</t>
  </si>
  <si>
    <t>Length of sill beam</t>
  </si>
  <si>
    <t>Anchor spacing for sill beam</t>
  </si>
  <si>
    <t>Sill seal plate</t>
  </si>
  <si>
    <t>Sill plate thickness</t>
  </si>
  <si>
    <t>Lintel Beam Embedded Parts</t>
  </si>
  <si>
    <t>Sill beam</t>
  </si>
  <si>
    <t>Lintel Beam</t>
  </si>
  <si>
    <t>Length of lintel beam</t>
  </si>
  <si>
    <t>Gross Weight</t>
  </si>
  <si>
    <t>Sub A</t>
  </si>
  <si>
    <t>Sub B</t>
  </si>
  <si>
    <t>Sub C</t>
  </si>
  <si>
    <t>Thck.</t>
  </si>
  <si>
    <t>Estimated Gate Weight</t>
  </si>
  <si>
    <t>Location</t>
  </si>
  <si>
    <t>Nominal flexural strength if web not slender (Eqn F4-1 &amp; F4-13)</t>
  </si>
  <si>
    <t>Combined Bending    Stress</t>
  </si>
  <si>
    <t>Wheel Number</t>
  </si>
  <si>
    <t>End Beam Moment</t>
  </si>
  <si>
    <t>This is a cut and paste of range H19:Z20</t>
  </si>
  <si>
    <t>cu.m</t>
  </si>
  <si>
    <t>meters from skinplate face</t>
  </si>
  <si>
    <t>m^3</t>
  </si>
  <si>
    <t>m.kg</t>
  </si>
  <si>
    <t xml:space="preserve"> kg</t>
  </si>
  <si>
    <t xml:space="preserve"> kg/m^3</t>
  </si>
  <si>
    <t>7849.05 kg/cu.m for steel or iron ballast</t>
  </si>
  <si>
    <t>2402.77 kg/cu.m for concrete ballast</t>
  </si>
  <si>
    <t>λpf</t>
  </si>
  <si>
    <t>λrf</t>
  </si>
  <si>
    <t>λpw</t>
  </si>
  <si>
    <t>λrw</t>
  </si>
  <si>
    <t>λw</t>
  </si>
  <si>
    <t>↖ seal</t>
  </si>
  <si>
    <t>↖ flange edge</t>
  </si>
  <si>
    <t>↙ flange edge</t>
  </si>
  <si>
    <t>↙ sill</t>
  </si>
  <si>
    <r>
      <t>max σ</t>
    </r>
    <r>
      <rPr>
        <vertAlign val="subscript"/>
        <sz val="11"/>
        <rFont val="Arial"/>
        <family val="2"/>
      </rPr>
      <t>c</t>
    </r>
  </si>
  <si>
    <t>Wheel Diameter</t>
  </si>
  <si>
    <t>Thread Width of wheel</t>
  </si>
  <si>
    <t>Yield Strength</t>
  </si>
  <si>
    <t>Ultimate Tensile Strength</t>
  </si>
  <si>
    <t>Modulus of elasticity</t>
  </si>
  <si>
    <t>Permissible Stress</t>
  </si>
  <si>
    <t>Permissible Contact Stress at surface of wheel</t>
  </si>
  <si>
    <t>Crtitical Stress of projected area</t>
  </si>
  <si>
    <t>Factor of Safety</t>
  </si>
  <si>
    <t>Allowable Critical Stress</t>
  </si>
  <si>
    <t>Design of Wheel</t>
  </si>
  <si>
    <t>Projected area of wheel</t>
  </si>
  <si>
    <t>Corner roundind on each side</t>
  </si>
  <si>
    <t>Effective wheel thread</t>
  </si>
  <si>
    <t>Check For Line Contact Condition</t>
  </si>
  <si>
    <t>Calculated contact stress</t>
  </si>
  <si>
    <t>Net Thread width</t>
  </si>
  <si>
    <t>Check For Shear Stress</t>
  </si>
  <si>
    <t>Allowable shear stress</t>
  </si>
  <si>
    <t>Maximum Shear stress</t>
  </si>
  <si>
    <t>Selection of materials and properties</t>
  </si>
  <si>
    <t>Design of track</t>
  </si>
  <si>
    <t>length of track plate</t>
  </si>
  <si>
    <t>thickness of the track plate</t>
  </si>
  <si>
    <t>Selection of beam</t>
  </si>
  <si>
    <t>Selection of concrete</t>
  </si>
  <si>
    <t>M10</t>
  </si>
  <si>
    <t>M15</t>
  </si>
  <si>
    <t>M20</t>
  </si>
  <si>
    <t>M25</t>
  </si>
  <si>
    <t>M30</t>
  </si>
  <si>
    <t>M35</t>
  </si>
  <si>
    <t>M40</t>
  </si>
  <si>
    <t>M45</t>
  </si>
  <si>
    <t>M50</t>
  </si>
  <si>
    <t>Elastic Modulus</t>
  </si>
  <si>
    <t>Bearing stress in concrete</t>
  </si>
  <si>
    <t>Weight of the wheel</t>
  </si>
  <si>
    <t>l</t>
  </si>
  <si>
    <t>Yp</t>
  </si>
  <si>
    <t>UTS</t>
  </si>
  <si>
    <t>Es</t>
  </si>
  <si>
    <t>FOS</t>
  </si>
  <si>
    <t>fpc</t>
  </si>
  <si>
    <t>Sc</t>
  </si>
  <si>
    <t>Sac</t>
  </si>
  <si>
    <t>Apa</t>
  </si>
  <si>
    <t>fo</t>
  </si>
  <si>
    <t>Iw</t>
  </si>
  <si>
    <t>Inw</t>
  </si>
  <si>
    <t>fc</t>
  </si>
  <si>
    <t>Ssa</t>
  </si>
  <si>
    <t>fsm</t>
  </si>
  <si>
    <t>Ec</t>
  </si>
  <si>
    <t>p</t>
  </si>
  <si>
    <t>Modulus of elasticity of track material</t>
  </si>
  <si>
    <t>Wheel Contact Type:</t>
  </si>
  <si>
    <t>Wt Acc. To Erbisti</t>
  </si>
  <si>
    <t>Line Contact</t>
  </si>
  <si>
    <t>Percentage weight</t>
  </si>
  <si>
    <t>%</t>
  </si>
  <si>
    <t>Calculation of Neutral Axis and Modulus of Section</t>
  </si>
  <si>
    <t>Item</t>
  </si>
  <si>
    <t>size</t>
  </si>
  <si>
    <t>Y</t>
  </si>
  <si>
    <t>AY</t>
  </si>
  <si>
    <t>AY^2</t>
  </si>
  <si>
    <t>Iself</t>
  </si>
  <si>
    <t>S.N.</t>
  </si>
  <si>
    <t>Track Plate</t>
  </si>
  <si>
    <t>Sum</t>
  </si>
  <si>
    <t>Yt</t>
  </si>
  <si>
    <t>Yb</t>
  </si>
  <si>
    <t>Ina</t>
  </si>
  <si>
    <t>Zt</t>
  </si>
  <si>
    <t>Zb</t>
  </si>
  <si>
    <t>Bending of track</t>
  </si>
  <si>
    <t>(CF)</t>
  </si>
  <si>
    <t>(CWR)</t>
  </si>
  <si>
    <t>Nominal Diameter</t>
  </si>
  <si>
    <t>Minimum Breaking Force Corresponding to Rope Grade of</t>
  </si>
  <si>
    <t>Hoist Load Lifting</t>
  </si>
  <si>
    <t>No. of Drums</t>
  </si>
  <si>
    <t>No of rope fall/drum</t>
  </si>
  <si>
    <t>Rope Tension</t>
  </si>
  <si>
    <t>Efficiency of gate pulley</t>
  </si>
  <si>
    <t>Type of rope</t>
  </si>
  <si>
    <t>Rope Type</t>
  </si>
  <si>
    <t>6X37M(18/12/6-1)</t>
  </si>
  <si>
    <t>Rope Dia</t>
  </si>
  <si>
    <t>Normal Breaking Load</t>
  </si>
  <si>
    <t>Fibre Core(CF)</t>
  </si>
  <si>
    <t>Factor of safety</t>
  </si>
  <si>
    <t xml:space="preserve">modules in Indian Standard </t>
  </si>
  <si>
    <t>Lifting Speed</t>
  </si>
  <si>
    <t xml:space="preserve">starting </t>
  </si>
  <si>
    <t>running</t>
  </si>
  <si>
    <t>drum and pulley</t>
  </si>
  <si>
    <t>2sets spur gear/pinion</t>
  </si>
  <si>
    <t xml:space="preserve">Worm reducer </t>
  </si>
  <si>
    <t>overall efficiency</t>
  </si>
  <si>
    <t>Overall efficiency</t>
  </si>
  <si>
    <t>Starting</t>
  </si>
  <si>
    <t>Ratio of efficiency</t>
  </si>
  <si>
    <t>Electric Motor selection</t>
  </si>
  <si>
    <t>HP of motor</t>
  </si>
  <si>
    <t>Rated power</t>
  </si>
  <si>
    <t>Motor</t>
  </si>
  <si>
    <t>Rated speed</t>
  </si>
  <si>
    <t>Worm Reducer Selection</t>
  </si>
  <si>
    <t>Worm reduction ratio</t>
  </si>
  <si>
    <t>Size</t>
  </si>
  <si>
    <t>7 FU</t>
  </si>
  <si>
    <t>Input HP</t>
  </si>
  <si>
    <t>Input rpm</t>
  </si>
  <si>
    <t>output torque</t>
  </si>
  <si>
    <t>N.m</t>
  </si>
  <si>
    <t>Gear Selection</t>
  </si>
  <si>
    <t>Worm reductio ratio</t>
  </si>
  <si>
    <t>Drum gear/pinion</t>
  </si>
  <si>
    <t>2nd Gear/pinion</t>
  </si>
  <si>
    <t>Rated motor speed</t>
  </si>
  <si>
    <t>Total reduction</t>
  </si>
  <si>
    <t>lifting speed</t>
  </si>
  <si>
    <t>Electro magnetic brake</t>
  </si>
  <si>
    <t>Rated torque of motor</t>
  </si>
  <si>
    <t>Brake torque</t>
  </si>
  <si>
    <t>B.D.T. condition</t>
  </si>
  <si>
    <t>BD torque</t>
  </si>
  <si>
    <t>Torque on drum under B.D.T.</t>
  </si>
  <si>
    <t>Drum pcd</t>
  </si>
  <si>
    <t>Rope Tension under BDT</t>
  </si>
  <si>
    <t>Rope Drum</t>
  </si>
  <si>
    <t>Material</t>
  </si>
  <si>
    <t>B.D.T</t>
  </si>
  <si>
    <t>Drum p.c.d</t>
  </si>
  <si>
    <t>Pitch scouring</t>
  </si>
  <si>
    <t>Drum shell thickness</t>
  </si>
  <si>
    <t>Radius of groove</t>
  </si>
  <si>
    <t>Depth of groove</t>
  </si>
  <si>
    <t>Crushing stress</t>
  </si>
  <si>
    <t>Normal crushing stress</t>
  </si>
  <si>
    <t>BDT crushing stress</t>
  </si>
  <si>
    <t>Ultimate tensile stress</t>
  </si>
  <si>
    <t>Mpa</t>
  </si>
  <si>
    <t>Yield stress</t>
  </si>
  <si>
    <t>Lifting height</t>
  </si>
  <si>
    <t>Length of rope to be wound on drum</t>
  </si>
  <si>
    <t>Drum p.c.d.</t>
  </si>
  <si>
    <t>Number of groove for the lift</t>
  </si>
  <si>
    <t>Total number of grooves i/c fixing and idle grooves</t>
  </si>
  <si>
    <t>Grooved length on drum</t>
  </si>
  <si>
    <t>BM in drum due to rope load in center</t>
  </si>
  <si>
    <t>BM due to self wt of drum at center</t>
  </si>
  <si>
    <t>Total BM</t>
  </si>
  <si>
    <t>Z to drum</t>
  </si>
  <si>
    <t>m3</t>
  </si>
  <si>
    <t>Combined Stress</t>
  </si>
  <si>
    <t>Cast Steel</t>
  </si>
  <si>
    <t>Electric Motor</t>
  </si>
  <si>
    <t>Set</t>
  </si>
  <si>
    <t>Torque in kN.m</t>
  </si>
  <si>
    <t>Drum Gear/ Pinion</t>
  </si>
  <si>
    <t>BDT</t>
  </si>
  <si>
    <t>2nd Shaft</t>
  </si>
  <si>
    <t xml:space="preserve">3rd Shaft </t>
  </si>
  <si>
    <t>Output</t>
  </si>
  <si>
    <t>Input</t>
  </si>
  <si>
    <t>Material and allowable stresses</t>
  </si>
  <si>
    <t>For Gear</t>
  </si>
  <si>
    <t>Stress under normal condition</t>
  </si>
  <si>
    <t>Grade</t>
  </si>
  <si>
    <t>Ultimate Tensile stress</t>
  </si>
  <si>
    <t>Stress under BDT condition</t>
  </si>
  <si>
    <t>For Pinion</t>
  </si>
  <si>
    <t>280-520N</t>
  </si>
  <si>
    <t>340-570N</t>
  </si>
  <si>
    <t>Gear &amp; Pinion</t>
  </si>
  <si>
    <t>sn</t>
  </si>
  <si>
    <t>num of teeth</t>
  </si>
  <si>
    <t xml:space="preserve">q value </t>
  </si>
  <si>
    <t>20 deg</t>
  </si>
  <si>
    <t>20 deg stub tooth</t>
  </si>
  <si>
    <t>part</t>
  </si>
  <si>
    <t>Torque(kN.m)</t>
  </si>
  <si>
    <t>Check</t>
  </si>
  <si>
    <t>Drum Gear</t>
  </si>
  <si>
    <t>Pinion</t>
  </si>
  <si>
    <t>2nd pinion</t>
  </si>
  <si>
    <t>Module(mm)</t>
  </si>
  <si>
    <t>PCD(m)</t>
  </si>
  <si>
    <t>Stress(Mpa)</t>
  </si>
  <si>
    <t>Face Width (mm)</t>
  </si>
  <si>
    <t>No. of teeth</t>
  </si>
  <si>
    <t>Strength Factor(q)</t>
  </si>
  <si>
    <t>Tooth Load(kN)</t>
  </si>
  <si>
    <t>Material Grade</t>
  </si>
  <si>
    <t>Adopted Drum length</t>
  </si>
  <si>
    <t>Gear Type</t>
  </si>
  <si>
    <t>20 Deg Full Depth Involute</t>
  </si>
  <si>
    <t>Length of drum(AB)</t>
  </si>
  <si>
    <t>Rope acting area(XY)</t>
  </si>
  <si>
    <t>AX=YB</t>
  </si>
  <si>
    <t>Design of Drum Shaft</t>
  </si>
  <si>
    <t>40 C8(IS 1570)</t>
  </si>
  <si>
    <t>Ultimate Tensile Stress</t>
  </si>
  <si>
    <t>Yield Stress</t>
  </si>
  <si>
    <t>Allowable Bending Stress</t>
  </si>
  <si>
    <t>Allowable torsional shear stress</t>
  </si>
  <si>
    <t>Allowable combined stress</t>
  </si>
  <si>
    <t>CD</t>
  </si>
  <si>
    <t>Vertical Load</t>
  </si>
  <si>
    <t>Rope at X</t>
  </si>
  <si>
    <t>Rope at Y</t>
  </si>
  <si>
    <t>Due to rope</t>
  </si>
  <si>
    <t>Due to self weight</t>
  </si>
  <si>
    <t>At point "A"</t>
  </si>
  <si>
    <t>kg/m</t>
  </si>
  <si>
    <t>Wt of Drum</t>
  </si>
  <si>
    <t>Total at A</t>
  </si>
  <si>
    <t>At point B</t>
  </si>
  <si>
    <t>Due to self weight of drum and gear</t>
  </si>
  <si>
    <t>Diameter of shaft</t>
  </si>
  <si>
    <t>Total at B</t>
  </si>
  <si>
    <t>Due to load of drum gear</t>
  </si>
  <si>
    <t>Horizontal Load</t>
  </si>
  <si>
    <t>At point B:</t>
  </si>
  <si>
    <t>Due to tooth profile</t>
  </si>
  <si>
    <t>Vertical Reactions</t>
  </si>
  <si>
    <t>Rope Position</t>
  </si>
  <si>
    <t>Rd</t>
  </si>
  <si>
    <t>Rc</t>
  </si>
  <si>
    <t>AC</t>
  </si>
  <si>
    <t>BD</t>
  </si>
  <si>
    <t>Horizontal Reactions</t>
  </si>
  <si>
    <t>Rope at X and Y</t>
  </si>
  <si>
    <t>Resultant Reactions</t>
  </si>
  <si>
    <t>Max BM at B(N)</t>
  </si>
  <si>
    <t>Max BM at B(BDT)</t>
  </si>
  <si>
    <t>Z of shaft</t>
  </si>
  <si>
    <t>Max Bending stress(N)</t>
  </si>
  <si>
    <t>Max Bending stress(BDT)</t>
  </si>
  <si>
    <t>Dia of shaft</t>
  </si>
  <si>
    <t>Material of shaft</t>
  </si>
  <si>
    <t>Normal Bearing Stess on plate</t>
  </si>
  <si>
    <t>Shear Stress(Normal)</t>
  </si>
  <si>
    <t>Wrought Steel</t>
  </si>
  <si>
    <t>40C8</t>
  </si>
  <si>
    <t xml:space="preserve">2nd shaft </t>
  </si>
  <si>
    <t>X</t>
  </si>
  <si>
    <t>Distance between 1st pinion and 2nd gear(PQ)</t>
  </si>
  <si>
    <t>length of shaft (XY)</t>
  </si>
  <si>
    <t>XP=QY</t>
  </si>
  <si>
    <t>At point P</t>
  </si>
  <si>
    <t>Due to tooth load</t>
  </si>
  <si>
    <t>Due to self wt</t>
  </si>
  <si>
    <t>Total load at P</t>
  </si>
  <si>
    <t>Dia of 2nd shaft</t>
  </si>
  <si>
    <t>Horizontal load</t>
  </si>
  <si>
    <t>At P</t>
  </si>
  <si>
    <t>RX</t>
  </si>
  <si>
    <t>RXv</t>
  </si>
  <si>
    <t>RXh</t>
  </si>
  <si>
    <t>RYh</t>
  </si>
  <si>
    <t>RYv</t>
  </si>
  <si>
    <t>At point Q</t>
  </si>
  <si>
    <t>Total load at Q</t>
  </si>
  <si>
    <t>At Q</t>
  </si>
  <si>
    <t>Resultant Reactants</t>
  </si>
  <si>
    <t>RY</t>
  </si>
  <si>
    <t>Manual Operation</t>
  </si>
  <si>
    <t>Handle rpm</t>
  </si>
  <si>
    <t>Moror Speed</t>
  </si>
  <si>
    <t>lifting speed with motor</t>
  </si>
  <si>
    <t>Efficiency of sprocket</t>
  </si>
  <si>
    <t>Sprocket Ratio</t>
  </si>
  <si>
    <t>Sprocket speed</t>
  </si>
  <si>
    <t>Handle Effort required</t>
  </si>
  <si>
    <t>Average force of a person</t>
  </si>
  <si>
    <t>Total Num of people required</t>
  </si>
  <si>
    <t>No of grooves on drum</t>
  </si>
  <si>
    <t>Total Num of person required</t>
  </si>
  <si>
    <t>Safety factor for rope</t>
  </si>
  <si>
    <t>Center to center distance between anchor rods</t>
  </si>
  <si>
    <t>Length of seal beam</t>
  </si>
  <si>
    <t>Total weight of gate</t>
  </si>
  <si>
    <t>Design Load</t>
  </si>
  <si>
    <t>udl over length of sill</t>
  </si>
  <si>
    <t>Considered design udl on the sill beam</t>
  </si>
  <si>
    <t xml:space="preserve">Maximum bending moment </t>
  </si>
  <si>
    <t>Allowable bending stress</t>
  </si>
  <si>
    <t>Beam selection</t>
  </si>
  <si>
    <t>Sectional Modulus</t>
  </si>
  <si>
    <t>Calculated stress</t>
  </si>
  <si>
    <r>
      <t xml:space="preserve"> </t>
    </r>
    <r>
      <rPr>
        <sz val="8"/>
        <color indexed="8"/>
        <rFont val="Calibri"/>
        <family val="2"/>
        <scheme val="minor"/>
      </rPr>
      <t xml:space="preserve">410 </t>
    </r>
    <r>
      <rPr>
        <sz val="11"/>
        <rFont val="Calibri"/>
        <family val="2"/>
        <scheme val="minor"/>
      </rPr>
      <t xml:space="preserve"> </t>
    </r>
  </si>
  <si>
    <r>
      <t xml:space="preserve"> </t>
    </r>
    <r>
      <rPr>
        <sz val="8"/>
        <color indexed="8"/>
        <rFont val="Calibri"/>
        <family val="2"/>
        <scheme val="minor"/>
      </rPr>
      <t xml:space="preserve">250 </t>
    </r>
    <r>
      <rPr>
        <sz val="11"/>
        <rFont val="Calibri"/>
        <family val="2"/>
        <scheme val="minor"/>
      </rPr>
      <t xml:space="preserve"> </t>
    </r>
  </si>
  <si>
    <r>
      <t xml:space="preserve"> </t>
    </r>
    <r>
      <rPr>
        <sz val="8"/>
        <color indexed="8"/>
        <rFont val="Calibri"/>
        <family val="2"/>
        <scheme val="minor"/>
      </rPr>
      <t xml:space="preserve">240 </t>
    </r>
    <r>
      <rPr>
        <sz val="11"/>
        <rFont val="Calibri"/>
        <family val="2"/>
        <scheme val="minor"/>
      </rPr>
      <t xml:space="preserve"> </t>
    </r>
  </si>
  <si>
    <r>
      <t xml:space="preserve"> </t>
    </r>
    <r>
      <rPr>
        <sz val="8"/>
        <color indexed="8"/>
        <rFont val="Calibri"/>
        <family val="2"/>
        <scheme val="minor"/>
      </rPr>
      <t xml:space="preserve">230 </t>
    </r>
    <r>
      <rPr>
        <sz val="11"/>
        <rFont val="Calibri"/>
        <family val="2"/>
        <scheme val="minor"/>
      </rPr>
      <t xml:space="preserve"> </t>
    </r>
  </si>
  <si>
    <r>
      <t xml:space="preserve"> </t>
    </r>
    <r>
      <rPr>
        <sz val="8"/>
        <color indexed="8"/>
        <rFont val="Calibri"/>
        <family val="2"/>
        <scheme val="minor"/>
      </rPr>
      <t xml:space="preserve">430 </t>
    </r>
    <r>
      <rPr>
        <sz val="11"/>
        <rFont val="Calibri"/>
        <family val="2"/>
        <scheme val="minor"/>
      </rPr>
      <t xml:space="preserve"> </t>
    </r>
  </si>
  <si>
    <r>
      <t xml:space="preserve"> </t>
    </r>
    <r>
      <rPr>
        <sz val="8"/>
        <color indexed="8"/>
        <rFont val="Calibri"/>
        <family val="2"/>
        <scheme val="minor"/>
      </rPr>
      <t xml:space="preserve">275 </t>
    </r>
    <r>
      <rPr>
        <sz val="11"/>
        <rFont val="Calibri"/>
        <family val="2"/>
        <scheme val="minor"/>
      </rPr>
      <t xml:space="preserve"> </t>
    </r>
  </si>
  <si>
    <r>
      <t xml:space="preserve"> </t>
    </r>
    <r>
      <rPr>
        <sz val="8"/>
        <color indexed="8"/>
        <rFont val="Calibri"/>
        <family val="2"/>
        <scheme val="minor"/>
      </rPr>
      <t xml:space="preserve">265 </t>
    </r>
    <r>
      <rPr>
        <sz val="11"/>
        <rFont val="Calibri"/>
        <family val="2"/>
        <scheme val="minor"/>
      </rPr>
      <t xml:space="preserve"> </t>
    </r>
  </si>
  <si>
    <r>
      <t xml:space="preserve"> </t>
    </r>
    <r>
      <rPr>
        <sz val="8"/>
        <color indexed="8"/>
        <rFont val="Calibri"/>
        <family val="2"/>
        <scheme val="minor"/>
      </rPr>
      <t xml:space="preserve">255 </t>
    </r>
    <r>
      <rPr>
        <sz val="11"/>
        <rFont val="Calibri"/>
        <family val="2"/>
        <scheme val="minor"/>
      </rPr>
      <t xml:space="preserve"> </t>
    </r>
  </si>
  <si>
    <r>
      <t xml:space="preserve"> </t>
    </r>
    <r>
      <rPr>
        <sz val="8"/>
        <color indexed="8"/>
        <rFont val="Calibri"/>
        <family val="2"/>
        <scheme val="minor"/>
      </rPr>
      <t xml:space="preserve">440 </t>
    </r>
    <r>
      <rPr>
        <sz val="11"/>
        <rFont val="Calibri"/>
        <family val="2"/>
        <scheme val="minor"/>
      </rPr>
      <t xml:space="preserve"> </t>
    </r>
  </si>
  <si>
    <r>
      <t xml:space="preserve"> </t>
    </r>
    <r>
      <rPr>
        <sz val="8"/>
        <color indexed="8"/>
        <rFont val="Calibri"/>
        <family val="2"/>
        <scheme val="minor"/>
      </rPr>
      <t xml:space="preserve">300 </t>
    </r>
    <r>
      <rPr>
        <sz val="11"/>
        <rFont val="Calibri"/>
        <family val="2"/>
        <scheme val="minor"/>
      </rPr>
      <t xml:space="preserve"> </t>
    </r>
  </si>
  <si>
    <r>
      <t xml:space="preserve"> </t>
    </r>
    <r>
      <rPr>
        <sz val="8"/>
        <color indexed="8"/>
        <rFont val="Calibri"/>
        <family val="2"/>
        <scheme val="minor"/>
      </rPr>
      <t xml:space="preserve">290 </t>
    </r>
    <r>
      <rPr>
        <sz val="11"/>
        <rFont val="Calibri"/>
        <family val="2"/>
        <scheme val="minor"/>
      </rPr>
      <t xml:space="preserve"> </t>
    </r>
  </si>
  <si>
    <r>
      <t xml:space="preserve"> </t>
    </r>
    <r>
      <rPr>
        <sz val="8"/>
        <color indexed="8"/>
        <rFont val="Calibri"/>
        <family val="2"/>
        <scheme val="minor"/>
      </rPr>
      <t xml:space="preserve">280 </t>
    </r>
    <r>
      <rPr>
        <sz val="11"/>
        <rFont val="Calibri"/>
        <family val="2"/>
        <scheme val="minor"/>
      </rPr>
      <t xml:space="preserve"> </t>
    </r>
  </si>
  <si>
    <r>
      <t xml:space="preserve"> </t>
    </r>
    <r>
      <rPr>
        <sz val="8"/>
        <color indexed="8"/>
        <rFont val="Calibri"/>
        <family val="2"/>
        <scheme val="minor"/>
      </rPr>
      <t xml:space="preserve">490 </t>
    </r>
    <r>
      <rPr>
        <sz val="11"/>
        <rFont val="Calibri"/>
        <family val="2"/>
        <scheme val="minor"/>
      </rPr>
      <t xml:space="preserve"> </t>
    </r>
  </si>
  <si>
    <r>
      <t xml:space="preserve"> </t>
    </r>
    <r>
      <rPr>
        <sz val="8"/>
        <color indexed="8"/>
        <rFont val="Calibri"/>
        <family val="2"/>
        <scheme val="minor"/>
      </rPr>
      <t xml:space="preserve">350 </t>
    </r>
    <r>
      <rPr>
        <sz val="11"/>
        <rFont val="Calibri"/>
        <family val="2"/>
        <scheme val="minor"/>
      </rPr>
      <t xml:space="preserve"> </t>
    </r>
  </si>
  <si>
    <r>
      <t xml:space="preserve"> </t>
    </r>
    <r>
      <rPr>
        <sz val="8"/>
        <color indexed="8"/>
        <rFont val="Calibri"/>
        <family val="2"/>
        <scheme val="minor"/>
      </rPr>
      <t xml:space="preserve">330 </t>
    </r>
    <r>
      <rPr>
        <sz val="11"/>
        <rFont val="Calibri"/>
        <family val="2"/>
        <scheme val="minor"/>
      </rPr>
      <t xml:space="preserve"> </t>
    </r>
  </si>
  <si>
    <r>
      <t xml:space="preserve"> </t>
    </r>
    <r>
      <rPr>
        <sz val="8"/>
        <color indexed="8"/>
        <rFont val="Calibri"/>
        <family val="2"/>
        <scheme val="minor"/>
      </rPr>
      <t xml:space="preserve">320 </t>
    </r>
    <r>
      <rPr>
        <sz val="11"/>
        <rFont val="Calibri"/>
        <family val="2"/>
        <scheme val="minor"/>
      </rPr>
      <t xml:space="preserve"> </t>
    </r>
  </si>
  <si>
    <r>
      <t xml:space="preserve"> </t>
    </r>
    <r>
      <rPr>
        <sz val="8"/>
        <color indexed="8"/>
        <rFont val="Calibri"/>
        <family val="2"/>
        <scheme val="minor"/>
      </rPr>
      <t xml:space="preserve">540 </t>
    </r>
    <r>
      <rPr>
        <sz val="11"/>
        <rFont val="Calibri"/>
        <family val="2"/>
        <scheme val="minor"/>
      </rPr>
      <t xml:space="preserve"> </t>
    </r>
  </si>
  <si>
    <r>
      <t xml:space="preserve"> </t>
    </r>
    <r>
      <rPr>
        <sz val="8"/>
        <color indexed="8"/>
        <rFont val="Calibri"/>
        <family val="2"/>
        <scheme val="minor"/>
      </rPr>
      <t xml:space="preserve">390 </t>
    </r>
    <r>
      <rPr>
        <sz val="11"/>
        <rFont val="Calibri"/>
        <family val="2"/>
        <scheme val="minor"/>
      </rPr>
      <t xml:space="preserve"> </t>
    </r>
  </si>
  <si>
    <r>
      <t xml:space="preserve"> </t>
    </r>
    <r>
      <rPr>
        <sz val="8"/>
        <color indexed="8"/>
        <rFont val="Calibri"/>
        <family val="2"/>
        <scheme val="minor"/>
      </rPr>
      <t xml:space="preserve">380 </t>
    </r>
    <r>
      <rPr>
        <sz val="11"/>
        <rFont val="Calibri"/>
        <family val="2"/>
        <scheme val="minor"/>
      </rPr>
      <t xml:space="preserve"> </t>
    </r>
  </si>
  <si>
    <r>
      <t xml:space="preserve"> </t>
    </r>
    <r>
      <rPr>
        <sz val="8"/>
        <color indexed="8"/>
        <rFont val="Calibri"/>
        <family val="2"/>
        <scheme val="minor"/>
      </rPr>
      <t xml:space="preserve">570 </t>
    </r>
    <r>
      <rPr>
        <sz val="11"/>
        <rFont val="Calibri"/>
        <family val="2"/>
        <scheme val="minor"/>
      </rPr>
      <t xml:space="preserve"> </t>
    </r>
  </si>
  <si>
    <r>
      <t xml:space="preserve"> </t>
    </r>
    <r>
      <rPr>
        <sz val="8"/>
        <color indexed="8"/>
        <rFont val="Calibri"/>
        <family val="2"/>
        <scheme val="minor"/>
      </rPr>
      <t xml:space="preserve">450 </t>
    </r>
    <r>
      <rPr>
        <sz val="11"/>
        <rFont val="Calibri"/>
        <family val="2"/>
        <scheme val="minor"/>
      </rPr>
      <t xml:space="preserve"> </t>
    </r>
  </si>
  <si>
    <r>
      <t xml:space="preserve"> </t>
    </r>
    <r>
      <rPr>
        <sz val="8"/>
        <color indexed="8"/>
        <rFont val="Calibri"/>
        <family val="2"/>
        <scheme val="minor"/>
      </rPr>
      <t xml:space="preserve">420 </t>
    </r>
    <r>
      <rPr>
        <sz val="11"/>
        <rFont val="Calibri"/>
        <family val="2"/>
        <scheme val="minor"/>
      </rPr>
      <t xml:space="preserve"> </t>
    </r>
  </si>
  <si>
    <r>
      <t xml:space="preserve"> </t>
    </r>
    <r>
      <rPr>
        <sz val="8"/>
        <color indexed="8"/>
        <rFont val="Calibri"/>
        <family val="2"/>
        <scheme val="minor"/>
      </rPr>
      <t xml:space="preserve">650 </t>
    </r>
    <r>
      <rPr>
        <sz val="11"/>
        <rFont val="Calibri"/>
        <family val="2"/>
        <scheme val="minor"/>
      </rPr>
      <t xml:space="preserve"> </t>
    </r>
  </si>
  <si>
    <r>
      <t xml:space="preserve"> </t>
    </r>
    <r>
      <rPr>
        <sz val="8"/>
        <color indexed="8"/>
        <rFont val="Calibri"/>
        <family val="2"/>
        <scheme val="minor"/>
      </rPr>
      <t xml:space="preserve">550 </t>
    </r>
    <r>
      <rPr>
        <sz val="11"/>
        <rFont val="Calibri"/>
        <family val="2"/>
        <scheme val="minor"/>
      </rPr>
      <t xml:space="preserve"> </t>
    </r>
  </si>
  <si>
    <r>
      <t xml:space="preserve"> </t>
    </r>
    <r>
      <rPr>
        <sz val="8"/>
        <color indexed="8"/>
        <rFont val="Calibri"/>
        <family val="2"/>
        <scheme val="minor"/>
      </rPr>
      <t xml:space="preserve">530 </t>
    </r>
    <r>
      <rPr>
        <sz val="11"/>
        <rFont val="Calibri"/>
        <family val="2"/>
        <scheme val="minor"/>
      </rPr>
      <t xml:space="preserve"> </t>
    </r>
  </si>
  <si>
    <r>
      <t xml:space="preserve"> </t>
    </r>
    <r>
      <rPr>
        <sz val="8"/>
        <color indexed="8"/>
        <rFont val="Calibri"/>
        <family val="2"/>
        <scheme val="minor"/>
      </rPr>
      <t xml:space="preserve">520 </t>
    </r>
    <r>
      <rPr>
        <sz val="11"/>
        <rFont val="Calibri"/>
        <family val="2"/>
        <scheme val="minor"/>
      </rPr>
      <t xml:space="preserve"> </t>
    </r>
  </si>
  <si>
    <r>
      <t xml:space="preserve"> </t>
    </r>
    <r>
      <rPr>
        <sz val="8"/>
        <color indexed="8"/>
        <rFont val="Calibri"/>
        <family val="2"/>
        <scheme val="minor"/>
      </rPr>
      <t xml:space="preserve">730 </t>
    </r>
    <r>
      <rPr>
        <sz val="11"/>
        <rFont val="Calibri"/>
        <family val="2"/>
        <scheme val="minor"/>
      </rPr>
      <t xml:space="preserve"> </t>
    </r>
  </si>
  <si>
    <r>
      <t xml:space="preserve"> </t>
    </r>
    <r>
      <rPr>
        <sz val="8"/>
        <color indexed="8"/>
        <rFont val="Calibri"/>
        <family val="2"/>
        <scheme val="minor"/>
      </rPr>
      <t xml:space="preserve">600 </t>
    </r>
    <r>
      <rPr>
        <sz val="11"/>
        <rFont val="Calibri"/>
        <family val="2"/>
        <scheme val="minor"/>
      </rPr>
      <t xml:space="preserve"> </t>
    </r>
  </si>
  <si>
    <r>
      <t xml:space="preserve"> </t>
    </r>
    <r>
      <rPr>
        <sz val="8"/>
        <color indexed="8"/>
        <rFont val="Calibri"/>
        <family val="2"/>
        <scheme val="minor"/>
      </rPr>
      <t xml:space="preserve">580 </t>
    </r>
    <r>
      <rPr>
        <sz val="11"/>
        <rFont val="Calibri"/>
        <family val="2"/>
        <scheme val="minor"/>
      </rPr>
      <t xml:space="preserve"> </t>
    </r>
  </si>
  <si>
    <r>
      <t xml:space="preserve"> </t>
    </r>
    <r>
      <rPr>
        <sz val="8"/>
        <color indexed="8"/>
        <rFont val="Calibri"/>
        <family val="2"/>
        <scheme val="minor"/>
      </rPr>
      <t xml:space="preserve">780 </t>
    </r>
    <r>
      <rPr>
        <sz val="11"/>
        <rFont val="Calibri"/>
        <family val="2"/>
        <scheme val="minor"/>
      </rPr>
      <t xml:space="preserve"> </t>
    </r>
  </si>
  <si>
    <r>
      <t xml:space="preserve"> </t>
    </r>
    <r>
      <rPr>
        <sz val="8"/>
        <color indexed="8"/>
        <rFont val="Calibri"/>
        <family val="2"/>
        <scheme val="minor"/>
      </rPr>
      <t xml:space="preserve">630 </t>
    </r>
    <r>
      <rPr>
        <sz val="11"/>
        <rFont val="Calibri"/>
        <family val="2"/>
        <scheme val="minor"/>
      </rPr>
      <t xml:space="preserve"> </t>
    </r>
  </si>
  <si>
    <r>
      <t xml:space="preserve"> </t>
    </r>
    <r>
      <rPr>
        <sz val="8"/>
        <color indexed="8"/>
        <rFont val="Calibri"/>
        <family val="2"/>
        <scheme val="minor"/>
      </rPr>
      <t xml:space="preserve">620 </t>
    </r>
    <r>
      <rPr>
        <sz val="11"/>
        <rFont val="Calibri"/>
        <family val="2"/>
        <scheme val="minor"/>
      </rPr>
      <t xml:space="preserve"> </t>
    </r>
  </si>
  <si>
    <t>E 250</t>
  </si>
  <si>
    <t>E 275</t>
  </si>
  <si>
    <t>E 300</t>
  </si>
  <si>
    <t>E 350</t>
  </si>
  <si>
    <t>E 410</t>
  </si>
  <si>
    <t>E 450</t>
  </si>
  <si>
    <t>E 550</t>
  </si>
  <si>
    <t>E 600</t>
  </si>
  <si>
    <t>E 650</t>
  </si>
  <si>
    <t>&lt;20</t>
  </si>
  <si>
    <t>20-40</t>
  </si>
  <si>
    <t>&gt;40</t>
  </si>
  <si>
    <t>Mechanical properties</t>
  </si>
  <si>
    <t>Area</t>
  </si>
  <si>
    <t>Sloth contour length</t>
  </si>
  <si>
    <t>Offset downstream corner</t>
  </si>
  <si>
    <t>Weight per Mete (w)</t>
  </si>
  <si>
    <t>Sectional Area (a)</t>
  </si>
  <si>
    <t>Depth of Section (h)</t>
  </si>
  <si>
    <t>Width of flange (b)</t>
  </si>
  <si>
    <r>
      <t>Thickness of Flange (t</t>
    </r>
    <r>
      <rPr>
        <vertAlign val="subscript"/>
        <sz val="12"/>
        <rFont val="Times New Roman"/>
        <family val="1"/>
      </rPr>
      <t>f</t>
    </r>
    <r>
      <rPr>
        <sz val="12"/>
        <rFont val="Times New Roman"/>
        <family val="1"/>
      </rPr>
      <t>)</t>
    </r>
  </si>
  <si>
    <r>
      <t>Thickness of Web (t</t>
    </r>
    <r>
      <rPr>
        <vertAlign val="subscript"/>
        <sz val="12"/>
        <rFont val="Times New Roman"/>
        <family val="1"/>
      </rPr>
      <t>w</t>
    </r>
    <r>
      <rPr>
        <sz val="12"/>
        <rFont val="Times New Roman"/>
        <family val="1"/>
      </rPr>
      <t>)</t>
    </r>
  </si>
  <si>
    <r>
      <t>Centre of Gravity C</t>
    </r>
    <r>
      <rPr>
        <vertAlign val="subscript"/>
        <sz val="12"/>
        <rFont val="Times New Roman"/>
        <family val="1"/>
      </rPr>
      <t>yy</t>
    </r>
  </si>
  <si>
    <r>
      <t>I</t>
    </r>
    <r>
      <rPr>
        <vertAlign val="subscript"/>
        <sz val="12"/>
        <rFont val="Times New Roman"/>
        <family val="1"/>
      </rPr>
      <t>xx</t>
    </r>
    <r>
      <rPr>
        <sz val="12"/>
        <rFont val="Times New Roman"/>
        <family val="1"/>
      </rPr>
      <t xml:space="preserve"> cm</t>
    </r>
    <r>
      <rPr>
        <vertAlign val="superscript"/>
        <sz val="12"/>
        <rFont val="Times New Roman"/>
        <family val="1"/>
      </rPr>
      <t>4</t>
    </r>
  </si>
  <si>
    <r>
      <t>I</t>
    </r>
    <r>
      <rPr>
        <vertAlign val="subscript"/>
        <sz val="12"/>
        <rFont val="Times New Roman"/>
        <family val="1"/>
      </rPr>
      <t xml:space="preserve">yy </t>
    </r>
    <r>
      <rPr>
        <sz val="12"/>
        <rFont val="Times New Roman"/>
        <family val="1"/>
      </rPr>
      <t>cm</t>
    </r>
    <r>
      <rPr>
        <vertAlign val="superscript"/>
        <sz val="12"/>
        <rFont val="Times New Roman"/>
        <family val="1"/>
      </rPr>
      <t>4</t>
    </r>
  </si>
  <si>
    <r>
      <t>Raddi of Gyration r</t>
    </r>
    <r>
      <rPr>
        <vertAlign val="subscript"/>
        <sz val="12"/>
        <rFont val="Times New Roman"/>
        <family val="1"/>
      </rPr>
      <t>xx</t>
    </r>
  </si>
  <si>
    <r>
      <t>Raddi of Gyration r</t>
    </r>
    <r>
      <rPr>
        <vertAlign val="subscript"/>
        <sz val="12"/>
        <rFont val="Times New Roman"/>
        <family val="1"/>
      </rPr>
      <t>yy</t>
    </r>
  </si>
  <si>
    <r>
      <t>Modulli of Section Z</t>
    </r>
    <r>
      <rPr>
        <vertAlign val="subscript"/>
        <sz val="12"/>
        <rFont val="Times New Roman"/>
        <family val="1"/>
      </rPr>
      <t>xx</t>
    </r>
  </si>
  <si>
    <r>
      <t xml:space="preserve">Modulli of Section </t>
    </r>
    <r>
      <rPr>
        <vertAlign val="subscript"/>
        <sz val="12"/>
        <rFont val="Times New Roman"/>
        <family val="1"/>
      </rPr>
      <t xml:space="preserve">Zyy </t>
    </r>
    <r>
      <rPr>
        <sz val="12"/>
        <rFont val="Times New Roman"/>
        <family val="1"/>
      </rPr>
      <t xml:space="preserve"> </t>
    </r>
  </si>
  <si>
    <t>Connection Details</t>
  </si>
  <si>
    <t>Maximum size of Flange Rivet</t>
  </si>
  <si>
    <r>
      <t xml:space="preserve">   cm</t>
    </r>
    <r>
      <rPr>
        <vertAlign val="superscript"/>
        <sz val="12"/>
        <rFont val="Times New Roman"/>
        <family val="1"/>
      </rPr>
      <t>2</t>
    </r>
  </si>
  <si>
    <t xml:space="preserve"> mm</t>
  </si>
  <si>
    <r>
      <t xml:space="preserve"> </t>
    </r>
    <r>
      <rPr>
        <sz val="12"/>
        <rFont val="Times New Roman"/>
        <family val="1"/>
      </rPr>
      <t>cm</t>
    </r>
  </si>
  <si>
    <t>cm</t>
  </si>
  <si>
    <r>
      <t xml:space="preserve"> </t>
    </r>
    <r>
      <rPr>
        <sz val="12"/>
        <rFont val="Times New Roman"/>
        <family val="1"/>
      </rPr>
      <t>cm</t>
    </r>
    <r>
      <rPr>
        <vertAlign val="superscript"/>
        <sz val="12"/>
        <rFont val="Times New Roman"/>
        <family val="1"/>
      </rPr>
      <t>3</t>
    </r>
  </si>
  <si>
    <r>
      <t>cm</t>
    </r>
    <r>
      <rPr>
        <vertAlign val="superscript"/>
        <sz val="12"/>
        <rFont val="Times New Roman"/>
        <family val="1"/>
      </rPr>
      <t>3</t>
    </r>
  </si>
  <si>
    <r>
      <t>h</t>
    </r>
    <r>
      <rPr>
        <vertAlign val="subscript"/>
        <sz val="12"/>
        <rFont val="Times New Roman"/>
        <family val="1"/>
      </rPr>
      <t>1</t>
    </r>
  </si>
  <si>
    <r>
      <t>h</t>
    </r>
    <r>
      <rPr>
        <vertAlign val="subscript"/>
        <sz val="12"/>
        <rFont val="Times New Roman"/>
        <family val="1"/>
      </rPr>
      <t xml:space="preserve">2 </t>
    </r>
  </si>
  <si>
    <r>
      <t>b</t>
    </r>
    <r>
      <rPr>
        <vertAlign val="subscript"/>
        <sz val="12"/>
        <rFont val="Times New Roman"/>
        <family val="1"/>
      </rPr>
      <t>1/2</t>
    </r>
  </si>
  <si>
    <t>g</t>
  </si>
  <si>
    <r>
      <t>g</t>
    </r>
    <r>
      <rPr>
        <vertAlign val="subscript"/>
        <sz val="12"/>
        <rFont val="Times New Roman"/>
        <family val="1"/>
      </rPr>
      <t>1</t>
    </r>
  </si>
  <si>
    <t>(min) mm</t>
  </si>
  <si>
    <t>BACK</t>
  </si>
  <si>
    <t>Spacing between anchor rods</t>
  </si>
  <si>
    <t>Side</t>
  </si>
  <si>
    <t>Number of anchor rod on sill beam througout its span</t>
  </si>
  <si>
    <t>Num of Anchor rod for Sill beam</t>
  </si>
  <si>
    <t>Side plate</t>
  </si>
  <si>
    <t>Length</t>
  </si>
  <si>
    <t>Sloth contour depth</t>
  </si>
  <si>
    <t>Nitch contour length,M</t>
  </si>
  <si>
    <t>Nitch contour depth,N</t>
  </si>
  <si>
    <t>Downstream</t>
  </si>
  <si>
    <t>Wheel Base</t>
  </si>
  <si>
    <t>Weight per Meter (w)</t>
  </si>
  <si>
    <r>
      <t>Thickness of Flange (t</t>
    </r>
    <r>
      <rPr>
        <vertAlign val="subscript"/>
        <sz val="12"/>
        <color indexed="8"/>
        <rFont val="Times New Roman"/>
        <family val="1"/>
      </rPr>
      <t>f</t>
    </r>
    <r>
      <rPr>
        <sz val="12"/>
        <color indexed="8"/>
        <rFont val="Times New Roman"/>
        <family val="1"/>
      </rPr>
      <t>)</t>
    </r>
  </si>
  <si>
    <r>
      <t>Thickness of Web (t</t>
    </r>
    <r>
      <rPr>
        <vertAlign val="subscript"/>
        <sz val="12"/>
        <color indexed="8"/>
        <rFont val="Times New Roman"/>
        <family val="1"/>
      </rPr>
      <t>w</t>
    </r>
    <r>
      <rPr>
        <sz val="12"/>
        <color indexed="8"/>
        <rFont val="Times New Roman"/>
        <family val="1"/>
      </rPr>
      <t>)</t>
    </r>
  </si>
  <si>
    <t>Moment of Inertia</t>
  </si>
  <si>
    <t>Raddi of Gyration</t>
  </si>
  <si>
    <t>Modulli of Section</t>
  </si>
  <si>
    <r>
      <t xml:space="preserve">   cm</t>
    </r>
    <r>
      <rPr>
        <vertAlign val="superscript"/>
        <sz val="12"/>
        <color indexed="8"/>
        <rFont val="Times New Roman"/>
        <family val="1"/>
      </rPr>
      <t>2</t>
    </r>
  </si>
  <si>
    <r>
      <t>I</t>
    </r>
    <r>
      <rPr>
        <vertAlign val="subscript"/>
        <sz val="12"/>
        <color indexed="8"/>
        <rFont val="Times New Roman"/>
        <family val="1"/>
      </rPr>
      <t>xx</t>
    </r>
    <r>
      <rPr>
        <sz val="12"/>
        <color indexed="8"/>
        <rFont val="Times New Roman"/>
        <family val="1"/>
      </rPr>
      <t xml:space="preserve"> cm</t>
    </r>
    <r>
      <rPr>
        <vertAlign val="superscript"/>
        <sz val="12"/>
        <color indexed="8"/>
        <rFont val="Times New Roman"/>
        <family val="1"/>
      </rPr>
      <t>4</t>
    </r>
  </si>
  <si>
    <r>
      <t>I</t>
    </r>
    <r>
      <rPr>
        <vertAlign val="subscript"/>
        <sz val="12"/>
        <color indexed="8"/>
        <rFont val="Times New Roman"/>
        <family val="1"/>
      </rPr>
      <t xml:space="preserve">yy </t>
    </r>
    <r>
      <rPr>
        <sz val="12"/>
        <color indexed="8"/>
        <rFont val="Times New Roman"/>
        <family val="1"/>
      </rPr>
      <t>cm</t>
    </r>
    <r>
      <rPr>
        <vertAlign val="superscript"/>
        <sz val="12"/>
        <color indexed="8"/>
        <rFont val="Times New Roman"/>
        <family val="1"/>
      </rPr>
      <t>4</t>
    </r>
  </si>
  <si>
    <r>
      <t>r</t>
    </r>
    <r>
      <rPr>
        <vertAlign val="subscript"/>
        <sz val="12"/>
        <color indexed="8"/>
        <rFont val="Times New Roman"/>
        <family val="1"/>
      </rPr>
      <t xml:space="preserve">xx </t>
    </r>
    <r>
      <rPr>
        <sz val="12"/>
        <color indexed="8"/>
        <rFont val="Times New Roman"/>
        <family val="1"/>
      </rPr>
      <t>cm</t>
    </r>
  </si>
  <si>
    <r>
      <t>r</t>
    </r>
    <r>
      <rPr>
        <vertAlign val="subscript"/>
        <sz val="12"/>
        <color indexed="8"/>
        <rFont val="Times New Roman"/>
        <family val="1"/>
      </rPr>
      <t>yy</t>
    </r>
    <r>
      <rPr>
        <sz val="12"/>
        <color indexed="8"/>
        <rFont val="Times New Roman"/>
        <family val="1"/>
      </rPr>
      <t xml:space="preserve"> cm</t>
    </r>
  </si>
  <si>
    <r>
      <t>Z</t>
    </r>
    <r>
      <rPr>
        <vertAlign val="subscript"/>
        <sz val="12"/>
        <color indexed="8"/>
        <rFont val="Times New Roman"/>
        <family val="1"/>
      </rPr>
      <t xml:space="preserve">xx  </t>
    </r>
    <r>
      <rPr>
        <sz val="12"/>
        <color indexed="8"/>
        <rFont val="Times New Roman"/>
        <family val="1"/>
      </rPr>
      <t>cm</t>
    </r>
    <r>
      <rPr>
        <vertAlign val="superscript"/>
        <sz val="12"/>
        <color indexed="8"/>
        <rFont val="Times New Roman"/>
        <family val="1"/>
      </rPr>
      <t>3</t>
    </r>
  </si>
  <si>
    <r>
      <t xml:space="preserve">Zyy </t>
    </r>
    <r>
      <rPr>
        <sz val="12"/>
        <color indexed="8"/>
        <rFont val="Times New Roman"/>
        <family val="1"/>
      </rPr>
      <t xml:space="preserve"> cm</t>
    </r>
    <r>
      <rPr>
        <vertAlign val="superscript"/>
        <sz val="12"/>
        <color indexed="8"/>
        <rFont val="Times New Roman"/>
        <family val="1"/>
      </rPr>
      <t>3</t>
    </r>
  </si>
  <si>
    <t>Weight per meter(kg/m)</t>
  </si>
  <si>
    <t>Sectional area(m2)</t>
  </si>
  <si>
    <t>Depth of section(mm)</t>
  </si>
  <si>
    <t>Width of flange(mm)</t>
  </si>
  <si>
    <t>Thickness of flange(mm)</t>
  </si>
  <si>
    <t>Thickness of web(mm)</t>
  </si>
  <si>
    <t>Moment of inertia (cm4)</t>
  </si>
  <si>
    <t>Sectiona modulus(cm3)</t>
  </si>
  <si>
    <t>Num of Anchor rods for downstream side channel</t>
  </si>
  <si>
    <t>Num of Anchor rods for upstream side channel</t>
  </si>
  <si>
    <t>Num of Anchor rods for side plate</t>
  </si>
  <si>
    <t>Channel section at downstream side</t>
  </si>
  <si>
    <t>Channel section at updstream side</t>
  </si>
  <si>
    <t>Anchor for channel at upstream side</t>
  </si>
  <si>
    <t>Anchor for channel at downstream side</t>
  </si>
  <si>
    <t>Num of Anchors rods for Beam</t>
  </si>
  <si>
    <t xml:space="preserve">Seal plate width </t>
  </si>
  <si>
    <t>Bolt size</t>
  </si>
  <si>
    <t>M16</t>
  </si>
  <si>
    <t>M24</t>
  </si>
  <si>
    <t>M27</t>
  </si>
  <si>
    <t>M26</t>
  </si>
  <si>
    <t>M28</t>
  </si>
  <si>
    <t>M29</t>
  </si>
  <si>
    <t>Wt according to Erbisti</t>
  </si>
  <si>
    <t>Design Head (at NWL)</t>
  </si>
  <si>
    <t>AM 132-S-6</t>
  </si>
  <si>
    <t>Included</t>
  </si>
  <si>
    <t>Manual Gate lifting speed</t>
  </si>
  <si>
    <t>Gate Embedded Parts</t>
  </si>
  <si>
    <t xml:space="preserve">Rope Drum Hoist </t>
  </si>
  <si>
    <t>Max Moment</t>
  </si>
  <si>
    <t>Total Force acting at center</t>
  </si>
  <si>
    <t>per meter width</t>
  </si>
  <si>
    <t>Cantilivered</t>
  </si>
  <si>
    <t>Intake</t>
  </si>
</sst>
</file>

<file path=xl/styles.xml><?xml version="1.0" encoding="utf-8"?>
<styleSheet xmlns="http://schemas.openxmlformats.org/spreadsheetml/2006/main" xmlns:mc="http://schemas.openxmlformats.org/markup-compatibility/2006" xmlns:x14ac="http://schemas.microsoft.com/office/spreadsheetml/2009/9/ac" mc:Ignorable="x14ac">
  <numFmts count="143">
    <numFmt numFmtId="164" formatCode="###,##0.000\ \l\b\f"/>
    <numFmt numFmtId="165" formatCode="#,##0.000\ \i\n"/>
    <numFmt numFmtId="166" formatCode="0.000"/>
    <numFmt numFmtId="167" formatCode="#,##0.000\ &quot;m&quot;"/>
    <numFmt numFmtId="168" formatCode="#,##0.00\ &quot;kN/m3&quot;"/>
    <numFmt numFmtId="169" formatCode="#,##0.000\ &quot;kN/m2&quot;"/>
    <numFmt numFmtId="170" formatCode="#,##0.000\ &quot;kN&quot;"/>
    <numFmt numFmtId="171" formatCode="#,##0.000\ &quot;kN.m&quot;"/>
    <numFmt numFmtId="172" formatCode="#,##0.00\ &quot;mm&quot;"/>
    <numFmt numFmtId="173" formatCode="#,##0.0\ &quot;in^4&quot;"/>
    <numFmt numFmtId="174" formatCode="#,##0.000\ &quot;in^3&quot;"/>
    <numFmt numFmtId="175" formatCode="#,##0.000"/>
    <numFmt numFmtId="176" formatCode="###,##0\ &quot;psi&quot;"/>
    <numFmt numFmtId="177" formatCode="##0.000\ \i\n"/>
    <numFmt numFmtId="178" formatCode="&quot;SECTION PROPERTIES FOR BEAM &quot;0"/>
    <numFmt numFmtId="179" formatCode="#,##0.000\ &quot;in^2&quot;"/>
    <numFmt numFmtId="180" formatCode="#,##0\ &quot;lbf&quot;"/>
    <numFmt numFmtId="181" formatCode="#,##0\ &quot;lb.ft&quot;"/>
    <numFmt numFmtId="182" formatCode="&quot;&gt;  &quot;0"/>
    <numFmt numFmtId="183" formatCode="0.0000\ &quot;deg&quot;"/>
    <numFmt numFmtId="184" formatCode="#\ ??/??\ &quot;in&quot;"/>
    <numFmt numFmtId="185" formatCode="0.0000000000000000"/>
    <numFmt numFmtId="186" formatCode="0.000000000"/>
    <numFmt numFmtId="187" formatCode="#,##0\ &quot;BHN&quot;"/>
    <numFmt numFmtId="188" formatCode="0.0000000"/>
    <numFmt numFmtId="189" formatCode="###,##0\ &quot;kN&quot;"/>
    <numFmt numFmtId="190" formatCode="#,##0.000\ &quot;mm&quot;"/>
    <numFmt numFmtId="191" formatCode="###,##0\ &quot;MPa&quot;"/>
    <numFmt numFmtId="192" formatCode="0.000\ &quot;m&quot;"/>
    <numFmt numFmtId="193" formatCode="##0.0000\ \i\n"/>
    <numFmt numFmtId="194" formatCode="&quot;BEAM&quot;\ 0"/>
    <numFmt numFmtId="195" formatCode="##0.000\ &quot;mm&quot;"/>
    <numFmt numFmtId="196" formatCode="#,##0\ &quot;kN&quot;"/>
    <numFmt numFmtId="197" formatCode="#,##0\ &quot;lbf.in&quot;"/>
    <numFmt numFmtId="198" formatCode="0.00000"/>
    <numFmt numFmtId="199" formatCode="&quot;VERTICAL STIFFENER BELOW BEAM&quot;\ #,##0"/>
    <numFmt numFmtId="200" formatCode="0.0000"/>
    <numFmt numFmtId="201" formatCode="#,##0.000\ &quot;m2&quot;"/>
    <numFmt numFmtId="202" formatCode="###,##0\ &quot;kg&quot;"/>
    <numFmt numFmtId="203" formatCode="0.0\ &quot;lbf/in&quot;"/>
    <numFmt numFmtId="204" formatCode="0.0\ &quot;psi&quot;"/>
    <numFmt numFmtId="205" formatCode="0\ &quot;lbf&quot;"/>
    <numFmt numFmtId="206" formatCode="#,##0.000\ &quot;MPa&quot;"/>
    <numFmt numFmtId="207" formatCode="0.0"/>
    <numFmt numFmtId="208" formatCode="0.00_)"/>
    <numFmt numFmtId="209" formatCode="0_)"/>
    <numFmt numFmtId="210" formatCode="0.0000_)"/>
    <numFmt numFmtId="211" formatCode="0.0_)"/>
    <numFmt numFmtId="212" formatCode="&quot;Side Seal Type&quot;\ #"/>
    <numFmt numFmtId="213" formatCode="0.000_)"/>
    <numFmt numFmtId="214" formatCode="&quot;Lintel Seal Type&quot;\ #"/>
    <numFmt numFmtId="215" formatCode="&quot;Sill Seal Type&quot;\ #"/>
    <numFmt numFmtId="216" formatCode="0.0%"/>
    <numFmt numFmtId="217" formatCode="#,##0.00\ &quot;lbf/in&quot;"/>
    <numFmt numFmtId="218" formatCode="#,##0.0\ &quot;lbf&quot;"/>
    <numFmt numFmtId="219" formatCode="#,##0.000\ &quot;lbf&quot;"/>
    <numFmt numFmtId="220" formatCode="#,###\ &quot;mm&quot;"/>
    <numFmt numFmtId="221" formatCode="#,##0\ &quot;Ton&quot;"/>
    <numFmt numFmtId="222" formatCode="#,###\ &quot;rpm&quot;"/>
    <numFmt numFmtId="223" formatCode="##,##0.000\ &quot;rpm&quot;"/>
    <numFmt numFmtId="224" formatCode="#,##0.00\ &quot;m/min&quot;"/>
    <numFmt numFmtId="225" formatCode="#,##0.0\ &quot;m/min&quot;"/>
    <numFmt numFmtId="226" formatCode="&quot;1/&quot;#,##0\ &quot;&quot;"/>
    <numFmt numFmtId="227" formatCode="##,##0.00\ &quot;kW&quot;"/>
    <numFmt numFmtId="228" formatCode="0\ &quot;poles&quot;"/>
    <numFmt numFmtId="229" formatCode="###,##0.00\ &quot;kg&quot;"/>
    <numFmt numFmtId="230" formatCode="##,##0.00\ &quot;rpm&quot;"/>
    <numFmt numFmtId="231" formatCode="0\ &quot;min&quot;"/>
    <numFmt numFmtId="232" formatCode="##0.00\ &quot;m&quot;"/>
    <numFmt numFmtId="233" formatCode="#,##0.00\ &quot;Nos.&quot;"/>
    <numFmt numFmtId="234" formatCode="##,##0\ &quot;rpm&quot;"/>
    <numFmt numFmtId="235" formatCode="#,##0.0\ &quot;mm&quot;"/>
    <numFmt numFmtId="236" formatCode="#,##0\ &quot;mm&quot;"/>
    <numFmt numFmtId="237" formatCode="###,##0.00\ &quot;MPa&quot;"/>
    <numFmt numFmtId="238" formatCode="&quot;&lt;&quot;\ ###,##0.0\ &quot;MPa&quot;"/>
    <numFmt numFmtId="239" formatCode="&quot;&lt;&quot;\ ###,##0.00\ &quot;MPa&quot;"/>
    <numFmt numFmtId="240" formatCode="###,##0.00\ &quot;kg/m&quot;"/>
    <numFmt numFmtId="241" formatCode="#,##0.00\ &quot;m&quot;"/>
    <numFmt numFmtId="242" formatCode="#,##0\ &quot;mm3&quot;"/>
    <numFmt numFmtId="243" formatCode="###,##0.000\ &quot;kg&quot;"/>
    <numFmt numFmtId="244" formatCode="##0.00\ &quot;m amsl&quot;"/>
    <numFmt numFmtId="245" formatCode="#,###.00\ &quot;mm&quot;"/>
    <numFmt numFmtId="246" formatCode="###,##0.00\ &quot;kN&quot;"/>
    <numFmt numFmtId="247" formatCode="#,##0.00\ &quot;Ton&quot;"/>
    <numFmt numFmtId="248" formatCode="General\ &quot;m&quot;"/>
    <numFmt numFmtId="249" formatCode="#,##0.000\ &quot;kN/m&quot;"/>
    <numFmt numFmtId="250" formatCode="#,##0.00\ &quot;m^2&quot;"/>
    <numFmt numFmtId="251" formatCode="#,##0.00\ &quot;m2&quot;"/>
    <numFmt numFmtId="252" formatCode="#,##0.00\ &quot;lbf&quot;"/>
    <numFmt numFmtId="253" formatCode="&quot;&lt;&quot;#,##0.000\ &quot;MPa&quot;"/>
    <numFmt numFmtId="254" formatCode="##0.0E+0\ &quot;m4&quot;"/>
    <numFmt numFmtId="255" formatCode="##0.00E+0\ &quot;m3&quot;"/>
    <numFmt numFmtId="256" formatCode="#,##0.000\ &quot;N/mm&quot;"/>
    <numFmt numFmtId="257" formatCode="#,##0.000\ &quot;N/mm2&quot;"/>
    <numFmt numFmtId="258" formatCode="#,##0.000\ &quot;N&quot;"/>
    <numFmt numFmtId="259" formatCode="#,##0\ &quot;in^2&quot;"/>
    <numFmt numFmtId="260" formatCode="#,##0\ &quot;in^3&quot;"/>
    <numFmt numFmtId="261" formatCode="#,##0.00\ &quot;in^2&quot;"/>
    <numFmt numFmtId="262" formatCode="###,##0.000\ &quot;kN&quot;"/>
    <numFmt numFmtId="263" formatCode="&quot;&lt;&quot;#,##0.00\ &quot;MPa&quot;"/>
    <numFmt numFmtId="264" formatCode="&quot;&gt;&quot;\ #0.000\ &quot;m&quot;"/>
    <numFmt numFmtId="265" formatCode="###,##0.000\ &quot;kN.m&quot;"/>
    <numFmt numFmtId="266" formatCode="###,##0.000\ &quot;kN/m&quot;"/>
    <numFmt numFmtId="267" formatCode="#0.0E+0\ &quot;m3&quot;"/>
    <numFmt numFmtId="268" formatCode="#,##0.0\ &quot;m^4&quot;"/>
    <numFmt numFmtId="269" formatCode="#,##0.000\ &quot;m^3&quot;"/>
    <numFmt numFmtId="270" formatCode="#,##0.00\ &quot;MPa&quot;"/>
    <numFmt numFmtId="271" formatCode="#,##0.00\ &quot;kN.m&quot;"/>
    <numFmt numFmtId="272" formatCode="###,##0.0000\ &quot;kN&quot;"/>
    <numFmt numFmtId="273" formatCode="0.00\ &quot;kN/m&quot;"/>
    <numFmt numFmtId="274" formatCode="#0.00E+0\ &quot;m^4&quot;"/>
    <numFmt numFmtId="275" formatCode="#0.00E+0\ &quot;m^3&quot;"/>
    <numFmt numFmtId="276" formatCode="&quot;&lt;&quot;#,##0.00\ &quot;m&quot;"/>
    <numFmt numFmtId="277" formatCode="#,##0.00\ &quot;kN/m2&quot;"/>
    <numFmt numFmtId="278" formatCode="General\ &quot;BHN&quot;"/>
    <numFmt numFmtId="279" formatCode="#,##0.000\ &quot;m^2&quot;"/>
    <numFmt numFmtId="280" formatCode="0.00\ &quot;kg.cm&quot;"/>
    <numFmt numFmtId="281" formatCode="#,##0.0000\ &quot;lbf&quot;"/>
    <numFmt numFmtId="282" formatCode="&quot;&gt;&quot;\ General"/>
    <numFmt numFmtId="283" formatCode="&quot;&lt;&quot;\ General"/>
    <numFmt numFmtId="284" formatCode="&quot;:&quot;\ General"/>
    <numFmt numFmtId="285" formatCode="&quot;&gt;&quot;General"/>
    <numFmt numFmtId="286" formatCode="General\ &quot;M&quot;"/>
    <numFmt numFmtId="287" formatCode="&quot;&lt; &quot;General"/>
    <numFmt numFmtId="288" formatCode="#,##0.00\ &quot;kN&quot;"/>
    <numFmt numFmtId="289" formatCode="&quot;&gt; &quot;General"/>
    <numFmt numFmtId="290" formatCode="#,##0.00\ &quot;HP&quot;"/>
    <numFmt numFmtId="291" formatCode="#,##0.00\ &quot;rpm&quot;"/>
    <numFmt numFmtId="292" formatCode="#,##0.00\ &quot;N.m&quot;"/>
    <numFmt numFmtId="293" formatCode="#,##0.00\ &quot;kg&quot;"/>
    <numFmt numFmtId="294" formatCode="0.00E+00\ &quot;m3&quot;"/>
    <numFmt numFmtId="295" formatCode="#,##0.00\ &quot;N&quot;"/>
    <numFmt numFmtId="296" formatCode="##,##0.00\ &quot;HP&quot;"/>
    <numFmt numFmtId="297" formatCode="&quot;&lt; &quot;#,##0.00\ &quot;MPa&quot;"/>
    <numFmt numFmtId="298" formatCode="#,##0.00\ &quot;N/m&quot;"/>
    <numFmt numFmtId="299" formatCode="#,##0\ &quot;MPa&quot;"/>
    <numFmt numFmtId="300" formatCode="#,##0.00000\ &quot;m2&quot;"/>
    <numFmt numFmtId="301" formatCode="#,##0.0000\ &quot;m&quot;"/>
    <numFmt numFmtId="302" formatCode="#,##0.00000\ &quot;m&quot;"/>
    <numFmt numFmtId="303" formatCode="#,##0.000000\ &quot;m&quot;"/>
    <numFmt numFmtId="304" formatCode="#,##0.000000\ &quot;m3&quot;"/>
    <numFmt numFmtId="305" formatCode="#,##0.000000\ &quot;in^2&quot;"/>
    <numFmt numFmtId="306" formatCode="#,##0.0000000\ &quot;in^2&quot;"/>
  </numFmts>
  <fonts count="42" x14ac:knownFonts="1">
    <font>
      <sz val="11"/>
      <color theme="1"/>
      <name val="Calibri"/>
      <family val="2"/>
      <scheme val="minor"/>
    </font>
    <font>
      <sz val="10"/>
      <color theme="1"/>
      <name val="Arial"/>
      <family val="2"/>
    </font>
    <font>
      <b/>
      <sz val="10"/>
      <color theme="1"/>
      <name val="Arial"/>
      <family val="2"/>
    </font>
    <font>
      <sz val="10"/>
      <name val="Arial"/>
      <family val="2"/>
    </font>
    <font>
      <sz val="10"/>
      <name val="Times New Roman"/>
      <family val="1"/>
    </font>
    <font>
      <b/>
      <sz val="10"/>
      <name val="Arial"/>
      <family val="2"/>
    </font>
    <font>
      <b/>
      <sz val="14"/>
      <name val="Arial"/>
      <family val="2"/>
    </font>
    <font>
      <vertAlign val="subscript"/>
      <sz val="10"/>
      <name val="Arial"/>
      <family val="2"/>
    </font>
    <font>
      <i/>
      <sz val="10"/>
      <name val="Arial"/>
      <family val="2"/>
    </font>
    <font>
      <vertAlign val="superscript"/>
      <sz val="10"/>
      <name val="Arial"/>
      <family val="2"/>
    </font>
    <font>
      <i/>
      <sz val="10"/>
      <name val="Times New Roman"/>
      <family val="1"/>
    </font>
    <font>
      <sz val="10"/>
      <name val="Calibri"/>
      <family val="2"/>
    </font>
    <font>
      <b/>
      <sz val="12"/>
      <color theme="0"/>
      <name val="Arial"/>
      <family val="2"/>
    </font>
    <font>
      <sz val="9"/>
      <color indexed="81"/>
      <name val="Tahoma"/>
      <family val="2"/>
    </font>
    <font>
      <b/>
      <sz val="9"/>
      <color indexed="81"/>
      <name val="Tahoma"/>
      <family val="2"/>
    </font>
    <font>
      <b/>
      <sz val="11"/>
      <name val="Arial"/>
      <family val="2"/>
    </font>
    <font>
      <sz val="11"/>
      <name val="Arial"/>
      <family val="2"/>
    </font>
    <font>
      <i/>
      <sz val="11"/>
      <name val="Arial"/>
      <family val="2"/>
    </font>
    <font>
      <b/>
      <sz val="12"/>
      <name val="Symbol"/>
      <family val="1"/>
      <charset val="2"/>
    </font>
    <font>
      <sz val="8"/>
      <name val="Arial"/>
      <family val="2"/>
    </font>
    <font>
      <sz val="11"/>
      <color theme="1"/>
      <name val="Arial"/>
      <family val="2"/>
    </font>
    <font>
      <b/>
      <i/>
      <sz val="11"/>
      <name val="Arial"/>
      <family val="2"/>
    </font>
    <font>
      <i/>
      <sz val="11"/>
      <color theme="6" tint="-0.24994659260841701"/>
      <name val="Arial"/>
      <family val="2"/>
    </font>
    <font>
      <sz val="11"/>
      <color theme="0" tint="-0.24994659260841701"/>
      <name val="Arial"/>
      <family val="2"/>
    </font>
    <font>
      <vertAlign val="subscript"/>
      <sz val="11"/>
      <name val="Arial"/>
      <family val="2"/>
    </font>
    <font>
      <b/>
      <sz val="11"/>
      <color theme="0"/>
      <name val="Arial"/>
      <family val="2"/>
    </font>
    <font>
      <b/>
      <sz val="11"/>
      <color rgb="FFFF0000"/>
      <name val="Arial"/>
      <family val="2"/>
    </font>
    <font>
      <b/>
      <sz val="11"/>
      <color theme="1"/>
      <name val="Arial"/>
      <family val="2"/>
    </font>
    <font>
      <i/>
      <sz val="11"/>
      <color rgb="FF00B050"/>
      <name val="Arial"/>
      <family val="2"/>
    </font>
    <font>
      <sz val="11"/>
      <color theme="1"/>
      <name val="Calibri"/>
      <family val="2"/>
      <scheme val="minor"/>
    </font>
    <font>
      <sz val="8"/>
      <color theme="1"/>
      <name val="Arial"/>
      <family val="2"/>
    </font>
    <font>
      <sz val="8"/>
      <color indexed="8"/>
      <name val="Calibri"/>
      <family val="2"/>
      <scheme val="minor"/>
    </font>
    <font>
      <sz val="11"/>
      <name val="Calibri"/>
      <family val="2"/>
      <scheme val="minor"/>
    </font>
    <font>
      <sz val="12"/>
      <name val="Times New Roman"/>
      <family val="1"/>
    </font>
    <font>
      <vertAlign val="subscript"/>
      <sz val="12"/>
      <name val="Times New Roman"/>
      <family val="1"/>
    </font>
    <font>
      <vertAlign val="superscript"/>
      <sz val="12"/>
      <name val="Times New Roman"/>
      <family val="1"/>
    </font>
    <font>
      <b/>
      <sz val="10"/>
      <color indexed="10"/>
      <name val="Arial"/>
      <family val="2"/>
    </font>
    <font>
      <u/>
      <sz val="10"/>
      <color indexed="12"/>
      <name val="Arial"/>
      <family val="2"/>
    </font>
    <font>
      <sz val="12"/>
      <color indexed="8"/>
      <name val="Times New Roman"/>
      <family val="1"/>
    </font>
    <font>
      <vertAlign val="subscript"/>
      <sz val="12"/>
      <color indexed="8"/>
      <name val="Times New Roman"/>
      <family val="1"/>
    </font>
    <font>
      <vertAlign val="superscript"/>
      <sz val="12"/>
      <color indexed="8"/>
      <name val="Times New Roman"/>
      <family val="1"/>
    </font>
    <font>
      <sz val="10"/>
      <color indexed="8"/>
      <name val="Arial"/>
      <family val="2"/>
    </font>
  </fonts>
  <fills count="21">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indexed="11"/>
        <bgColor indexed="64"/>
      </patternFill>
    </fill>
    <fill>
      <patternFill patternType="solid">
        <fgColor indexed="40"/>
        <bgColor indexed="64"/>
      </patternFill>
    </fill>
    <fill>
      <patternFill patternType="solid">
        <fgColor indexed="42"/>
        <bgColor indexed="64"/>
      </patternFill>
    </fill>
    <fill>
      <patternFill patternType="solid">
        <fgColor indexed="13"/>
        <bgColor indexed="64"/>
      </patternFill>
    </fill>
    <fill>
      <patternFill patternType="solid">
        <fgColor theme="0" tint="-4.9989318521683403E-2"/>
        <bgColor indexed="64"/>
      </patternFill>
    </fill>
    <fill>
      <patternFill patternType="solid">
        <fgColor rgb="FF00FF00"/>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C6EFCE"/>
        <bgColor indexed="64"/>
      </patternFill>
    </fill>
    <fill>
      <patternFill patternType="solid">
        <fgColor indexed="22"/>
        <bgColor indexed="64"/>
      </patternFill>
    </fill>
  </fills>
  <borders count="9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ck">
        <color indexed="64"/>
      </right>
      <top/>
      <bottom/>
      <diagonal/>
    </border>
    <border>
      <left/>
      <right style="thick">
        <color indexed="64"/>
      </right>
      <top/>
      <bottom style="thick">
        <color indexed="64"/>
      </bottom>
      <diagonal/>
    </border>
    <border>
      <left/>
      <right/>
      <top/>
      <bottom style="thick">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dotted">
        <color indexed="64"/>
      </top>
      <bottom/>
      <diagonal/>
    </border>
    <border>
      <left/>
      <right/>
      <top style="dotted">
        <color indexed="64"/>
      </top>
      <bottom/>
      <diagonal/>
    </border>
    <border>
      <left style="dotted">
        <color indexed="64"/>
      </left>
      <right style="dotted">
        <color indexed="64"/>
      </right>
      <top/>
      <bottom/>
      <diagonal/>
    </border>
    <border>
      <left style="dotted">
        <color indexed="64"/>
      </left>
      <right/>
      <top/>
      <bottom/>
      <diagonal/>
    </border>
    <border>
      <left/>
      <right style="thin">
        <color indexed="64"/>
      </right>
      <top/>
      <bottom/>
      <diagonal/>
    </border>
    <border>
      <left/>
      <right style="thin">
        <color indexed="64"/>
      </right>
      <top/>
      <bottom style="dotted">
        <color indexed="64"/>
      </bottom>
      <diagonal/>
    </border>
    <border>
      <left/>
      <right/>
      <top style="dotted">
        <color indexed="64"/>
      </top>
      <bottom style="dotted">
        <color indexed="64"/>
      </bottom>
      <diagonal/>
    </border>
    <border>
      <left/>
      <right style="thin">
        <color indexed="64"/>
      </right>
      <top style="dotted">
        <color indexed="64"/>
      </top>
      <bottom/>
      <diagonal/>
    </border>
    <border>
      <left/>
      <right/>
      <top/>
      <bottom style="dotted">
        <color indexed="64"/>
      </bottom>
      <diagonal/>
    </border>
    <border>
      <left style="thin">
        <color indexed="64"/>
      </left>
      <right/>
      <top/>
      <bottom style="dotted">
        <color indexed="64"/>
      </bottom>
      <diagonal/>
    </border>
    <border diagonalUp="1">
      <left/>
      <right/>
      <top/>
      <bottom/>
      <diagonal style="thin">
        <color auto="1"/>
      </diagonal>
    </border>
    <border>
      <left style="thin">
        <color indexed="64"/>
      </left>
      <right/>
      <top/>
      <bottom/>
      <diagonal/>
    </border>
    <border diagonalDown="1">
      <left/>
      <right/>
      <top/>
      <bottom/>
      <diagonal style="thin">
        <color auto="1"/>
      </diagonal>
    </border>
    <border>
      <left/>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top/>
      <bottom/>
      <diagonal/>
    </border>
    <border>
      <left style="thin">
        <color indexed="8"/>
      </left>
      <right style="thin">
        <color indexed="8"/>
      </right>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64"/>
      </bottom>
      <diagonal/>
    </border>
    <border>
      <left style="thin">
        <color indexed="8"/>
      </left>
      <right style="thin">
        <color indexed="8"/>
      </right>
      <top/>
      <bottom style="thin">
        <color indexed="64"/>
      </bottom>
      <diagonal/>
    </border>
    <border>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ck">
        <color indexed="64"/>
      </left>
      <right/>
      <top/>
      <bottom style="thick">
        <color indexed="64"/>
      </bottom>
      <diagonal/>
    </border>
    <border>
      <left style="thick">
        <color indexed="64"/>
      </left>
      <right style="thick">
        <color auto="1"/>
      </right>
      <top/>
      <bottom style="thick">
        <color indexed="64"/>
      </bottom>
      <diagonal/>
    </border>
    <border>
      <left style="thick">
        <color indexed="64"/>
      </left>
      <right style="thick">
        <color auto="1"/>
      </right>
      <top/>
      <bottom/>
      <diagonal/>
    </border>
    <border>
      <left/>
      <right/>
      <top style="thin">
        <color indexed="8"/>
      </top>
      <bottom/>
      <diagonal/>
    </border>
    <border>
      <left/>
      <right style="thin">
        <color indexed="8"/>
      </right>
      <top/>
      <bottom/>
      <diagonal/>
    </border>
    <border>
      <left/>
      <right/>
      <top style="medium">
        <color indexed="8"/>
      </top>
      <bottom style="thin">
        <color indexed="8"/>
      </bottom>
      <diagonal/>
    </border>
    <border>
      <left/>
      <right/>
      <top style="medium">
        <color indexed="16"/>
      </top>
      <bottom/>
      <diagonal/>
    </border>
    <border>
      <left/>
      <right/>
      <top/>
      <bottom style="medium">
        <color indexed="16"/>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ck">
        <color indexed="64"/>
      </left>
      <right/>
      <top style="thick">
        <color indexed="64"/>
      </top>
      <bottom/>
      <diagonal/>
    </border>
    <border>
      <left style="thick">
        <color indexed="64"/>
      </left>
      <right style="thick">
        <color indexed="64"/>
      </right>
      <top style="thick">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16"/>
      </left>
      <right style="medium">
        <color indexed="16"/>
      </right>
      <top style="medium">
        <color indexed="16"/>
      </top>
      <bottom/>
      <diagonal/>
    </border>
    <border>
      <left/>
      <right style="medium">
        <color indexed="16"/>
      </right>
      <top style="medium">
        <color indexed="16"/>
      </top>
      <bottom/>
      <diagonal/>
    </border>
    <border>
      <left style="medium">
        <color indexed="16"/>
      </left>
      <right style="medium">
        <color indexed="16"/>
      </right>
      <top/>
      <bottom/>
      <diagonal/>
    </border>
    <border>
      <left/>
      <right style="medium">
        <color indexed="16"/>
      </right>
      <top/>
      <bottom/>
      <diagonal/>
    </border>
    <border>
      <left style="medium">
        <color indexed="16"/>
      </left>
      <right style="medium">
        <color indexed="16"/>
      </right>
      <top/>
      <bottom style="medium">
        <color indexed="16"/>
      </bottom>
      <diagonal/>
    </border>
    <border>
      <left/>
      <right style="medium">
        <color indexed="16"/>
      </right>
      <top/>
      <bottom style="medium">
        <color indexed="16"/>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6">
    <xf numFmtId="0" fontId="0" fillId="0" borderId="0"/>
    <xf numFmtId="0" fontId="3" fillId="0" borderId="0" applyProtection="0"/>
    <xf numFmtId="208" fontId="3" fillId="0" borderId="0"/>
    <xf numFmtId="9" fontId="29" fillId="0" borderId="0" applyFont="0" applyFill="0" applyBorder="0" applyAlignment="0" applyProtection="0"/>
    <xf numFmtId="0" fontId="3" fillId="0" borderId="0"/>
    <xf numFmtId="0" fontId="37" fillId="0" borderId="0" applyNumberFormat="0" applyFill="0" applyBorder="0" applyAlignment="0" applyProtection="0">
      <alignment vertical="top"/>
      <protection locked="0"/>
    </xf>
  </cellStyleXfs>
  <cellXfs count="1245">
    <xf numFmtId="0" fontId="0" fillId="0" borderId="0" xfId="0"/>
    <xf numFmtId="0" fontId="1" fillId="0" borderId="0" xfId="0" applyFont="1"/>
    <xf numFmtId="0" fontId="3" fillId="0" borderId="0" xfId="0" applyFont="1" applyFill="1" applyBorder="1" applyAlignment="1">
      <alignment horizontal="center"/>
    </xf>
    <xf numFmtId="0" fontId="3" fillId="0" borderId="0" xfId="0" applyFont="1" applyAlignment="1">
      <alignment horizontal="right" indent="1"/>
    </xf>
    <xf numFmtId="0" fontId="3" fillId="0" borderId="0" xfId="0" applyFont="1" applyFill="1" applyBorder="1" applyAlignment="1">
      <alignment horizontal="right" indent="1"/>
    </xf>
    <xf numFmtId="0" fontId="3" fillId="0" borderId="0" xfId="0" applyFont="1"/>
    <xf numFmtId="0" fontId="3" fillId="0" borderId="0" xfId="1" applyFont="1" applyBorder="1" applyAlignment="1" applyProtection="1">
      <alignment horizontal="left" vertical="center" indent="1"/>
    </xf>
    <xf numFmtId="0" fontId="5" fillId="0" borderId="0" xfId="0" applyFont="1" applyAlignment="1">
      <alignment horizontal="left" indent="1"/>
    </xf>
    <xf numFmtId="0" fontId="3" fillId="0" borderId="0" xfId="0" applyFont="1" applyAlignment="1">
      <alignment horizontal="left" indent="1"/>
    </xf>
    <xf numFmtId="0" fontId="1" fillId="0" borderId="0" xfId="0" applyFont="1" applyAlignment="1">
      <alignment horizontal="right" indent="1"/>
    </xf>
    <xf numFmtId="0" fontId="1" fillId="0" borderId="0" xfId="0" applyFont="1" applyAlignment="1"/>
    <xf numFmtId="0" fontId="6" fillId="6" borderId="0" xfId="1" applyFont="1" applyFill="1" applyAlignment="1" applyProtection="1">
      <alignment horizontal="centerContinuous"/>
      <protection hidden="1"/>
    </xf>
    <xf numFmtId="0" fontId="3" fillId="7" borderId="0" xfId="1" applyFont="1" applyFill="1" applyBorder="1" applyAlignment="1" applyProtection="1">
      <alignment vertical="center"/>
      <protection hidden="1"/>
    </xf>
    <xf numFmtId="0" fontId="0" fillId="5" borderId="31" xfId="0" applyFill="1" applyBorder="1" applyAlignment="1" applyProtection="1">
      <alignment horizontal="left"/>
      <protection hidden="1"/>
    </xf>
    <xf numFmtId="0" fontId="3" fillId="7" borderId="0" xfId="1" applyFont="1" applyFill="1" applyBorder="1" applyProtection="1">
      <protection hidden="1"/>
    </xf>
    <xf numFmtId="0" fontId="3" fillId="7" borderId="15" xfId="1" applyFont="1" applyFill="1" applyBorder="1" applyProtection="1">
      <protection hidden="1"/>
    </xf>
    <xf numFmtId="0" fontId="4" fillId="0" borderId="0" xfId="1" applyFont="1" applyAlignment="1" applyProtection="1">
      <alignment horizontal="right"/>
      <protection hidden="1"/>
    </xf>
    <xf numFmtId="176" fontId="3" fillId="0" borderId="0" xfId="1" applyNumberFormat="1" applyFont="1" applyBorder="1" applyAlignment="1" applyProtection="1">
      <alignment horizontal="right"/>
      <protection hidden="1"/>
    </xf>
    <xf numFmtId="0" fontId="3" fillId="0" borderId="0" xfId="1" applyFont="1" applyAlignment="1" applyProtection="1">
      <alignment horizontal="left" indent="1"/>
      <protection hidden="1"/>
    </xf>
    <xf numFmtId="0" fontId="3" fillId="0" borderId="0" xfId="1" applyFont="1" applyProtection="1">
      <protection hidden="1"/>
    </xf>
    <xf numFmtId="0" fontId="0" fillId="0" borderId="0" xfId="0" applyProtection="1">
      <protection hidden="1"/>
    </xf>
    <xf numFmtId="165" fontId="3" fillId="7" borderId="2" xfId="1" applyNumberFormat="1" applyFont="1" applyFill="1" applyBorder="1" applyAlignment="1" applyProtection="1">
      <alignment horizontal="centerContinuous" wrapText="1"/>
      <protection hidden="1"/>
    </xf>
    <xf numFmtId="0" fontId="0" fillId="7" borderId="12" xfId="0" applyFill="1" applyBorder="1" applyAlignment="1" applyProtection="1">
      <alignment horizontal="centerContinuous" wrapText="1"/>
      <protection hidden="1"/>
    </xf>
    <xf numFmtId="200" fontId="0" fillId="7" borderId="12" xfId="0" applyNumberFormat="1" applyFill="1" applyBorder="1" applyAlignment="1" applyProtection="1">
      <alignment horizontal="centerContinuous" wrapText="1"/>
      <protection hidden="1"/>
    </xf>
    <xf numFmtId="0" fontId="3" fillId="7" borderId="13" xfId="1" applyFont="1" applyFill="1" applyBorder="1" applyAlignment="1" applyProtection="1">
      <alignment horizontal="centerContinuous" wrapText="1"/>
      <protection hidden="1"/>
    </xf>
    <xf numFmtId="0" fontId="10" fillId="0" borderId="22" xfId="0" applyFont="1" applyBorder="1" applyAlignment="1" applyProtection="1">
      <alignment horizontal="center" vertical="center"/>
      <protection hidden="1"/>
    </xf>
    <xf numFmtId="165" fontId="3" fillId="7" borderId="2" xfId="1" applyNumberFormat="1" applyFont="1" applyFill="1" applyBorder="1" applyAlignment="1" applyProtection="1">
      <alignment horizontal="centerContinuous"/>
      <protection hidden="1"/>
    </xf>
    <xf numFmtId="0" fontId="0" fillId="7" borderId="13" xfId="0" applyFill="1" applyBorder="1" applyAlignment="1" applyProtection="1">
      <alignment horizontal="centerContinuous"/>
      <protection hidden="1"/>
    </xf>
    <xf numFmtId="0" fontId="10" fillId="0" borderId="17" xfId="0" applyFont="1" applyBorder="1" applyAlignment="1" applyProtection="1">
      <alignment horizontal="center" vertical="center"/>
      <protection hidden="1"/>
    </xf>
    <xf numFmtId="0" fontId="11" fillId="0" borderId="1" xfId="0" applyFont="1" applyBorder="1" applyAlignment="1">
      <alignment horizontal="center"/>
    </xf>
    <xf numFmtId="165" fontId="10" fillId="0" borderId="3" xfId="1" applyNumberFormat="1" applyFont="1" applyBorder="1" applyAlignment="1" applyProtection="1">
      <alignment horizontal="center"/>
      <protection hidden="1"/>
    </xf>
    <xf numFmtId="0" fontId="10" fillId="0" borderId="3" xfId="0" applyFont="1" applyBorder="1" applyAlignment="1" applyProtection="1">
      <alignment horizontal="center" vertical="center"/>
      <protection hidden="1"/>
    </xf>
    <xf numFmtId="165" fontId="10" fillId="0" borderId="5" xfId="1" applyNumberFormat="1" applyFont="1" applyBorder="1" applyAlignment="1" applyProtection="1">
      <alignment horizontal="center"/>
      <protection hidden="1"/>
    </xf>
    <xf numFmtId="0" fontId="10" fillId="0" borderId="5" xfId="0" applyFont="1" applyBorder="1" applyAlignment="1" applyProtection="1">
      <alignment horizontal="center" vertical="center"/>
      <protection hidden="1"/>
    </xf>
    <xf numFmtId="166" fontId="0" fillId="0" borderId="4" xfId="0" applyNumberFormat="1" applyBorder="1" applyAlignment="1" applyProtection="1">
      <alignment horizontal="center"/>
      <protection hidden="1"/>
    </xf>
    <xf numFmtId="198" fontId="0" fillId="0" borderId="4" xfId="0" applyNumberFormat="1" applyBorder="1" applyAlignment="1" applyProtection="1">
      <alignment horizontal="center"/>
      <protection hidden="1"/>
    </xf>
    <xf numFmtId="166" fontId="0" fillId="0" borderId="5" xfId="0" applyNumberFormat="1" applyBorder="1" applyAlignment="1" applyProtection="1">
      <alignment horizontal="center"/>
      <protection hidden="1"/>
    </xf>
    <xf numFmtId="198" fontId="0" fillId="0" borderId="5" xfId="0" applyNumberFormat="1" applyBorder="1" applyAlignment="1" applyProtection="1">
      <alignment horizontal="center"/>
      <protection hidden="1"/>
    </xf>
    <xf numFmtId="0" fontId="3" fillId="0" borderId="0" xfId="0" applyFont="1" applyBorder="1" applyAlignment="1" applyProtection="1">
      <alignment horizontal="center"/>
      <protection hidden="1"/>
    </xf>
    <xf numFmtId="198" fontId="3" fillId="0" borderId="0" xfId="0" applyNumberFormat="1" applyFont="1" applyBorder="1" applyAlignment="1" applyProtection="1">
      <alignment horizontal="center"/>
      <protection hidden="1"/>
    </xf>
    <xf numFmtId="0" fontId="3" fillId="0" borderId="0" xfId="1" applyFont="1" applyAlignment="1" applyProtection="1">
      <alignment horizontal="center"/>
      <protection hidden="1"/>
    </xf>
    <xf numFmtId="0" fontId="3" fillId="0" borderId="0" xfId="1" applyFont="1" applyFill="1" applyAlignment="1" applyProtection="1">
      <alignment horizontal="center"/>
      <protection hidden="1"/>
    </xf>
    <xf numFmtId="0" fontId="0" fillId="0" borderId="0" xfId="0" applyBorder="1" applyAlignment="1" applyProtection="1">
      <alignment horizontal="center"/>
      <protection hidden="1"/>
    </xf>
    <xf numFmtId="198" fontId="0" fillId="0" borderId="0" xfId="0" applyNumberFormat="1" applyBorder="1" applyAlignment="1" applyProtection="1">
      <alignment horizontal="center"/>
      <protection hidden="1"/>
    </xf>
    <xf numFmtId="165" fontId="3" fillId="0" borderId="0" xfId="1" applyNumberFormat="1" applyFont="1" applyProtection="1">
      <protection hidden="1"/>
    </xf>
    <xf numFmtId="0" fontId="0" fillId="7" borderId="12" xfId="0" applyFill="1" applyBorder="1" applyAlignment="1" applyProtection="1">
      <alignment horizontal="centerContinuous"/>
      <protection hidden="1"/>
    </xf>
    <xf numFmtId="0" fontId="10" fillId="7" borderId="12" xfId="1" applyFont="1" applyFill="1" applyBorder="1" applyAlignment="1" applyProtection="1">
      <alignment horizontal="centerContinuous"/>
      <protection hidden="1"/>
    </xf>
    <xf numFmtId="0" fontId="3" fillId="0" borderId="0" xfId="1" applyFont="1" applyBorder="1" applyAlignment="1" applyProtection="1">
      <alignment horizontal="center"/>
      <protection hidden="1"/>
    </xf>
    <xf numFmtId="165" fontId="3" fillId="7" borderId="29" xfId="1" applyNumberFormat="1" applyFont="1" applyFill="1" applyBorder="1" applyAlignment="1" applyProtection="1">
      <alignment horizontal="centerContinuous"/>
      <protection hidden="1"/>
    </xf>
    <xf numFmtId="0" fontId="0" fillId="7" borderId="0" xfId="0" applyFill="1" applyBorder="1" applyAlignment="1" applyProtection="1">
      <alignment horizontal="centerContinuous"/>
      <protection hidden="1"/>
    </xf>
    <xf numFmtId="0" fontId="10" fillId="7" borderId="0" xfId="1" applyFont="1" applyFill="1" applyBorder="1" applyAlignment="1" applyProtection="1">
      <alignment horizontal="centerContinuous"/>
      <protection hidden="1"/>
    </xf>
    <xf numFmtId="165" fontId="3" fillId="7" borderId="0" xfId="1" applyNumberFormat="1" applyFont="1" applyFill="1" applyBorder="1" applyAlignment="1" applyProtection="1">
      <alignment horizontal="centerContinuous"/>
      <protection hidden="1"/>
    </xf>
    <xf numFmtId="0" fontId="0" fillId="7" borderId="22" xfId="0" applyFill="1" applyBorder="1" applyAlignment="1" applyProtection="1">
      <alignment horizontal="centerContinuous"/>
      <protection hidden="1"/>
    </xf>
    <xf numFmtId="195" fontId="1" fillId="0" borderId="0" xfId="0" applyNumberFormat="1" applyFont="1"/>
    <xf numFmtId="0" fontId="3" fillId="0" borderId="0" xfId="0" applyFont="1" applyAlignment="1"/>
    <xf numFmtId="3" fontId="5" fillId="7" borderId="1" xfId="0" applyNumberFormat="1" applyFont="1" applyFill="1" applyBorder="1" applyAlignment="1">
      <alignment horizontal="right" indent="1"/>
    </xf>
    <xf numFmtId="0" fontId="5" fillId="10" borderId="1" xfId="0" applyFont="1" applyFill="1" applyBorder="1" applyAlignment="1">
      <alignment horizontal="right" indent="1"/>
    </xf>
    <xf numFmtId="207" fontId="3" fillId="0" borderId="5" xfId="0" applyNumberFormat="1" applyFont="1" applyFill="1" applyBorder="1" applyAlignment="1">
      <alignment horizontal="right" indent="1"/>
    </xf>
    <xf numFmtId="207" fontId="3" fillId="7" borderId="5" xfId="0" applyNumberFormat="1" applyFont="1" applyFill="1" applyBorder="1" applyAlignment="1">
      <alignment horizontal="right" indent="1"/>
    </xf>
    <xf numFmtId="1" fontId="3" fillId="0" borderId="1" xfId="0" applyNumberFormat="1" applyFont="1" applyFill="1" applyBorder="1" applyAlignment="1">
      <alignment horizontal="right" indent="1"/>
    </xf>
    <xf numFmtId="166" fontId="5" fillId="0" borderId="1" xfId="0" applyNumberFormat="1" applyFont="1" applyBorder="1" applyAlignment="1">
      <alignment horizontal="right" indent="1"/>
    </xf>
    <xf numFmtId="0" fontId="5" fillId="0" borderId="0" xfId="0" applyFont="1" applyAlignment="1">
      <alignment horizontal="right" indent="1"/>
    </xf>
    <xf numFmtId="0" fontId="5" fillId="0" borderId="0" xfId="0" applyFont="1" applyAlignment="1"/>
    <xf numFmtId="0" fontId="1" fillId="0" borderId="1" xfId="0" applyFont="1" applyBorder="1" applyAlignment="1">
      <alignment horizontal="right" indent="1"/>
    </xf>
    <xf numFmtId="0" fontId="1" fillId="8" borderId="1" xfId="0" applyFont="1" applyFill="1" applyBorder="1" applyAlignment="1" applyProtection="1">
      <alignment horizontal="right" indent="1"/>
      <protection locked="0"/>
    </xf>
    <xf numFmtId="3" fontId="1" fillId="8" borderId="1" xfId="0" applyNumberFormat="1" applyFont="1" applyFill="1" applyBorder="1" applyAlignment="1" applyProtection="1">
      <alignment horizontal="right" indent="1"/>
      <protection locked="0"/>
    </xf>
    <xf numFmtId="166" fontId="1" fillId="0" borderId="1" xfId="0" applyNumberFormat="1" applyFont="1" applyFill="1" applyBorder="1" applyAlignment="1">
      <alignment horizontal="right" indent="1"/>
    </xf>
    <xf numFmtId="207" fontId="1" fillId="0" borderId="1" xfId="0" applyNumberFormat="1" applyFont="1" applyFill="1" applyBorder="1" applyAlignment="1">
      <alignment horizontal="right" indent="1"/>
    </xf>
    <xf numFmtId="166" fontId="1" fillId="0" borderId="1" xfId="0" applyNumberFormat="1" applyFont="1" applyBorder="1" applyAlignment="1">
      <alignment horizontal="right" indent="1"/>
    </xf>
    <xf numFmtId="9" fontId="1" fillId="7" borderId="1" xfId="0" applyNumberFormat="1" applyFont="1" applyFill="1" applyBorder="1" applyAlignment="1">
      <alignment horizontal="right" indent="1"/>
    </xf>
    <xf numFmtId="207" fontId="1" fillId="0" borderId="1" xfId="0" applyNumberFormat="1" applyFont="1" applyBorder="1" applyAlignment="1">
      <alignment horizontal="right" indent="1"/>
    </xf>
    <xf numFmtId="0" fontId="8" fillId="0" borderId="0" xfId="0" applyFont="1"/>
    <xf numFmtId="9" fontId="1" fillId="4" borderId="1" xfId="0" applyNumberFormat="1" applyFont="1" applyFill="1" applyBorder="1" applyAlignment="1" applyProtection="1">
      <alignment horizontal="right" indent="1"/>
      <protection locked="0"/>
    </xf>
    <xf numFmtId="9" fontId="1" fillId="0" borderId="1" xfId="0" applyNumberFormat="1" applyFont="1" applyFill="1" applyBorder="1" applyAlignment="1" applyProtection="1">
      <alignment horizontal="right" indent="1"/>
    </xf>
    <xf numFmtId="166" fontId="1" fillId="0" borderId="3" xfId="0" applyNumberFormat="1" applyFont="1" applyBorder="1" applyAlignment="1">
      <alignment horizontal="right" indent="1"/>
    </xf>
    <xf numFmtId="0" fontId="8" fillId="0" borderId="0" xfId="0" applyFont="1" applyAlignment="1">
      <alignment horizontal="right" indent="1"/>
    </xf>
    <xf numFmtId="166" fontId="1" fillId="0" borderId="4" xfId="0" applyNumberFormat="1" applyFont="1" applyBorder="1" applyAlignment="1">
      <alignment horizontal="right" indent="1"/>
    </xf>
    <xf numFmtId="0" fontId="8" fillId="0" borderId="0" xfId="0" applyFont="1" applyAlignment="1"/>
    <xf numFmtId="207" fontId="1" fillId="0" borderId="4" xfId="0" applyNumberFormat="1" applyFont="1" applyBorder="1" applyAlignment="1">
      <alignment horizontal="right" indent="1"/>
    </xf>
    <xf numFmtId="3" fontId="1" fillId="0" borderId="4" xfId="0" applyNumberFormat="1" applyFont="1" applyBorder="1" applyAlignment="1">
      <alignment horizontal="right" indent="1"/>
    </xf>
    <xf numFmtId="166" fontId="1" fillId="0" borderId="5" xfId="0" applyNumberFormat="1" applyFont="1" applyBorder="1" applyAlignment="1">
      <alignment horizontal="right" indent="1"/>
    </xf>
    <xf numFmtId="3" fontId="1" fillId="0" borderId="3" xfId="0" applyNumberFormat="1" applyFont="1" applyBorder="1" applyAlignment="1">
      <alignment horizontal="right" indent="1"/>
    </xf>
    <xf numFmtId="3" fontId="1" fillId="0" borderId="5" xfId="0" applyNumberFormat="1" applyFont="1" applyBorder="1" applyAlignment="1">
      <alignment horizontal="right" indent="1"/>
    </xf>
    <xf numFmtId="11" fontId="1" fillId="0" borderId="1" xfId="0" applyNumberFormat="1" applyFont="1" applyBorder="1" applyAlignment="1">
      <alignment horizontal="right" indent="1"/>
    </xf>
    <xf numFmtId="167" fontId="3" fillId="0" borderId="1" xfId="0" applyNumberFormat="1" applyFont="1" applyFill="1" applyBorder="1" applyAlignment="1" applyProtection="1">
      <alignment horizontal="right" vertical="center" indent="1"/>
    </xf>
    <xf numFmtId="2" fontId="3" fillId="0" borderId="5" xfId="0" applyNumberFormat="1" applyFont="1" applyFill="1" applyBorder="1" applyAlignment="1">
      <alignment horizontal="right" indent="1"/>
    </xf>
    <xf numFmtId="0" fontId="2" fillId="0" borderId="1" xfId="0" applyFont="1" applyBorder="1" applyAlignment="1">
      <alignment horizontal="center" vertical="center"/>
    </xf>
    <xf numFmtId="0" fontId="16" fillId="2" borderId="0" xfId="0" applyFont="1" applyFill="1" applyBorder="1"/>
    <xf numFmtId="0" fontId="16" fillId="2" borderId="0" xfId="0" applyFont="1" applyFill="1" applyBorder="1" applyAlignment="1">
      <alignment horizontal="left"/>
    </xf>
    <xf numFmtId="0" fontId="0" fillId="0" borderId="0" xfId="0" applyBorder="1"/>
    <xf numFmtId="0" fontId="1" fillId="0" borderId="0" xfId="0" applyFont="1" applyBorder="1"/>
    <xf numFmtId="0" fontId="16" fillId="2" borderId="1" xfId="0" applyFont="1" applyFill="1" applyBorder="1"/>
    <xf numFmtId="0" fontId="16" fillId="2" borderId="1" xfId="0" applyFont="1" applyFill="1" applyBorder="1" applyAlignment="1">
      <alignment horizontal="left"/>
    </xf>
    <xf numFmtId="233" fontId="16" fillId="2" borderId="1" xfId="0" applyNumberFormat="1" applyFont="1" applyFill="1" applyBorder="1" applyAlignment="1">
      <alignment horizontal="left"/>
    </xf>
    <xf numFmtId="232" fontId="16" fillId="2" borderId="1" xfId="0" applyNumberFormat="1" applyFont="1" applyFill="1" applyBorder="1" applyAlignment="1">
      <alignment horizontal="left"/>
    </xf>
    <xf numFmtId="189" fontId="16" fillId="2" borderId="1" xfId="0" applyNumberFormat="1" applyFont="1" applyFill="1" applyBorder="1" applyAlignment="1">
      <alignment horizontal="left"/>
    </xf>
    <xf numFmtId="220" fontId="16" fillId="2" borderId="1" xfId="0" applyNumberFormat="1" applyFont="1" applyFill="1" applyBorder="1" applyAlignment="1">
      <alignment horizontal="left"/>
    </xf>
    <xf numFmtId="2" fontId="16" fillId="2" borderId="1" xfId="0" applyNumberFormat="1" applyFont="1" applyFill="1" applyBorder="1" applyAlignment="1">
      <alignment horizontal="left"/>
    </xf>
    <xf numFmtId="1" fontId="16" fillId="2" borderId="1" xfId="0" applyNumberFormat="1" applyFont="1" applyFill="1" applyBorder="1" applyAlignment="1">
      <alignment horizontal="left"/>
    </xf>
    <xf numFmtId="234" fontId="16" fillId="2" borderId="1" xfId="0" applyNumberFormat="1" applyFont="1" applyFill="1" applyBorder="1" applyAlignment="1">
      <alignment horizontal="left"/>
    </xf>
    <xf numFmtId="224" fontId="16" fillId="2" borderId="1" xfId="0" applyNumberFormat="1" applyFont="1" applyFill="1" applyBorder="1" applyAlignment="1">
      <alignment horizontal="left"/>
    </xf>
    <xf numFmtId="202" fontId="16" fillId="2" borderId="1" xfId="0" applyNumberFormat="1" applyFont="1" applyFill="1" applyBorder="1" applyAlignment="1">
      <alignment horizontal="left"/>
    </xf>
    <xf numFmtId="229" fontId="16" fillId="2" borderId="1" xfId="0" applyNumberFormat="1" applyFont="1" applyFill="1" applyBorder="1" applyAlignment="1">
      <alignment horizontal="left"/>
    </xf>
    <xf numFmtId="232" fontId="16" fillId="2" borderId="1" xfId="0" applyNumberFormat="1" applyFont="1" applyFill="1" applyBorder="1" applyAlignment="1" applyProtection="1">
      <alignment horizontal="left"/>
      <protection locked="0"/>
    </xf>
    <xf numFmtId="2" fontId="17" fillId="2" borderId="0" xfId="0" applyNumberFormat="1" applyFont="1" applyFill="1" applyBorder="1"/>
    <xf numFmtId="0" fontId="16" fillId="2" borderId="0" xfId="0" applyFont="1" applyFill="1" applyBorder="1" applyAlignment="1">
      <alignment horizontal="center"/>
    </xf>
    <xf numFmtId="207" fontId="15" fillId="12" borderId="1" xfId="0" applyNumberFormat="1" applyFont="1" applyFill="1" applyBorder="1" applyAlignment="1">
      <alignment horizontal="center"/>
    </xf>
    <xf numFmtId="0" fontId="16" fillId="2" borderId="1" xfId="0" applyFont="1" applyFill="1" applyBorder="1" applyAlignment="1">
      <alignment horizontal="center"/>
    </xf>
    <xf numFmtId="207" fontId="16" fillId="0" borderId="1" xfId="0" applyNumberFormat="1" applyFont="1" applyFill="1" applyBorder="1" applyAlignment="1">
      <alignment horizontal="center"/>
    </xf>
    <xf numFmtId="0" fontId="16" fillId="0" borderId="1" xfId="0" applyFont="1" applyFill="1" applyBorder="1" applyAlignment="1">
      <alignment horizontal="left"/>
    </xf>
    <xf numFmtId="2" fontId="16" fillId="0" borderId="1" xfId="0" applyNumberFormat="1" applyFont="1" applyFill="1" applyBorder="1" applyAlignment="1">
      <alignment horizontal="center"/>
    </xf>
    <xf numFmtId="2" fontId="16" fillId="2" borderId="1" xfId="0" applyNumberFormat="1" applyFont="1" applyFill="1" applyBorder="1" applyAlignment="1">
      <alignment horizontal="center"/>
    </xf>
    <xf numFmtId="207" fontId="16" fillId="2" borderId="1" xfId="0" applyNumberFormat="1" applyFont="1" applyFill="1" applyBorder="1" applyAlignment="1">
      <alignment horizontal="center"/>
    </xf>
    <xf numFmtId="244" fontId="16" fillId="2" borderId="1" xfId="0" applyNumberFormat="1" applyFont="1" applyFill="1" applyBorder="1" applyAlignment="1" applyProtection="1">
      <alignment horizontal="left"/>
      <protection locked="0"/>
    </xf>
    <xf numFmtId="245" fontId="16" fillId="2" borderId="1" xfId="0" applyNumberFormat="1" applyFont="1" applyFill="1" applyBorder="1" applyAlignment="1">
      <alignment horizontal="left"/>
    </xf>
    <xf numFmtId="4" fontId="16" fillId="2" borderId="1" xfId="0" applyNumberFormat="1" applyFont="1" applyFill="1" applyBorder="1" applyAlignment="1">
      <alignment horizontal="left"/>
    </xf>
    <xf numFmtId="246" fontId="16" fillId="2" borderId="1" xfId="0" applyNumberFormat="1" applyFont="1" applyFill="1" applyBorder="1" applyAlignment="1">
      <alignment horizontal="left"/>
    </xf>
    <xf numFmtId="247" fontId="16" fillId="2" borderId="1" xfId="0" applyNumberFormat="1" applyFont="1" applyFill="1" applyBorder="1" applyAlignment="1">
      <alignment horizontal="left"/>
    </xf>
    <xf numFmtId="0" fontId="3" fillId="0" borderId="0" xfId="1" applyProtection="1"/>
    <xf numFmtId="0" fontId="3" fillId="0" borderId="0" xfId="1" applyBorder="1" applyProtection="1"/>
    <xf numFmtId="0" fontId="5" fillId="0" borderId="0" xfId="1" applyFont="1" applyBorder="1" applyAlignment="1" applyProtection="1">
      <alignment horizontal="center" vertical="center"/>
    </xf>
    <xf numFmtId="0" fontId="3" fillId="0" borderId="0" xfId="1" applyFont="1" applyBorder="1" applyAlignment="1">
      <alignment horizontal="right" indent="1"/>
    </xf>
    <xf numFmtId="170" fontId="3" fillId="7" borderId="1" xfId="1" applyNumberFormat="1" applyFill="1" applyBorder="1" applyAlignment="1" applyProtection="1">
      <alignment horizontal="right" indent="1"/>
    </xf>
    <xf numFmtId="0" fontId="3" fillId="0" borderId="0" xfId="1" applyFont="1" applyBorder="1" applyAlignment="1" applyProtection="1">
      <alignment horizontal="left" indent="1"/>
    </xf>
    <xf numFmtId="0" fontId="3" fillId="7" borderId="1" xfId="1" applyFont="1" applyFill="1" applyBorder="1" applyAlignment="1">
      <alignment horizontal="right" indent="1"/>
    </xf>
    <xf numFmtId="167" fontId="0" fillId="7" borderId="1" xfId="0" applyNumberFormat="1" applyFill="1" applyBorder="1" applyAlignment="1">
      <alignment horizontal="center"/>
    </xf>
    <xf numFmtId="0" fontId="0" fillId="0" borderId="0" xfId="0" applyAlignment="1">
      <alignment horizontal="left" indent="1"/>
    </xf>
    <xf numFmtId="0" fontId="3" fillId="7" borderId="1" xfId="1" applyFill="1" applyBorder="1" applyAlignment="1" applyProtection="1">
      <alignment horizontal="right" indent="1"/>
    </xf>
    <xf numFmtId="167" fontId="0" fillId="0" borderId="0" xfId="0" applyNumberFormat="1" applyAlignment="1">
      <alignment horizontal="right" indent="1"/>
    </xf>
    <xf numFmtId="0" fontId="3" fillId="7" borderId="1" xfId="1" applyFill="1" applyBorder="1" applyAlignment="1" applyProtection="1">
      <alignment horizontal="right" vertical="center" indent="1"/>
    </xf>
    <xf numFmtId="248" fontId="3" fillId="0" borderId="0" xfId="0" applyNumberFormat="1" applyFont="1" applyAlignment="1">
      <alignment horizontal="right" indent="1"/>
    </xf>
    <xf numFmtId="248" fontId="0" fillId="0" borderId="0" xfId="0" applyNumberFormat="1" applyAlignment="1">
      <alignment horizontal="right" indent="1"/>
    </xf>
    <xf numFmtId="0" fontId="0" fillId="0" borderId="0" xfId="1" applyFont="1" applyBorder="1" applyAlignment="1">
      <alignment horizontal="right" indent="1"/>
    </xf>
    <xf numFmtId="170" fontId="3" fillId="0" borderId="0" xfId="1" applyNumberFormat="1" applyBorder="1" applyProtection="1"/>
    <xf numFmtId="249" fontId="3" fillId="0" borderId="0" xfId="1" applyNumberFormat="1" applyBorder="1" applyProtection="1"/>
    <xf numFmtId="0" fontId="5" fillId="0" borderId="15" xfId="1" applyFont="1" applyBorder="1" applyAlignment="1" applyProtection="1">
      <alignment horizontal="center" vertical="center"/>
    </xf>
    <xf numFmtId="0" fontId="5" fillId="6" borderId="1" xfId="0" applyFont="1" applyFill="1" applyBorder="1" applyAlignment="1" applyProtection="1">
      <alignment horizontal="center" vertical="center" wrapText="1"/>
    </xf>
    <xf numFmtId="0" fontId="18" fillId="6" borderId="1" xfId="0" applyFont="1" applyFill="1" applyBorder="1" applyAlignment="1" applyProtection="1">
      <alignment horizontal="center" vertical="center" wrapText="1"/>
    </xf>
    <xf numFmtId="0" fontId="19" fillId="0" borderId="0" xfId="1" applyFont="1" applyBorder="1" applyAlignment="1" applyProtection="1">
      <alignment horizontal="center" vertical="center" wrapText="1"/>
    </xf>
    <xf numFmtId="167" fontId="3" fillId="0" borderId="0" xfId="1" applyNumberFormat="1" applyBorder="1" applyProtection="1"/>
    <xf numFmtId="0" fontId="3" fillId="0" borderId="0" xfId="1" applyFont="1" applyBorder="1" applyAlignment="1" applyProtection="1">
      <alignment horizontal="center" vertical="center"/>
    </xf>
    <xf numFmtId="170" fontId="0" fillId="7" borderId="1" xfId="0" applyNumberFormat="1" applyFill="1" applyBorder="1" applyAlignment="1">
      <alignment horizontal="center"/>
    </xf>
    <xf numFmtId="171" fontId="0" fillId="0" borderId="0" xfId="0" applyNumberFormat="1" applyBorder="1"/>
    <xf numFmtId="249" fontId="3" fillId="0" borderId="0" xfId="1" applyNumberFormat="1" applyAlignment="1" applyProtection="1">
      <alignment horizontal="center"/>
    </xf>
    <xf numFmtId="164" fontId="3" fillId="0" borderId="0" xfId="1" applyNumberFormat="1" applyAlignment="1" applyProtection="1">
      <alignment horizontal="center"/>
    </xf>
    <xf numFmtId="249" fontId="3" fillId="0" borderId="0" xfId="1" applyNumberFormat="1" applyFont="1" applyBorder="1" applyAlignment="1" applyProtection="1">
      <alignment horizontal="center" vertical="center"/>
    </xf>
    <xf numFmtId="167" fontId="0" fillId="0" borderId="0" xfId="0" applyNumberFormat="1"/>
    <xf numFmtId="193" fontId="0" fillId="0" borderId="0" xfId="0" applyNumberFormat="1" applyFill="1" applyBorder="1" applyAlignment="1">
      <alignment horizontal="center" vertical="center"/>
    </xf>
    <xf numFmtId="0" fontId="5" fillId="0" borderId="0" xfId="0" applyFont="1" applyBorder="1" applyAlignment="1">
      <alignment horizontal="right"/>
    </xf>
    <xf numFmtId="0" fontId="0" fillId="0" borderId="0" xfId="0" applyBorder="1" applyAlignment="1"/>
    <xf numFmtId="193" fontId="0" fillId="0" borderId="8" xfId="0" applyNumberFormat="1" applyFill="1" applyBorder="1" applyAlignment="1">
      <alignment horizontal="center" vertical="center"/>
    </xf>
    <xf numFmtId="249" fontId="3" fillId="0" borderId="0" xfId="1" applyNumberFormat="1" applyProtection="1"/>
    <xf numFmtId="171" fontId="3" fillId="0" borderId="0" xfId="1" applyNumberFormat="1" applyAlignment="1" applyProtection="1">
      <alignment horizontal="center"/>
    </xf>
    <xf numFmtId="167" fontId="0" fillId="0" borderId="0" xfId="0" applyNumberFormat="1" applyFill="1" applyBorder="1" applyAlignment="1">
      <alignment horizontal="center" vertical="center"/>
    </xf>
    <xf numFmtId="169" fontId="0" fillId="0" borderId="0" xfId="0" applyNumberFormat="1" applyFill="1" applyBorder="1" applyAlignment="1">
      <alignment horizontal="center" vertical="center"/>
    </xf>
    <xf numFmtId="170" fontId="5" fillId="0" borderId="0" xfId="0" applyNumberFormat="1" applyFont="1" applyBorder="1" applyAlignment="1"/>
    <xf numFmtId="171" fontId="0" fillId="0" borderId="0" xfId="0" applyNumberFormat="1" applyFill="1" applyBorder="1" applyAlignment="1"/>
    <xf numFmtId="216" fontId="3" fillId="0" borderId="0" xfId="1" applyNumberFormat="1" applyBorder="1" applyAlignment="1" applyProtection="1">
      <alignment horizontal="center"/>
    </xf>
    <xf numFmtId="171" fontId="3" fillId="0" borderId="0" xfId="1" applyNumberFormat="1" applyProtection="1"/>
    <xf numFmtId="0" fontId="0" fillId="0" borderId="0" xfId="0" applyBorder="1" applyAlignment="1">
      <alignment horizontal="right" vertical="center"/>
    </xf>
    <xf numFmtId="0" fontId="0" fillId="0" borderId="51" xfId="0" applyBorder="1" applyAlignment="1">
      <alignment horizontal="right" vertical="center"/>
    </xf>
    <xf numFmtId="167" fontId="0" fillId="0" borderId="10" xfId="0" applyNumberFormat="1" applyBorder="1" applyAlignment="1">
      <alignment horizontal="center" vertical="center"/>
    </xf>
    <xf numFmtId="193" fontId="0" fillId="0" borderId="9" xfId="0" applyNumberFormat="1" applyBorder="1" applyAlignment="1">
      <alignment horizontal="center" vertical="center"/>
    </xf>
    <xf numFmtId="249" fontId="0" fillId="7" borderId="1" xfId="0" applyNumberFormat="1" applyFill="1" applyBorder="1" applyAlignment="1" applyProtection="1">
      <alignment horizontal="center"/>
    </xf>
    <xf numFmtId="217" fontId="0" fillId="7" borderId="1" xfId="0" applyNumberFormat="1" applyFill="1" applyBorder="1" applyAlignment="1" applyProtection="1">
      <alignment horizontal="center"/>
    </xf>
    <xf numFmtId="197" fontId="0" fillId="7" borderId="1" xfId="0" applyNumberFormat="1" applyFill="1" applyBorder="1" applyAlignment="1" applyProtection="1">
      <alignment horizontal="center"/>
    </xf>
    <xf numFmtId="0" fontId="0" fillId="0" borderId="14" xfId="0" applyBorder="1" applyAlignment="1">
      <alignment horizontal="right" vertical="center"/>
    </xf>
    <xf numFmtId="167" fontId="3" fillId="0" borderId="0" xfId="1" applyNumberFormat="1" applyBorder="1" applyAlignment="1" applyProtection="1"/>
    <xf numFmtId="0" fontId="3" fillId="0" borderId="8" xfId="1" applyBorder="1" applyAlignment="1" applyProtection="1"/>
    <xf numFmtId="171" fontId="0" fillId="7" borderId="1" xfId="0" applyNumberFormat="1" applyFill="1" applyBorder="1" applyAlignment="1" applyProtection="1">
      <alignment horizontal="center"/>
    </xf>
    <xf numFmtId="167" fontId="0" fillId="0" borderId="0" xfId="0" applyNumberFormat="1" applyFill="1" applyBorder="1" applyAlignment="1" applyProtection="1">
      <alignment horizontal="center" vertical="center"/>
    </xf>
    <xf numFmtId="193" fontId="0" fillId="0" borderId="8" xfId="0" applyNumberFormat="1" applyBorder="1" applyAlignment="1">
      <alignment horizontal="center" vertical="center"/>
    </xf>
    <xf numFmtId="193" fontId="0" fillId="0" borderId="0" xfId="0" applyNumberFormat="1" applyBorder="1" applyAlignment="1">
      <alignment horizontal="center" vertical="center"/>
    </xf>
    <xf numFmtId="167" fontId="3" fillId="0" borderId="0" xfId="1" applyNumberFormat="1" applyFill="1" applyBorder="1" applyProtection="1"/>
    <xf numFmtId="169" fontId="3" fillId="0" borderId="0" xfId="1" applyNumberFormat="1" applyFill="1" applyBorder="1" applyProtection="1"/>
    <xf numFmtId="170" fontId="0" fillId="0" borderId="0" xfId="0" applyNumberFormat="1" applyBorder="1" applyAlignment="1"/>
    <xf numFmtId="249" fontId="3" fillId="0" borderId="0" xfId="1" applyNumberFormat="1" applyFill="1" applyProtection="1"/>
    <xf numFmtId="171" fontId="3" fillId="0" borderId="0" xfId="1" applyNumberFormat="1" applyFill="1" applyProtection="1"/>
    <xf numFmtId="170" fontId="3" fillId="0" borderId="0" xfId="1" applyNumberFormat="1" applyFill="1" applyProtection="1"/>
    <xf numFmtId="0" fontId="3" fillId="0" borderId="8" xfId="1" applyBorder="1" applyProtection="1"/>
    <xf numFmtId="171" fontId="3" fillId="0" borderId="3" xfId="1" applyNumberFormat="1" applyBorder="1" applyProtection="1"/>
    <xf numFmtId="249" fontId="0" fillId="0" borderId="11" xfId="0" applyNumberFormat="1" applyFill="1" applyBorder="1" applyAlignment="1" applyProtection="1">
      <alignment horizontal="center"/>
    </xf>
    <xf numFmtId="171" fontId="0" fillId="0" borderId="0" xfId="0" applyNumberFormat="1" applyFill="1" applyBorder="1" applyAlignment="1" applyProtection="1">
      <alignment horizontal="center"/>
    </xf>
    <xf numFmtId="170" fontId="0" fillId="0" borderId="0" xfId="0" applyNumberFormat="1" applyFill="1" applyBorder="1" applyAlignment="1" applyProtection="1">
      <alignment horizontal="center"/>
    </xf>
    <xf numFmtId="170" fontId="0" fillId="0" borderId="0" xfId="0" applyNumberFormat="1"/>
    <xf numFmtId="170" fontId="3" fillId="0" borderId="0" xfId="1" applyNumberFormat="1" applyProtection="1"/>
    <xf numFmtId="0" fontId="20" fillId="2" borderId="0" xfId="0" applyFont="1" applyFill="1"/>
    <xf numFmtId="0" fontId="20" fillId="2" borderId="0" xfId="0" applyFont="1" applyFill="1" applyBorder="1"/>
    <xf numFmtId="0" fontId="20" fillId="2" borderId="8" xfId="0" applyFont="1" applyFill="1" applyBorder="1" applyAlignment="1"/>
    <xf numFmtId="193" fontId="20" fillId="2" borderId="0" xfId="0" applyNumberFormat="1" applyFont="1" applyFill="1" applyBorder="1" applyAlignment="1">
      <alignment horizontal="center" vertical="center"/>
    </xf>
    <xf numFmtId="0" fontId="20" fillId="2" borderId="52" xfId="0" applyFont="1" applyFill="1" applyBorder="1" applyAlignment="1">
      <alignment horizontal="right" vertical="center"/>
    </xf>
    <xf numFmtId="0" fontId="20" fillId="2" borderId="53" xfId="0" applyFont="1" applyFill="1" applyBorder="1" applyAlignment="1">
      <alignment horizontal="right" vertical="center"/>
    </xf>
    <xf numFmtId="0" fontId="20" fillId="2" borderId="0" xfId="0" applyFont="1" applyFill="1" applyBorder="1" applyAlignment="1"/>
    <xf numFmtId="0" fontId="16" fillId="2" borderId="1" xfId="1" applyFont="1" applyFill="1" applyBorder="1" applyAlignment="1" applyProtection="1">
      <alignment horizontal="right" vertical="center" indent="1"/>
    </xf>
    <xf numFmtId="0" fontId="16" fillId="2" borderId="0" xfId="1" applyFont="1" applyFill="1" applyBorder="1" applyAlignment="1" applyProtection="1">
      <alignment horizontal="left" vertical="center" indent="1"/>
    </xf>
    <xf numFmtId="0" fontId="15" fillId="0" borderId="1" xfId="1" applyFont="1" applyFill="1" applyBorder="1" applyAlignment="1" applyProtection="1">
      <alignment horizontal="center" vertical="center" wrapText="1"/>
    </xf>
    <xf numFmtId="0" fontId="15" fillId="2" borderId="0" xfId="0" applyFont="1" applyFill="1"/>
    <xf numFmtId="0" fontId="20" fillId="0" borderId="0" xfId="0" applyFont="1"/>
    <xf numFmtId="0" fontId="20" fillId="0" borderId="0" xfId="0" applyFont="1" applyProtection="1"/>
    <xf numFmtId="0" fontId="20" fillId="0" borderId="0" xfId="0" applyFont="1" applyFill="1" applyBorder="1" applyAlignment="1" applyProtection="1"/>
    <xf numFmtId="0" fontId="20" fillId="0" borderId="16" xfId="0" applyFont="1" applyFill="1" applyBorder="1" applyAlignment="1" applyProtection="1"/>
    <xf numFmtId="0" fontId="20" fillId="13" borderId="3" xfId="0" applyFont="1" applyFill="1" applyBorder="1" applyAlignment="1" applyProtection="1"/>
    <xf numFmtId="0" fontId="20" fillId="0" borderId="0" xfId="0" applyFont="1" applyBorder="1" applyAlignment="1" applyProtection="1">
      <alignment horizontal="right"/>
    </xf>
    <xf numFmtId="0" fontId="20" fillId="13" borderId="4" xfId="0" applyFont="1" applyFill="1" applyBorder="1" applyAlignment="1" applyProtection="1">
      <alignment horizontal="right"/>
    </xf>
    <xf numFmtId="0" fontId="20" fillId="0" borderId="0" xfId="0" applyFont="1" applyFill="1" applyBorder="1" applyAlignment="1" applyProtection="1">
      <alignment horizontal="right"/>
    </xf>
    <xf numFmtId="0" fontId="20" fillId="13" borderId="4" xfId="0" applyFont="1" applyFill="1" applyBorder="1"/>
    <xf numFmtId="0" fontId="20" fillId="0" borderId="0" xfId="0" applyFont="1" applyFill="1" applyBorder="1"/>
    <xf numFmtId="206" fontId="20" fillId="0" borderId="1" xfId="0" applyNumberFormat="1" applyFont="1" applyBorder="1" applyAlignment="1" applyProtection="1">
      <alignment horizontal="right" indent="1"/>
    </xf>
    <xf numFmtId="0" fontId="20" fillId="14" borderId="6" xfId="0" applyFont="1" applyFill="1" applyBorder="1"/>
    <xf numFmtId="3" fontId="20" fillId="4" borderId="1" xfId="0" applyNumberFormat="1" applyFont="1" applyFill="1" applyBorder="1" applyAlignment="1" applyProtection="1">
      <alignment horizontal="right" indent="1"/>
      <protection locked="0"/>
    </xf>
    <xf numFmtId="0" fontId="20" fillId="14" borderId="29" xfId="0" applyFont="1" applyFill="1" applyBorder="1"/>
    <xf numFmtId="193" fontId="20" fillId="0" borderId="29" xfId="0" applyNumberFormat="1" applyFont="1" applyFill="1" applyBorder="1" applyAlignment="1">
      <alignment horizontal="center" vertical="center"/>
    </xf>
    <xf numFmtId="0" fontId="20" fillId="14" borderId="29" xfId="0" applyFont="1" applyFill="1" applyBorder="1" applyAlignment="1"/>
    <xf numFmtId="0" fontId="20" fillId="14" borderId="2" xfId="0" applyFont="1" applyFill="1" applyBorder="1" applyAlignment="1"/>
    <xf numFmtId="0" fontId="20" fillId="14" borderId="12" xfId="0" applyFont="1" applyFill="1" applyBorder="1" applyAlignment="1"/>
    <xf numFmtId="0" fontId="20" fillId="13" borderId="4" xfId="0" applyFont="1" applyFill="1" applyBorder="1" applyAlignment="1"/>
    <xf numFmtId="0" fontId="20" fillId="0" borderId="0" xfId="0" applyFont="1" applyFill="1" applyBorder="1" applyAlignment="1"/>
    <xf numFmtId="0" fontId="20" fillId="14" borderId="7" xfId="0" applyFont="1" applyFill="1" applyBorder="1"/>
    <xf numFmtId="193" fontId="20" fillId="0" borderId="29" xfId="0" applyNumberFormat="1" applyFont="1" applyBorder="1" applyAlignment="1">
      <alignment horizontal="center" vertical="center"/>
    </xf>
    <xf numFmtId="0" fontId="20" fillId="0" borderId="17" xfId="0" applyFont="1" applyFill="1" applyBorder="1" applyAlignment="1"/>
    <xf numFmtId="0" fontId="20" fillId="13" borderId="5" xfId="0" applyFont="1" applyFill="1" applyBorder="1" applyAlignment="1"/>
    <xf numFmtId="0" fontId="16" fillId="7" borderId="0" xfId="0" applyFont="1" applyFill="1" applyBorder="1" applyAlignment="1" applyProtection="1">
      <alignment horizontal="left" vertical="center" wrapText="1" indent="1"/>
    </xf>
    <xf numFmtId="0" fontId="17" fillId="7" borderId="15" xfId="0" applyFont="1" applyFill="1" applyBorder="1" applyAlignment="1" applyProtection="1">
      <alignment horizontal="left" vertical="center" wrapText="1" indent="1"/>
    </xf>
    <xf numFmtId="0" fontId="15" fillId="0" borderId="0" xfId="0" applyFont="1" applyBorder="1" applyAlignment="1" applyProtection="1">
      <alignment horizontal="right"/>
    </xf>
    <xf numFmtId="177" fontId="16" fillId="0" borderId="0" xfId="1" applyNumberFormat="1" applyFont="1" applyFill="1" applyBorder="1" applyAlignment="1" applyProtection="1">
      <alignment horizontal="left" indent="1"/>
    </xf>
    <xf numFmtId="0" fontId="16" fillId="7" borderId="1" xfId="1" applyFont="1" applyFill="1" applyBorder="1" applyAlignment="1" applyProtection="1">
      <alignment horizontal="right" vertical="center" indent="1"/>
    </xf>
    <xf numFmtId="0" fontId="16" fillId="0" borderId="0" xfId="1" applyFont="1" applyBorder="1" applyAlignment="1" applyProtection="1">
      <alignment horizontal="left" vertical="center" indent="1"/>
    </xf>
    <xf numFmtId="0" fontId="15" fillId="0" borderId="0" xfId="0" applyFont="1" applyAlignment="1" applyProtection="1">
      <alignment horizontal="center"/>
    </xf>
    <xf numFmtId="0" fontId="15" fillId="0" borderId="11" xfId="0" applyFont="1" applyFill="1" applyBorder="1" applyAlignment="1" applyProtection="1">
      <alignment horizontal="center"/>
    </xf>
    <xf numFmtId="1" fontId="15" fillId="0" borderId="0" xfId="0" applyNumberFormat="1" applyFont="1" applyBorder="1" applyAlignment="1" applyProtection="1">
      <alignment horizontal="center" vertical="center"/>
    </xf>
    <xf numFmtId="0" fontId="15" fillId="0" borderId="0" xfId="0" applyFont="1" applyAlignment="1">
      <alignment horizontal="left" indent="1"/>
    </xf>
    <xf numFmtId="0" fontId="16" fillId="0" borderId="4" xfId="1" applyFont="1" applyFill="1" applyBorder="1" applyAlignment="1" applyProtection="1">
      <alignment horizontal="right" vertical="center" indent="1"/>
    </xf>
    <xf numFmtId="167" fontId="16" fillId="8" borderId="1" xfId="1" applyNumberFormat="1" applyFont="1" applyFill="1" applyBorder="1" applyAlignment="1" applyProtection="1">
      <alignment horizontal="right" indent="1"/>
      <protection locked="0"/>
    </xf>
    <xf numFmtId="167" fontId="22" fillId="0" borderId="1" xfId="1" applyNumberFormat="1" applyFont="1" applyBorder="1" applyAlignment="1">
      <alignment horizontal="right" indent="1"/>
    </xf>
    <xf numFmtId="0" fontId="16" fillId="0" borderId="0" xfId="0" applyFont="1" applyFill="1" applyBorder="1" applyAlignment="1" applyProtection="1">
      <alignment horizontal="right" indent="1"/>
    </xf>
    <xf numFmtId="170" fontId="16" fillId="0" borderId="1" xfId="1" applyNumberFormat="1" applyFont="1" applyBorder="1" applyAlignment="1" applyProtection="1">
      <alignment horizontal="right" indent="1"/>
    </xf>
    <xf numFmtId="165" fontId="16" fillId="0" borderId="1" xfId="1" applyNumberFormat="1" applyFont="1" applyBorder="1" applyAlignment="1">
      <alignment horizontal="right" indent="1"/>
    </xf>
    <xf numFmtId="0" fontId="16" fillId="0" borderId="0" xfId="0" applyFont="1" applyAlignment="1">
      <alignment horizontal="left" indent="1"/>
    </xf>
    <xf numFmtId="177" fontId="16" fillId="0" borderId="0" xfId="1" applyNumberFormat="1" applyFont="1" applyFill="1" applyBorder="1" applyAlignment="1" applyProtection="1">
      <alignment horizontal="right" indent="1"/>
    </xf>
    <xf numFmtId="165" fontId="15" fillId="0" borderId="1" xfId="1" applyNumberFormat="1" applyFont="1" applyBorder="1" applyAlignment="1">
      <alignment horizontal="right" indent="1"/>
    </xf>
    <xf numFmtId="0" fontId="16" fillId="0" borderId="4" xfId="0" applyFont="1" applyFill="1" applyBorder="1" applyAlignment="1">
      <alignment horizontal="right" indent="1"/>
    </xf>
    <xf numFmtId="3" fontId="22" fillId="0" borderId="1" xfId="0" applyNumberFormat="1" applyFont="1" applyBorder="1" applyAlignment="1">
      <alignment horizontal="right" indent="1"/>
    </xf>
    <xf numFmtId="206" fontId="15" fillId="0" borderId="1" xfId="0" applyNumberFormat="1" applyFont="1" applyBorder="1" applyAlignment="1" applyProtection="1">
      <alignment horizontal="right" indent="1"/>
    </xf>
    <xf numFmtId="1" fontId="15" fillId="0" borderId="0" xfId="0" applyNumberFormat="1" applyFont="1" applyBorder="1" applyAlignment="1">
      <alignment horizontal="right" vertical="center" indent="1"/>
    </xf>
    <xf numFmtId="1" fontId="15" fillId="13" borderId="4" xfId="0" applyNumberFormat="1" applyFont="1" applyFill="1" applyBorder="1" applyAlignment="1">
      <alignment horizontal="right" vertical="center" indent="1"/>
    </xf>
    <xf numFmtId="1" fontId="15" fillId="0" borderId="0" xfId="0" applyNumberFormat="1" applyFont="1" applyFill="1" applyBorder="1" applyAlignment="1">
      <alignment horizontal="right" vertical="center" indent="1"/>
    </xf>
    <xf numFmtId="0" fontId="16" fillId="0" borderId="0" xfId="1" applyFont="1" applyFill="1" applyBorder="1" applyAlignment="1" applyProtection="1">
      <alignment horizontal="left" vertical="center" indent="1"/>
    </xf>
    <xf numFmtId="194" fontId="15" fillId="14" borderId="12" xfId="0" applyNumberFormat="1" applyFont="1" applyFill="1" applyBorder="1" applyAlignment="1">
      <alignment horizontal="center"/>
    </xf>
    <xf numFmtId="1" fontId="15" fillId="0" borderId="29" xfId="0" applyNumberFormat="1" applyFont="1" applyBorder="1" applyAlignment="1">
      <alignment horizontal="center" vertical="center"/>
    </xf>
    <xf numFmtId="0" fontId="16" fillId="0" borderId="0" xfId="0" applyFont="1"/>
    <xf numFmtId="0" fontId="15" fillId="0" borderId="15" xfId="0" applyFont="1" applyFill="1" applyBorder="1" applyAlignment="1">
      <alignment horizontal="center"/>
    </xf>
    <xf numFmtId="165" fontId="20" fillId="0" borderId="0" xfId="0" applyNumberFormat="1" applyFont="1"/>
    <xf numFmtId="0" fontId="20" fillId="0" borderId="19" xfId="0" applyFont="1" applyBorder="1" applyAlignment="1">
      <alignment horizontal="right"/>
    </xf>
    <xf numFmtId="0" fontId="20" fillId="0" borderId="19" xfId="0" applyFont="1" applyBorder="1"/>
    <xf numFmtId="177" fontId="20" fillId="0" borderId="1" xfId="0" applyNumberFormat="1" applyFont="1" applyFill="1" applyBorder="1" applyAlignment="1">
      <alignment horizontal="right" indent="1"/>
    </xf>
    <xf numFmtId="183" fontId="20" fillId="0" borderId="0" xfId="0" applyNumberFormat="1" applyFont="1"/>
    <xf numFmtId="0" fontId="20" fillId="0" borderId="0" xfId="0" applyFont="1" applyAlignment="1">
      <alignment horizontal="right"/>
    </xf>
    <xf numFmtId="0" fontId="16" fillId="0" borderId="0" xfId="1" applyFont="1" applyAlignment="1">
      <alignment horizontal="right"/>
    </xf>
    <xf numFmtId="0" fontId="16" fillId="0" borderId="0" xfId="1" applyFont="1" applyAlignment="1">
      <alignment horizontal="right" indent="1"/>
    </xf>
    <xf numFmtId="0" fontId="16" fillId="7" borderId="1" xfId="1" applyFont="1" applyFill="1" applyBorder="1" applyAlignment="1" applyProtection="1">
      <alignment horizontal="right" indent="1"/>
    </xf>
    <xf numFmtId="0" fontId="16" fillId="0" borderId="0" xfId="1" applyFont="1" applyBorder="1" applyAlignment="1" applyProtection="1">
      <alignment horizontal="left" indent="1"/>
    </xf>
    <xf numFmtId="250" fontId="16" fillId="0" borderId="0" xfId="0" applyNumberFormat="1" applyFont="1"/>
    <xf numFmtId="0" fontId="16" fillId="0" borderId="0" xfId="0" applyFont="1" applyAlignment="1">
      <alignment horizontal="right"/>
    </xf>
    <xf numFmtId="167" fontId="16" fillId="4" borderId="1" xfId="0" applyNumberFormat="1" applyFont="1" applyFill="1" applyBorder="1" applyAlignment="1" applyProtection="1">
      <alignment horizontal="right" indent="1"/>
      <protection locked="0"/>
    </xf>
    <xf numFmtId="251" fontId="16" fillId="0" borderId="0" xfId="0" applyNumberFormat="1" applyFont="1"/>
    <xf numFmtId="206" fontId="16" fillId="0" borderId="0" xfId="0" applyNumberFormat="1" applyFont="1"/>
    <xf numFmtId="0" fontId="16" fillId="0" borderId="0" xfId="1" applyFont="1" applyFill="1" applyBorder="1" applyAlignment="1">
      <alignment horizontal="right" indent="1"/>
    </xf>
    <xf numFmtId="0" fontId="16" fillId="0" borderId="0" xfId="0" applyFont="1" applyAlignment="1">
      <alignment horizontal="right" indent="1"/>
    </xf>
    <xf numFmtId="167" fontId="16" fillId="0" borderId="0" xfId="0" applyNumberFormat="1" applyFont="1"/>
    <xf numFmtId="167" fontId="16" fillId="0" borderId="0" xfId="0" applyNumberFormat="1" applyFont="1" applyBorder="1"/>
    <xf numFmtId="167" fontId="23" fillId="0" borderId="0" xfId="0" applyNumberFormat="1" applyFont="1" applyAlignment="1">
      <alignment horizontal="right" vertical="center"/>
    </xf>
    <xf numFmtId="167" fontId="16" fillId="0" borderId="15" xfId="0" applyNumberFormat="1" applyFont="1" applyBorder="1"/>
    <xf numFmtId="167" fontId="23" fillId="0" borderId="0" xfId="0" applyNumberFormat="1" applyFont="1" applyAlignment="1">
      <alignment horizontal="left" vertical="center"/>
    </xf>
    <xf numFmtId="167" fontId="16" fillId="4" borderId="1" xfId="0" applyNumberFormat="1" applyFont="1" applyFill="1" applyBorder="1" applyAlignment="1" applyProtection="1">
      <alignment horizontal="center"/>
      <protection locked="0"/>
    </xf>
    <xf numFmtId="167" fontId="16" fillId="0" borderId="0" xfId="0" applyNumberFormat="1" applyFont="1" applyBorder="1" applyAlignment="1">
      <alignment horizontal="center" vertical="center"/>
    </xf>
    <xf numFmtId="167" fontId="23" fillId="0" borderId="18" xfId="0" applyNumberFormat="1" applyFont="1" applyBorder="1" applyAlignment="1">
      <alignment horizontal="left" vertical="center"/>
    </xf>
    <xf numFmtId="167" fontId="16" fillId="0" borderId="19" xfId="0" applyNumberFormat="1" applyFont="1" applyBorder="1"/>
    <xf numFmtId="251" fontId="16" fillId="0" borderId="19" xfId="0" applyNumberFormat="1" applyFont="1" applyBorder="1" applyAlignment="1">
      <alignment horizontal="right"/>
    </xf>
    <xf numFmtId="0" fontId="16" fillId="0" borderId="19" xfId="0" applyFont="1" applyBorder="1"/>
    <xf numFmtId="0" fontId="16" fillId="0" borderId="19" xfId="0" applyFont="1" applyBorder="1" applyAlignment="1">
      <alignment horizontal="right"/>
    </xf>
    <xf numFmtId="170" fontId="16" fillId="0" borderId="1" xfId="1" applyNumberFormat="1" applyFont="1" applyBorder="1" applyAlignment="1">
      <alignment horizontal="right" indent="1"/>
    </xf>
    <xf numFmtId="252" fontId="16" fillId="0" borderId="0" xfId="1" applyNumberFormat="1" applyFont="1" applyBorder="1" applyAlignment="1">
      <alignment horizontal="right" indent="1"/>
    </xf>
    <xf numFmtId="178" fontId="15" fillId="5" borderId="2" xfId="1" applyNumberFormat="1" applyFont="1" applyFill="1" applyBorder="1" applyAlignment="1">
      <alignment horizontal="centerContinuous"/>
    </xf>
    <xf numFmtId="178" fontId="16" fillId="5" borderId="13" xfId="0" applyNumberFormat="1" applyFont="1" applyFill="1" applyBorder="1" applyAlignment="1">
      <alignment horizontal="centerContinuous"/>
    </xf>
    <xf numFmtId="178" fontId="16" fillId="5" borderId="12" xfId="0" applyNumberFormat="1" applyFont="1" applyFill="1" applyBorder="1" applyAlignment="1">
      <alignment horizontal="centerContinuous"/>
    </xf>
    <xf numFmtId="179" fontId="16" fillId="0" borderId="1" xfId="1" applyNumberFormat="1" applyFont="1" applyBorder="1" applyAlignment="1">
      <alignment horizontal="right" indent="1"/>
    </xf>
    <xf numFmtId="0" fontId="16" fillId="0" borderId="0" xfId="1" applyFont="1" applyFill="1" applyAlignment="1">
      <alignment horizontal="right" indent="1"/>
    </xf>
    <xf numFmtId="167" fontId="16" fillId="0" borderId="1" xfId="1" applyNumberFormat="1" applyFont="1" applyBorder="1" applyAlignment="1">
      <alignment horizontal="right" indent="1"/>
    </xf>
    <xf numFmtId="171" fontId="16" fillId="0" borderId="1" xfId="1" applyNumberFormat="1" applyFont="1" applyBorder="1" applyAlignment="1">
      <alignment horizontal="right" indent="1"/>
    </xf>
    <xf numFmtId="180" fontId="16" fillId="0" borderId="0" xfId="1" applyNumberFormat="1" applyFont="1" applyBorder="1" applyAlignment="1">
      <alignment horizontal="right" indent="1"/>
    </xf>
    <xf numFmtId="0" fontId="16" fillId="0" borderId="0" xfId="1" applyFont="1" applyAlignment="1">
      <alignment horizontal="left" indent="1"/>
    </xf>
    <xf numFmtId="181" fontId="16" fillId="0" borderId="1" xfId="1" applyNumberFormat="1" applyFont="1" applyBorder="1" applyAlignment="1">
      <alignment horizontal="right" indent="1"/>
    </xf>
    <xf numFmtId="173" fontId="16" fillId="0" borderId="1" xfId="1" applyNumberFormat="1" applyFont="1" applyBorder="1" applyAlignment="1">
      <alignment horizontal="right" indent="1"/>
    </xf>
    <xf numFmtId="2" fontId="16" fillId="0" borderId="1" xfId="1" applyNumberFormat="1" applyFont="1" applyBorder="1" applyAlignment="1">
      <alignment horizontal="right" indent="1"/>
    </xf>
    <xf numFmtId="181" fontId="16" fillId="0" borderId="5" xfId="1" applyNumberFormat="1" applyFont="1" applyBorder="1" applyAlignment="1">
      <alignment horizontal="right" indent="1"/>
    </xf>
    <xf numFmtId="167" fontId="16" fillId="0" borderId="20" xfId="0" applyNumberFormat="1" applyFont="1" applyBorder="1"/>
    <xf numFmtId="167" fontId="16" fillId="0" borderId="0" xfId="1" applyNumberFormat="1" applyFont="1" applyFill="1" applyBorder="1" applyAlignment="1">
      <alignment horizontal="center" vertical="center"/>
    </xf>
    <xf numFmtId="167" fontId="16" fillId="0" borderId="21" xfId="0" applyNumberFormat="1" applyFont="1" applyBorder="1"/>
    <xf numFmtId="206" fontId="16" fillId="0" borderId="2" xfId="1" applyNumberFormat="1" applyFont="1" applyBorder="1" applyAlignment="1">
      <alignment horizontal="right" indent="1"/>
    </xf>
    <xf numFmtId="253" fontId="16" fillId="0" borderId="13" xfId="1" applyNumberFormat="1" applyFont="1" applyBorder="1" applyAlignment="1">
      <alignment horizontal="left"/>
    </xf>
    <xf numFmtId="181" fontId="16" fillId="0" borderId="1" xfId="1" applyNumberFormat="1" applyFont="1" applyFill="1" applyBorder="1" applyAlignment="1">
      <alignment horizontal="right" indent="1"/>
    </xf>
    <xf numFmtId="166" fontId="16" fillId="0" borderId="1" xfId="1" applyNumberFormat="1" applyFont="1" applyBorder="1" applyAlignment="1">
      <alignment horizontal="right" indent="1"/>
    </xf>
    <xf numFmtId="167" fontId="16" fillId="0" borderId="19" xfId="0" applyNumberFormat="1" applyFont="1" applyBorder="1" applyAlignment="1">
      <alignment horizontal="center"/>
    </xf>
    <xf numFmtId="167" fontId="16" fillId="0" borderId="0" xfId="0" applyNumberFormat="1" applyFont="1" applyFill="1" applyBorder="1" applyAlignment="1">
      <alignment horizontal="center" vertical="center" textRotation="90"/>
    </xf>
    <xf numFmtId="254" fontId="16" fillId="0" borderId="1" xfId="1" applyNumberFormat="1" applyFont="1" applyFill="1" applyBorder="1" applyAlignment="1">
      <alignment horizontal="right" indent="1"/>
    </xf>
    <xf numFmtId="165" fontId="16" fillId="0" borderId="0" xfId="1" applyNumberFormat="1" applyFont="1" applyBorder="1" applyAlignment="1">
      <alignment horizontal="right" indent="1"/>
    </xf>
    <xf numFmtId="167" fontId="15" fillId="0" borderId="22" xfId="0" applyNumberFormat="1" applyFont="1" applyFill="1" applyBorder="1" applyAlignment="1">
      <alignment horizontal="right"/>
    </xf>
    <xf numFmtId="0" fontId="15" fillId="5" borderId="1" xfId="1" applyNumberFormat="1" applyFont="1" applyFill="1" applyBorder="1" applyAlignment="1" applyProtection="1">
      <alignment horizontal="center" vertical="center" wrapText="1"/>
    </xf>
    <xf numFmtId="1" fontId="16" fillId="0" borderId="2" xfId="1" applyNumberFormat="1" applyFont="1" applyBorder="1" applyAlignment="1">
      <alignment horizontal="right" indent="1"/>
    </xf>
    <xf numFmtId="182" fontId="16" fillId="0" borderId="13" xfId="1" applyNumberFormat="1" applyFont="1" applyBorder="1" applyAlignment="1">
      <alignment horizontal="left"/>
    </xf>
    <xf numFmtId="176" fontId="16" fillId="0" borderId="1" xfId="1" applyNumberFormat="1" applyFont="1" applyBorder="1" applyAlignment="1">
      <alignment horizontal="right" indent="1"/>
    </xf>
    <xf numFmtId="174" fontId="16" fillId="0" borderId="1" xfId="1" applyNumberFormat="1" applyFont="1" applyBorder="1" applyAlignment="1">
      <alignment horizontal="right" indent="1"/>
    </xf>
    <xf numFmtId="183" fontId="16" fillId="0" borderId="1" xfId="1" applyNumberFormat="1" applyFont="1" applyBorder="1" applyAlignment="1">
      <alignment horizontal="right" indent="1"/>
    </xf>
    <xf numFmtId="183" fontId="16" fillId="0" borderId="0" xfId="1" applyNumberFormat="1" applyFont="1" applyBorder="1" applyAlignment="1">
      <alignment horizontal="right" indent="1"/>
    </xf>
    <xf numFmtId="167" fontId="16" fillId="0" borderId="24" xfId="0" applyNumberFormat="1" applyFont="1" applyBorder="1"/>
    <xf numFmtId="167" fontId="16" fillId="14" borderId="2" xfId="0" applyNumberFormat="1" applyFont="1" applyFill="1" applyBorder="1" applyAlignment="1">
      <alignment horizontal="centerContinuous" vertical="center"/>
    </xf>
    <xf numFmtId="167" fontId="16" fillId="14" borderId="12" xfId="0" applyNumberFormat="1" applyFont="1" applyFill="1" applyBorder="1" applyAlignment="1">
      <alignment horizontal="centerContinuous" vertical="center"/>
    </xf>
    <xf numFmtId="167" fontId="16" fillId="14" borderId="13" xfId="0" applyNumberFormat="1" applyFont="1" applyFill="1" applyBorder="1" applyAlignment="1">
      <alignment horizontal="centerContinuous" vertical="center"/>
    </xf>
    <xf numFmtId="167" fontId="16" fillId="13" borderId="4" xfId="0" quotePrefix="1" applyNumberFormat="1" applyFont="1" applyFill="1" applyBorder="1" applyAlignment="1">
      <alignment horizontal="center" vertical="center"/>
    </xf>
    <xf numFmtId="200" fontId="16" fillId="0" borderId="0" xfId="1" applyNumberFormat="1" applyFont="1" applyBorder="1" applyAlignment="1">
      <alignment horizontal="right" indent="1"/>
    </xf>
    <xf numFmtId="184" fontId="16" fillId="0" borderId="1" xfId="1" applyNumberFormat="1" applyFont="1" applyBorder="1" applyAlignment="1">
      <alignment horizontal="right" indent="1"/>
    </xf>
    <xf numFmtId="184" fontId="16" fillId="0" borderId="0" xfId="1" applyNumberFormat="1" applyFont="1" applyBorder="1" applyAlignment="1">
      <alignment horizontal="right" indent="1"/>
    </xf>
    <xf numFmtId="167" fontId="16" fillId="0" borderId="0" xfId="0" applyNumberFormat="1" applyFont="1" applyFill="1" applyBorder="1" applyAlignment="1">
      <alignment vertical="center" textRotation="90"/>
    </xf>
    <xf numFmtId="167" fontId="16" fillId="0" borderId="26" xfId="0" applyNumberFormat="1" applyFont="1" applyBorder="1" applyAlignment="1">
      <alignment horizontal="center"/>
    </xf>
    <xf numFmtId="254" fontId="16" fillId="0" borderId="1" xfId="1" applyNumberFormat="1" applyFont="1" applyBorder="1" applyAlignment="1">
      <alignment horizontal="right" indent="1"/>
    </xf>
    <xf numFmtId="167" fontId="23" fillId="0" borderId="21" xfId="0" applyNumberFormat="1" applyFont="1" applyBorder="1" applyAlignment="1">
      <alignment horizontal="left" vertical="center"/>
    </xf>
    <xf numFmtId="167" fontId="23" fillId="0" borderId="0" xfId="0" applyNumberFormat="1" applyFont="1" applyBorder="1" applyAlignment="1">
      <alignment horizontal="right" vertical="center"/>
    </xf>
    <xf numFmtId="167" fontId="16" fillId="0" borderId="0" xfId="1" applyNumberFormat="1" applyFont="1" applyFill="1" applyBorder="1" applyAlignment="1">
      <alignment horizontal="center" vertical="center" textRotation="90"/>
    </xf>
    <xf numFmtId="167" fontId="16" fillId="0" borderId="26" xfId="0" applyNumberFormat="1" applyFont="1" applyBorder="1"/>
    <xf numFmtId="201" fontId="16" fillId="0" borderId="1" xfId="1" applyNumberFormat="1" applyFont="1" applyBorder="1" applyAlignment="1">
      <alignment horizontal="right" indent="1"/>
    </xf>
    <xf numFmtId="181" fontId="16" fillId="0" borderId="0" xfId="1" applyNumberFormat="1" applyFont="1" applyBorder="1" applyAlignment="1">
      <alignment horizontal="right" indent="1"/>
    </xf>
    <xf numFmtId="166" fontId="16" fillId="0" borderId="0" xfId="1" applyNumberFormat="1" applyFont="1" applyBorder="1" applyAlignment="1">
      <alignment horizontal="right" indent="1"/>
    </xf>
    <xf numFmtId="176" fontId="16" fillId="0" borderId="0" xfId="1" applyNumberFormat="1" applyFont="1" applyBorder="1" applyAlignment="1">
      <alignment horizontal="right" indent="1"/>
    </xf>
    <xf numFmtId="1" fontId="16" fillId="0" borderId="0" xfId="1" applyNumberFormat="1" applyFont="1" applyBorder="1" applyAlignment="1">
      <alignment horizontal="right" indent="1"/>
    </xf>
    <xf numFmtId="255" fontId="16" fillId="0" borderId="1" xfId="1" applyNumberFormat="1" applyFont="1" applyBorder="1" applyAlignment="1">
      <alignment horizontal="right" indent="1"/>
    </xf>
    <xf numFmtId="167" fontId="16" fillId="0" borderId="27" xfId="0" applyNumberFormat="1" applyFont="1" applyBorder="1"/>
    <xf numFmtId="0" fontId="16" fillId="0" borderId="26" xfId="0" applyFont="1" applyBorder="1" applyAlignment="1">
      <alignment horizontal="right"/>
    </xf>
    <xf numFmtId="0" fontId="16" fillId="0" borderId="26" xfId="0" applyFont="1" applyBorder="1"/>
    <xf numFmtId="170" fontId="20" fillId="0" borderId="0" xfId="0" applyNumberFormat="1" applyFont="1"/>
    <xf numFmtId="171" fontId="20" fillId="0" borderId="0" xfId="0" applyNumberFormat="1" applyFont="1"/>
    <xf numFmtId="166" fontId="20" fillId="4" borderId="1" xfId="0" applyNumberFormat="1" applyFont="1" applyFill="1" applyBorder="1" applyAlignment="1" applyProtection="1">
      <alignment horizontal="right" indent="1"/>
    </xf>
    <xf numFmtId="166" fontId="20" fillId="4" borderId="1" xfId="0" applyNumberFormat="1" applyFont="1" applyFill="1" applyBorder="1" applyAlignment="1">
      <alignment horizontal="right" indent="1"/>
    </xf>
    <xf numFmtId="197" fontId="20" fillId="0" borderId="0" xfId="0" applyNumberFormat="1" applyFont="1"/>
    <xf numFmtId="0" fontId="20" fillId="0" borderId="0" xfId="0" applyFont="1" applyBorder="1"/>
    <xf numFmtId="206" fontId="20" fillId="0" borderId="0" xfId="0" applyNumberFormat="1" applyFont="1"/>
    <xf numFmtId="0" fontId="20" fillId="0" borderId="11" xfId="0" applyFont="1" applyBorder="1"/>
    <xf numFmtId="164" fontId="20" fillId="0" borderId="0" xfId="0" applyNumberFormat="1" applyFont="1"/>
    <xf numFmtId="2" fontId="20" fillId="0" borderId="0" xfId="0" applyNumberFormat="1" applyFont="1" applyAlignment="1">
      <alignment horizontal="left"/>
    </xf>
    <xf numFmtId="171" fontId="20" fillId="0" borderId="1" xfId="0" applyNumberFormat="1" applyFont="1" applyBorder="1" applyAlignment="1">
      <alignment horizontal="right" indent="1"/>
    </xf>
    <xf numFmtId="206" fontId="20" fillId="0" borderId="2" xfId="0" applyNumberFormat="1" applyFont="1" applyBorder="1" applyAlignment="1">
      <alignment horizontal="right"/>
    </xf>
    <xf numFmtId="206" fontId="20" fillId="0" borderId="13" xfId="0" applyNumberFormat="1" applyFont="1" applyBorder="1" applyAlignment="1">
      <alignment horizontal="left"/>
    </xf>
    <xf numFmtId="166" fontId="20" fillId="0" borderId="1" xfId="0" applyNumberFormat="1" applyFont="1" applyBorder="1" applyAlignment="1">
      <alignment horizontal="center"/>
    </xf>
    <xf numFmtId="197" fontId="20" fillId="0" borderId="1" xfId="0" applyNumberFormat="1" applyFont="1" applyBorder="1" applyAlignment="1">
      <alignment horizontal="center"/>
    </xf>
    <xf numFmtId="206" fontId="20" fillId="0" borderId="12" xfId="0" applyNumberFormat="1" applyFont="1" applyBorder="1" applyAlignment="1">
      <alignment horizontal="left"/>
    </xf>
    <xf numFmtId="166" fontId="20" fillId="0" borderId="3" xfId="0" applyNumberFormat="1" applyFont="1" applyBorder="1" applyAlignment="1">
      <alignment horizontal="center"/>
    </xf>
    <xf numFmtId="198" fontId="20" fillId="0" borderId="1" xfId="0" applyNumberFormat="1" applyFont="1" applyBorder="1" applyAlignment="1">
      <alignment horizontal="center"/>
    </xf>
    <xf numFmtId="0" fontId="20" fillId="0" borderId="16" xfId="0" applyFont="1" applyBorder="1"/>
    <xf numFmtId="0" fontId="20" fillId="0" borderId="6" xfId="0" applyFont="1" applyBorder="1"/>
    <xf numFmtId="197" fontId="20" fillId="0" borderId="1" xfId="0" applyNumberFormat="1" applyFont="1" applyFill="1" applyBorder="1" applyAlignment="1">
      <alignment horizontal="center"/>
    </xf>
    <xf numFmtId="164" fontId="20" fillId="0" borderId="1" xfId="0" applyNumberFormat="1" applyFont="1" applyFill="1" applyBorder="1" applyAlignment="1">
      <alignment horizontal="center"/>
    </xf>
    <xf numFmtId="0" fontId="20" fillId="0" borderId="0" xfId="0" applyFont="1" applyAlignment="1">
      <alignment horizontal="right" indent="1"/>
    </xf>
    <xf numFmtId="197" fontId="20" fillId="0" borderId="1" xfId="0" applyNumberFormat="1" applyFont="1" applyBorder="1" applyAlignment="1">
      <alignment horizontal="right" indent="1"/>
    </xf>
    <xf numFmtId="170" fontId="20" fillId="7" borderId="1" xfId="0" applyNumberFormat="1" applyFont="1" applyFill="1" applyBorder="1" applyAlignment="1">
      <alignment horizontal="center"/>
    </xf>
    <xf numFmtId="0" fontId="20" fillId="0" borderId="0" xfId="0" applyFont="1" applyAlignment="1"/>
    <xf numFmtId="180" fontId="20" fillId="0" borderId="0" xfId="0" applyNumberFormat="1" applyFont="1" applyAlignment="1"/>
    <xf numFmtId="164" fontId="20" fillId="7" borderId="1" xfId="0" applyNumberFormat="1" applyFont="1" applyFill="1" applyBorder="1" applyAlignment="1">
      <alignment horizontal="center"/>
    </xf>
    <xf numFmtId="180" fontId="20" fillId="0" borderId="1" xfId="0" applyNumberFormat="1" applyFont="1" applyFill="1" applyBorder="1" applyAlignment="1">
      <alignment horizontal="center" vertical="center"/>
    </xf>
    <xf numFmtId="0" fontId="20" fillId="0" borderId="17" xfId="0" applyFont="1" applyBorder="1"/>
    <xf numFmtId="0" fontId="20" fillId="0" borderId="7" xfId="0" applyFont="1" applyBorder="1"/>
    <xf numFmtId="0" fontId="20" fillId="0" borderId="15" xfId="0" applyFont="1" applyBorder="1"/>
    <xf numFmtId="171" fontId="20" fillId="0" borderId="0" xfId="0" applyNumberFormat="1" applyFont="1" applyAlignment="1">
      <alignment horizontal="right" indent="1"/>
    </xf>
    <xf numFmtId="169" fontId="20" fillId="0" borderId="2" xfId="0" applyNumberFormat="1" applyFont="1" applyBorder="1" applyAlignment="1">
      <alignment horizontal="right"/>
    </xf>
    <xf numFmtId="169" fontId="20" fillId="0" borderId="13" xfId="0" applyNumberFormat="1" applyFont="1" applyBorder="1" applyAlignment="1">
      <alignment horizontal="left"/>
    </xf>
    <xf numFmtId="169" fontId="20" fillId="0" borderId="0" xfId="0" applyNumberFormat="1" applyFont="1"/>
    <xf numFmtId="0" fontId="16" fillId="0" borderId="0" xfId="0" applyFont="1" applyFill="1" applyBorder="1" applyAlignment="1">
      <alignment horizontal="left" indent="1"/>
    </xf>
    <xf numFmtId="0" fontId="15" fillId="7" borderId="3" xfId="1" applyFont="1" applyFill="1" applyBorder="1" applyAlignment="1">
      <alignment horizontal="center" wrapText="1"/>
    </xf>
    <xf numFmtId="0" fontId="15" fillId="5" borderId="1" xfId="1" applyFont="1" applyFill="1" applyBorder="1" applyAlignment="1" applyProtection="1">
      <alignment horizontal="center" vertical="center" wrapText="1"/>
    </xf>
    <xf numFmtId="0" fontId="15" fillId="7" borderId="1" xfId="1" applyFont="1" applyFill="1" applyBorder="1" applyAlignment="1">
      <alignment horizontal="center" wrapText="1"/>
    </xf>
    <xf numFmtId="0" fontId="15" fillId="7" borderId="5" xfId="1" applyFont="1" applyFill="1" applyBorder="1" applyAlignment="1">
      <alignment horizontal="center" wrapText="1"/>
    </xf>
    <xf numFmtId="0" fontId="16" fillId="0" borderId="6" xfId="0" applyFont="1" applyBorder="1"/>
    <xf numFmtId="0" fontId="16" fillId="0" borderId="11" xfId="0" applyFont="1" applyBorder="1"/>
    <xf numFmtId="176" fontId="16" fillId="0" borderId="11" xfId="0" applyNumberFormat="1" applyFont="1" applyFill="1" applyBorder="1" applyAlignment="1" applyProtection="1">
      <alignment horizontal="center" vertical="center"/>
    </xf>
    <xf numFmtId="176" fontId="16" fillId="0" borderId="29" xfId="0" applyNumberFormat="1" applyFont="1" applyFill="1" applyBorder="1" applyAlignment="1" applyProtection="1">
      <alignment horizontal="left" vertical="center"/>
    </xf>
    <xf numFmtId="165" fontId="17" fillId="9" borderId="3" xfId="1" applyNumberFormat="1" applyFont="1" applyFill="1" applyBorder="1" applyAlignment="1">
      <alignment horizontal="center"/>
    </xf>
    <xf numFmtId="0" fontId="17" fillId="9" borderId="3" xfId="0" applyFont="1" applyFill="1" applyBorder="1" applyAlignment="1">
      <alignment horizontal="center" vertical="center"/>
    </xf>
    <xf numFmtId="164" fontId="15" fillId="7" borderId="1" xfId="0" applyNumberFormat="1" applyFont="1" applyFill="1" applyBorder="1" applyAlignment="1">
      <alignment horizontal="center"/>
    </xf>
    <xf numFmtId="0" fontId="16" fillId="0" borderId="29" xfId="0" applyFont="1" applyBorder="1"/>
    <xf numFmtId="206" fontId="16" fillId="0" borderId="12" xfId="0" applyNumberFormat="1" applyFont="1" applyBorder="1" applyAlignment="1">
      <alignment horizontal="center"/>
    </xf>
    <xf numFmtId="165" fontId="17" fillId="9" borderId="5" xfId="1" applyNumberFormat="1" applyFont="1" applyFill="1" applyBorder="1" applyAlignment="1">
      <alignment horizontal="center"/>
    </xf>
    <xf numFmtId="0" fontId="16" fillId="9" borderId="5" xfId="0" applyFont="1" applyFill="1" applyBorder="1" applyAlignment="1">
      <alignment horizontal="center" vertical="center"/>
    </xf>
    <xf numFmtId="176" fontId="16" fillId="0" borderId="15" xfId="0" applyNumberFormat="1" applyFont="1" applyFill="1" applyBorder="1" applyAlignment="1" applyProtection="1">
      <alignment horizontal="center" vertical="center"/>
    </xf>
    <xf numFmtId="0" fontId="16" fillId="0" borderId="5" xfId="1" applyFont="1" applyFill="1" applyBorder="1" applyAlignment="1">
      <alignment horizontal="center" vertical="center"/>
    </xf>
    <xf numFmtId="197" fontId="16" fillId="0" borderId="13" xfId="0" applyNumberFormat="1" applyFont="1" applyBorder="1" applyAlignment="1" applyProtection="1">
      <alignment horizontal="center"/>
    </xf>
    <xf numFmtId="197" fontId="16" fillId="0" borderId="0" xfId="0" applyNumberFormat="1" applyFont="1"/>
    <xf numFmtId="0" fontId="16" fillId="0" borderId="15" xfId="0" applyFont="1" applyBorder="1"/>
    <xf numFmtId="176" fontId="16" fillId="0" borderId="19" xfId="0" applyNumberFormat="1" applyFont="1" applyFill="1" applyBorder="1" applyAlignment="1" applyProtection="1">
      <alignment horizontal="center" vertical="center"/>
    </xf>
    <xf numFmtId="176" fontId="16" fillId="0" borderId="0" xfId="0" applyNumberFormat="1" applyFont="1" applyFill="1" applyBorder="1" applyAlignment="1" applyProtection="1">
      <alignment horizontal="center" vertical="center"/>
    </xf>
    <xf numFmtId="169" fontId="16" fillId="0" borderId="12" xfId="0" applyNumberFormat="1" applyFont="1" applyBorder="1" applyAlignment="1">
      <alignment horizontal="center"/>
    </xf>
    <xf numFmtId="0" fontId="16" fillId="0" borderId="7" xfId="0" applyFont="1" applyBorder="1"/>
    <xf numFmtId="256" fontId="20" fillId="0" borderId="1" xfId="0" applyNumberFormat="1" applyFont="1" applyBorder="1" applyProtection="1"/>
    <xf numFmtId="257" fontId="20" fillId="0" borderId="1" xfId="0" applyNumberFormat="1" applyFont="1" applyBorder="1" applyProtection="1"/>
    <xf numFmtId="258" fontId="20" fillId="0" borderId="1" xfId="0" applyNumberFormat="1" applyFont="1" applyBorder="1" applyProtection="1"/>
    <xf numFmtId="203" fontId="20" fillId="0" borderId="1" xfId="0" applyNumberFormat="1" applyFont="1" applyBorder="1" applyProtection="1"/>
    <xf numFmtId="204" fontId="20" fillId="0" borderId="1" xfId="0" applyNumberFormat="1" applyFont="1" applyBorder="1" applyProtection="1"/>
    <xf numFmtId="205" fontId="20" fillId="0" borderId="1" xfId="0" applyNumberFormat="1" applyFont="1" applyBorder="1" applyProtection="1"/>
    <xf numFmtId="0" fontId="16" fillId="0" borderId="0" xfId="1" applyFont="1" applyAlignment="1" applyProtection="1">
      <alignment horizontal="right" indent="1"/>
    </xf>
    <xf numFmtId="1" fontId="15" fillId="8" borderId="1" xfId="1" applyNumberFormat="1" applyFont="1" applyFill="1" applyBorder="1" applyAlignment="1" applyProtection="1">
      <alignment horizontal="right"/>
      <protection locked="0"/>
    </xf>
    <xf numFmtId="190" fontId="16" fillId="8" borderId="1" xfId="0" applyNumberFormat="1" applyFont="1" applyFill="1" applyBorder="1" applyAlignment="1" applyProtection="1">
      <alignment horizontal="right"/>
      <protection locked="0"/>
    </xf>
    <xf numFmtId="0" fontId="16" fillId="0" borderId="0" xfId="1" applyFont="1" applyFill="1" applyBorder="1" applyAlignment="1" applyProtection="1">
      <alignment horizontal="right" indent="1"/>
    </xf>
    <xf numFmtId="2" fontId="16" fillId="8" borderId="1" xfId="0" applyNumberFormat="1" applyFont="1" applyFill="1" applyBorder="1" applyAlignment="1" applyProtection="1">
      <alignment horizontal="right"/>
      <protection locked="0"/>
    </xf>
    <xf numFmtId="167" fontId="16" fillId="0" borderId="1" xfId="0" applyNumberFormat="1" applyFont="1" applyFill="1" applyBorder="1" applyAlignment="1" applyProtection="1">
      <alignment horizontal="right"/>
    </xf>
    <xf numFmtId="258" fontId="15" fillId="0" borderId="1" xfId="0" applyNumberFormat="1" applyFont="1" applyBorder="1" applyProtection="1"/>
    <xf numFmtId="165" fontId="16" fillId="8" borderId="1" xfId="0" applyNumberFormat="1" applyFont="1" applyFill="1" applyBorder="1" applyAlignment="1" applyProtection="1">
      <alignment horizontal="right"/>
      <protection locked="0"/>
    </xf>
    <xf numFmtId="165" fontId="16" fillId="0" borderId="1" xfId="0" applyNumberFormat="1" applyFont="1" applyFill="1" applyBorder="1" applyAlignment="1" applyProtection="1">
      <alignment horizontal="right"/>
    </xf>
    <xf numFmtId="205" fontId="15" fillId="0" borderId="1" xfId="0" applyNumberFormat="1" applyFont="1" applyBorder="1" applyProtection="1"/>
    <xf numFmtId="171" fontId="20" fillId="0" borderId="0" xfId="0" applyNumberFormat="1" applyFont="1" applyBorder="1"/>
    <xf numFmtId="167" fontId="20" fillId="7" borderId="1" xfId="0" applyNumberFormat="1" applyFont="1" applyFill="1" applyBorder="1" applyAlignment="1">
      <alignment horizontal="center"/>
    </xf>
    <xf numFmtId="167" fontId="20" fillId="0" borderId="0" xfId="0" applyNumberFormat="1" applyFont="1"/>
    <xf numFmtId="193" fontId="20" fillId="0" borderId="0" xfId="0" applyNumberFormat="1" applyFont="1" applyFill="1" applyBorder="1" applyAlignment="1">
      <alignment horizontal="center" vertical="center"/>
    </xf>
    <xf numFmtId="193" fontId="20" fillId="0" borderId="8" xfId="0" applyNumberFormat="1" applyFont="1" applyFill="1" applyBorder="1" applyAlignment="1">
      <alignment horizontal="center" vertical="center"/>
    </xf>
    <xf numFmtId="167" fontId="20" fillId="0" borderId="0" xfId="0" applyNumberFormat="1" applyFont="1" applyFill="1" applyBorder="1" applyAlignment="1">
      <alignment horizontal="center" vertical="center"/>
    </xf>
    <xf numFmtId="169" fontId="20" fillId="0" borderId="0" xfId="0" applyNumberFormat="1" applyFont="1" applyFill="1" applyBorder="1" applyAlignment="1">
      <alignment horizontal="center" vertical="center"/>
    </xf>
    <xf numFmtId="171" fontId="20" fillId="0" borderId="0" xfId="0" applyNumberFormat="1" applyFont="1" applyFill="1" applyBorder="1" applyAlignment="1"/>
    <xf numFmtId="0" fontId="20" fillId="0" borderId="0" xfId="0" applyFont="1" applyBorder="1" applyAlignment="1">
      <alignment horizontal="right" vertical="center"/>
    </xf>
    <xf numFmtId="217" fontId="20" fillId="7" borderId="1" xfId="0" applyNumberFormat="1" applyFont="1" applyFill="1" applyBorder="1" applyAlignment="1" applyProtection="1">
      <alignment horizontal="center"/>
    </xf>
    <xf numFmtId="197" fontId="20" fillId="7" borderId="1" xfId="0" applyNumberFormat="1" applyFont="1" applyFill="1" applyBorder="1" applyAlignment="1" applyProtection="1">
      <alignment horizontal="center"/>
    </xf>
    <xf numFmtId="0" fontId="20" fillId="0" borderId="0" xfId="0" applyFont="1" applyBorder="1" applyAlignment="1"/>
    <xf numFmtId="167" fontId="20" fillId="0" borderId="0" xfId="0" applyNumberFormat="1" applyFont="1" applyFill="1" applyBorder="1" applyAlignment="1" applyProtection="1">
      <alignment horizontal="center" vertical="center"/>
    </xf>
    <xf numFmtId="193" fontId="20" fillId="0" borderId="8" xfId="0" applyNumberFormat="1" applyFont="1" applyBorder="1" applyAlignment="1">
      <alignment horizontal="center" vertical="center"/>
    </xf>
    <xf numFmtId="193" fontId="20" fillId="0" borderId="0" xfId="0" applyNumberFormat="1" applyFont="1" applyBorder="1" applyAlignment="1">
      <alignment horizontal="center" vertical="center"/>
    </xf>
    <xf numFmtId="170" fontId="20" fillId="0" borderId="0" xfId="0" applyNumberFormat="1" applyFont="1" applyBorder="1" applyAlignment="1"/>
    <xf numFmtId="193" fontId="20" fillId="7" borderId="1" xfId="0" applyNumberFormat="1" applyFont="1" applyFill="1" applyBorder="1" applyAlignment="1">
      <alignment horizontal="center"/>
    </xf>
    <xf numFmtId="170" fontId="20" fillId="0" borderId="0" xfId="0" applyNumberFormat="1" applyFont="1" applyFill="1" applyBorder="1" applyAlignment="1">
      <alignment horizontal="center" vertical="center"/>
    </xf>
    <xf numFmtId="171" fontId="20" fillId="0" borderId="0" xfId="0" applyNumberFormat="1" applyFont="1" applyFill="1" applyBorder="1" applyAlignment="1">
      <alignment horizontal="center" vertical="center"/>
    </xf>
    <xf numFmtId="259" fontId="20" fillId="0" borderId="11" xfId="0" applyNumberFormat="1" applyFont="1" applyFill="1" applyBorder="1" applyAlignment="1" applyProtection="1">
      <alignment horizontal="center"/>
    </xf>
    <xf numFmtId="3" fontId="20" fillId="0" borderId="0" xfId="0" applyNumberFormat="1" applyFont="1" applyFill="1" applyBorder="1" applyAlignment="1" applyProtection="1">
      <alignment horizontal="center"/>
    </xf>
    <xf numFmtId="259" fontId="20" fillId="0" borderId="0" xfId="0" applyNumberFormat="1" applyFont="1" applyFill="1" applyBorder="1" applyAlignment="1" applyProtection="1">
      <alignment horizontal="center"/>
    </xf>
    <xf numFmtId="260" fontId="20" fillId="0" borderId="0" xfId="0" applyNumberFormat="1" applyFont="1" applyFill="1" applyBorder="1" applyAlignment="1">
      <alignment horizontal="center" vertical="center"/>
    </xf>
    <xf numFmtId="0" fontId="16" fillId="0" borderId="0" xfId="1" applyFont="1" applyProtection="1"/>
    <xf numFmtId="0" fontId="16" fillId="0" borderId="0" xfId="1" applyFont="1" applyBorder="1" applyProtection="1"/>
    <xf numFmtId="0" fontId="15" fillId="0" borderId="0" xfId="1" applyFont="1" applyBorder="1" applyAlignment="1" applyProtection="1">
      <alignment horizontal="center" vertical="center"/>
    </xf>
    <xf numFmtId="197" fontId="16" fillId="7" borderId="1" xfId="1" applyNumberFormat="1" applyFont="1" applyFill="1" applyBorder="1" applyAlignment="1" applyProtection="1">
      <alignment horizontal="right" indent="1"/>
    </xf>
    <xf numFmtId="0" fontId="16" fillId="0" borderId="0" xfId="1" applyFont="1" applyBorder="1" applyAlignment="1">
      <alignment horizontal="right" indent="1"/>
    </xf>
    <xf numFmtId="180" fontId="16" fillId="7" borderId="1" xfId="1" applyNumberFormat="1" applyFont="1" applyFill="1" applyBorder="1" applyAlignment="1" applyProtection="1">
      <alignment horizontal="right" indent="1"/>
    </xf>
    <xf numFmtId="0" fontId="15" fillId="0" borderId="15" xfId="1" applyFont="1" applyBorder="1" applyAlignment="1" applyProtection="1">
      <alignment horizontal="center" vertical="center"/>
    </xf>
    <xf numFmtId="0" fontId="15" fillId="5" borderId="1"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6" fillId="0" borderId="0" xfId="1" applyFont="1" applyBorder="1" applyAlignment="1" applyProtection="1">
      <alignment horizontal="center" vertical="center" wrapText="1"/>
    </xf>
    <xf numFmtId="0" fontId="16" fillId="0" borderId="0" xfId="1" applyFont="1" applyBorder="1" applyAlignment="1" applyProtection="1">
      <alignment horizontal="center" vertical="center"/>
    </xf>
    <xf numFmtId="0" fontId="16" fillId="0" borderId="0" xfId="1" applyFont="1" applyAlignment="1" applyProtection="1">
      <alignment horizontal="center"/>
    </xf>
    <xf numFmtId="164" fontId="16" fillId="0" borderId="0" xfId="1" applyNumberFormat="1" applyFont="1" applyAlignment="1" applyProtection="1">
      <alignment horizontal="center"/>
    </xf>
    <xf numFmtId="0" fontId="15" fillId="0" borderId="0" xfId="0" applyFont="1" applyBorder="1" applyAlignment="1">
      <alignment horizontal="right"/>
    </xf>
    <xf numFmtId="167" fontId="16" fillId="0" borderId="0" xfId="1" applyNumberFormat="1" applyFont="1" applyBorder="1" applyProtection="1"/>
    <xf numFmtId="170" fontId="15" fillId="0" borderId="0" xfId="0" applyNumberFormat="1" applyFont="1" applyBorder="1" applyAlignment="1"/>
    <xf numFmtId="167" fontId="16" fillId="0" borderId="0" xfId="1" applyNumberFormat="1" applyFont="1" applyFill="1" applyBorder="1" applyProtection="1"/>
    <xf numFmtId="169" fontId="16" fillId="0" borderId="0" xfId="1" applyNumberFormat="1" applyFont="1" applyFill="1" applyBorder="1" applyProtection="1"/>
    <xf numFmtId="0" fontId="16" fillId="0" borderId="0" xfId="1" applyFont="1" applyFill="1" applyProtection="1"/>
    <xf numFmtId="0" fontId="16" fillId="0" borderId="3" xfId="1" applyFont="1" applyBorder="1" applyProtection="1"/>
    <xf numFmtId="0" fontId="16" fillId="0" borderId="8" xfId="1" applyFont="1" applyBorder="1" applyProtection="1"/>
    <xf numFmtId="1" fontId="15" fillId="0" borderId="0" xfId="0" applyNumberFormat="1" applyFont="1" applyBorder="1" applyAlignment="1">
      <alignment horizontal="center" vertical="center"/>
    </xf>
    <xf numFmtId="0" fontId="16" fillId="0" borderId="0" xfId="1" applyFont="1" applyAlignment="1" applyProtection="1">
      <alignment horizontal="right" vertical="center"/>
    </xf>
    <xf numFmtId="0" fontId="16" fillId="0" borderId="0" xfId="0" applyFont="1" applyAlignment="1">
      <alignment horizontal="right" vertical="center" indent="1"/>
    </xf>
    <xf numFmtId="262" fontId="20" fillId="0" borderId="1" xfId="0" applyNumberFormat="1" applyFont="1" applyFill="1" applyBorder="1" applyAlignment="1" applyProtection="1">
      <alignment horizontal="right" vertical="center" indent="1"/>
    </xf>
    <xf numFmtId="0" fontId="15" fillId="5" borderId="1" xfId="1" applyFont="1" applyFill="1" applyBorder="1" applyAlignment="1" applyProtection="1">
      <alignment horizontal="center" vertical="center"/>
    </xf>
    <xf numFmtId="262" fontId="20" fillId="4" borderId="1" xfId="0" applyNumberFormat="1" applyFont="1" applyFill="1" applyBorder="1" applyAlignment="1" applyProtection="1">
      <alignment horizontal="right" vertical="center" indent="1"/>
      <protection locked="0"/>
    </xf>
    <xf numFmtId="0" fontId="16" fillId="0" borderId="0" xfId="0" applyFont="1" applyBorder="1" applyAlignment="1">
      <alignment horizontal="right" indent="1"/>
    </xf>
    <xf numFmtId="0" fontId="20" fillId="0" borderId="1" xfId="0" applyFont="1" applyBorder="1" applyAlignment="1">
      <alignment horizontal="right" indent="1"/>
    </xf>
    <xf numFmtId="0" fontId="15" fillId="7" borderId="1" xfId="1" applyFont="1" applyFill="1" applyBorder="1" applyAlignment="1">
      <alignment horizontal="center"/>
    </xf>
    <xf numFmtId="167" fontId="16" fillId="16" borderId="1" xfId="0" applyNumberFormat="1" applyFont="1" applyFill="1" applyBorder="1" applyAlignment="1" applyProtection="1">
      <alignment horizontal="right" vertical="center" indent="1"/>
      <protection locked="0"/>
    </xf>
    <xf numFmtId="185" fontId="20" fillId="0" borderId="1" xfId="0" applyNumberFormat="1" applyFont="1" applyBorder="1" applyAlignment="1">
      <alignment horizontal="center"/>
    </xf>
    <xf numFmtId="186" fontId="20" fillId="0" borderId="1" xfId="0" applyNumberFormat="1" applyFont="1" applyBorder="1" applyAlignment="1">
      <alignment horizontal="center"/>
    </xf>
    <xf numFmtId="167" fontId="16" fillId="8" borderId="1" xfId="0" applyNumberFormat="1" applyFont="1" applyFill="1" applyBorder="1" applyAlignment="1" applyProtection="1">
      <alignment horizontal="right" vertical="center" indent="1"/>
      <protection locked="0"/>
    </xf>
    <xf numFmtId="0" fontId="20" fillId="5" borderId="1" xfId="0" applyFont="1" applyFill="1" applyBorder="1" applyAlignment="1">
      <alignment horizontal="right" indent="1"/>
    </xf>
    <xf numFmtId="0" fontId="20" fillId="0" borderId="0" xfId="0" applyFont="1" applyAlignment="1">
      <alignment horizontal="right" vertical="center"/>
    </xf>
    <xf numFmtId="0" fontId="20" fillId="0" borderId="0" xfId="0" applyFont="1" applyAlignment="1">
      <alignment horizontal="right" vertical="center" indent="1"/>
    </xf>
    <xf numFmtId="2" fontId="16" fillId="8" borderId="1" xfId="0" applyNumberFormat="1" applyFont="1" applyFill="1" applyBorder="1" applyAlignment="1" applyProtection="1">
      <alignment horizontal="right" vertical="center" indent="1"/>
      <protection locked="0"/>
    </xf>
    <xf numFmtId="0" fontId="16" fillId="0" borderId="0" xfId="0" applyFont="1" applyAlignment="1">
      <alignment horizontal="right" vertical="center"/>
    </xf>
    <xf numFmtId="237" fontId="20" fillId="8" borderId="1" xfId="0" applyNumberFormat="1" applyFont="1" applyFill="1" applyBorder="1" applyAlignment="1" applyProtection="1">
      <alignment horizontal="right" vertical="center" indent="1"/>
      <protection locked="0"/>
    </xf>
    <xf numFmtId="187" fontId="16" fillId="16" borderId="1" xfId="0" applyNumberFormat="1" applyFont="1" applyFill="1" applyBorder="1" applyAlignment="1" applyProtection="1">
      <alignment horizontal="right" vertical="center" indent="1"/>
      <protection locked="0"/>
    </xf>
    <xf numFmtId="0" fontId="16" fillId="0" borderId="0" xfId="0" applyFont="1" applyFill="1" applyBorder="1" applyAlignment="1">
      <alignment horizontal="right" indent="1"/>
    </xf>
    <xf numFmtId="188" fontId="20" fillId="0" borderId="1" xfId="0" applyNumberFormat="1" applyFont="1" applyBorder="1" applyAlignment="1">
      <alignment horizontal="right" indent="1"/>
    </xf>
    <xf numFmtId="167" fontId="16" fillId="0" borderId="1" xfId="0" applyNumberFormat="1" applyFont="1" applyFill="1" applyBorder="1" applyAlignment="1" applyProtection="1">
      <alignment horizontal="right" vertical="center" indent="1"/>
    </xf>
    <xf numFmtId="237" fontId="20" fillId="0" borderId="2" xfId="0" applyNumberFormat="1" applyFont="1" applyBorder="1" applyAlignment="1" applyProtection="1">
      <alignment horizontal="right" vertical="center" indent="1"/>
    </xf>
    <xf numFmtId="263" fontId="20" fillId="0" borderId="13" xfId="0" applyNumberFormat="1" applyFont="1" applyBorder="1" applyAlignment="1">
      <alignment horizontal="left" vertical="center"/>
    </xf>
    <xf numFmtId="167" fontId="16" fillId="4" borderId="1" xfId="0" applyNumberFormat="1" applyFont="1" applyFill="1" applyBorder="1" applyAlignment="1" applyProtection="1">
      <alignment horizontal="right" vertical="center" indent="1"/>
      <protection locked="0"/>
    </xf>
    <xf numFmtId="0" fontId="16" fillId="0" borderId="0" xfId="1" applyFont="1" applyFill="1" applyAlignment="1" applyProtection="1">
      <alignment horizontal="right" vertical="center"/>
    </xf>
    <xf numFmtId="0" fontId="16" fillId="0" borderId="0" xfId="0" applyFont="1" applyFill="1" applyBorder="1" applyAlignment="1">
      <alignment horizontal="right" vertical="center" indent="1"/>
    </xf>
    <xf numFmtId="167" fontId="16" fillId="17" borderId="1" xfId="0" applyNumberFormat="1" applyFont="1" applyFill="1" applyBorder="1" applyAlignment="1" applyProtection="1">
      <alignment horizontal="right" vertical="center" indent="1"/>
      <protection locked="0"/>
    </xf>
    <xf numFmtId="264" fontId="16" fillId="0" borderId="13" xfId="0" applyNumberFormat="1" applyFont="1" applyFill="1" applyBorder="1" applyAlignment="1" applyProtection="1">
      <alignment horizontal="center" vertical="center"/>
    </xf>
    <xf numFmtId="0" fontId="20" fillId="0" borderId="0" xfId="0" applyFont="1" applyAlignment="1">
      <alignment horizontal="center"/>
    </xf>
    <xf numFmtId="186" fontId="15" fillId="0" borderId="0" xfId="0" applyNumberFormat="1" applyFont="1" applyAlignment="1">
      <alignment horizontal="center"/>
    </xf>
    <xf numFmtId="176" fontId="20" fillId="0" borderId="1" xfId="0" applyNumberFormat="1" applyFont="1" applyBorder="1" applyAlignment="1">
      <alignment horizontal="right" indent="1"/>
    </xf>
    <xf numFmtId="176" fontId="20" fillId="0" borderId="0" xfId="0" applyNumberFormat="1" applyFont="1" applyBorder="1" applyAlignment="1">
      <alignment horizontal="right" indent="1"/>
    </xf>
    <xf numFmtId="9" fontId="16" fillId="8" borderId="1" xfId="0" applyNumberFormat="1" applyFont="1" applyFill="1" applyBorder="1" applyAlignment="1" applyProtection="1">
      <alignment horizontal="right" vertical="center" indent="1"/>
      <protection locked="0"/>
    </xf>
    <xf numFmtId="206" fontId="20" fillId="8" borderId="1" xfId="0" applyNumberFormat="1" applyFont="1" applyFill="1" applyBorder="1" applyAlignment="1" applyProtection="1">
      <alignment horizontal="right" vertical="center" indent="1"/>
      <protection locked="0"/>
    </xf>
    <xf numFmtId="273" fontId="20" fillId="0" borderId="1" xfId="0" applyNumberFormat="1" applyFont="1" applyBorder="1" applyAlignment="1" applyProtection="1">
      <alignment horizontal="right" vertical="center" indent="1"/>
    </xf>
    <xf numFmtId="271" fontId="16" fillId="0" borderId="1" xfId="0" applyNumberFormat="1" applyFont="1" applyFill="1" applyBorder="1" applyAlignment="1" applyProtection="1">
      <alignment horizontal="right" vertical="center" indent="1"/>
    </xf>
    <xf numFmtId="246" fontId="20" fillId="0" borderId="1" xfId="0" applyNumberFormat="1" applyFont="1" applyBorder="1" applyAlignment="1" applyProtection="1">
      <alignment horizontal="right" vertical="center" indent="1"/>
    </xf>
    <xf numFmtId="250" fontId="20" fillId="0" borderId="5" xfId="0" applyNumberFormat="1" applyFont="1" applyFill="1" applyBorder="1" applyAlignment="1">
      <alignment horizontal="right" indent="1"/>
    </xf>
    <xf numFmtId="0" fontId="20" fillId="0" borderId="0" xfId="0" applyFont="1" applyAlignment="1">
      <alignment horizontal="left" vertical="center" indent="1"/>
    </xf>
    <xf numFmtId="250" fontId="20" fillId="0" borderId="1" xfId="0" applyNumberFormat="1" applyFont="1" applyFill="1" applyBorder="1" applyAlignment="1">
      <alignment horizontal="right" indent="1"/>
    </xf>
    <xf numFmtId="272" fontId="20" fillId="0" borderId="1" xfId="0" applyNumberFormat="1" applyFont="1" applyBorder="1" applyAlignment="1" applyProtection="1">
      <alignment horizontal="right" vertical="center" indent="1"/>
    </xf>
    <xf numFmtId="206" fontId="16" fillId="0" borderId="1" xfId="0" applyNumberFormat="1" applyFont="1" applyFill="1" applyBorder="1" applyAlignment="1" applyProtection="1">
      <alignment horizontal="right" vertical="center" indent="1"/>
    </xf>
    <xf numFmtId="206" fontId="20" fillId="0" borderId="2" xfId="0" applyNumberFormat="1" applyFont="1" applyBorder="1" applyAlignment="1" applyProtection="1">
      <alignment horizontal="right" vertical="center" indent="1"/>
    </xf>
    <xf numFmtId="274" fontId="20" fillId="0" borderId="1" xfId="0" applyNumberFormat="1" applyFont="1" applyFill="1" applyBorder="1" applyAlignment="1">
      <alignment horizontal="right" indent="1"/>
    </xf>
    <xf numFmtId="0" fontId="16" fillId="0" borderId="0" xfId="0" applyFont="1" applyAlignment="1">
      <alignment horizontal="left" vertical="center" indent="1"/>
    </xf>
    <xf numFmtId="275" fontId="20" fillId="0" borderId="1" xfId="0" applyNumberFormat="1" applyFont="1" applyFill="1" applyBorder="1" applyAlignment="1">
      <alignment horizontal="right" indent="1"/>
    </xf>
    <xf numFmtId="173" fontId="20" fillId="0" borderId="0" xfId="0" applyNumberFormat="1" applyFont="1" applyFill="1" applyBorder="1" applyAlignment="1">
      <alignment horizontal="right" indent="1"/>
    </xf>
    <xf numFmtId="167" fontId="16" fillId="0" borderId="5" xfId="0" applyNumberFormat="1" applyFont="1" applyFill="1" applyBorder="1" applyAlignment="1" applyProtection="1">
      <alignment horizontal="right" vertical="center" indent="1"/>
    </xf>
    <xf numFmtId="0" fontId="20" fillId="0" borderId="0" xfId="0" applyFont="1" applyFill="1" applyBorder="1" applyAlignment="1">
      <alignment horizontal="left" vertical="center" indent="1"/>
    </xf>
    <xf numFmtId="175" fontId="16" fillId="0" borderId="1" xfId="0" applyNumberFormat="1" applyFont="1" applyFill="1" applyBorder="1" applyAlignment="1" applyProtection="1">
      <alignment horizontal="right" vertical="center" indent="1"/>
    </xf>
    <xf numFmtId="0" fontId="16" fillId="0" borderId="0" xfId="0" applyFont="1" applyFill="1" applyBorder="1" applyAlignment="1">
      <alignment horizontal="left" vertical="center" indent="1"/>
    </xf>
    <xf numFmtId="266" fontId="20" fillId="0" borderId="1" xfId="0" applyNumberFormat="1" applyFont="1" applyBorder="1" applyAlignment="1" applyProtection="1">
      <alignment horizontal="right" vertical="center" indent="1"/>
    </xf>
    <xf numFmtId="265" fontId="16" fillId="0" borderId="1" xfId="0" applyNumberFormat="1" applyFont="1" applyFill="1" applyBorder="1" applyAlignment="1" applyProtection="1">
      <alignment horizontal="right" vertical="center" indent="1"/>
    </xf>
    <xf numFmtId="262" fontId="20" fillId="0" borderId="1" xfId="0" applyNumberFormat="1" applyFont="1" applyBorder="1" applyAlignment="1" applyProtection="1">
      <alignment horizontal="right" vertical="center" indent="1"/>
    </xf>
    <xf numFmtId="237" fontId="16" fillId="0" borderId="1" xfId="0" applyNumberFormat="1" applyFont="1" applyFill="1" applyBorder="1" applyAlignment="1" applyProtection="1">
      <alignment horizontal="right" vertical="center" indent="1"/>
    </xf>
    <xf numFmtId="268" fontId="20" fillId="0" borderId="1" xfId="0" applyNumberFormat="1" applyFont="1" applyFill="1" applyBorder="1" applyAlignment="1">
      <alignment horizontal="right" indent="1"/>
    </xf>
    <xf numFmtId="269" fontId="20" fillId="0" borderId="1" xfId="0" applyNumberFormat="1" applyFont="1" applyFill="1" applyBorder="1" applyAlignment="1">
      <alignment horizontal="right" indent="1"/>
    </xf>
    <xf numFmtId="261" fontId="20" fillId="0" borderId="0" xfId="0" applyNumberFormat="1" applyFont="1"/>
    <xf numFmtId="254" fontId="20" fillId="0" borderId="1" xfId="0" applyNumberFormat="1" applyFont="1" applyFill="1" applyBorder="1" applyAlignment="1">
      <alignment horizontal="right" indent="1"/>
    </xf>
    <xf numFmtId="176" fontId="20" fillId="0" borderId="0" xfId="0" applyNumberFormat="1" applyFont="1"/>
    <xf numFmtId="267" fontId="20" fillId="0" borderId="1" xfId="0" applyNumberFormat="1" applyFont="1" applyFill="1" applyBorder="1" applyAlignment="1">
      <alignment horizontal="right" indent="1"/>
    </xf>
    <xf numFmtId="270" fontId="16" fillId="0" borderId="1" xfId="0" applyNumberFormat="1" applyFont="1" applyFill="1" applyBorder="1" applyAlignment="1" applyProtection="1">
      <alignment horizontal="right" vertical="center" indent="1"/>
    </xf>
    <xf numFmtId="2" fontId="20" fillId="0" borderId="0" xfId="0" applyNumberFormat="1" applyFont="1"/>
    <xf numFmtId="208" fontId="16" fillId="0" borderId="0" xfId="2" applyFont="1"/>
    <xf numFmtId="208" fontId="15" fillId="0" borderId="0" xfId="2" applyFont="1" applyAlignment="1">
      <alignment horizontal="right"/>
    </xf>
    <xf numFmtId="213" fontId="16" fillId="0" borderId="0" xfId="2" applyNumberFormat="1" applyFont="1"/>
    <xf numFmtId="208" fontId="16" fillId="0" borderId="56" xfId="2" applyFont="1" applyBorder="1" applyProtection="1"/>
    <xf numFmtId="209" fontId="16" fillId="0" borderId="56" xfId="2" applyNumberFormat="1" applyFont="1" applyBorder="1" applyAlignment="1" applyProtection="1">
      <alignment horizontal="center"/>
    </xf>
    <xf numFmtId="210" fontId="16" fillId="0" borderId="56" xfId="2" applyNumberFormat="1" applyFont="1" applyBorder="1" applyProtection="1"/>
    <xf numFmtId="208" fontId="16" fillId="0" borderId="56" xfId="2" applyNumberFormat="1" applyFont="1" applyBorder="1" applyProtection="1"/>
    <xf numFmtId="211" fontId="16" fillId="0" borderId="56" xfId="2" applyNumberFormat="1" applyFont="1" applyBorder="1" applyProtection="1"/>
    <xf numFmtId="209" fontId="16" fillId="0" borderId="36" xfId="2" applyNumberFormat="1" applyFont="1" applyBorder="1" applyAlignment="1" applyProtection="1">
      <alignment horizontal="center"/>
    </xf>
    <xf numFmtId="213" fontId="16" fillId="0" borderId="36" xfId="2" applyNumberFormat="1" applyFont="1" applyBorder="1" applyProtection="1"/>
    <xf numFmtId="208" fontId="16" fillId="0" borderId="36" xfId="2" applyNumberFormat="1" applyFont="1" applyBorder="1" applyProtection="1"/>
    <xf numFmtId="209" fontId="16" fillId="0" borderId="36" xfId="2" applyNumberFormat="1" applyFont="1" applyBorder="1" applyProtection="1"/>
    <xf numFmtId="210" fontId="16" fillId="0" borderId="36" xfId="2" applyNumberFormat="1" applyFont="1" applyBorder="1" applyProtection="1"/>
    <xf numFmtId="208" fontId="16" fillId="0" borderId="38" xfId="2" applyFont="1" applyBorder="1" applyProtection="1"/>
    <xf numFmtId="208" fontId="16" fillId="0" borderId="0" xfId="2" applyFont="1" applyBorder="1" applyProtection="1"/>
    <xf numFmtId="209" fontId="16" fillId="0" borderId="39" xfId="2" applyNumberFormat="1" applyFont="1" applyBorder="1" applyAlignment="1" applyProtection="1">
      <alignment horizontal="center"/>
    </xf>
    <xf numFmtId="213" fontId="16" fillId="0" borderId="39" xfId="2" applyNumberFormat="1" applyFont="1" applyBorder="1" applyProtection="1"/>
    <xf numFmtId="208" fontId="16" fillId="0" borderId="39" xfId="2" applyNumberFormat="1" applyFont="1" applyBorder="1" applyProtection="1"/>
    <xf numFmtId="209" fontId="16" fillId="0" borderId="39" xfId="2" applyNumberFormat="1" applyFont="1" applyBorder="1" applyProtection="1"/>
    <xf numFmtId="210" fontId="16" fillId="0" borderId="39" xfId="2" applyNumberFormat="1" applyFont="1" applyBorder="1" applyProtection="1"/>
    <xf numFmtId="208" fontId="16" fillId="0" borderId="40" xfId="2" applyFont="1" applyBorder="1" applyProtection="1"/>
    <xf numFmtId="208" fontId="16" fillId="0" borderId="41" xfId="2" applyFont="1" applyBorder="1" applyProtection="1"/>
    <xf numFmtId="209" fontId="16" fillId="0" borderId="42" xfId="2" applyNumberFormat="1" applyFont="1" applyBorder="1" applyAlignment="1" applyProtection="1">
      <alignment horizontal="center"/>
    </xf>
    <xf numFmtId="213" fontId="16" fillId="0" borderId="42" xfId="2" applyNumberFormat="1" applyFont="1" applyBorder="1" applyProtection="1"/>
    <xf numFmtId="208" fontId="16" fillId="0" borderId="42" xfId="2" applyNumberFormat="1" applyFont="1" applyBorder="1" applyProtection="1"/>
    <xf numFmtId="209" fontId="16" fillId="0" borderId="42" xfId="2" applyNumberFormat="1" applyFont="1" applyBorder="1" applyProtection="1"/>
    <xf numFmtId="210" fontId="16" fillId="0" borderId="42" xfId="2" applyNumberFormat="1" applyFont="1" applyBorder="1" applyProtection="1"/>
    <xf numFmtId="208" fontId="16" fillId="0" borderId="43" xfId="2" applyFont="1" applyBorder="1" applyProtection="1"/>
    <xf numFmtId="208" fontId="16" fillId="0" borderId="15" xfId="2" applyFont="1" applyBorder="1" applyProtection="1"/>
    <xf numFmtId="209" fontId="16" fillId="0" borderId="44" xfId="2" applyNumberFormat="1" applyFont="1" applyBorder="1" applyAlignment="1" applyProtection="1">
      <alignment horizontal="center"/>
    </xf>
    <xf numFmtId="213" fontId="16" fillId="0" borderId="44" xfId="2" applyNumberFormat="1" applyFont="1" applyBorder="1" applyProtection="1"/>
    <xf numFmtId="208" fontId="16" fillId="0" borderId="44" xfId="2" applyNumberFormat="1" applyFont="1" applyBorder="1" applyProtection="1"/>
    <xf numFmtId="209" fontId="16" fillId="0" borderId="44" xfId="2" applyNumberFormat="1" applyFont="1" applyBorder="1" applyProtection="1"/>
    <xf numFmtId="210" fontId="16" fillId="0" borderId="44" xfId="2" applyNumberFormat="1" applyFont="1" applyBorder="1" applyProtection="1"/>
    <xf numFmtId="209" fontId="16" fillId="0" borderId="0" xfId="2" applyNumberFormat="1" applyFont="1" applyBorder="1" applyAlignment="1" applyProtection="1">
      <alignment horizontal="center"/>
    </xf>
    <xf numFmtId="213" fontId="16" fillId="0" borderId="0" xfId="2" applyNumberFormat="1" applyFont="1" applyBorder="1" applyProtection="1"/>
    <xf numFmtId="208" fontId="16" fillId="0" borderId="0" xfId="2" applyNumberFormat="1" applyFont="1" applyBorder="1" applyProtection="1"/>
    <xf numFmtId="209" fontId="16" fillId="0" borderId="0" xfId="2" applyNumberFormat="1" applyFont="1" applyBorder="1" applyProtection="1"/>
    <xf numFmtId="210" fontId="16" fillId="0" borderId="0" xfId="2" applyNumberFormat="1" applyFont="1" applyBorder="1" applyProtection="1"/>
    <xf numFmtId="208" fontId="15" fillId="0" borderId="1" xfId="2" applyFont="1" applyBorder="1" applyProtection="1"/>
    <xf numFmtId="208" fontId="16" fillId="0" borderId="1" xfId="2" applyFont="1" applyBorder="1" applyProtection="1"/>
    <xf numFmtId="209" fontId="16" fillId="0" borderId="1" xfId="2" applyNumberFormat="1" applyFont="1" applyBorder="1" applyAlignment="1" applyProtection="1">
      <alignment horizontal="center"/>
    </xf>
    <xf numFmtId="213" fontId="16" fillId="0" borderId="1" xfId="2" applyNumberFormat="1" applyFont="1" applyBorder="1" applyProtection="1"/>
    <xf numFmtId="208" fontId="16" fillId="0" borderId="1" xfId="2" applyNumberFormat="1" applyFont="1" applyBorder="1" applyProtection="1"/>
    <xf numFmtId="209" fontId="16" fillId="0" borderId="1" xfId="2" applyNumberFormat="1" applyFont="1" applyBorder="1" applyProtection="1"/>
    <xf numFmtId="210" fontId="16" fillId="0" borderId="1" xfId="2" applyNumberFormat="1" applyFont="1" applyBorder="1" applyProtection="1"/>
    <xf numFmtId="208" fontId="15" fillId="0" borderId="1" xfId="2" applyFont="1" applyFill="1" applyBorder="1" applyProtection="1"/>
    <xf numFmtId="208" fontId="16" fillId="0" borderId="1" xfId="2" applyFont="1" applyFill="1" applyBorder="1" applyProtection="1"/>
    <xf numFmtId="209" fontId="16" fillId="0" borderId="1" xfId="2" applyNumberFormat="1" applyFont="1" applyFill="1" applyBorder="1" applyAlignment="1" applyProtection="1">
      <alignment horizontal="center"/>
    </xf>
    <xf numFmtId="213" fontId="16" fillId="0" borderId="1" xfId="2" applyNumberFormat="1" applyFont="1" applyFill="1" applyBorder="1" applyProtection="1"/>
    <xf numFmtId="208" fontId="16" fillId="0" borderId="1" xfId="2" applyNumberFormat="1" applyFont="1" applyFill="1" applyBorder="1" applyProtection="1"/>
    <xf numFmtId="209" fontId="16" fillId="0" borderId="1" xfId="2" applyNumberFormat="1" applyFont="1" applyFill="1" applyBorder="1" applyProtection="1"/>
    <xf numFmtId="210" fontId="16" fillId="0" borderId="1" xfId="2" applyNumberFormat="1" applyFont="1" applyFill="1" applyBorder="1" applyProtection="1"/>
    <xf numFmtId="209" fontId="16" fillId="15" borderId="46" xfId="2" applyNumberFormat="1" applyFont="1" applyFill="1" applyBorder="1" applyAlignment="1" applyProtection="1">
      <alignment horizontal="center"/>
    </xf>
    <xf numFmtId="213" fontId="16" fillId="15" borderId="46" xfId="2" applyNumberFormat="1" applyFont="1" applyFill="1" applyBorder="1" applyProtection="1"/>
    <xf numFmtId="209" fontId="16" fillId="15" borderId="46" xfId="2" applyNumberFormat="1" applyFont="1" applyFill="1" applyBorder="1" applyProtection="1"/>
    <xf numFmtId="210" fontId="16" fillId="15" borderId="46" xfId="2" applyNumberFormat="1" applyFont="1" applyFill="1" applyBorder="1" applyProtection="1"/>
    <xf numFmtId="208" fontId="16" fillId="15" borderId="47" xfId="2" applyNumberFormat="1" applyFont="1" applyFill="1" applyBorder="1" applyProtection="1"/>
    <xf numFmtId="208" fontId="15" fillId="15" borderId="29" xfId="2" applyFont="1" applyFill="1" applyBorder="1" applyProtection="1"/>
    <xf numFmtId="208" fontId="16" fillId="15" borderId="0" xfId="2" applyFont="1" applyFill="1" applyBorder="1" applyProtection="1"/>
    <xf numFmtId="209" fontId="16" fillId="15" borderId="39" xfId="2" applyNumberFormat="1" applyFont="1" applyFill="1" applyBorder="1" applyAlignment="1" applyProtection="1">
      <alignment horizontal="center"/>
    </xf>
    <xf numFmtId="213" fontId="16" fillId="15" borderId="39" xfId="2" applyNumberFormat="1" applyFont="1" applyFill="1" applyBorder="1" applyProtection="1"/>
    <xf numFmtId="209" fontId="16" fillId="15" borderId="39" xfId="2" applyNumberFormat="1" applyFont="1" applyFill="1" applyBorder="1" applyProtection="1"/>
    <xf numFmtId="210" fontId="16" fillId="15" borderId="39" xfId="2" applyNumberFormat="1" applyFont="1" applyFill="1" applyBorder="1" applyProtection="1"/>
    <xf numFmtId="208" fontId="16" fillId="15" borderId="48" xfId="2" applyNumberFormat="1" applyFont="1" applyFill="1" applyBorder="1" applyProtection="1"/>
    <xf numFmtId="208" fontId="16" fillId="15" borderId="29" xfId="2" applyFont="1" applyFill="1" applyBorder="1" applyProtection="1"/>
    <xf numFmtId="208" fontId="16" fillId="15" borderId="7" xfId="2" applyFont="1" applyFill="1" applyBorder="1" applyProtection="1"/>
    <xf numFmtId="208" fontId="16" fillId="15" borderId="15" xfId="2" applyFont="1" applyFill="1" applyBorder="1" applyProtection="1"/>
    <xf numFmtId="209" fontId="16" fillId="15" borderId="44" xfId="2" applyNumberFormat="1" applyFont="1" applyFill="1" applyBorder="1" applyAlignment="1" applyProtection="1">
      <alignment horizontal="center"/>
    </xf>
    <xf numFmtId="213" fontId="16" fillId="15" borderId="44" xfId="2" applyNumberFormat="1" applyFont="1" applyFill="1" applyBorder="1" applyProtection="1"/>
    <xf numFmtId="209" fontId="16" fillId="15" borderId="44" xfId="2" applyNumberFormat="1" applyFont="1" applyFill="1" applyBorder="1" applyProtection="1"/>
    <xf numFmtId="210" fontId="16" fillId="15" borderId="44" xfId="2" applyNumberFormat="1" applyFont="1" applyFill="1" applyBorder="1" applyProtection="1"/>
    <xf numFmtId="208" fontId="16" fillId="15" borderId="49" xfId="2" applyNumberFormat="1" applyFont="1" applyFill="1" applyBorder="1" applyProtection="1"/>
    <xf numFmtId="208" fontId="15" fillId="9" borderId="1" xfId="2" applyFont="1" applyFill="1" applyBorder="1" applyProtection="1"/>
    <xf numFmtId="208" fontId="15" fillId="9" borderId="6" xfId="2" applyFont="1" applyFill="1" applyBorder="1" applyProtection="1"/>
    <xf numFmtId="208" fontId="15" fillId="9" borderId="32" xfId="2" applyFont="1" applyFill="1" applyBorder="1" applyProtection="1"/>
    <xf numFmtId="3" fontId="20" fillId="0" borderId="0" xfId="0" applyNumberFormat="1" applyFont="1"/>
    <xf numFmtId="0" fontId="20" fillId="0" borderId="0" xfId="0" applyFont="1" applyFill="1" applyBorder="1" applyAlignment="1">
      <alignment horizontal="right" indent="1"/>
    </xf>
    <xf numFmtId="0" fontId="16" fillId="0" borderId="0" xfId="0" applyFont="1" applyAlignment="1">
      <alignment horizontal="left"/>
    </xf>
    <xf numFmtId="3" fontId="16" fillId="0" borderId="0" xfId="0" applyNumberFormat="1" applyFont="1"/>
    <xf numFmtId="9" fontId="15" fillId="0" borderId="15" xfId="0" applyNumberFormat="1" applyFont="1" applyFill="1" applyBorder="1" applyAlignment="1" applyProtection="1">
      <alignment horizontal="center"/>
    </xf>
    <xf numFmtId="3" fontId="16" fillId="0" borderId="1" xfId="1" applyNumberFormat="1" applyFont="1" applyBorder="1" applyAlignment="1">
      <alignment horizontal="center"/>
    </xf>
    <xf numFmtId="180" fontId="16" fillId="0" borderId="0" xfId="1" applyNumberFormat="1" applyFont="1" applyBorder="1" applyAlignment="1">
      <alignment horizontal="center"/>
    </xf>
    <xf numFmtId="3" fontId="16" fillId="7" borderId="1" xfId="1" applyNumberFormat="1" applyFont="1" applyFill="1" applyBorder="1" applyAlignment="1" applyProtection="1">
      <alignment horizontal="center"/>
    </xf>
    <xf numFmtId="1" fontId="16" fillId="0" borderId="1" xfId="1" applyNumberFormat="1" applyFont="1" applyBorder="1" applyAlignment="1">
      <alignment horizontal="center"/>
    </xf>
    <xf numFmtId="0" fontId="20" fillId="0" borderId="0" xfId="0" applyFont="1" applyFill="1"/>
    <xf numFmtId="237" fontId="20" fillId="0" borderId="0" xfId="0" applyNumberFormat="1" applyFont="1"/>
    <xf numFmtId="241" fontId="20" fillId="0" borderId="0" xfId="0" applyNumberFormat="1" applyFont="1"/>
    <xf numFmtId="0" fontId="20" fillId="4" borderId="0" xfId="0" applyFont="1" applyFill="1"/>
    <xf numFmtId="176" fontId="20" fillId="0" borderId="0" xfId="0" applyNumberFormat="1" applyFont="1" applyFill="1"/>
    <xf numFmtId="262" fontId="20" fillId="0" borderId="0" xfId="0" applyNumberFormat="1" applyFont="1" applyFill="1" applyBorder="1" applyAlignment="1" applyProtection="1">
      <alignment horizontal="right" vertical="center" indent="1"/>
    </xf>
    <xf numFmtId="270" fontId="20" fillId="0" borderId="0" xfId="0" applyNumberFormat="1" applyFont="1"/>
    <xf numFmtId="276" fontId="20" fillId="0" borderId="0" xfId="0" applyNumberFormat="1" applyFont="1" applyAlignment="1">
      <alignment horizontal="left"/>
    </xf>
    <xf numFmtId="263" fontId="20" fillId="0" borderId="0" xfId="0" applyNumberFormat="1" applyFont="1" applyAlignment="1">
      <alignment horizontal="left"/>
    </xf>
    <xf numFmtId="277" fontId="20" fillId="0" borderId="0" xfId="0" applyNumberFormat="1" applyFont="1"/>
    <xf numFmtId="170" fontId="20" fillId="4" borderId="0" xfId="0" applyNumberFormat="1" applyFont="1" applyFill="1"/>
    <xf numFmtId="167" fontId="20" fillId="4" borderId="0" xfId="0" applyNumberFormat="1" applyFont="1" applyFill="1"/>
    <xf numFmtId="270" fontId="20" fillId="4" borderId="0" xfId="0" applyNumberFormat="1" applyFont="1" applyFill="1"/>
    <xf numFmtId="278" fontId="20" fillId="4" borderId="0" xfId="0" applyNumberFormat="1" applyFont="1" applyFill="1"/>
    <xf numFmtId="0" fontId="27" fillId="0" borderId="0" xfId="0" applyFont="1"/>
    <xf numFmtId="279" fontId="20" fillId="0" borderId="0" xfId="0" applyNumberFormat="1" applyFont="1"/>
    <xf numFmtId="274" fontId="20" fillId="0" borderId="0" xfId="0" applyNumberFormat="1" applyFont="1"/>
    <xf numFmtId="263" fontId="20" fillId="0" borderId="0" xfId="0" applyNumberFormat="1" applyFont="1"/>
    <xf numFmtId="0" fontId="16" fillId="0" borderId="0" xfId="1" applyFont="1" applyFill="1" applyAlignment="1" applyProtection="1">
      <alignment horizontal="left" vertical="center"/>
    </xf>
    <xf numFmtId="0" fontId="15" fillId="0" borderId="0" xfId="1" applyFont="1" applyFill="1" applyAlignment="1" applyProtection="1">
      <alignment horizontal="left" vertical="center"/>
    </xf>
    <xf numFmtId="170" fontId="20" fillId="0" borderId="1" xfId="0" applyNumberFormat="1" applyFont="1" applyBorder="1"/>
    <xf numFmtId="270" fontId="20" fillId="0" borderId="1" xfId="0" applyNumberFormat="1" applyFont="1" applyBorder="1"/>
    <xf numFmtId="277" fontId="20" fillId="0" borderId="1" xfId="0" applyNumberFormat="1" applyFont="1" applyBorder="1"/>
    <xf numFmtId="279" fontId="20" fillId="0" borderId="1" xfId="0" applyNumberFormat="1" applyFont="1" applyBorder="1"/>
    <xf numFmtId="167" fontId="20" fillId="0" borderId="1" xfId="0" applyNumberFormat="1" applyFont="1" applyBorder="1"/>
    <xf numFmtId="276" fontId="20" fillId="0" borderId="1" xfId="0" applyNumberFormat="1" applyFont="1" applyBorder="1" applyAlignment="1">
      <alignment horizontal="left"/>
    </xf>
    <xf numFmtId="263" fontId="20" fillId="0" borderId="1" xfId="0" applyNumberFormat="1" applyFont="1" applyBorder="1" applyAlignment="1">
      <alignment horizontal="left"/>
    </xf>
    <xf numFmtId="274" fontId="20" fillId="0" borderId="1" xfId="0" applyNumberFormat="1" applyFont="1" applyBorder="1"/>
    <xf numFmtId="237" fontId="20" fillId="0" borderId="1" xfId="0" applyNumberFormat="1" applyFont="1" applyBorder="1"/>
    <xf numFmtId="0" fontId="15" fillId="0" borderId="0" xfId="0" applyFont="1" applyAlignment="1">
      <alignment horizontal="right"/>
    </xf>
    <xf numFmtId="170" fontId="20" fillId="0" borderId="0" xfId="0" applyNumberFormat="1" applyFont="1" applyFill="1"/>
    <xf numFmtId="167" fontId="20" fillId="0" borderId="0" xfId="0" applyNumberFormat="1" applyFont="1" applyFill="1"/>
    <xf numFmtId="270" fontId="20" fillId="0" borderId="0" xfId="0" applyNumberFormat="1" applyFont="1" applyFill="1"/>
    <xf numFmtId="0" fontId="16" fillId="0" borderId="0" xfId="0" applyFont="1" applyFill="1" applyAlignment="1">
      <alignment horizontal="right" vertical="center"/>
    </xf>
    <xf numFmtId="278" fontId="20" fillId="0" borderId="0" xfId="0" applyNumberFormat="1" applyFont="1" applyFill="1"/>
    <xf numFmtId="0" fontId="27" fillId="0" borderId="0" xfId="0" applyFont="1" applyFill="1"/>
    <xf numFmtId="277" fontId="20" fillId="0" borderId="0" xfId="0" applyNumberFormat="1" applyFont="1" applyFill="1"/>
    <xf numFmtId="279" fontId="20" fillId="0" borderId="0" xfId="0" applyNumberFormat="1" applyFont="1" applyFill="1"/>
    <xf numFmtId="276" fontId="20" fillId="0" borderId="0" xfId="0" applyNumberFormat="1" applyFont="1" applyFill="1" applyAlignment="1">
      <alignment horizontal="left"/>
    </xf>
    <xf numFmtId="263" fontId="20" fillId="0" borderId="0" xfId="0" applyNumberFormat="1" applyFont="1" applyFill="1" applyAlignment="1">
      <alignment horizontal="left"/>
    </xf>
    <xf numFmtId="241" fontId="20" fillId="0" borderId="0" xfId="0" applyNumberFormat="1" applyFont="1" applyFill="1"/>
    <xf numFmtId="274" fontId="20" fillId="0" borderId="0" xfId="0" applyNumberFormat="1" applyFont="1" applyFill="1"/>
    <xf numFmtId="237" fontId="20" fillId="0" borderId="0" xfId="0" applyNumberFormat="1" applyFont="1" applyFill="1"/>
    <xf numFmtId="263" fontId="20" fillId="0" borderId="0" xfId="0" applyNumberFormat="1" applyFont="1" applyFill="1"/>
    <xf numFmtId="172" fontId="16" fillId="2" borderId="1" xfId="0" applyNumberFormat="1" applyFont="1" applyFill="1" applyBorder="1" applyAlignment="1">
      <alignment horizontal="left"/>
    </xf>
    <xf numFmtId="190" fontId="16" fillId="0" borderId="0" xfId="0" applyNumberFormat="1" applyFont="1"/>
    <xf numFmtId="170" fontId="16" fillId="4" borderId="1" xfId="0" applyNumberFormat="1" applyFont="1" applyFill="1" applyBorder="1" applyProtection="1">
      <protection locked="0"/>
    </xf>
    <xf numFmtId="167" fontId="16" fillId="4" borderId="1" xfId="0" applyNumberFormat="1" applyFont="1" applyFill="1" applyBorder="1" applyProtection="1">
      <protection locked="0"/>
    </xf>
    <xf numFmtId="270" fontId="16" fillId="4" borderId="1" xfId="0" applyNumberFormat="1" applyFont="1" applyFill="1" applyBorder="1" applyProtection="1">
      <protection locked="0"/>
    </xf>
    <xf numFmtId="278" fontId="16" fillId="4" borderId="1" xfId="0" applyNumberFormat="1" applyFont="1" applyFill="1" applyBorder="1" applyProtection="1">
      <protection locked="0"/>
    </xf>
    <xf numFmtId="0" fontId="16" fillId="4" borderId="1" xfId="0" applyFont="1" applyFill="1" applyBorder="1" applyProtection="1">
      <protection locked="0"/>
    </xf>
    <xf numFmtId="241" fontId="16" fillId="4" borderId="1" xfId="0" applyNumberFormat="1" applyFont="1" applyFill="1" applyBorder="1" applyProtection="1">
      <protection locked="0"/>
    </xf>
    <xf numFmtId="0" fontId="16" fillId="4" borderId="1" xfId="0" applyFont="1" applyFill="1" applyBorder="1" applyAlignment="1" applyProtection="1">
      <alignment horizontal="right"/>
      <protection locked="0"/>
    </xf>
    <xf numFmtId="237" fontId="16" fillId="8" borderId="1" xfId="0" applyNumberFormat="1" applyFont="1" applyFill="1" applyBorder="1" applyAlignment="1" applyProtection="1">
      <alignment horizontal="right" vertical="center" indent="1"/>
      <protection locked="0"/>
    </xf>
    <xf numFmtId="221" fontId="16" fillId="4" borderId="3" xfId="0" applyNumberFormat="1" applyFont="1" applyFill="1" applyBorder="1" applyProtection="1">
      <protection locked="0"/>
    </xf>
    <xf numFmtId="220" fontId="16" fillId="4" borderId="5" xfId="0" applyNumberFormat="1" applyFont="1" applyFill="1" applyBorder="1" applyProtection="1">
      <protection locked="0"/>
    </xf>
    <xf numFmtId="220" fontId="16" fillId="4" borderId="1" xfId="0" applyNumberFormat="1" applyFont="1" applyFill="1" applyBorder="1" applyProtection="1">
      <protection locked="0"/>
    </xf>
    <xf numFmtId="207" fontId="16" fillId="4" borderId="1" xfId="0" applyNumberFormat="1" applyFont="1" applyFill="1" applyBorder="1" applyProtection="1">
      <protection locked="0"/>
    </xf>
    <xf numFmtId="2" fontId="16" fillId="4" borderId="1" xfId="0" applyNumberFormat="1" applyFont="1" applyFill="1" applyBorder="1" applyProtection="1">
      <protection locked="0"/>
    </xf>
    <xf numFmtId="222" fontId="16" fillId="4" borderId="1" xfId="0" applyNumberFormat="1" applyFont="1" applyFill="1" applyBorder="1" applyProtection="1">
      <protection locked="0"/>
    </xf>
    <xf numFmtId="227" fontId="16" fillId="4" borderId="1" xfId="0" applyNumberFormat="1" applyFont="1" applyFill="1" applyBorder="1" applyProtection="1">
      <protection locked="0"/>
    </xf>
    <xf numFmtId="202" fontId="16" fillId="4" borderId="1" xfId="0" applyNumberFormat="1" applyFont="1" applyFill="1" applyBorder="1" applyProtection="1">
      <protection locked="0"/>
    </xf>
    <xf numFmtId="170" fontId="27" fillId="0" borderId="1" xfId="0" applyNumberFormat="1" applyFont="1" applyBorder="1"/>
    <xf numFmtId="262" fontId="27" fillId="0" borderId="1" xfId="0" applyNumberFormat="1" applyFont="1" applyBorder="1" applyAlignment="1" applyProtection="1">
      <alignment horizontal="right" vertical="center" indent="1"/>
    </xf>
    <xf numFmtId="208" fontId="25" fillId="0" borderId="0" xfId="2" applyFont="1" applyFill="1" applyAlignment="1" applyProtection="1">
      <alignment horizontal="right" vertical="center"/>
    </xf>
    <xf numFmtId="208" fontId="25" fillId="0" borderId="0" xfId="2" applyFont="1" applyFill="1" applyAlignment="1" applyProtection="1">
      <alignment horizontal="center" vertical="center"/>
    </xf>
    <xf numFmtId="0" fontId="20" fillId="0" borderId="0" xfId="0" applyFont="1" applyFill="1" applyProtection="1"/>
    <xf numFmtId="0" fontId="27" fillId="0" borderId="0" xfId="0" applyFont="1" applyAlignment="1" applyProtection="1">
      <alignment horizontal="right"/>
    </xf>
    <xf numFmtId="236" fontId="20" fillId="0" borderId="1" xfId="0" applyNumberFormat="1" applyFont="1" applyBorder="1" applyProtection="1"/>
    <xf numFmtId="196" fontId="20" fillId="0" borderId="1" xfId="0" applyNumberFormat="1" applyFont="1" applyBorder="1" applyProtection="1"/>
    <xf numFmtId="191" fontId="20" fillId="0" borderId="1" xfId="0" applyNumberFormat="1" applyFont="1" applyBorder="1" applyProtection="1"/>
    <xf numFmtId="190" fontId="20" fillId="0" borderId="1" xfId="0" applyNumberFormat="1" applyFont="1" applyBorder="1" applyProtection="1"/>
    <xf numFmtId="0" fontId="26" fillId="0" borderId="0" xfId="0" applyFont="1" applyProtection="1"/>
    <xf numFmtId="236" fontId="27" fillId="0" borderId="1" xfId="0" applyNumberFormat="1" applyFont="1" applyBorder="1" applyProtection="1"/>
    <xf numFmtId="0" fontId="28" fillId="0" borderId="0" xfId="0" applyFont="1" applyProtection="1"/>
    <xf numFmtId="0" fontId="27" fillId="0" borderId="1" xfId="0" applyFont="1" applyBorder="1" applyAlignment="1" applyProtection="1">
      <alignment horizontal="center"/>
    </xf>
    <xf numFmtId="0" fontId="20" fillId="0" borderId="1" xfId="0" applyFont="1" applyBorder="1" applyProtection="1"/>
    <xf numFmtId="240" fontId="20" fillId="0" borderId="1" xfId="0" applyNumberFormat="1" applyFont="1" applyBorder="1" applyProtection="1"/>
    <xf numFmtId="235" fontId="20" fillId="0" borderId="1" xfId="0" applyNumberFormat="1" applyFont="1" applyBorder="1" applyProtection="1"/>
    <xf numFmtId="172" fontId="20" fillId="0" borderId="1" xfId="0" applyNumberFormat="1" applyFont="1" applyBorder="1" applyProtection="1"/>
    <xf numFmtId="11" fontId="20" fillId="0" borderId="1" xfId="0" applyNumberFormat="1" applyFont="1" applyBorder="1" applyProtection="1"/>
    <xf numFmtId="242" fontId="20" fillId="0" borderId="1" xfId="0" applyNumberFormat="1" applyFont="1" applyBorder="1" applyProtection="1"/>
    <xf numFmtId="237" fontId="20" fillId="0" borderId="1" xfId="0" applyNumberFormat="1" applyFont="1" applyBorder="1" applyProtection="1"/>
    <xf numFmtId="238" fontId="20" fillId="3" borderId="1" xfId="0" applyNumberFormat="1" applyFont="1" applyFill="1" applyBorder="1" applyAlignment="1" applyProtection="1">
      <alignment horizontal="left"/>
    </xf>
    <xf numFmtId="239" fontId="20" fillId="3" borderId="1" xfId="0" applyNumberFormat="1" applyFont="1" applyFill="1" applyBorder="1" applyAlignment="1" applyProtection="1">
      <alignment horizontal="left"/>
    </xf>
    <xf numFmtId="241" fontId="20" fillId="0" borderId="1" xfId="0" applyNumberFormat="1" applyFont="1" applyBorder="1" applyProtection="1"/>
    <xf numFmtId="202" fontId="20" fillId="0" borderId="0" xfId="0" applyNumberFormat="1" applyFont="1" applyProtection="1"/>
    <xf numFmtId="0" fontId="20" fillId="0" borderId="0" xfId="0" applyNumberFormat="1" applyFont="1" applyProtection="1"/>
    <xf numFmtId="0" fontId="15" fillId="0" borderId="1" xfId="0" applyFont="1" applyFill="1" applyBorder="1" applyAlignment="1" applyProtection="1">
      <alignment horizontal="center"/>
    </xf>
    <xf numFmtId="0" fontId="27" fillId="0" borderId="1" xfId="0" applyFont="1" applyBorder="1" applyAlignment="1" applyProtection="1">
      <alignment horizontal="left" vertical="center"/>
    </xf>
    <xf numFmtId="0" fontId="27" fillId="0" borderId="1" xfId="0" applyFont="1" applyBorder="1" applyAlignment="1" applyProtection="1">
      <alignment horizontal="center" vertical="center"/>
    </xf>
    <xf numFmtId="0" fontId="20" fillId="0" borderId="1" xfId="0" applyFont="1" applyBorder="1" applyAlignment="1" applyProtection="1">
      <alignment horizontal="center" vertical="center"/>
    </xf>
    <xf numFmtId="0" fontId="20" fillId="0" borderId="1" xfId="0" applyFont="1" applyBorder="1" applyAlignment="1" applyProtection="1">
      <alignment horizontal="center"/>
    </xf>
    <xf numFmtId="235" fontId="20" fillId="0" borderId="1" xfId="0" applyNumberFormat="1" applyFont="1" applyBorder="1" applyAlignment="1" applyProtection="1">
      <alignment horizontal="center" vertical="center"/>
    </xf>
    <xf numFmtId="202" fontId="20" fillId="0" borderId="1" xfId="0" applyNumberFormat="1" applyFont="1" applyBorder="1" applyProtection="1"/>
    <xf numFmtId="2" fontId="20" fillId="0" borderId="1" xfId="0" applyNumberFormat="1" applyFont="1" applyBorder="1" applyAlignment="1" applyProtection="1">
      <alignment horizontal="center"/>
    </xf>
    <xf numFmtId="243" fontId="20" fillId="0" borderId="1" xfId="0" applyNumberFormat="1" applyFont="1" applyBorder="1" applyProtection="1"/>
    <xf numFmtId="202" fontId="20" fillId="0" borderId="1" xfId="0" applyNumberFormat="1" applyFont="1" applyBorder="1" applyAlignment="1" applyProtection="1">
      <alignment vertical="center"/>
    </xf>
    <xf numFmtId="202" fontId="27" fillId="0" borderId="1" xfId="0" applyNumberFormat="1" applyFont="1" applyBorder="1" applyAlignment="1" applyProtection="1">
      <alignment vertical="center"/>
    </xf>
    <xf numFmtId="0" fontId="27" fillId="0" borderId="1" xfId="0" applyFont="1" applyBorder="1" applyProtection="1"/>
    <xf numFmtId="0" fontId="20" fillId="0" borderId="1" xfId="0" applyFont="1" applyBorder="1" applyAlignment="1" applyProtection="1">
      <alignment vertical="center"/>
    </xf>
    <xf numFmtId="1" fontId="20" fillId="0" borderId="1" xfId="0" applyNumberFormat="1" applyFont="1" applyBorder="1" applyAlignment="1" applyProtection="1">
      <alignment horizontal="center"/>
    </xf>
    <xf numFmtId="202" fontId="27" fillId="0" borderId="1" xfId="0" applyNumberFormat="1" applyFont="1" applyBorder="1" applyProtection="1"/>
    <xf numFmtId="202" fontId="27" fillId="18" borderId="1" xfId="0" applyNumberFormat="1" applyFont="1" applyFill="1" applyBorder="1" applyProtection="1"/>
    <xf numFmtId="0" fontId="20" fillId="0" borderId="0" xfId="0" applyFont="1" applyProtection="1">
      <protection locked="0"/>
    </xf>
    <xf numFmtId="236" fontId="16" fillId="4" borderId="1" xfId="0" applyNumberFormat="1" applyFont="1" applyFill="1" applyBorder="1" applyProtection="1">
      <protection locked="0"/>
    </xf>
    <xf numFmtId="0" fontId="20" fillId="2" borderId="0" xfId="0" applyFont="1" applyFill="1" applyProtection="1"/>
    <xf numFmtId="208" fontId="25" fillId="2" borderId="0" xfId="2" applyFont="1" applyFill="1" applyAlignment="1" applyProtection="1">
      <alignment horizontal="center" vertical="center"/>
    </xf>
    <xf numFmtId="189" fontId="20" fillId="2" borderId="1" xfId="0" applyNumberFormat="1" applyFont="1" applyFill="1" applyBorder="1" applyProtection="1"/>
    <xf numFmtId="1" fontId="20" fillId="2" borderId="0" xfId="0" applyNumberFormat="1" applyFont="1" applyFill="1" applyProtection="1"/>
    <xf numFmtId="221" fontId="20" fillId="2" borderId="1" xfId="0" applyNumberFormat="1" applyFont="1" applyFill="1" applyBorder="1" applyProtection="1"/>
    <xf numFmtId="0" fontId="20" fillId="2" borderId="0" xfId="0" applyFont="1" applyFill="1" applyAlignment="1" applyProtection="1">
      <alignment horizontal="left" vertical="center"/>
    </xf>
    <xf numFmtId="0" fontId="20" fillId="2" borderId="0" xfId="0" applyFont="1" applyFill="1" applyAlignment="1" applyProtection="1">
      <alignment horizontal="center" vertical="center"/>
    </xf>
    <xf numFmtId="0" fontId="20" fillId="2" borderId="1" xfId="0" applyFont="1" applyFill="1" applyBorder="1" applyAlignment="1" applyProtection="1">
      <alignment horizontal="left" vertical="center" wrapText="1"/>
    </xf>
    <xf numFmtId="0" fontId="20" fillId="2" borderId="0" xfId="0" applyFont="1" applyFill="1" applyBorder="1" applyAlignment="1" applyProtection="1">
      <alignment vertical="center"/>
    </xf>
    <xf numFmtId="1" fontId="27" fillId="2" borderId="1" xfId="0" applyNumberFormat="1" applyFont="1" applyFill="1" applyBorder="1" applyProtection="1"/>
    <xf numFmtId="220" fontId="20" fillId="2" borderId="1" xfId="0" applyNumberFormat="1" applyFont="1" applyFill="1" applyBorder="1" applyProtection="1"/>
    <xf numFmtId="0" fontId="20" fillId="2" borderId="1" xfId="0" applyFont="1" applyFill="1" applyBorder="1" applyProtection="1"/>
    <xf numFmtId="225" fontId="20" fillId="2" borderId="1" xfId="0" applyNumberFormat="1" applyFont="1" applyFill="1" applyBorder="1" applyProtection="1"/>
    <xf numFmtId="223" fontId="20" fillId="2" borderId="1" xfId="0" applyNumberFormat="1" applyFont="1" applyFill="1" applyBorder="1" applyProtection="1"/>
    <xf numFmtId="226" fontId="20" fillId="2" borderId="1" xfId="0" applyNumberFormat="1" applyFont="1" applyFill="1" applyBorder="1" applyProtection="1"/>
    <xf numFmtId="2" fontId="20" fillId="2" borderId="1" xfId="0" applyNumberFormat="1" applyFont="1" applyFill="1" applyBorder="1" applyProtection="1"/>
    <xf numFmtId="0" fontId="20" fillId="2" borderId="1" xfId="0" applyNumberFormat="1" applyFont="1" applyFill="1" applyBorder="1" applyProtection="1"/>
    <xf numFmtId="229" fontId="20" fillId="2" borderId="1" xfId="0" applyNumberFormat="1" applyFont="1" applyFill="1" applyBorder="1" applyProtection="1"/>
    <xf numFmtId="224" fontId="20" fillId="2" borderId="1" xfId="0" applyNumberFormat="1" applyFont="1" applyFill="1" applyBorder="1" applyProtection="1"/>
    <xf numFmtId="1" fontId="20" fillId="2" borderId="1" xfId="0" applyNumberFormat="1" applyFont="1" applyFill="1" applyBorder="1" applyProtection="1"/>
    <xf numFmtId="230" fontId="20" fillId="2" borderId="1" xfId="0" applyNumberFormat="1" applyFont="1" applyFill="1" applyBorder="1" applyProtection="1"/>
    <xf numFmtId="222" fontId="20" fillId="2" borderId="1" xfId="0" applyNumberFormat="1" applyFont="1" applyFill="1" applyBorder="1" applyProtection="1"/>
    <xf numFmtId="12" fontId="20" fillId="2" borderId="1" xfId="0" applyNumberFormat="1" applyFont="1" applyFill="1" applyBorder="1" applyAlignment="1" applyProtection="1">
      <alignment horizontal="right"/>
    </xf>
    <xf numFmtId="12" fontId="20" fillId="2" borderId="1" xfId="0" applyNumberFormat="1" applyFont="1" applyFill="1" applyBorder="1" applyProtection="1"/>
    <xf numFmtId="231" fontId="20" fillId="2" borderId="1" xfId="0" applyNumberFormat="1" applyFont="1" applyFill="1" applyBorder="1" applyProtection="1"/>
    <xf numFmtId="9" fontId="20" fillId="2" borderId="1" xfId="0" applyNumberFormat="1" applyFont="1" applyFill="1" applyBorder="1" applyProtection="1"/>
    <xf numFmtId="228" fontId="20" fillId="2" borderId="1" xfId="0" applyNumberFormat="1" applyFont="1" applyFill="1" applyBorder="1" applyAlignment="1" applyProtection="1">
      <alignment horizontal="left"/>
    </xf>
    <xf numFmtId="280" fontId="20" fillId="2" borderId="1" xfId="0" applyNumberFormat="1" applyFont="1" applyFill="1" applyBorder="1" applyProtection="1"/>
    <xf numFmtId="0" fontId="20" fillId="0" borderId="0" xfId="0" applyFont="1" applyAlignment="1">
      <alignment horizontal="center" vertical="center"/>
    </xf>
    <xf numFmtId="208" fontId="15" fillId="0" borderId="0" xfId="2" applyFont="1"/>
    <xf numFmtId="208" fontId="15" fillId="19" borderId="32" xfId="2" applyFont="1" applyFill="1" applyBorder="1"/>
    <xf numFmtId="208" fontId="15" fillId="19" borderId="33" xfId="2" applyFont="1" applyFill="1" applyBorder="1"/>
    <xf numFmtId="208" fontId="15" fillId="19" borderId="34" xfId="2" applyFont="1" applyFill="1" applyBorder="1"/>
    <xf numFmtId="3" fontId="15" fillId="19" borderId="32" xfId="2" applyNumberFormat="1" applyFont="1" applyFill="1" applyBorder="1"/>
    <xf numFmtId="208" fontId="15" fillId="19" borderId="35" xfId="2" applyFont="1" applyFill="1" applyBorder="1"/>
    <xf numFmtId="208" fontId="15" fillId="19" borderId="54" xfId="2" applyFont="1" applyFill="1" applyBorder="1"/>
    <xf numFmtId="208" fontId="15" fillId="19" borderId="37" xfId="2" applyFont="1" applyFill="1" applyBorder="1"/>
    <xf numFmtId="208" fontId="16" fillId="19" borderId="12" xfId="2" applyFont="1" applyFill="1" applyBorder="1"/>
    <xf numFmtId="208" fontId="16" fillId="19" borderId="13" xfId="2" applyFont="1" applyFill="1" applyBorder="1"/>
    <xf numFmtId="208" fontId="15" fillId="19" borderId="2" xfId="2" applyFont="1" applyFill="1" applyBorder="1"/>
    <xf numFmtId="208" fontId="15" fillId="19" borderId="12" xfId="2" applyFont="1" applyFill="1" applyBorder="1"/>
    <xf numFmtId="11" fontId="16" fillId="0" borderId="39" xfId="2" applyNumberFormat="1" applyFont="1" applyBorder="1" applyProtection="1"/>
    <xf numFmtId="11" fontId="16" fillId="0" borderId="42" xfId="2" applyNumberFormat="1" applyFont="1" applyBorder="1" applyProtection="1"/>
    <xf numFmtId="11" fontId="16" fillId="0" borderId="36" xfId="2" applyNumberFormat="1" applyFont="1" applyBorder="1" applyProtection="1"/>
    <xf numFmtId="11" fontId="16" fillId="0" borderId="44" xfId="2" applyNumberFormat="1" applyFont="1" applyBorder="1" applyProtection="1"/>
    <xf numFmtId="11" fontId="16" fillId="0" borderId="0" xfId="2" applyNumberFormat="1" applyFont="1" applyBorder="1" applyProtection="1"/>
    <xf numFmtId="11" fontId="16" fillId="0" borderId="1" xfId="2" applyNumberFormat="1" applyFont="1" applyBorder="1" applyProtection="1"/>
    <xf numFmtId="11" fontId="16" fillId="0" borderId="1" xfId="2" applyNumberFormat="1" applyFont="1" applyFill="1" applyBorder="1" applyProtection="1"/>
    <xf numFmtId="11" fontId="16" fillId="15" borderId="46" xfId="2" applyNumberFormat="1" applyFont="1" applyFill="1" applyBorder="1" applyProtection="1"/>
    <xf numFmtId="11" fontId="16" fillId="15" borderId="39" xfId="2" applyNumberFormat="1" applyFont="1" applyFill="1" applyBorder="1" applyProtection="1"/>
    <xf numFmtId="11" fontId="16" fillId="15" borderId="44" xfId="2" applyNumberFormat="1" applyFont="1" applyFill="1" applyBorder="1" applyProtection="1"/>
    <xf numFmtId="208" fontId="15" fillId="19" borderId="13" xfId="2" applyFont="1" applyFill="1" applyBorder="1"/>
    <xf numFmtId="281" fontId="16" fillId="0" borderId="0" xfId="1" applyNumberFormat="1" applyFont="1" applyBorder="1" applyAlignment="1">
      <alignment horizontal="right" indent="1"/>
    </xf>
    <xf numFmtId="0" fontId="0" fillId="0" borderId="57" xfId="0" applyBorder="1"/>
    <xf numFmtId="0" fontId="0" fillId="0" borderId="58" xfId="0" applyBorder="1"/>
    <xf numFmtId="11" fontId="20" fillId="0" borderId="0" xfId="0" applyNumberFormat="1" applyFont="1"/>
    <xf numFmtId="0" fontId="20" fillId="0" borderId="0" xfId="0" applyNumberFormat="1" applyFont="1"/>
    <xf numFmtId="0" fontId="16" fillId="0" borderId="0" xfId="0" applyFont="1" applyAlignment="1">
      <alignment horizontal="center" vertical="center"/>
    </xf>
    <xf numFmtId="0" fontId="16" fillId="0" borderId="0" xfId="0" applyFont="1" applyFill="1" applyBorder="1" applyAlignment="1">
      <alignment horizontal="center" vertical="center"/>
    </xf>
    <xf numFmtId="0" fontId="30" fillId="0" borderId="0" xfId="0" applyFont="1" applyAlignment="1">
      <alignment vertical="center"/>
    </xf>
    <xf numFmtId="286" fontId="0" fillId="0" borderId="0" xfId="0" applyNumberFormat="1"/>
    <xf numFmtId="0" fontId="1" fillId="0" borderId="0" xfId="0" applyFont="1" applyAlignment="1">
      <alignment vertical="center"/>
    </xf>
    <xf numFmtId="285" fontId="20" fillId="0" borderId="0" xfId="0" applyNumberFormat="1" applyFont="1"/>
    <xf numFmtId="287" fontId="20" fillId="0" borderId="0" xfId="0" applyNumberFormat="1" applyFont="1"/>
    <xf numFmtId="0" fontId="20" fillId="0" borderId="0" xfId="0" applyFont="1" applyAlignment="1">
      <alignment wrapText="1"/>
    </xf>
    <xf numFmtId="0" fontId="20" fillId="0" borderId="1" xfId="0" applyFont="1" applyBorder="1"/>
    <xf numFmtId="0" fontId="27" fillId="0" borderId="1" xfId="0" applyFont="1" applyBorder="1"/>
    <xf numFmtId="0" fontId="27" fillId="0" borderId="66" xfId="0" applyFont="1" applyBorder="1" applyAlignment="1">
      <alignment horizontal="center" vertical="center" wrapText="1"/>
    </xf>
    <xf numFmtId="0" fontId="27" fillId="0" borderId="67" xfId="0" applyFont="1" applyBorder="1" applyAlignment="1">
      <alignment horizontal="center" vertical="center"/>
    </xf>
    <xf numFmtId="0" fontId="20" fillId="0" borderId="61" xfId="0" applyFont="1" applyBorder="1" applyAlignment="1">
      <alignment horizontal="center" vertical="center"/>
    </xf>
    <xf numFmtId="0" fontId="20" fillId="0" borderId="64" xfId="0" applyFont="1" applyBorder="1" applyAlignment="1">
      <alignment horizontal="center" vertical="center"/>
    </xf>
    <xf numFmtId="0" fontId="20" fillId="0" borderId="69" xfId="0" applyFont="1" applyBorder="1" applyAlignment="1">
      <alignment horizontal="center" vertical="center"/>
    </xf>
    <xf numFmtId="0" fontId="20" fillId="4" borderId="1" xfId="0" applyFont="1" applyFill="1" applyBorder="1" applyProtection="1">
      <protection locked="0"/>
    </xf>
    <xf numFmtId="0" fontId="20" fillId="0" borderId="0" xfId="0" applyFont="1" applyAlignment="1">
      <alignment horizontal="left"/>
    </xf>
    <xf numFmtId="288" fontId="20" fillId="0" borderId="1" xfId="0" applyNumberFormat="1" applyFont="1" applyBorder="1"/>
    <xf numFmtId="288" fontId="20" fillId="4" borderId="1" xfId="0" applyNumberFormat="1" applyFont="1" applyFill="1" applyBorder="1" applyProtection="1">
      <protection locked="0"/>
    </xf>
    <xf numFmtId="241" fontId="20" fillId="4" borderId="1" xfId="0" applyNumberFormat="1" applyFont="1" applyFill="1" applyBorder="1" applyProtection="1">
      <protection locked="0"/>
    </xf>
    <xf numFmtId="9" fontId="20" fillId="4" borderId="1" xfId="3" applyFont="1" applyFill="1" applyBorder="1" applyProtection="1">
      <protection locked="0"/>
    </xf>
    <xf numFmtId="172" fontId="20" fillId="4" borderId="1" xfId="0" applyNumberFormat="1" applyFont="1" applyFill="1" applyBorder="1" applyProtection="1">
      <protection locked="0"/>
    </xf>
    <xf numFmtId="285" fontId="20" fillId="0" borderId="1" xfId="0" applyNumberFormat="1" applyFont="1" applyBorder="1" applyAlignment="1">
      <alignment horizontal="left"/>
    </xf>
    <xf numFmtId="283" fontId="20" fillId="0" borderId="1" xfId="0" applyNumberFormat="1" applyFont="1" applyBorder="1" applyAlignment="1">
      <alignment horizontal="left"/>
    </xf>
    <xf numFmtId="0" fontId="20" fillId="4" borderId="1" xfId="0" applyNumberFormat="1" applyFont="1" applyFill="1" applyBorder="1" applyAlignment="1" applyProtection="1">
      <alignment horizontal="right"/>
      <protection locked="0"/>
    </xf>
    <xf numFmtId="0" fontId="20" fillId="4" borderId="1" xfId="0" applyFont="1" applyFill="1" applyBorder="1" applyAlignment="1" applyProtection="1">
      <alignment horizontal="right"/>
      <protection locked="0"/>
    </xf>
    <xf numFmtId="284" fontId="20" fillId="4" borderId="1" xfId="0" applyNumberFormat="1" applyFont="1" applyFill="1" applyBorder="1" applyAlignment="1" applyProtection="1">
      <alignment horizontal="left"/>
      <protection locked="0"/>
    </xf>
    <xf numFmtId="289" fontId="20" fillId="0" borderId="1" xfId="0" applyNumberFormat="1" applyFont="1" applyBorder="1"/>
    <xf numFmtId="0" fontId="20" fillId="4" borderId="3" xfId="0" applyFont="1" applyFill="1" applyBorder="1" applyProtection="1">
      <protection locked="0"/>
    </xf>
    <xf numFmtId="284" fontId="20" fillId="0" borderId="1" xfId="0" applyNumberFormat="1" applyFont="1" applyBorder="1" applyAlignment="1">
      <alignment horizontal="left"/>
    </xf>
    <xf numFmtId="2" fontId="20" fillId="0" borderId="1" xfId="0" applyNumberFormat="1" applyFont="1" applyBorder="1"/>
    <xf numFmtId="270" fontId="20" fillId="4" borderId="1" xfId="0" applyNumberFormat="1" applyFont="1" applyFill="1" applyBorder="1" applyProtection="1">
      <protection locked="0"/>
    </xf>
    <xf numFmtId="172" fontId="20" fillId="0" borderId="1" xfId="0" applyNumberFormat="1" applyFont="1" applyBorder="1"/>
    <xf numFmtId="241" fontId="20" fillId="0" borderId="1" xfId="0" applyNumberFormat="1" applyFont="1" applyBorder="1"/>
    <xf numFmtId="290" fontId="20" fillId="0" borderId="1" xfId="0" applyNumberFormat="1" applyFont="1" applyBorder="1"/>
    <xf numFmtId="290" fontId="20" fillId="4" borderId="1" xfId="0" applyNumberFormat="1" applyFont="1" applyFill="1" applyBorder="1" applyProtection="1">
      <protection locked="0"/>
    </xf>
    <xf numFmtId="291" fontId="20" fillId="4" borderId="1" xfId="0" applyNumberFormat="1" applyFont="1" applyFill="1" applyBorder="1" applyProtection="1">
      <protection locked="0"/>
    </xf>
    <xf numFmtId="291" fontId="20" fillId="0" borderId="1" xfId="0" applyNumberFormat="1" applyFont="1" applyBorder="1"/>
    <xf numFmtId="282" fontId="20" fillId="0" borderId="3" xfId="0" applyNumberFormat="1" applyFont="1" applyBorder="1" applyAlignment="1">
      <alignment horizontal="left"/>
    </xf>
    <xf numFmtId="224" fontId="20" fillId="0" borderId="1" xfId="0" applyNumberFormat="1" applyFont="1" applyBorder="1"/>
    <xf numFmtId="224" fontId="20" fillId="0" borderId="1" xfId="0" applyNumberFormat="1" applyFont="1" applyBorder="1" applyAlignment="1">
      <alignment horizontal="left"/>
    </xf>
    <xf numFmtId="292" fontId="20" fillId="4" borderId="1" xfId="0" applyNumberFormat="1" applyFont="1" applyFill="1" applyBorder="1" applyProtection="1">
      <protection locked="0"/>
    </xf>
    <xf numFmtId="292" fontId="20" fillId="0" borderId="1" xfId="0" applyNumberFormat="1" applyFont="1" applyBorder="1"/>
    <xf numFmtId="293" fontId="20" fillId="0" borderId="1" xfId="0" applyNumberFormat="1" applyFont="1" applyBorder="1"/>
    <xf numFmtId="271" fontId="20" fillId="0" borderId="1" xfId="0" applyNumberFormat="1" applyFont="1" applyBorder="1"/>
    <xf numFmtId="294" fontId="20" fillId="0" borderId="1" xfId="0" applyNumberFormat="1" applyFont="1" applyBorder="1"/>
    <xf numFmtId="166" fontId="20" fillId="0" borderId="1" xfId="0" applyNumberFormat="1" applyFont="1" applyBorder="1"/>
    <xf numFmtId="0" fontId="20" fillId="0" borderId="1" xfId="0" applyFont="1" applyFill="1" applyBorder="1"/>
    <xf numFmtId="0" fontId="20" fillId="0" borderId="1" xfId="0" applyFont="1" applyBorder="1" applyAlignment="1">
      <alignment horizontal="center"/>
    </xf>
    <xf numFmtId="0" fontId="20" fillId="0" borderId="1" xfId="0" applyFont="1" applyBorder="1" applyAlignment="1">
      <alignment horizontal="center" vertical="center"/>
    </xf>
    <xf numFmtId="0" fontId="20" fillId="0" borderId="8" xfId="0" applyFont="1" applyBorder="1"/>
    <xf numFmtId="0" fontId="20" fillId="0" borderId="10" xfId="0" applyFont="1" applyBorder="1"/>
    <xf numFmtId="0" fontId="20" fillId="0" borderId="14" xfId="0" applyFont="1" applyBorder="1"/>
    <xf numFmtId="0" fontId="20" fillId="0" borderId="51" xfId="0" applyFont="1" applyBorder="1"/>
    <xf numFmtId="0" fontId="20" fillId="0" borderId="70" xfId="0" applyFont="1" applyBorder="1"/>
    <xf numFmtId="0" fontId="20" fillId="0" borderId="71" xfId="0" applyFont="1" applyBorder="1"/>
    <xf numFmtId="0" fontId="20" fillId="0" borderId="53" xfId="0" applyFont="1" applyBorder="1" applyAlignment="1">
      <alignment horizontal="center"/>
    </xf>
    <xf numFmtId="166" fontId="20" fillId="0" borderId="0" xfId="0" applyNumberFormat="1" applyFont="1"/>
    <xf numFmtId="296" fontId="16" fillId="2" borderId="1" xfId="0" applyNumberFormat="1" applyFont="1" applyFill="1" applyBorder="1" applyAlignment="1">
      <alignment horizontal="left"/>
    </xf>
    <xf numFmtId="241" fontId="16" fillId="2" borderId="1" xfId="0" applyNumberFormat="1" applyFont="1" applyFill="1" applyBorder="1" applyAlignment="1">
      <alignment horizontal="left"/>
    </xf>
    <xf numFmtId="0" fontId="16" fillId="2" borderId="1" xfId="0" applyNumberFormat="1" applyFont="1" applyFill="1" applyBorder="1" applyAlignment="1">
      <alignment horizontal="left"/>
    </xf>
    <xf numFmtId="0" fontId="32" fillId="0" borderId="0" xfId="0" applyNumberFormat="1" applyFont="1" applyFill="1" applyBorder="1" applyAlignment="1" applyProtection="1"/>
    <xf numFmtId="0" fontId="33" fillId="20" borderId="73" xfId="4" applyFont="1" applyFill="1" applyBorder="1" applyAlignment="1">
      <alignment horizontal="center" vertical="top" wrapText="1"/>
    </xf>
    <xf numFmtId="0" fontId="33" fillId="20" borderId="73" xfId="4" applyFont="1" applyFill="1" applyBorder="1" applyAlignment="1">
      <alignment horizontal="center" wrapText="1"/>
    </xf>
    <xf numFmtId="0" fontId="3" fillId="0" borderId="0" xfId="4"/>
    <xf numFmtId="0" fontId="33" fillId="20" borderId="78" xfId="4" applyFont="1" applyFill="1" applyBorder="1" applyAlignment="1">
      <alignment horizontal="center" vertical="top" wrapText="1"/>
    </xf>
    <xf numFmtId="0" fontId="33" fillId="20" borderId="78" xfId="4" applyFont="1" applyFill="1" applyBorder="1" applyAlignment="1">
      <alignment vertical="top" wrapText="1"/>
    </xf>
    <xf numFmtId="0" fontId="34" fillId="20" borderId="78" xfId="4" applyFont="1" applyFill="1" applyBorder="1" applyAlignment="1">
      <alignment horizontal="center" vertical="top" wrapText="1"/>
    </xf>
    <xf numFmtId="0" fontId="33" fillId="20" borderId="77" xfId="4" applyFont="1" applyFill="1" applyBorder="1" applyAlignment="1">
      <alignment horizontal="center" wrapText="1"/>
    </xf>
    <xf numFmtId="0" fontId="33" fillId="20" borderId="78" xfId="4" applyFont="1" applyFill="1" applyBorder="1" applyAlignment="1">
      <alignment horizontal="center" wrapText="1"/>
    </xf>
    <xf numFmtId="0" fontId="33" fillId="20" borderId="80" xfId="4" applyFont="1" applyFill="1" applyBorder="1" applyAlignment="1">
      <alignment horizontal="center" vertical="top" wrapText="1"/>
    </xf>
    <xf numFmtId="0" fontId="3" fillId="20" borderId="80" xfId="4" applyFill="1" applyBorder="1" applyAlignment="1">
      <alignment vertical="top" wrapText="1"/>
    </xf>
    <xf numFmtId="0" fontId="33" fillId="20" borderId="79" xfId="4" applyFont="1" applyFill="1" applyBorder="1" applyAlignment="1">
      <alignment horizontal="center" wrapText="1"/>
    </xf>
    <xf numFmtId="0" fontId="33" fillId="20" borderId="80" xfId="4" applyFont="1" applyFill="1" applyBorder="1" applyAlignment="1">
      <alignment horizontal="center" wrapText="1"/>
    </xf>
    <xf numFmtId="0" fontId="3" fillId="20" borderId="80" xfId="4" applyFill="1" applyBorder="1" applyAlignment="1">
      <alignment wrapText="1"/>
    </xf>
    <xf numFmtId="0" fontId="33" fillId="20" borderId="81" xfId="4" applyFont="1" applyFill="1" applyBorder="1" applyAlignment="1">
      <alignment horizontal="center" vertical="top" wrapText="1"/>
    </xf>
    <xf numFmtId="0" fontId="33" fillId="0" borderId="0" xfId="4" applyFont="1" applyBorder="1" applyAlignment="1">
      <alignment horizontal="center" vertical="top" wrapText="1"/>
    </xf>
    <xf numFmtId="0" fontId="3" fillId="0" borderId="0" xfId="4" applyBorder="1" applyAlignment="1">
      <alignment vertical="top" wrapText="1"/>
    </xf>
    <xf numFmtId="0" fontId="33" fillId="0" borderId="0" xfId="4" applyFont="1" applyBorder="1" applyAlignment="1">
      <alignment horizontal="center" wrapText="1"/>
    </xf>
    <xf numFmtId="0" fontId="3" fillId="0" borderId="0" xfId="4" applyBorder="1" applyAlignment="1">
      <alignment wrapText="1"/>
    </xf>
    <xf numFmtId="0" fontId="3" fillId="20" borderId="78" xfId="4" applyFill="1" applyBorder="1"/>
    <xf numFmtId="0" fontId="36" fillId="20" borderId="81" xfId="4" applyFont="1" applyFill="1" applyBorder="1" applyAlignment="1">
      <alignment horizontal="center"/>
    </xf>
    <xf numFmtId="0" fontId="3" fillId="0" borderId="0" xfId="4" applyBorder="1"/>
    <xf numFmtId="0" fontId="36" fillId="20" borderId="78" xfId="4" applyFont="1" applyFill="1" applyBorder="1" applyAlignment="1">
      <alignment horizontal="center"/>
    </xf>
    <xf numFmtId="0" fontId="36" fillId="20" borderId="82" xfId="4" applyFont="1" applyFill="1" applyBorder="1" applyAlignment="1">
      <alignment horizontal="center"/>
    </xf>
    <xf numFmtId="0" fontId="3" fillId="0" borderId="31" xfId="4" applyBorder="1"/>
    <xf numFmtId="0" fontId="36" fillId="20" borderId="80" xfId="4" applyFont="1" applyFill="1" applyBorder="1" applyAlignment="1">
      <alignment horizontal="center"/>
    </xf>
    <xf numFmtId="0" fontId="3" fillId="0" borderId="78" xfId="4" applyBorder="1"/>
    <xf numFmtId="0" fontId="37" fillId="8" borderId="77" xfId="5" applyFill="1" applyBorder="1" applyAlignment="1" applyProtection="1">
      <alignment horizontal="center"/>
    </xf>
    <xf numFmtId="0" fontId="3" fillId="0" borderId="83" xfId="4" applyBorder="1"/>
    <xf numFmtId="0" fontId="38" fillId="20" borderId="73" xfId="4" applyFont="1" applyFill="1" applyBorder="1" applyAlignment="1">
      <alignment horizontal="center" vertical="top" wrapText="1"/>
    </xf>
    <xf numFmtId="0" fontId="38" fillId="20" borderId="78" xfId="4" applyFont="1" applyFill="1" applyBorder="1" applyAlignment="1">
      <alignment horizontal="center" vertical="top" wrapText="1"/>
    </xf>
    <xf numFmtId="0" fontId="38" fillId="20" borderId="78" xfId="4" applyFont="1" applyFill="1" applyBorder="1" applyAlignment="1">
      <alignment vertical="top" wrapText="1"/>
    </xf>
    <xf numFmtId="0" fontId="41" fillId="20" borderId="80" xfId="4" applyFont="1" applyFill="1" applyBorder="1" applyAlignment="1">
      <alignment vertical="top" wrapText="1"/>
    </xf>
    <xf numFmtId="0" fontId="38" fillId="20" borderId="0" xfId="4" applyFont="1" applyFill="1" applyBorder="1" applyAlignment="1">
      <alignment horizontal="center" vertical="top" wrapText="1"/>
    </xf>
    <xf numFmtId="0" fontId="41" fillId="0" borderId="0" xfId="4" applyFont="1" applyFill="1" applyBorder="1" applyAlignment="1">
      <alignment vertical="top" wrapText="1"/>
    </xf>
    <xf numFmtId="0" fontId="38" fillId="0" borderId="0" xfId="4" applyFont="1" applyFill="1" applyBorder="1" applyAlignment="1">
      <alignment horizontal="center" vertical="top" wrapText="1"/>
    </xf>
    <xf numFmtId="0" fontId="39" fillId="0" borderId="0" xfId="4" applyFont="1" applyFill="1" applyBorder="1" applyAlignment="1">
      <alignment horizontal="center" vertical="top" wrapText="1"/>
    </xf>
    <xf numFmtId="0" fontId="36" fillId="20" borderId="85" xfId="4" applyFont="1" applyFill="1" applyBorder="1" applyAlignment="1">
      <alignment horizontal="center"/>
    </xf>
    <xf numFmtId="0" fontId="3" fillId="0" borderId="57" xfId="4" applyBorder="1"/>
    <xf numFmtId="0" fontId="3" fillId="0" borderId="86" xfId="4" applyBorder="1"/>
    <xf numFmtId="0" fontId="36" fillId="20" borderId="87" xfId="4" applyFont="1" applyFill="1" applyBorder="1" applyAlignment="1">
      <alignment horizontal="center"/>
    </xf>
    <xf numFmtId="0" fontId="3" fillId="0" borderId="88" xfId="4" applyBorder="1"/>
    <xf numFmtId="0" fontId="36" fillId="20" borderId="89" xfId="4" applyFont="1" applyFill="1" applyBorder="1" applyAlignment="1">
      <alignment horizontal="center"/>
    </xf>
    <xf numFmtId="0" fontId="3" fillId="0" borderId="58" xfId="4" applyBorder="1"/>
    <xf numFmtId="0" fontId="3" fillId="0" borderId="90" xfId="4" applyBorder="1"/>
    <xf numFmtId="0" fontId="3" fillId="8" borderId="77" xfId="4" applyFill="1" applyBorder="1" applyAlignment="1">
      <alignment horizontal="center"/>
    </xf>
    <xf numFmtId="0" fontId="3" fillId="8" borderId="79" xfId="4" applyFill="1" applyBorder="1" applyAlignment="1">
      <alignment horizontal="center"/>
    </xf>
    <xf numFmtId="241" fontId="20" fillId="0" borderId="0" xfId="0" applyNumberFormat="1" applyFont="1" applyBorder="1" applyProtection="1"/>
    <xf numFmtId="0" fontId="20" fillId="0" borderId="0" xfId="0" applyFont="1" applyFill="1" applyBorder="1" applyProtection="1"/>
    <xf numFmtId="295" fontId="20" fillId="0" borderId="1" xfId="0" applyNumberFormat="1" applyFont="1" applyBorder="1"/>
    <xf numFmtId="298" fontId="20" fillId="0" borderId="1" xfId="0" applyNumberFormat="1" applyFont="1" applyBorder="1"/>
    <xf numFmtId="297" fontId="20" fillId="0" borderId="1" xfId="0" applyNumberFormat="1" applyFont="1" applyBorder="1"/>
    <xf numFmtId="0" fontId="20" fillId="0" borderId="1" xfId="0" applyFont="1" applyBorder="1" applyAlignment="1"/>
    <xf numFmtId="0" fontId="20" fillId="0" borderId="1" xfId="0" applyFont="1" applyBorder="1" applyAlignment="1">
      <alignment vertical="center"/>
    </xf>
    <xf numFmtId="0" fontId="20" fillId="0" borderId="1" xfId="0" applyFont="1" applyBorder="1" applyAlignment="1">
      <alignment vertical="center" wrapText="1"/>
    </xf>
    <xf numFmtId="0" fontId="20" fillId="4" borderId="1" xfId="0" applyFont="1" applyFill="1" applyBorder="1" applyAlignment="1" applyProtection="1">
      <alignment horizontal="right"/>
    </xf>
    <xf numFmtId="236" fontId="16" fillId="4" borderId="1" xfId="0" applyNumberFormat="1" applyFont="1" applyFill="1" applyBorder="1" applyProtection="1"/>
    <xf numFmtId="0" fontId="20" fillId="4" borderId="1" xfId="0" applyFont="1" applyFill="1" applyBorder="1" applyAlignment="1" applyProtection="1">
      <alignment horizontal="center" vertical="center"/>
    </xf>
    <xf numFmtId="172" fontId="20" fillId="4" borderId="1" xfId="0" applyNumberFormat="1" applyFont="1" applyFill="1" applyBorder="1" applyProtection="1"/>
    <xf numFmtId="0" fontId="20" fillId="4" borderId="1" xfId="0" applyFont="1" applyFill="1" applyBorder="1" applyProtection="1"/>
    <xf numFmtId="248" fontId="20" fillId="4" borderId="1" xfId="0" applyNumberFormat="1" applyFont="1" applyFill="1" applyBorder="1" applyProtection="1">
      <protection locked="0"/>
    </xf>
    <xf numFmtId="0" fontId="15" fillId="0" borderId="1" xfId="1" applyFont="1" applyFill="1" applyBorder="1" applyAlignment="1" applyProtection="1">
      <alignment horizontal="center" vertical="center" wrapText="1"/>
    </xf>
    <xf numFmtId="0" fontId="20" fillId="0" borderId="0" xfId="0" applyFont="1" applyAlignment="1">
      <alignment horizontal="center"/>
    </xf>
    <xf numFmtId="0" fontId="20" fillId="0" borderId="1" xfId="0" applyFont="1" applyBorder="1" applyAlignment="1">
      <alignment horizontal="center"/>
    </xf>
    <xf numFmtId="166" fontId="20" fillId="0" borderId="60" xfId="0" applyNumberFormat="1" applyFont="1" applyBorder="1" applyAlignment="1">
      <alignment horizontal="center" vertical="center"/>
    </xf>
    <xf numFmtId="166" fontId="20" fillId="0" borderId="63" xfId="0" applyNumberFormat="1" applyFont="1" applyBorder="1" applyAlignment="1">
      <alignment horizontal="center" vertical="center"/>
    </xf>
    <xf numFmtId="166" fontId="20" fillId="0" borderId="5" xfId="0" applyNumberFormat="1" applyFont="1" applyBorder="1" applyAlignment="1">
      <alignment horizontal="center" vertical="center"/>
    </xf>
    <xf numFmtId="0" fontId="20" fillId="0" borderId="60" xfId="0" applyFont="1" applyBorder="1" applyAlignment="1">
      <alignment horizontal="center" vertical="center"/>
    </xf>
    <xf numFmtId="0" fontId="20" fillId="0" borderId="63" xfId="0" applyFont="1" applyBorder="1" applyAlignment="1">
      <alignment horizontal="center" vertical="center"/>
    </xf>
    <xf numFmtId="0" fontId="20" fillId="0" borderId="5" xfId="0" applyFont="1" applyBorder="1" applyAlignment="1">
      <alignment horizontal="center" vertical="center"/>
    </xf>
    <xf numFmtId="0" fontId="27" fillId="0" borderId="66" xfId="0" applyFont="1" applyBorder="1" applyAlignment="1">
      <alignment horizontal="center" vertical="center"/>
    </xf>
    <xf numFmtId="0" fontId="27" fillId="0" borderId="1" xfId="0" applyFont="1" applyBorder="1" applyAlignment="1">
      <alignment horizontal="right"/>
    </xf>
    <xf numFmtId="2" fontId="20" fillId="4" borderId="1" xfId="0" applyNumberFormat="1" applyFont="1" applyFill="1" applyBorder="1" applyProtection="1"/>
    <xf numFmtId="0" fontId="5" fillId="0" borderId="1" xfId="1" applyFont="1" applyFill="1" applyBorder="1" applyAlignment="1" applyProtection="1">
      <alignment horizontal="center" vertical="center" wrapText="1"/>
    </xf>
    <xf numFmtId="0" fontId="5" fillId="0" borderId="1" xfId="0" applyFont="1" applyFill="1" applyBorder="1" applyAlignment="1" applyProtection="1">
      <alignment horizontal="center" vertical="center" wrapText="1"/>
    </xf>
    <xf numFmtId="0" fontId="15" fillId="0" borderId="2" xfId="1" applyFont="1" applyFill="1" applyBorder="1" applyAlignment="1">
      <alignment horizontal="centerContinuous"/>
    </xf>
    <xf numFmtId="0" fontId="16" fillId="0" borderId="12" xfId="1" applyFont="1" applyFill="1" applyBorder="1" applyAlignment="1">
      <alignment horizontal="centerContinuous"/>
    </xf>
    <xf numFmtId="0" fontId="16" fillId="0" borderId="12" xfId="0" applyFont="1" applyFill="1" applyBorder="1" applyAlignment="1">
      <alignment horizontal="centerContinuous"/>
    </xf>
    <xf numFmtId="0" fontId="16" fillId="0" borderId="13" xfId="0" applyFont="1" applyFill="1" applyBorder="1" applyAlignment="1">
      <alignment horizontal="centerContinuous"/>
    </xf>
    <xf numFmtId="0" fontId="15" fillId="0" borderId="2" xfId="1" applyFont="1" applyFill="1" applyBorder="1" applyAlignment="1">
      <alignment horizontal="centerContinuous" vertical="center"/>
    </xf>
    <xf numFmtId="0" fontId="16" fillId="0" borderId="12" xfId="1" applyFont="1" applyFill="1" applyBorder="1" applyAlignment="1">
      <alignment horizontal="centerContinuous" vertical="center"/>
    </xf>
    <xf numFmtId="0" fontId="16" fillId="0" borderId="13" xfId="1" applyFont="1" applyFill="1" applyBorder="1" applyAlignment="1">
      <alignment horizontal="centerContinuous" vertical="center"/>
    </xf>
    <xf numFmtId="299" fontId="16" fillId="8" borderId="1" xfId="1" applyNumberFormat="1" applyFont="1" applyFill="1" applyBorder="1" applyAlignment="1" applyProtection="1">
      <alignment horizontal="right" indent="1"/>
      <protection locked="0"/>
    </xf>
    <xf numFmtId="299" fontId="16" fillId="4" borderId="1" xfId="0" applyNumberFormat="1" applyFont="1" applyFill="1" applyBorder="1" applyAlignment="1" applyProtection="1">
      <alignment horizontal="right" indent="1"/>
      <protection locked="0"/>
    </xf>
    <xf numFmtId="201" fontId="20" fillId="0" borderId="1" xfId="0" applyNumberFormat="1" applyFont="1" applyFill="1" applyBorder="1" applyAlignment="1">
      <alignment horizontal="right" indent="1"/>
    </xf>
    <xf numFmtId="300" fontId="16" fillId="0" borderId="1" xfId="1" applyNumberFormat="1" applyFont="1" applyBorder="1" applyAlignment="1">
      <alignment horizontal="right" indent="1"/>
    </xf>
    <xf numFmtId="302" fontId="16" fillId="0" borderId="1" xfId="1" applyNumberFormat="1" applyFont="1" applyBorder="1" applyAlignment="1">
      <alignment horizontal="right" indent="1"/>
    </xf>
    <xf numFmtId="303" fontId="16" fillId="0" borderId="1" xfId="1" applyNumberFormat="1" applyFont="1" applyBorder="1" applyAlignment="1">
      <alignment horizontal="right" indent="1"/>
    </xf>
    <xf numFmtId="304" fontId="16" fillId="0" borderId="1" xfId="1" applyNumberFormat="1" applyFont="1" applyFill="1" applyBorder="1" applyAlignment="1">
      <alignment horizontal="right" indent="1"/>
    </xf>
    <xf numFmtId="301" fontId="16" fillId="0" borderId="0" xfId="1" applyNumberFormat="1" applyFont="1" applyFill="1" applyBorder="1" applyAlignment="1">
      <alignment horizontal="center" vertical="center"/>
    </xf>
    <xf numFmtId="0" fontId="20" fillId="0" borderId="0" xfId="0" applyFont="1" applyFill="1" applyAlignment="1">
      <alignment horizontal="center" vertical="center"/>
    </xf>
    <xf numFmtId="208" fontId="15" fillId="0" borderId="35" xfId="2" applyFont="1" applyFill="1" applyBorder="1" applyAlignment="1" applyProtection="1">
      <alignment horizontal="centerContinuous"/>
    </xf>
    <xf numFmtId="208" fontId="15" fillId="0" borderId="54" xfId="2" applyFont="1" applyFill="1" applyBorder="1" applyAlignment="1" applyProtection="1">
      <alignment horizontal="centerContinuous"/>
    </xf>
    <xf numFmtId="209" fontId="15" fillId="0" borderId="39" xfId="2" applyNumberFormat="1" applyFont="1" applyFill="1" applyBorder="1" applyAlignment="1" applyProtection="1">
      <alignment horizontal="center"/>
    </xf>
    <xf numFmtId="208" fontId="15" fillId="0" borderId="0" xfId="2" applyFont="1" applyFill="1" applyBorder="1" applyAlignment="1" applyProtection="1">
      <alignment horizontal="centerContinuous"/>
    </xf>
    <xf numFmtId="208" fontId="15" fillId="0" borderId="37" xfId="2" applyFont="1" applyFill="1" applyBorder="1" applyAlignment="1" applyProtection="1">
      <alignment horizontal="centerContinuous"/>
    </xf>
    <xf numFmtId="208" fontId="15" fillId="0" borderId="37" xfId="2" applyFont="1" applyFill="1" applyBorder="1" applyAlignment="1" applyProtection="1">
      <alignment horizontal="center"/>
    </xf>
    <xf numFmtId="208" fontId="15" fillId="0" borderId="38" xfId="2" applyFont="1" applyFill="1" applyBorder="1" applyAlignment="1" applyProtection="1">
      <alignment horizontal="center"/>
    </xf>
    <xf numFmtId="208" fontId="15" fillId="0" borderId="0" xfId="2" applyFont="1" applyFill="1" applyAlignment="1" applyProtection="1">
      <alignment horizontal="center"/>
    </xf>
    <xf numFmtId="208" fontId="15" fillId="0" borderId="55" xfId="2" applyFont="1" applyFill="1" applyBorder="1" applyAlignment="1" applyProtection="1">
      <alignment horizontal="center"/>
    </xf>
    <xf numFmtId="208" fontId="15" fillId="0" borderId="2" xfId="2" applyFont="1" applyFill="1" applyBorder="1" applyAlignment="1">
      <alignment horizontal="centerContinuous" vertical="center"/>
    </xf>
    <xf numFmtId="208" fontId="15" fillId="0" borderId="12" xfId="2" applyFont="1" applyFill="1" applyBorder="1" applyAlignment="1">
      <alignment horizontal="centerContinuous" vertical="center"/>
    </xf>
    <xf numFmtId="208" fontId="16" fillId="0" borderId="12" xfId="2" applyFont="1" applyFill="1" applyBorder="1" applyAlignment="1">
      <alignment horizontal="centerContinuous"/>
    </xf>
    <xf numFmtId="208" fontId="16" fillId="0" borderId="13" xfId="2" applyFont="1" applyFill="1" applyBorder="1" applyAlignment="1">
      <alignment horizontal="centerContinuous"/>
    </xf>
    <xf numFmtId="9" fontId="16" fillId="0" borderId="1" xfId="0" applyNumberFormat="1" applyFont="1" applyFill="1" applyBorder="1" applyAlignment="1" applyProtection="1">
      <alignment horizontal="center"/>
    </xf>
    <xf numFmtId="0" fontId="20" fillId="0" borderId="50" xfId="0" applyFont="1" applyFill="1" applyBorder="1" applyAlignment="1">
      <alignment horizontal="center"/>
    </xf>
    <xf numFmtId="288" fontId="20" fillId="0" borderId="5" xfId="0" applyNumberFormat="1" applyFont="1" applyBorder="1"/>
    <xf numFmtId="0" fontId="27" fillId="0" borderId="12" xfId="0" applyFont="1" applyBorder="1" applyAlignment="1"/>
    <xf numFmtId="0" fontId="27" fillId="0" borderId="13" xfId="0" applyFont="1" applyBorder="1" applyAlignment="1"/>
    <xf numFmtId="305" fontId="16" fillId="0" borderId="1" xfId="1" applyNumberFormat="1" applyFont="1" applyBorder="1" applyAlignment="1">
      <alignment horizontal="right" indent="1"/>
    </xf>
    <xf numFmtId="305" fontId="20" fillId="0" borderId="1" xfId="0" applyNumberFormat="1" applyFont="1" applyFill="1" applyBorder="1" applyAlignment="1">
      <alignment horizontal="right" indent="1"/>
    </xf>
    <xf numFmtId="306" fontId="16" fillId="0" borderId="1" xfId="1" applyNumberFormat="1" applyFont="1" applyBorder="1" applyAlignment="1">
      <alignment horizontal="right" indent="1"/>
    </xf>
    <xf numFmtId="0" fontId="16" fillId="0" borderId="1" xfId="0" applyFont="1" applyFill="1" applyBorder="1" applyAlignment="1" applyProtection="1">
      <alignment horizontal="left"/>
      <protection locked="0"/>
    </xf>
    <xf numFmtId="167" fontId="16" fillId="0" borderId="0" xfId="1" applyNumberFormat="1" applyFont="1" applyFill="1" applyBorder="1" applyAlignment="1">
      <alignment horizontal="center" vertical="center"/>
    </xf>
    <xf numFmtId="0" fontId="16" fillId="0" borderId="0" xfId="1" applyFont="1" applyAlignment="1">
      <alignment horizontal="right"/>
    </xf>
    <xf numFmtId="0" fontId="16" fillId="0" borderId="0" xfId="0" applyFont="1" applyAlignment="1">
      <alignment horizontal="right"/>
    </xf>
    <xf numFmtId="167" fontId="16" fillId="0" borderId="0" xfId="0" applyNumberFormat="1" applyFont="1" applyBorder="1" applyAlignment="1">
      <alignment horizontal="center" vertical="center"/>
    </xf>
    <xf numFmtId="2" fontId="3" fillId="0" borderId="0" xfId="4" applyNumberFormat="1"/>
    <xf numFmtId="172" fontId="20" fillId="0" borderId="0" xfId="0" applyNumberFormat="1" applyFont="1"/>
    <xf numFmtId="0" fontId="20" fillId="12" borderId="0" xfId="0" applyFont="1" applyFill="1" applyAlignment="1">
      <alignment horizontal="right"/>
    </xf>
    <xf numFmtId="0" fontId="20" fillId="12" borderId="0" xfId="0" applyFont="1" applyFill="1"/>
    <xf numFmtId="172" fontId="20" fillId="0" borderId="2" xfId="0" applyNumberFormat="1" applyFont="1" applyBorder="1"/>
    <xf numFmtId="172" fontId="20" fillId="4" borderId="2" xfId="0" applyNumberFormat="1" applyFont="1" applyFill="1" applyBorder="1" applyProtection="1"/>
    <xf numFmtId="0" fontId="20" fillId="0" borderId="3" xfId="0" applyFont="1" applyBorder="1"/>
    <xf numFmtId="172" fontId="20" fillId="0" borderId="5" xfId="0" applyNumberFormat="1" applyFont="1" applyBorder="1"/>
    <xf numFmtId="0" fontId="20" fillId="0" borderId="91" xfId="0" applyFont="1" applyBorder="1" applyAlignment="1">
      <alignment horizontal="left"/>
    </xf>
    <xf numFmtId="0" fontId="20" fillId="0" borderId="92" xfId="0" applyFont="1" applyBorder="1" applyAlignment="1">
      <alignment horizontal="left"/>
    </xf>
    <xf numFmtId="295" fontId="20" fillId="0" borderId="61" xfId="0" applyNumberFormat="1" applyFont="1" applyBorder="1"/>
    <xf numFmtId="0" fontId="20" fillId="0" borderId="93" xfId="0" applyFont="1" applyBorder="1" applyAlignment="1">
      <alignment horizontal="right"/>
    </xf>
    <xf numFmtId="292" fontId="20" fillId="0" borderId="94" xfId="0" applyNumberFormat="1" applyFont="1" applyBorder="1"/>
    <xf numFmtId="0" fontId="20" fillId="0" borderId="95" xfId="0" applyFont="1" applyBorder="1" applyAlignment="1">
      <alignment horizontal="right"/>
    </xf>
    <xf numFmtId="294" fontId="20" fillId="0" borderId="94" xfId="0" applyNumberFormat="1" applyFont="1" applyBorder="1"/>
    <xf numFmtId="0" fontId="20" fillId="0" borderId="82" xfId="0" applyFont="1" applyBorder="1" applyAlignment="1">
      <alignment horizontal="right"/>
    </xf>
    <xf numFmtId="0" fontId="20" fillId="0" borderId="31" xfId="0" applyFont="1" applyBorder="1" applyAlignment="1">
      <alignment horizontal="right"/>
    </xf>
    <xf numFmtId="270" fontId="20" fillId="0" borderId="96" xfId="0" applyNumberFormat="1" applyFont="1" applyBorder="1"/>
    <xf numFmtId="297" fontId="20" fillId="0" borderId="97" xfId="0" applyNumberFormat="1" applyFont="1" applyBorder="1"/>
    <xf numFmtId="0" fontId="20" fillId="4" borderId="1" xfId="0" applyFont="1" applyFill="1" applyBorder="1"/>
    <xf numFmtId="2" fontId="20" fillId="4" borderId="1" xfId="0" applyNumberFormat="1" applyFont="1" applyFill="1" applyBorder="1"/>
    <xf numFmtId="167" fontId="16" fillId="0" borderId="0" xfId="1" applyNumberFormat="1" applyFont="1" applyFill="1" applyBorder="1" applyAlignment="1">
      <alignment horizontal="center" vertical="center"/>
    </xf>
    <xf numFmtId="0" fontId="16" fillId="0" borderId="0" xfId="1" applyFont="1" applyAlignment="1">
      <alignment horizontal="right"/>
    </xf>
    <xf numFmtId="0" fontId="16" fillId="0" borderId="0" xfId="0" applyFont="1" applyAlignment="1">
      <alignment horizontal="right"/>
    </xf>
    <xf numFmtId="167" fontId="16" fillId="0" borderId="0" xfId="0" applyNumberFormat="1" applyFont="1" applyBorder="1" applyAlignment="1">
      <alignment horizontal="center" vertical="center"/>
    </xf>
    <xf numFmtId="0" fontId="16" fillId="2" borderId="1" xfId="0" applyFont="1" applyFill="1" applyBorder="1" applyAlignment="1" applyProtection="1">
      <alignment horizontal="left"/>
      <protection locked="0"/>
    </xf>
    <xf numFmtId="0" fontId="20" fillId="0" borderId="0" xfId="0" applyFont="1" applyFill="1" applyAlignment="1">
      <alignment horizontal="right"/>
    </xf>
    <xf numFmtId="167" fontId="16" fillId="0" borderId="1" xfId="0" applyNumberFormat="1" applyFont="1" applyFill="1" applyBorder="1" applyAlignment="1" applyProtection="1">
      <alignment horizontal="right" vertical="center" indent="1"/>
      <protection locked="0"/>
    </xf>
    <xf numFmtId="171" fontId="0" fillId="0" borderId="0" xfId="0" applyNumberFormat="1"/>
    <xf numFmtId="1" fontId="5" fillId="0" borderId="0" xfId="0" applyNumberFormat="1" applyFont="1" applyBorder="1" applyAlignment="1">
      <alignment horizontal="center" vertical="center"/>
    </xf>
    <xf numFmtId="167" fontId="0" fillId="0" borderId="0" xfId="0" applyNumberFormat="1" applyFill="1" applyBorder="1" applyAlignment="1">
      <alignment horizontal="center" vertical="center"/>
    </xf>
    <xf numFmtId="169" fontId="0" fillId="0" borderId="0" xfId="0" applyNumberFormat="1" applyFill="1" applyBorder="1" applyAlignment="1">
      <alignment horizontal="center" vertical="center"/>
    </xf>
    <xf numFmtId="170" fontId="0" fillId="0" borderId="0" xfId="0" applyNumberFormat="1" applyFill="1" applyBorder="1" applyAlignment="1">
      <alignment horizontal="center" vertical="center"/>
    </xf>
    <xf numFmtId="171" fontId="0" fillId="0" borderId="0" xfId="0" applyNumberFormat="1" applyFill="1" applyBorder="1" applyAlignment="1">
      <alignment horizontal="center" vertical="center"/>
    </xf>
    <xf numFmtId="167" fontId="16" fillId="0" borderId="0" xfId="1" applyNumberFormat="1" applyFont="1" applyFill="1" applyBorder="1" applyAlignment="1">
      <alignment horizontal="center" vertical="center"/>
    </xf>
    <xf numFmtId="0" fontId="16" fillId="0" borderId="0" xfId="1" applyFont="1" applyAlignment="1">
      <alignment horizontal="right"/>
    </xf>
    <xf numFmtId="0" fontId="16" fillId="0" borderId="0" xfId="0" applyFont="1" applyAlignment="1">
      <alignment horizontal="right"/>
    </xf>
    <xf numFmtId="167" fontId="16" fillId="0" borderId="0" xfId="0" applyNumberFormat="1" applyFont="1" applyBorder="1" applyAlignment="1">
      <alignment horizontal="center" vertical="center"/>
    </xf>
    <xf numFmtId="0" fontId="15" fillId="12" borderId="1" xfId="0" applyFont="1" applyFill="1" applyBorder="1" applyAlignment="1">
      <alignment horizontal="left"/>
    </xf>
    <xf numFmtId="219" fontId="0" fillId="7" borderId="3" xfId="0" applyNumberFormat="1" applyFill="1" applyBorder="1" applyAlignment="1">
      <alignment horizontal="center" vertical="center"/>
    </xf>
    <xf numFmtId="219" fontId="0" fillId="7" borderId="5" xfId="0" applyNumberFormat="1" applyFill="1" applyBorder="1" applyAlignment="1">
      <alignment horizontal="center" vertical="center"/>
    </xf>
    <xf numFmtId="218" fontId="0" fillId="7" borderId="3" xfId="0" applyNumberFormat="1" applyFill="1" applyBorder="1" applyAlignment="1">
      <alignment horizontal="center" vertical="center"/>
    </xf>
    <xf numFmtId="218" fontId="0" fillId="7" borderId="5" xfId="0" applyNumberFormat="1" applyFill="1" applyBorder="1" applyAlignment="1">
      <alignment horizontal="center" vertical="center"/>
    </xf>
    <xf numFmtId="165" fontId="3" fillId="0" borderId="0" xfId="1" applyNumberFormat="1" applyBorder="1" applyAlignment="1" applyProtection="1">
      <alignment horizontal="center" vertical="center"/>
    </xf>
    <xf numFmtId="170" fontId="0" fillId="7" borderId="3" xfId="0" applyNumberFormat="1" applyFill="1" applyBorder="1" applyAlignment="1">
      <alignment horizontal="center" vertical="center"/>
    </xf>
    <xf numFmtId="170" fontId="0" fillId="7" borderId="5" xfId="0" applyNumberFormat="1" applyFill="1" applyBorder="1" applyAlignment="1">
      <alignment horizontal="center" vertical="center"/>
    </xf>
    <xf numFmtId="170" fontId="0" fillId="0" borderId="0" xfId="0" applyNumberFormat="1" applyFill="1" applyBorder="1" applyAlignment="1">
      <alignment horizontal="center" vertical="center"/>
    </xf>
    <xf numFmtId="167" fontId="3" fillId="0" borderId="0" xfId="1" applyNumberFormat="1" applyBorder="1" applyAlignment="1" applyProtection="1">
      <alignment horizontal="center" vertical="center"/>
    </xf>
    <xf numFmtId="171" fontId="0" fillId="0" borderId="0" xfId="0" applyNumberFormat="1" applyFill="1" applyBorder="1" applyAlignment="1">
      <alignment horizontal="center" vertical="center"/>
    </xf>
    <xf numFmtId="1" fontId="5" fillId="0" borderId="14" xfId="0" applyNumberFormat="1" applyFont="1" applyBorder="1" applyAlignment="1">
      <alignment horizontal="center" vertical="center"/>
    </xf>
    <xf numFmtId="169" fontId="0" fillId="0" borderId="0" xfId="0" applyNumberFormat="1" applyFill="1" applyBorder="1" applyAlignment="1">
      <alignment horizontal="center" vertical="center"/>
    </xf>
    <xf numFmtId="167" fontId="0" fillId="0" borderId="0" xfId="0" applyNumberFormat="1" applyFill="1" applyBorder="1" applyAlignment="1">
      <alignment horizontal="center" vertical="center"/>
    </xf>
    <xf numFmtId="0" fontId="6" fillId="0" borderId="2" xfId="1" applyFont="1" applyFill="1" applyBorder="1" applyAlignment="1" applyProtection="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6" fillId="0" borderId="12" xfId="1" applyFont="1" applyFill="1" applyBorder="1" applyAlignment="1" applyProtection="1">
      <alignment horizontal="center" vertical="center"/>
    </xf>
    <xf numFmtId="0" fontId="6" fillId="0" borderId="13" xfId="1" applyFont="1" applyFill="1" applyBorder="1" applyAlignment="1" applyProtection="1">
      <alignment horizontal="center" vertical="center"/>
    </xf>
    <xf numFmtId="1" fontId="3" fillId="8" borderId="2" xfId="1" applyNumberFormat="1" applyFont="1" applyFill="1" applyBorder="1" applyAlignment="1" applyProtection="1">
      <alignment horizontal="right" indent="1"/>
      <protection locked="0"/>
    </xf>
    <xf numFmtId="0" fontId="0" fillId="0" borderId="13" xfId="0" applyBorder="1" applyAlignment="1" applyProtection="1">
      <alignment horizontal="right" indent="1"/>
      <protection locked="0"/>
    </xf>
    <xf numFmtId="0" fontId="3" fillId="8" borderId="2" xfId="1" applyFont="1" applyFill="1" applyBorder="1" applyAlignment="1" applyProtection="1">
      <alignment horizontal="right" indent="1"/>
      <protection locked="0"/>
    </xf>
    <xf numFmtId="167" fontId="3" fillId="8" borderId="2" xfId="1" applyNumberFormat="1" applyFont="1" applyFill="1" applyBorder="1" applyAlignment="1" applyProtection="1">
      <alignment horizontal="right" indent="1"/>
      <protection locked="0"/>
    </xf>
    <xf numFmtId="167" fontId="0" fillId="0" borderId="13" xfId="0" applyNumberFormat="1" applyBorder="1" applyAlignment="1" applyProtection="1">
      <alignment horizontal="right" indent="1"/>
      <protection locked="0"/>
    </xf>
    <xf numFmtId="168" fontId="3" fillId="0" borderId="2" xfId="1" applyNumberFormat="1" applyFont="1" applyFill="1" applyBorder="1" applyAlignment="1" applyProtection="1">
      <alignment horizontal="right" indent="1"/>
      <protection locked="0"/>
    </xf>
    <xf numFmtId="168" fontId="0" fillId="0" borderId="13" xfId="0" applyNumberFormat="1" applyFill="1" applyBorder="1" applyAlignment="1" applyProtection="1">
      <alignment horizontal="right" indent="1"/>
      <protection locked="0"/>
    </xf>
    <xf numFmtId="1" fontId="5" fillId="0" borderId="0" xfId="0" applyNumberFormat="1" applyFont="1" applyBorder="1" applyAlignment="1">
      <alignment horizontal="center" vertical="center"/>
    </xf>
    <xf numFmtId="166" fontId="3" fillId="8" borderId="2" xfId="1" applyNumberFormat="1" applyFont="1" applyFill="1" applyBorder="1" applyAlignment="1" applyProtection="1">
      <alignment horizontal="right" indent="1"/>
      <protection locked="0"/>
    </xf>
    <xf numFmtId="0" fontId="5" fillId="0" borderId="2" xfId="1" applyFont="1" applyFill="1" applyBorder="1" applyAlignment="1" applyProtection="1">
      <alignment horizontal="center" vertical="center" wrapText="1"/>
    </xf>
    <xf numFmtId="0" fontId="0" fillId="0" borderId="12" xfId="0" applyFill="1" applyBorder="1" applyAlignment="1"/>
    <xf numFmtId="0" fontId="0" fillId="0" borderId="13" xfId="0" applyFill="1" applyBorder="1" applyAlignment="1"/>
    <xf numFmtId="0" fontId="15" fillId="2" borderId="3" xfId="0" applyNumberFormat="1" applyFont="1" applyFill="1" applyBorder="1" applyAlignment="1" applyProtection="1">
      <alignment horizontal="left" vertical="center" indent="1"/>
      <protection locked="0"/>
    </xf>
    <xf numFmtId="0" fontId="15" fillId="2" borderId="5" xfId="0" applyFont="1" applyFill="1" applyBorder="1" applyAlignment="1" applyProtection="1">
      <alignment horizontal="left" vertical="center" indent="1"/>
      <protection locked="0"/>
    </xf>
    <xf numFmtId="0" fontId="15" fillId="8" borderId="3" xfId="0" applyNumberFormat="1" applyFont="1" applyFill="1" applyBorder="1" applyAlignment="1" applyProtection="1">
      <alignment horizontal="left" vertical="center" indent="1"/>
      <protection locked="0"/>
    </xf>
    <xf numFmtId="192" fontId="16" fillId="0" borderId="3" xfId="1" applyNumberFormat="1" applyFont="1" applyFill="1" applyBorder="1" applyAlignment="1" applyProtection="1">
      <alignment horizontal="left" vertical="center" indent="1"/>
    </xf>
    <xf numFmtId="192" fontId="20" fillId="2" borderId="5" xfId="0" applyNumberFormat="1" applyFont="1" applyFill="1" applyBorder="1" applyAlignment="1" applyProtection="1">
      <alignment horizontal="left" vertical="center" indent="1"/>
    </xf>
    <xf numFmtId="1" fontId="15" fillId="2" borderId="0" xfId="0" applyNumberFormat="1" applyFont="1" applyFill="1" applyBorder="1" applyAlignment="1">
      <alignment horizontal="center" vertical="center"/>
    </xf>
    <xf numFmtId="0" fontId="21" fillId="0" borderId="1" xfId="1" applyFont="1" applyFill="1" applyBorder="1" applyAlignment="1">
      <alignment horizontal="center" vertical="center"/>
    </xf>
    <xf numFmtId="0" fontId="15" fillId="0" borderId="1" xfId="1" applyFont="1" applyFill="1" applyBorder="1" applyAlignment="1" applyProtection="1">
      <alignment horizontal="center" vertical="center" wrapText="1"/>
    </xf>
    <xf numFmtId="0" fontId="15" fillId="0" borderId="1" xfId="0" applyFont="1" applyFill="1" applyBorder="1" applyAlignment="1">
      <alignment horizontal="center" vertical="center" wrapText="1"/>
    </xf>
    <xf numFmtId="193" fontId="20" fillId="0" borderId="30" xfId="0" applyNumberFormat="1" applyFont="1" applyBorder="1" applyAlignment="1">
      <alignment horizontal="center" vertical="center"/>
    </xf>
    <xf numFmtId="0" fontId="15" fillId="0" borderId="6" xfId="1" applyFont="1" applyFill="1" applyBorder="1" applyAlignment="1" applyProtection="1">
      <alignment horizontal="center" vertical="center" wrapText="1"/>
    </xf>
    <xf numFmtId="0" fontId="15" fillId="0" borderId="16" xfId="1" applyFont="1" applyFill="1" applyBorder="1" applyAlignment="1" applyProtection="1">
      <alignment horizontal="center" vertical="center" wrapText="1"/>
    </xf>
    <xf numFmtId="0" fontId="15" fillId="0" borderId="7" xfId="1" applyFont="1" applyFill="1" applyBorder="1" applyAlignment="1" applyProtection="1">
      <alignment horizontal="center" vertical="center" wrapText="1"/>
    </xf>
    <xf numFmtId="0" fontId="15" fillId="0" borderId="17" xfId="1" applyFont="1" applyFill="1" applyBorder="1" applyAlignment="1" applyProtection="1">
      <alignment horizontal="center" vertical="center" wrapText="1"/>
    </xf>
    <xf numFmtId="0" fontId="20" fillId="0" borderId="28" xfId="0" applyFont="1" applyBorder="1" applyAlignment="1" applyProtection="1">
      <alignment horizontal="center"/>
    </xf>
    <xf numFmtId="0" fontId="15" fillId="0" borderId="2" xfId="1" applyFont="1" applyFill="1" applyBorder="1" applyAlignment="1" applyProtection="1">
      <alignment horizontal="center" vertical="center"/>
    </xf>
    <xf numFmtId="0" fontId="15" fillId="0" borderId="12" xfId="1" applyFont="1" applyFill="1" applyBorder="1" applyAlignment="1" applyProtection="1">
      <alignment horizontal="center" vertical="center"/>
    </xf>
    <xf numFmtId="0" fontId="15" fillId="0" borderId="13" xfId="1" applyFont="1" applyFill="1" applyBorder="1" applyAlignment="1" applyProtection="1">
      <alignment horizontal="center" vertical="center"/>
    </xf>
    <xf numFmtId="0" fontId="16" fillId="7" borderId="0" xfId="0" applyFont="1" applyFill="1" applyBorder="1" applyAlignment="1" applyProtection="1">
      <alignment horizontal="left" vertical="center" wrapText="1" indent="1"/>
    </xf>
    <xf numFmtId="0" fontId="20" fillId="0" borderId="0" xfId="0" applyFont="1" applyAlignment="1" applyProtection="1">
      <alignment horizontal="left" vertical="center" wrapText="1" indent="1"/>
    </xf>
    <xf numFmtId="0" fontId="16" fillId="7" borderId="15" xfId="0" applyFont="1" applyFill="1" applyBorder="1" applyAlignment="1" applyProtection="1">
      <alignment horizontal="left" vertical="center" wrapText="1" indent="1"/>
    </xf>
    <xf numFmtId="0" fontId="20" fillId="0" borderId="15" xfId="0" applyFont="1" applyBorder="1" applyAlignment="1" applyProtection="1">
      <alignment horizontal="left" vertical="center" wrapText="1" indent="1"/>
    </xf>
    <xf numFmtId="167" fontId="23" fillId="0" borderId="0" xfId="0" applyNumberFormat="1" applyFont="1" applyBorder="1" applyAlignment="1">
      <alignment horizontal="center" textRotation="90"/>
    </xf>
    <xf numFmtId="167" fontId="23" fillId="0" borderId="26" xfId="0" applyNumberFormat="1" applyFont="1" applyBorder="1" applyAlignment="1">
      <alignment horizontal="center" textRotation="90"/>
    </xf>
    <xf numFmtId="167" fontId="16" fillId="0" borderId="0" xfId="1" applyNumberFormat="1" applyFont="1" applyFill="1" applyBorder="1" applyAlignment="1">
      <alignment horizontal="center" vertical="center" textRotation="90"/>
    </xf>
    <xf numFmtId="167" fontId="16" fillId="0" borderId="0" xfId="0" applyNumberFormat="1" applyFont="1" applyAlignment="1"/>
    <xf numFmtId="167" fontId="23" fillId="0" borderId="19" xfId="0" applyNumberFormat="1" applyFont="1" applyBorder="1" applyAlignment="1">
      <alignment horizontal="center" textRotation="90"/>
    </xf>
    <xf numFmtId="167" fontId="23" fillId="0" borderId="0" xfId="0" applyNumberFormat="1" applyFont="1" applyAlignment="1">
      <alignment horizontal="center" vertical="center" textRotation="90"/>
    </xf>
    <xf numFmtId="167" fontId="16" fillId="14" borderId="3" xfId="0" applyNumberFormat="1" applyFont="1" applyFill="1" applyBorder="1" applyAlignment="1">
      <alignment horizontal="center" vertical="center" textRotation="90"/>
    </xf>
    <xf numFmtId="167" fontId="16" fillId="14" borderId="4" xfId="0" applyNumberFormat="1" applyFont="1" applyFill="1" applyBorder="1" applyAlignment="1">
      <alignment horizontal="center" vertical="center" textRotation="90"/>
    </xf>
    <xf numFmtId="167" fontId="16" fillId="14" borderId="5" xfId="0" applyNumberFormat="1" applyFont="1" applyFill="1" applyBorder="1" applyAlignment="1">
      <alignment horizontal="center" vertical="center" textRotation="90"/>
    </xf>
    <xf numFmtId="167" fontId="23" fillId="0" borderId="22" xfId="0" applyNumberFormat="1" applyFont="1" applyBorder="1" applyAlignment="1">
      <alignment horizontal="center" textRotation="90"/>
    </xf>
    <xf numFmtId="167" fontId="23" fillId="0" borderId="23" xfId="0" applyNumberFormat="1" applyFont="1" applyBorder="1" applyAlignment="1">
      <alignment horizontal="center" textRotation="90"/>
    </xf>
    <xf numFmtId="301" fontId="16" fillId="0" borderId="0" xfId="1" applyNumberFormat="1" applyFont="1" applyFill="1" applyBorder="1" applyAlignment="1">
      <alignment horizontal="center" vertical="center" textRotation="90"/>
    </xf>
    <xf numFmtId="167" fontId="23" fillId="0" borderId="25" xfId="0" applyNumberFormat="1" applyFont="1" applyBorder="1" applyAlignment="1">
      <alignment horizontal="center" vertical="top" textRotation="90"/>
    </xf>
    <xf numFmtId="167" fontId="23" fillId="0" borderId="22" xfId="0" applyNumberFormat="1" applyFont="1" applyBorder="1" applyAlignment="1">
      <alignment horizontal="center" vertical="top" textRotation="90"/>
    </xf>
    <xf numFmtId="167" fontId="16" fillId="13" borderId="4" xfId="0" applyNumberFormat="1" applyFont="1" applyFill="1" applyBorder="1" applyAlignment="1">
      <alignment horizontal="center" vertical="center" textRotation="90"/>
    </xf>
    <xf numFmtId="167" fontId="23" fillId="0" borderId="0" xfId="0" applyNumberFormat="1" applyFont="1" applyBorder="1" applyAlignment="1">
      <alignment horizontal="center"/>
    </xf>
    <xf numFmtId="0" fontId="16" fillId="0" borderId="0" xfId="1" applyFont="1" applyAlignment="1">
      <alignment horizontal="right"/>
    </xf>
    <xf numFmtId="0" fontId="16" fillId="0" borderId="0" xfId="0" applyFont="1" applyAlignment="1">
      <alignment horizontal="right"/>
    </xf>
    <xf numFmtId="167" fontId="16" fillId="8" borderId="2" xfId="1" applyNumberFormat="1" applyFont="1" applyFill="1" applyBorder="1" applyAlignment="1" applyProtection="1">
      <alignment horizontal="right" indent="1"/>
      <protection locked="0"/>
    </xf>
    <xf numFmtId="167" fontId="16" fillId="8" borderId="12" xfId="1" applyNumberFormat="1" applyFont="1" applyFill="1" applyBorder="1" applyAlignment="1" applyProtection="1">
      <alignment horizontal="right" indent="1"/>
      <protection locked="0"/>
    </xf>
    <xf numFmtId="167" fontId="16" fillId="8" borderId="13" xfId="1" applyNumberFormat="1" applyFont="1" applyFill="1" applyBorder="1" applyAlignment="1" applyProtection="1">
      <alignment horizontal="right" indent="1"/>
      <protection locked="0"/>
    </xf>
    <xf numFmtId="4" fontId="16" fillId="8" borderId="2" xfId="1" applyNumberFormat="1" applyFont="1" applyFill="1" applyBorder="1" applyAlignment="1" applyProtection="1">
      <alignment horizontal="right" indent="1"/>
      <protection locked="0"/>
    </xf>
    <xf numFmtId="4" fontId="16" fillId="8" borderId="12" xfId="1" applyNumberFormat="1" applyFont="1" applyFill="1" applyBorder="1" applyAlignment="1" applyProtection="1">
      <alignment horizontal="right" indent="1"/>
      <protection locked="0"/>
    </xf>
    <xf numFmtId="4" fontId="16" fillId="8" borderId="13" xfId="1" applyNumberFormat="1" applyFont="1" applyFill="1" applyBorder="1" applyAlignment="1" applyProtection="1">
      <alignment horizontal="right" indent="1"/>
      <protection locked="0"/>
    </xf>
    <xf numFmtId="4" fontId="16" fillId="0" borderId="2" xfId="1" applyNumberFormat="1" applyFont="1" applyFill="1" applyBorder="1" applyAlignment="1" applyProtection="1">
      <alignment horizontal="right" indent="1"/>
      <protection locked="0"/>
    </xf>
    <xf numFmtId="4" fontId="16" fillId="0" borderId="12" xfId="1" applyNumberFormat="1" applyFont="1" applyFill="1" applyBorder="1" applyAlignment="1" applyProtection="1">
      <alignment horizontal="right" indent="1"/>
      <protection locked="0"/>
    </xf>
    <xf numFmtId="4" fontId="16" fillId="0" borderId="13" xfId="1" applyNumberFormat="1" applyFont="1" applyFill="1" applyBorder="1" applyAlignment="1" applyProtection="1">
      <alignment horizontal="right" indent="1"/>
      <protection locked="0"/>
    </xf>
    <xf numFmtId="167" fontId="16" fillId="13" borderId="3" xfId="0" applyNumberFormat="1" applyFont="1" applyFill="1" applyBorder="1" applyAlignment="1">
      <alignment horizontal="center" vertical="center" textRotation="90"/>
    </xf>
    <xf numFmtId="167" fontId="16" fillId="0" borderId="0" xfId="1" applyNumberFormat="1" applyFont="1" applyFill="1" applyBorder="1" applyAlignment="1">
      <alignment horizontal="center" vertical="center"/>
    </xf>
    <xf numFmtId="0" fontId="16" fillId="7" borderId="15" xfId="0" applyFont="1" applyFill="1" applyBorder="1" applyAlignment="1">
      <alignment horizontal="left" vertical="center" wrapText="1" indent="1"/>
    </xf>
    <xf numFmtId="0" fontId="16" fillId="0" borderId="15" xfId="0" applyFont="1" applyBorder="1" applyAlignment="1">
      <alignment horizontal="left" vertical="center" wrapText="1" indent="1"/>
    </xf>
    <xf numFmtId="176" fontId="16" fillId="8" borderId="2" xfId="1" applyNumberFormat="1" applyFont="1" applyFill="1" applyBorder="1" applyAlignment="1" applyProtection="1">
      <alignment horizontal="right" indent="1"/>
      <protection locked="0"/>
    </xf>
    <xf numFmtId="176" fontId="16" fillId="8" borderId="12" xfId="1" applyNumberFormat="1" applyFont="1" applyFill="1" applyBorder="1" applyAlignment="1" applyProtection="1">
      <alignment horizontal="right" indent="1"/>
      <protection locked="0"/>
    </xf>
    <xf numFmtId="176" fontId="16" fillId="8" borderId="13" xfId="1" applyNumberFormat="1" applyFont="1" applyFill="1" applyBorder="1" applyAlignment="1" applyProtection="1">
      <alignment horizontal="right" indent="1"/>
      <protection locked="0"/>
    </xf>
    <xf numFmtId="0" fontId="15" fillId="0" borderId="4" xfId="1" applyFont="1" applyBorder="1" applyAlignment="1">
      <alignment horizontal="right" vertical="center" indent="1"/>
    </xf>
    <xf numFmtId="176" fontId="15" fillId="8" borderId="6" xfId="1" applyNumberFormat="1" applyFont="1" applyFill="1" applyBorder="1" applyAlignment="1" applyProtection="1">
      <alignment horizontal="center" vertical="center"/>
      <protection locked="0"/>
    </xf>
    <xf numFmtId="176" fontId="15" fillId="8" borderId="11" xfId="1" applyNumberFormat="1" applyFont="1" applyFill="1" applyBorder="1" applyAlignment="1" applyProtection="1">
      <alignment horizontal="center" vertical="center"/>
      <protection locked="0"/>
    </xf>
    <xf numFmtId="176" fontId="15" fillId="8" borderId="16" xfId="1" applyNumberFormat="1" applyFont="1" applyFill="1" applyBorder="1" applyAlignment="1" applyProtection="1">
      <alignment horizontal="center" vertical="center"/>
      <protection locked="0"/>
    </xf>
    <xf numFmtId="176" fontId="15" fillId="8" borderId="7" xfId="1" applyNumberFormat="1" applyFont="1" applyFill="1" applyBorder="1" applyAlignment="1" applyProtection="1">
      <alignment horizontal="center" vertical="center"/>
      <protection locked="0"/>
    </xf>
    <xf numFmtId="176" fontId="15" fillId="8" borderId="15" xfId="1" applyNumberFormat="1" applyFont="1" applyFill="1" applyBorder="1" applyAlignment="1" applyProtection="1">
      <alignment horizontal="center" vertical="center"/>
      <protection locked="0"/>
    </xf>
    <xf numFmtId="176" fontId="15" fillId="8" borderId="17" xfId="1" applyNumberFormat="1" applyFont="1" applyFill="1" applyBorder="1" applyAlignment="1" applyProtection="1">
      <alignment horizontal="center" vertical="center"/>
      <protection locked="0"/>
    </xf>
    <xf numFmtId="299" fontId="16" fillId="8" borderId="2" xfId="1" applyNumberFormat="1" applyFont="1" applyFill="1" applyBorder="1" applyAlignment="1" applyProtection="1">
      <alignment horizontal="right" indent="1"/>
      <protection locked="0"/>
    </xf>
    <xf numFmtId="299" fontId="16" fillId="8" borderId="12" xfId="1" applyNumberFormat="1" applyFont="1" applyFill="1" applyBorder="1" applyAlignment="1" applyProtection="1">
      <alignment horizontal="right" indent="1"/>
      <protection locked="0"/>
    </xf>
    <xf numFmtId="299" fontId="16" fillId="8" borderId="13" xfId="1" applyNumberFormat="1" applyFont="1" applyFill="1" applyBorder="1" applyAlignment="1" applyProtection="1">
      <alignment horizontal="right" indent="1"/>
      <protection locked="0"/>
    </xf>
    <xf numFmtId="178" fontId="15" fillId="0" borderId="6" xfId="1" applyNumberFormat="1" applyFont="1" applyFill="1" applyBorder="1" applyAlignment="1">
      <alignment horizontal="center" vertical="center"/>
    </xf>
    <xf numFmtId="0" fontId="16" fillId="0" borderId="11" xfId="0" applyFont="1" applyFill="1" applyBorder="1" applyAlignment="1">
      <alignment vertical="center"/>
    </xf>
    <xf numFmtId="0" fontId="16" fillId="0" borderId="16" xfId="0" applyFont="1" applyFill="1" applyBorder="1" applyAlignment="1">
      <alignment vertical="center"/>
    </xf>
    <xf numFmtId="0" fontId="16" fillId="0" borderId="7" xfId="0" applyFont="1" applyFill="1" applyBorder="1" applyAlignment="1">
      <alignment vertical="center"/>
    </xf>
    <xf numFmtId="0" fontId="16" fillId="0" borderId="15" xfId="0" applyFont="1" applyFill="1" applyBorder="1" applyAlignment="1">
      <alignment vertical="center"/>
    </xf>
    <xf numFmtId="0" fontId="16" fillId="0" borderId="17" xfId="0" applyFont="1" applyFill="1" applyBorder="1" applyAlignment="1">
      <alignment vertical="center"/>
    </xf>
    <xf numFmtId="0" fontId="15" fillId="4" borderId="1" xfId="0" applyFont="1" applyFill="1" applyBorder="1" applyAlignment="1" applyProtection="1">
      <alignment horizontal="center"/>
      <protection locked="0"/>
    </xf>
    <xf numFmtId="301" fontId="16" fillId="0" borderId="0" xfId="1" applyNumberFormat="1" applyFont="1" applyFill="1" applyBorder="1" applyAlignment="1">
      <alignment horizontal="center" vertical="center"/>
    </xf>
    <xf numFmtId="167" fontId="23" fillId="0" borderId="26" xfId="0" applyNumberFormat="1" applyFont="1" applyBorder="1" applyAlignment="1"/>
    <xf numFmtId="167" fontId="16" fillId="13" borderId="5" xfId="0" applyNumberFormat="1" applyFont="1" applyFill="1" applyBorder="1" applyAlignment="1">
      <alignment horizontal="center" vertical="center" textRotation="90"/>
    </xf>
    <xf numFmtId="0" fontId="16" fillId="11" borderId="3" xfId="0" applyFont="1" applyFill="1" applyBorder="1" applyAlignment="1">
      <alignment horizontal="center" vertical="center" textRotation="90"/>
    </xf>
    <xf numFmtId="0" fontId="20" fillId="11" borderId="4" xfId="0" applyFont="1" applyFill="1" applyBorder="1" applyAlignment="1">
      <alignment horizontal="center" vertical="center" textRotation="90"/>
    </xf>
    <xf numFmtId="0" fontId="20" fillId="11" borderId="5" xfId="0" applyFont="1" applyFill="1" applyBorder="1" applyAlignment="1">
      <alignment horizontal="center" vertical="center" textRotation="90"/>
    </xf>
    <xf numFmtId="165" fontId="16" fillId="7" borderId="2" xfId="1" applyNumberFormat="1" applyFont="1" applyFill="1" applyBorder="1" applyAlignment="1">
      <alignment horizont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165" fontId="16" fillId="7" borderId="2" xfId="1" applyNumberFormat="1" applyFont="1" applyFill="1" applyBorder="1" applyAlignment="1">
      <alignment horizontal="center"/>
    </xf>
    <xf numFmtId="0" fontId="20" fillId="0" borderId="12" xfId="0" applyFont="1" applyBorder="1" applyAlignment="1">
      <alignment horizontal="center"/>
    </xf>
    <xf numFmtId="0" fontId="20" fillId="0" borderId="13" xfId="0" applyFont="1" applyBorder="1" applyAlignment="1">
      <alignment horizontal="center"/>
    </xf>
    <xf numFmtId="0" fontId="16" fillId="0" borderId="0" xfId="0" applyFont="1" applyAlignment="1">
      <alignment horizontal="left" vertical="center" wrapText="1" indent="1"/>
    </xf>
    <xf numFmtId="0" fontId="20" fillId="0" borderId="0" xfId="0" applyFont="1" applyAlignment="1">
      <alignment horizontal="left" vertical="center" wrapText="1" indent="1"/>
    </xf>
    <xf numFmtId="0" fontId="20" fillId="0" borderId="15" xfId="0" applyFont="1" applyBorder="1" applyAlignment="1">
      <alignment horizontal="left" vertical="center" wrapText="1" indent="1"/>
    </xf>
    <xf numFmtId="0" fontId="15" fillId="0" borderId="2" xfId="1" applyFont="1" applyFill="1" applyBorder="1" applyAlignment="1" applyProtection="1">
      <alignment horizontal="center" vertical="center" wrapText="1"/>
    </xf>
    <xf numFmtId="0" fontId="20" fillId="0" borderId="12"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11" xfId="0" applyFont="1" applyFill="1" applyBorder="1" applyAlignment="1">
      <alignment vertical="center" wrapText="1"/>
    </xf>
    <xf numFmtId="0" fontId="20" fillId="0" borderId="16" xfId="0" applyFont="1" applyFill="1" applyBorder="1" applyAlignment="1">
      <alignment vertical="center" wrapText="1"/>
    </xf>
    <xf numFmtId="0" fontId="20" fillId="0" borderId="7" xfId="0" applyFont="1" applyFill="1" applyBorder="1" applyAlignment="1">
      <alignment vertical="center" wrapText="1"/>
    </xf>
    <xf numFmtId="0" fontId="20" fillId="0" borderId="15" xfId="0" applyFont="1" applyFill="1" applyBorder="1" applyAlignment="1">
      <alignment vertical="center" wrapText="1"/>
    </xf>
    <xf numFmtId="0" fontId="20" fillId="0" borderId="17" xfId="0" applyFont="1" applyFill="1" applyBorder="1" applyAlignment="1">
      <alignment vertical="center" wrapText="1"/>
    </xf>
    <xf numFmtId="0" fontId="15" fillId="0" borderId="3" xfId="1" applyFont="1" applyFill="1" applyBorder="1" applyAlignment="1" applyProtection="1">
      <alignment horizontal="center" vertical="center" wrapText="1"/>
    </xf>
    <xf numFmtId="0" fontId="20" fillId="0" borderId="5" xfId="0" applyFont="1" applyFill="1" applyBorder="1" applyAlignment="1">
      <alignment horizontal="center" vertical="center" wrapText="1"/>
    </xf>
    <xf numFmtId="0" fontId="15" fillId="7" borderId="2" xfId="1" applyFont="1" applyFill="1" applyBorder="1" applyAlignment="1">
      <alignment horizontal="center"/>
    </xf>
    <xf numFmtId="0" fontId="20" fillId="0" borderId="12" xfId="0" applyFont="1" applyFill="1" applyBorder="1" applyAlignment="1">
      <alignment vertical="center" wrapText="1"/>
    </xf>
    <xf numFmtId="0" fontId="20" fillId="0" borderId="13" xfId="0" applyFont="1" applyFill="1" applyBorder="1" applyAlignment="1">
      <alignment vertical="center" wrapText="1"/>
    </xf>
    <xf numFmtId="0" fontId="20" fillId="0" borderId="12" xfId="0" applyFont="1" applyFill="1" applyBorder="1" applyAlignment="1">
      <alignment horizontal="center" vertical="center"/>
    </xf>
    <xf numFmtId="0" fontId="20" fillId="0" borderId="13" xfId="0" applyFont="1" applyFill="1" applyBorder="1" applyAlignment="1">
      <alignment horizontal="center" vertical="center"/>
    </xf>
    <xf numFmtId="0" fontId="15" fillId="0" borderId="10" xfId="0" applyFont="1" applyBorder="1" applyAlignment="1">
      <alignment horizontal="left" indent="1"/>
    </xf>
    <xf numFmtId="0" fontId="16" fillId="0" borderId="10" xfId="0" applyFont="1" applyBorder="1" applyAlignment="1">
      <alignment horizontal="left" indent="1"/>
    </xf>
    <xf numFmtId="1" fontId="16" fillId="8" borderId="2" xfId="1" applyNumberFormat="1" applyFont="1" applyFill="1" applyBorder="1" applyAlignment="1" applyProtection="1">
      <alignment horizontal="right" indent="1"/>
      <protection locked="0"/>
    </xf>
    <xf numFmtId="0" fontId="16" fillId="0" borderId="13" xfId="0" applyFont="1" applyBorder="1" applyAlignment="1" applyProtection="1">
      <alignment horizontal="right" indent="1"/>
      <protection locked="0"/>
    </xf>
    <xf numFmtId="0" fontId="16" fillId="8" borderId="2" xfId="1" applyFont="1" applyFill="1" applyBorder="1" applyAlignment="1" applyProtection="1">
      <alignment horizontal="right" indent="1"/>
      <protection locked="0"/>
    </xf>
    <xf numFmtId="248" fontId="16" fillId="8" borderId="2" xfId="1" applyNumberFormat="1" applyFont="1" applyFill="1" applyBorder="1" applyAlignment="1" applyProtection="1">
      <alignment horizontal="right" indent="1"/>
      <protection locked="0"/>
    </xf>
    <xf numFmtId="248" fontId="16" fillId="0" borderId="13" xfId="0" applyNumberFormat="1" applyFont="1" applyBorder="1" applyAlignment="1" applyProtection="1">
      <alignment horizontal="right" indent="1"/>
      <protection locked="0"/>
    </xf>
    <xf numFmtId="169" fontId="20" fillId="0" borderId="0" xfId="0" applyNumberFormat="1" applyFont="1" applyFill="1" applyBorder="1" applyAlignment="1">
      <alignment horizontal="center" vertical="center"/>
    </xf>
    <xf numFmtId="0" fontId="15" fillId="5" borderId="2" xfId="0" applyFont="1" applyFill="1" applyBorder="1" applyAlignment="1">
      <alignment horizontal="center" vertical="center" wrapText="1"/>
    </xf>
    <xf numFmtId="0" fontId="15" fillId="5" borderId="13" xfId="0" applyFont="1" applyFill="1" applyBorder="1" applyAlignment="1">
      <alignment horizontal="center" vertical="center" wrapText="1"/>
    </xf>
    <xf numFmtId="167" fontId="16" fillId="0" borderId="0" xfId="0" applyNumberFormat="1" applyFont="1" applyBorder="1" applyAlignment="1">
      <alignment horizontal="center" vertical="center"/>
    </xf>
    <xf numFmtId="1" fontId="15" fillId="0" borderId="0" xfId="0" applyNumberFormat="1" applyFont="1" applyBorder="1" applyAlignment="1">
      <alignment horizontal="center" vertical="center"/>
    </xf>
    <xf numFmtId="1" fontId="15" fillId="0" borderId="14" xfId="0" applyNumberFormat="1" applyFont="1" applyBorder="1" applyAlignment="1">
      <alignment horizontal="center" vertical="center"/>
    </xf>
    <xf numFmtId="167" fontId="20" fillId="0" borderId="0" xfId="0" applyNumberFormat="1" applyFont="1" applyFill="1" applyBorder="1" applyAlignment="1">
      <alignment horizontal="center" vertical="center"/>
    </xf>
    <xf numFmtId="171" fontId="20" fillId="0" borderId="0" xfId="0" applyNumberFormat="1" applyFont="1" applyFill="1" applyBorder="1" applyAlignment="1">
      <alignment horizontal="center" vertical="center"/>
    </xf>
    <xf numFmtId="170" fontId="20" fillId="0" borderId="0" xfId="0" applyNumberFormat="1" applyFont="1" applyFill="1" applyBorder="1" applyAlignment="1">
      <alignment horizontal="center" vertical="center"/>
    </xf>
    <xf numFmtId="167" fontId="16" fillId="0" borderId="0" xfId="0" applyNumberFormat="1" applyFont="1" applyFill="1" applyBorder="1" applyAlignment="1" applyProtection="1">
      <alignment horizontal="center" vertical="center"/>
    </xf>
    <xf numFmtId="167" fontId="16" fillId="0" borderId="0" xfId="0" applyNumberFormat="1" applyFont="1" applyFill="1" applyBorder="1" applyAlignment="1" applyProtection="1"/>
    <xf numFmtId="218" fontId="20" fillId="7" borderId="3" xfId="0" applyNumberFormat="1" applyFont="1" applyFill="1" applyBorder="1" applyAlignment="1">
      <alignment horizontal="center" vertical="center"/>
    </xf>
    <xf numFmtId="218" fontId="20" fillId="7" borderId="5" xfId="0" applyNumberFormat="1" applyFont="1" applyFill="1" applyBorder="1" applyAlignment="1">
      <alignment horizontal="center" vertical="center"/>
    </xf>
    <xf numFmtId="197" fontId="20" fillId="0" borderId="0" xfId="0" applyNumberFormat="1" applyFont="1" applyFill="1" applyBorder="1" applyAlignment="1">
      <alignment horizontal="center" vertical="center"/>
    </xf>
    <xf numFmtId="0" fontId="20" fillId="0" borderId="0" xfId="0" applyFont="1" applyAlignment="1">
      <alignment horizontal="center"/>
    </xf>
    <xf numFmtId="0" fontId="15" fillId="5" borderId="2" xfId="1" applyFont="1" applyFill="1" applyBorder="1" applyAlignment="1" applyProtection="1">
      <alignment horizontal="center" vertical="center" wrapText="1"/>
    </xf>
    <xf numFmtId="0" fontId="20" fillId="0" borderId="12" xfId="0" applyFont="1" applyBorder="1" applyAlignment="1"/>
    <xf numFmtId="0" fontId="20" fillId="0" borderId="13" xfId="0" applyFont="1" applyBorder="1" applyAlignment="1"/>
    <xf numFmtId="0" fontId="16" fillId="7" borderId="15" xfId="1" applyFont="1" applyFill="1" applyBorder="1" applyAlignment="1">
      <alignment horizontal="left" vertical="center" wrapText="1" indent="1"/>
    </xf>
    <xf numFmtId="0" fontId="15" fillId="5" borderId="2" xfId="1" applyFont="1" applyFill="1" applyBorder="1" applyAlignment="1" applyProtection="1">
      <alignment horizontal="center" vertical="center"/>
    </xf>
    <xf numFmtId="0" fontId="3" fillId="7" borderId="15" xfId="1" applyFont="1" applyFill="1" applyBorder="1" applyAlignment="1">
      <alignment horizontal="left" vertical="center" wrapText="1" indent="1"/>
    </xf>
    <xf numFmtId="0" fontId="1" fillId="0" borderId="15" xfId="0" applyFont="1" applyBorder="1" applyAlignment="1">
      <alignment horizontal="left" vertical="center" wrapText="1"/>
    </xf>
    <xf numFmtId="0" fontId="12" fillId="6" borderId="0" xfId="0" applyFont="1" applyFill="1" applyAlignment="1">
      <alignment horizontal="center" vertical="center"/>
    </xf>
    <xf numFmtId="199" fontId="5" fillId="5" borderId="31" xfId="1" applyNumberFormat="1" applyFont="1" applyFill="1" applyBorder="1" applyAlignment="1" applyProtection="1">
      <alignment horizontal="left"/>
      <protection hidden="1"/>
    </xf>
    <xf numFmtId="199" fontId="0" fillId="5" borderId="31" xfId="0" applyNumberFormat="1" applyFill="1" applyBorder="1" applyAlignment="1" applyProtection="1">
      <alignment horizontal="left"/>
      <protection hidden="1"/>
    </xf>
    <xf numFmtId="208" fontId="15" fillId="0" borderId="2" xfId="2" applyFont="1" applyFill="1" applyBorder="1" applyAlignment="1">
      <alignment horizontal="center" vertical="center"/>
    </xf>
    <xf numFmtId="208" fontId="15" fillId="0" borderId="12" xfId="2" applyFont="1" applyFill="1" applyBorder="1" applyAlignment="1">
      <alignment horizontal="center" vertical="center"/>
    </xf>
    <xf numFmtId="208" fontId="15" fillId="0" borderId="13" xfId="2" applyFont="1" applyFill="1" applyBorder="1" applyAlignment="1">
      <alignment horizontal="center" vertical="center"/>
    </xf>
    <xf numFmtId="212" fontId="15" fillId="0" borderId="35" xfId="2" applyNumberFormat="1" applyFont="1" applyBorder="1" applyAlignment="1" applyProtection="1">
      <alignment horizontal="left"/>
    </xf>
    <xf numFmtId="212" fontId="20" fillId="0" borderId="37" xfId="0" applyNumberFormat="1" applyFont="1" applyBorder="1" applyAlignment="1">
      <alignment horizontal="left"/>
    </xf>
    <xf numFmtId="214" fontId="15" fillId="0" borderId="35" xfId="2" applyNumberFormat="1" applyFont="1" applyBorder="1" applyAlignment="1" applyProtection="1">
      <alignment horizontal="left"/>
    </xf>
    <xf numFmtId="214" fontId="20" fillId="0" borderId="37" xfId="0" applyNumberFormat="1" applyFont="1" applyBorder="1" applyAlignment="1">
      <alignment horizontal="left"/>
    </xf>
    <xf numFmtId="194" fontId="15" fillId="15" borderId="6" xfId="2" applyNumberFormat="1" applyFont="1" applyFill="1" applyBorder="1" applyAlignment="1" applyProtection="1">
      <alignment horizontal="left"/>
    </xf>
    <xf numFmtId="194" fontId="15" fillId="15" borderId="45" xfId="2" applyNumberFormat="1" applyFont="1" applyFill="1" applyBorder="1" applyAlignment="1" applyProtection="1">
      <alignment horizontal="left"/>
    </xf>
    <xf numFmtId="215" fontId="15" fillId="0" borderId="35" xfId="2" applyNumberFormat="1" applyFont="1" applyBorder="1" applyAlignment="1" applyProtection="1">
      <alignment horizontal="left"/>
    </xf>
    <xf numFmtId="215" fontId="20" fillId="0" borderId="37" xfId="0" applyNumberFormat="1" applyFont="1" applyBorder="1" applyAlignment="1">
      <alignment horizontal="left"/>
    </xf>
    <xf numFmtId="3" fontId="16" fillId="0" borderId="1" xfId="1" applyNumberFormat="1" applyFont="1" applyBorder="1" applyAlignment="1">
      <alignment horizontal="right" indent="1"/>
    </xf>
    <xf numFmtId="0" fontId="20" fillId="0" borderId="1" xfId="0" applyFont="1" applyBorder="1" applyAlignment="1">
      <alignment horizontal="right" indent="1"/>
    </xf>
    <xf numFmtId="11" fontId="16" fillId="0" borderId="1" xfId="1" applyNumberFormat="1" applyFont="1" applyBorder="1" applyAlignment="1">
      <alignment horizontal="right" indent="1"/>
    </xf>
    <xf numFmtId="11" fontId="20" fillId="0" borderId="1" xfId="0" applyNumberFormat="1" applyFont="1" applyBorder="1" applyAlignment="1">
      <alignment horizontal="right" indent="1"/>
    </xf>
    <xf numFmtId="3" fontId="16" fillId="4" borderId="1" xfId="0" applyNumberFormat="1" applyFont="1" applyFill="1" applyBorder="1" applyAlignment="1" applyProtection="1">
      <alignment horizontal="right" indent="1"/>
      <protection locked="0"/>
    </xf>
    <xf numFmtId="0" fontId="16" fillId="0" borderId="1" xfId="0" applyFont="1" applyBorder="1" applyAlignment="1" applyProtection="1">
      <alignment horizontal="right" indent="1"/>
      <protection locked="0"/>
    </xf>
    <xf numFmtId="3" fontId="16" fillId="4" borderId="1" xfId="1" applyNumberFormat="1" applyFont="1" applyFill="1" applyBorder="1" applyAlignment="1" applyProtection="1">
      <alignment horizontal="right" indent="1"/>
      <protection locked="0"/>
    </xf>
    <xf numFmtId="0" fontId="22" fillId="0" borderId="0" xfId="0" applyFont="1" applyFill="1" applyBorder="1" applyAlignment="1" applyProtection="1">
      <alignment horizontal="left"/>
      <protection locked="0"/>
    </xf>
    <xf numFmtId="0" fontId="20" fillId="0" borderId="0" xfId="0" applyFont="1" applyAlignment="1" applyProtection="1">
      <protection locked="0"/>
    </xf>
    <xf numFmtId="2" fontId="16" fillId="4" borderId="1" xfId="0" applyNumberFormat="1" applyFont="1" applyFill="1" applyBorder="1" applyAlignment="1" applyProtection="1">
      <alignment horizontal="right" indent="1"/>
      <protection locked="0"/>
    </xf>
    <xf numFmtId="208" fontId="21" fillId="0" borderId="1" xfId="2" applyFont="1" applyFill="1" applyBorder="1" applyAlignment="1" applyProtection="1">
      <alignment horizontal="center" vertical="center"/>
    </xf>
    <xf numFmtId="0" fontId="27" fillId="18" borderId="2" xfId="0" applyFont="1" applyFill="1" applyBorder="1" applyAlignment="1" applyProtection="1">
      <alignment horizontal="right"/>
    </xf>
    <xf numFmtId="0" fontId="27" fillId="18" borderId="12" xfId="0" applyFont="1" applyFill="1" applyBorder="1" applyAlignment="1" applyProtection="1">
      <alignment horizontal="right"/>
    </xf>
    <xf numFmtId="0" fontId="27" fillId="18" borderId="13" xfId="0" applyFont="1" applyFill="1" applyBorder="1" applyAlignment="1" applyProtection="1">
      <alignment horizontal="right"/>
    </xf>
    <xf numFmtId="0" fontId="27" fillId="0" borderId="2" xfId="0" applyFont="1" applyBorder="1" applyAlignment="1" applyProtection="1">
      <alignment horizontal="right" vertical="center"/>
    </xf>
    <xf numFmtId="0" fontId="27" fillId="0" borderId="12" xfId="0" applyFont="1" applyBorder="1" applyAlignment="1" applyProtection="1">
      <alignment horizontal="right" vertical="center"/>
    </xf>
    <xf numFmtId="0" fontId="27" fillId="0" borderId="13" xfId="0" applyFont="1" applyBorder="1" applyAlignment="1" applyProtection="1">
      <alignment horizontal="right" vertical="center"/>
    </xf>
    <xf numFmtId="0" fontId="27" fillId="0" borderId="2" xfId="0" applyFont="1" applyBorder="1" applyAlignment="1" applyProtection="1">
      <alignment horizontal="right"/>
    </xf>
    <xf numFmtId="0" fontId="27" fillId="0" borderId="12" xfId="0" applyFont="1" applyBorder="1" applyAlignment="1" applyProtection="1">
      <alignment horizontal="right"/>
    </xf>
    <xf numFmtId="0" fontId="27" fillId="0" borderId="13" xfId="0" applyFont="1" applyBorder="1" applyAlignment="1" applyProtection="1">
      <alignment horizontal="right"/>
    </xf>
    <xf numFmtId="0" fontId="15" fillId="0" borderId="1" xfId="0" applyFont="1" applyFill="1" applyBorder="1" applyAlignment="1" applyProtection="1">
      <alignment horizontal="center"/>
    </xf>
    <xf numFmtId="0" fontId="15" fillId="0" borderId="1" xfId="0" applyFont="1" applyFill="1" applyBorder="1" applyAlignment="1" applyProtection="1">
      <alignment horizontal="center" vertical="center"/>
    </xf>
    <xf numFmtId="236" fontId="27" fillId="0" borderId="1" xfId="0" applyNumberFormat="1" applyFont="1" applyBorder="1" applyAlignment="1" applyProtection="1">
      <alignment horizontal="center"/>
    </xf>
    <xf numFmtId="0" fontId="20" fillId="0" borderId="14" xfId="0" applyFont="1" applyBorder="1" applyAlignment="1">
      <alignment horizontal="center"/>
    </xf>
    <xf numFmtId="0" fontId="20" fillId="0" borderId="8" xfId="0" applyFont="1" applyBorder="1" applyAlignment="1">
      <alignment horizontal="center"/>
    </xf>
    <xf numFmtId="0" fontId="27" fillId="0" borderId="65" xfId="0" applyFont="1" applyBorder="1" applyAlignment="1">
      <alignment horizontal="center" vertical="center"/>
    </xf>
    <xf numFmtId="0" fontId="27" fillId="0" borderId="66" xfId="0" applyFont="1" applyBorder="1" applyAlignment="1">
      <alignment horizontal="center" vertical="center"/>
    </xf>
    <xf numFmtId="0" fontId="20" fillId="0" borderId="5" xfId="0" applyFont="1" applyBorder="1" applyAlignment="1">
      <alignment horizontal="center" vertical="center"/>
    </xf>
    <xf numFmtId="0" fontId="20" fillId="0" borderId="63" xfId="0" applyFont="1" applyBorder="1" applyAlignment="1">
      <alignment horizontal="center" vertical="center"/>
    </xf>
    <xf numFmtId="0" fontId="20" fillId="4" borderId="60" xfId="0" applyFont="1" applyFill="1" applyBorder="1" applyAlignment="1" applyProtection="1">
      <alignment horizontal="center" vertical="center"/>
      <protection locked="0"/>
    </xf>
    <xf numFmtId="0" fontId="20" fillId="4" borderId="63" xfId="0" applyFont="1" applyFill="1" applyBorder="1" applyAlignment="1" applyProtection="1">
      <alignment horizontal="center" vertical="center"/>
      <protection locked="0"/>
    </xf>
    <xf numFmtId="0" fontId="20" fillId="0" borderId="60" xfId="0" applyFont="1" applyBorder="1" applyAlignment="1">
      <alignment horizontal="center" vertical="center"/>
    </xf>
    <xf numFmtId="0" fontId="20" fillId="0" borderId="1" xfId="0" applyFont="1" applyBorder="1" applyAlignment="1">
      <alignment horizontal="center"/>
    </xf>
    <xf numFmtId="0" fontId="20" fillId="0" borderId="59" xfId="0" applyFont="1" applyBorder="1" applyAlignment="1">
      <alignment horizontal="center" vertical="center"/>
    </xf>
    <xf numFmtId="0" fontId="20" fillId="0" borderId="62" xfId="0" applyFont="1" applyBorder="1" applyAlignment="1">
      <alignment horizontal="center" vertical="center"/>
    </xf>
    <xf numFmtId="241" fontId="20" fillId="0" borderId="0" xfId="0" applyNumberFormat="1" applyFont="1" applyAlignment="1">
      <alignment horizontal="center"/>
    </xf>
    <xf numFmtId="0" fontId="20" fillId="0" borderId="68" xfId="0" applyFont="1" applyBorder="1" applyAlignment="1">
      <alignment horizontal="center" vertical="center"/>
    </xf>
    <xf numFmtId="0" fontId="20" fillId="0" borderId="1" xfId="0" applyFont="1" applyBorder="1" applyAlignment="1">
      <alignment horizontal="center" vertical="center"/>
    </xf>
    <xf numFmtId="0" fontId="27" fillId="0" borderId="1" xfId="0" applyFont="1" applyBorder="1" applyAlignment="1">
      <alignment horizontal="left" vertical="center"/>
    </xf>
    <xf numFmtId="0" fontId="27" fillId="0" borderId="2" xfId="0" applyFont="1" applyBorder="1" applyAlignment="1">
      <alignment horizontal="center"/>
    </xf>
    <xf numFmtId="0" fontId="27" fillId="0" borderId="12" xfId="0" applyFont="1" applyBorder="1" applyAlignment="1">
      <alignment horizontal="center"/>
    </xf>
    <xf numFmtId="0" fontId="27" fillId="0" borderId="13" xfId="0" applyFont="1" applyBorder="1" applyAlignment="1">
      <alignment horizontal="center"/>
    </xf>
    <xf numFmtId="166" fontId="20" fillId="0" borderId="60" xfId="0" applyNumberFormat="1" applyFont="1" applyBorder="1" applyAlignment="1">
      <alignment horizontal="center" vertical="center"/>
    </xf>
    <xf numFmtId="166" fontId="20" fillId="0" borderId="63" xfId="0" applyNumberFormat="1" applyFont="1" applyBorder="1" applyAlignment="1">
      <alignment horizontal="center" vertical="center"/>
    </xf>
    <xf numFmtId="166" fontId="20" fillId="0" borderId="5" xfId="0" applyNumberFormat="1" applyFont="1" applyBorder="1" applyAlignment="1">
      <alignment horizontal="center" vertical="center"/>
    </xf>
    <xf numFmtId="0" fontId="20" fillId="0" borderId="6" xfId="0" applyFont="1" applyBorder="1" applyAlignment="1">
      <alignment horizontal="right" vertical="center"/>
    </xf>
    <xf numFmtId="0" fontId="20" fillId="0" borderId="11" xfId="0" applyFont="1" applyBorder="1" applyAlignment="1">
      <alignment horizontal="right" vertical="center"/>
    </xf>
    <xf numFmtId="0" fontId="20" fillId="0" borderId="16" xfId="0" applyFont="1" applyBorder="1" applyAlignment="1">
      <alignment horizontal="right" vertical="center"/>
    </xf>
    <xf numFmtId="0" fontId="20" fillId="0" borderId="7" xfId="0" applyFont="1" applyBorder="1" applyAlignment="1">
      <alignment horizontal="right" vertical="center"/>
    </xf>
    <xf numFmtId="0" fontId="20" fillId="0" borderId="15" xfId="0" applyFont="1" applyBorder="1" applyAlignment="1">
      <alignment horizontal="right" vertical="center"/>
    </xf>
    <xf numFmtId="0" fontId="20" fillId="0" borderId="17" xfId="0" applyFont="1" applyBorder="1" applyAlignment="1">
      <alignment horizontal="right" vertical="center"/>
    </xf>
    <xf numFmtId="0" fontId="20" fillId="0" borderId="1" xfId="0" applyFont="1" applyBorder="1" applyAlignment="1">
      <alignment horizontal="right"/>
    </xf>
    <xf numFmtId="0" fontId="27" fillId="0" borderId="1" xfId="0" applyFont="1" applyBorder="1" applyAlignment="1">
      <alignment horizontal="right"/>
    </xf>
    <xf numFmtId="0" fontId="20" fillId="0" borderId="63" xfId="0" applyFont="1" applyBorder="1" applyAlignment="1">
      <alignment horizontal="center"/>
    </xf>
    <xf numFmtId="0" fontId="20" fillId="0" borderId="60" xfId="0" applyFont="1" applyBorder="1" applyAlignment="1">
      <alignment horizontal="center"/>
    </xf>
    <xf numFmtId="0" fontId="27" fillId="0" borderId="2" xfId="0" applyFont="1" applyFill="1" applyBorder="1" applyAlignment="1">
      <alignment horizontal="center"/>
    </xf>
    <xf numFmtId="0" fontId="27" fillId="0" borderId="12" xfId="0" applyFont="1" applyFill="1" applyBorder="1" applyAlignment="1">
      <alignment horizontal="center"/>
    </xf>
    <xf numFmtId="0" fontId="27" fillId="0" borderId="13" xfId="0" applyFont="1" applyFill="1" applyBorder="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vertical="center"/>
    </xf>
    <xf numFmtId="0" fontId="33" fillId="20" borderId="72" xfId="4" applyFont="1" applyFill="1" applyBorder="1" applyAlignment="1">
      <alignment horizontal="center" vertical="top" wrapText="1"/>
    </xf>
    <xf numFmtId="0" fontId="33" fillId="20" borderId="77" xfId="4" applyFont="1" applyFill="1" applyBorder="1" applyAlignment="1">
      <alignment horizontal="center" vertical="top" wrapText="1"/>
    </xf>
    <xf numFmtId="0" fontId="33" fillId="20" borderId="79" xfId="4" applyFont="1" applyFill="1" applyBorder="1" applyAlignment="1">
      <alignment horizontal="center" vertical="top" wrapText="1"/>
    </xf>
    <xf numFmtId="0" fontId="33" fillId="20" borderId="74" xfId="4" applyFont="1" applyFill="1" applyBorder="1" applyAlignment="1">
      <alignment horizontal="center" wrapText="1"/>
    </xf>
    <xf numFmtId="0" fontId="33" fillId="20" borderId="75" xfId="4" applyFont="1" applyFill="1" applyBorder="1" applyAlignment="1">
      <alignment horizontal="center" wrapText="1"/>
    </xf>
    <xf numFmtId="0" fontId="33" fillId="20" borderId="76" xfId="4" applyFont="1" applyFill="1" applyBorder="1" applyAlignment="1">
      <alignment horizontal="center" wrapText="1"/>
    </xf>
    <xf numFmtId="0" fontId="38" fillId="20" borderId="72" xfId="4" applyFont="1" applyFill="1" applyBorder="1" applyAlignment="1">
      <alignment horizontal="center" vertical="top" wrapText="1"/>
    </xf>
    <xf numFmtId="0" fontId="38" fillId="20" borderId="77" xfId="4" applyFont="1" applyFill="1" applyBorder="1" applyAlignment="1">
      <alignment horizontal="center" vertical="top" wrapText="1"/>
    </xf>
    <xf numFmtId="0" fontId="38" fillId="20" borderId="79" xfId="4" applyFont="1" applyFill="1" applyBorder="1" applyAlignment="1">
      <alignment horizontal="center" vertical="top" wrapText="1"/>
    </xf>
    <xf numFmtId="0" fontId="38" fillId="20" borderId="84" xfId="4" applyFont="1" applyFill="1" applyBorder="1" applyAlignment="1">
      <alignment horizontal="center" vertical="top" wrapText="1"/>
    </xf>
    <xf numFmtId="0" fontId="38" fillId="20" borderId="73" xfId="4" applyFont="1" applyFill="1" applyBorder="1" applyAlignment="1">
      <alignment horizontal="center" vertical="top" wrapText="1"/>
    </xf>
    <xf numFmtId="0" fontId="38" fillId="20" borderId="82" xfId="4" applyFont="1" applyFill="1" applyBorder="1" applyAlignment="1">
      <alignment horizontal="center" vertical="top" wrapText="1"/>
    </xf>
    <xf numFmtId="0" fontId="38" fillId="20" borderId="80" xfId="4" applyFont="1" applyFill="1" applyBorder="1" applyAlignment="1">
      <alignment horizontal="center" vertical="top" wrapText="1"/>
    </xf>
    <xf numFmtId="0" fontId="39" fillId="20" borderId="72" xfId="4" applyFont="1" applyFill="1" applyBorder="1" applyAlignment="1">
      <alignment horizontal="center" vertical="top" wrapText="1"/>
    </xf>
    <xf numFmtId="0" fontId="39" fillId="20" borderId="79" xfId="4" applyFont="1" applyFill="1" applyBorder="1" applyAlignment="1">
      <alignment horizontal="center" vertical="top" wrapTex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cellXfs>
  <cellStyles count="6">
    <cellStyle name="Hyperlink" xfId="5" builtinId="8"/>
    <cellStyle name="Normal" xfId="0" builtinId="0"/>
    <cellStyle name="Normal 2" xfId="4"/>
    <cellStyle name="Normal_G1 Attachment 7" xfId="2"/>
    <cellStyle name="Normal_VertGate" xfId="1"/>
    <cellStyle name="Percent" xfId="3" builtinId="5"/>
  </cellStyles>
  <dxfs count="414">
    <dxf>
      <font>
        <color auto="1"/>
      </font>
      <fill>
        <patternFill>
          <bgColor rgb="FFFFC7CE"/>
        </patternFill>
      </fill>
    </dxf>
    <dxf>
      <fill>
        <patternFill>
          <bgColor rgb="FFC6EFCE"/>
        </patternFill>
      </fill>
    </dxf>
    <dxf>
      <fill>
        <patternFill>
          <bgColor rgb="FFFFC7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theme="5" tint="0.39994506668294322"/>
        </patternFill>
      </fill>
    </dxf>
    <dxf>
      <fill>
        <patternFill>
          <bgColor rgb="FF92D050"/>
        </patternFill>
      </fill>
    </dxf>
    <dxf>
      <fill>
        <patternFill>
          <bgColor rgb="FFFF7C80"/>
        </patternFill>
      </fill>
    </dxf>
    <dxf>
      <fill>
        <patternFill>
          <bgColor theme="5" tint="0.59996337778862885"/>
        </patternFill>
      </fill>
    </dxf>
    <dxf>
      <fill>
        <patternFill>
          <bgColor rgb="FF92D050"/>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patternType="none">
          <bgColor auto="1"/>
        </patternFill>
      </fill>
    </dxf>
    <dxf>
      <fill>
        <patternFill>
          <bgColor rgb="FFFFC7CE"/>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patternType="solid">
          <fgColor indexed="64"/>
          <bgColor rgb="FFC6EFCE"/>
        </patternFill>
      </fill>
    </dxf>
    <dxf>
      <fill>
        <patternFill>
          <bgColor rgb="FFFFC7CE"/>
        </patternFill>
      </fill>
    </dxf>
    <dxf>
      <fill>
        <patternFill>
          <bgColor rgb="FFFFC7CE"/>
        </patternFill>
      </fill>
    </dxf>
    <dxf>
      <fill>
        <patternFill>
          <bgColor rgb="FFC6EFCE"/>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auto="1"/>
      </font>
      <fill>
        <patternFill>
          <bgColor rgb="FFFFC7CE"/>
        </patternFill>
      </fill>
    </dxf>
    <dxf>
      <fill>
        <patternFill>
          <bgColor rgb="FFC6EFCE"/>
        </patternFill>
      </fill>
    </dxf>
    <dxf>
      <fill>
        <patternFill>
          <bgColor rgb="FFFFC7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auto="1"/>
      </font>
      <fill>
        <patternFill>
          <bgColor rgb="FFFFC7CE"/>
        </patternFill>
      </fill>
    </dxf>
    <dxf>
      <fill>
        <patternFill>
          <bgColor rgb="FFC6EFCE"/>
        </patternFill>
      </fill>
    </dxf>
    <dxf>
      <fill>
        <patternFill>
          <bgColor rgb="FFFFC7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ont>
        <color auto="1"/>
      </font>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FF5D5D"/>
      <color rgb="FFC6EFCE"/>
      <color rgb="FFFFC7CE"/>
      <color rgb="FFC65050"/>
      <color rgb="FFFF7C80"/>
      <color rgb="FFD8E4BC"/>
      <color rgb="FFC4BD97"/>
      <color rgb="FFFFCC00"/>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Lifting</c:v>
          </c:tx>
          <c:spPr>
            <a:ln w="19050" cap="rnd">
              <a:solidFill>
                <a:prstClr val="black"/>
              </a:solidFill>
              <a:round/>
            </a:ln>
            <a:effectLst/>
          </c:spPr>
          <c:marker>
            <c:symbol val="none"/>
          </c:marker>
          <c:xVal>
            <c:numRef>
              <c:f>Operation!$E$12:$O$12</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Operation!$E$29:$O$29</c:f>
              <c:numCache>
                <c:formatCode>#,##0</c:formatCode>
                <c:ptCount val="11"/>
                <c:pt idx="0">
                  <c:v>48304.204760115288</c:v>
                </c:pt>
                <c:pt idx="1">
                  <c:v>47301.444772295472</c:v>
                </c:pt>
                <c:pt idx="2">
                  <c:v>45145.868510883534</c:v>
                </c:pt>
                <c:pt idx="3">
                  <c:v>44143.108523063718</c:v>
                </c:pt>
                <c:pt idx="4">
                  <c:v>43140.348535243909</c:v>
                </c:pt>
                <c:pt idx="5">
                  <c:v>42137.588547424086</c:v>
                </c:pt>
                <c:pt idx="6">
                  <c:v>41134.828559604277</c:v>
                </c:pt>
                <c:pt idx="7">
                  <c:v>40132.068571784461</c:v>
                </c:pt>
                <c:pt idx="8">
                  <c:v>39129.308583964652</c:v>
                </c:pt>
                <c:pt idx="9">
                  <c:v>38126.548596144836</c:v>
                </c:pt>
                <c:pt idx="10">
                  <c:v>37123.78860832502</c:v>
                </c:pt>
              </c:numCache>
            </c:numRef>
          </c:yVal>
          <c:smooth val="0"/>
        </c:ser>
        <c:ser>
          <c:idx val="1"/>
          <c:order val="1"/>
          <c:tx>
            <c:v>Lowering</c:v>
          </c:tx>
          <c:spPr>
            <a:ln w="19050" cap="rnd">
              <a:solidFill>
                <a:prstClr val="black"/>
              </a:solidFill>
              <a:round/>
            </a:ln>
            <a:effectLst/>
          </c:spPr>
          <c:marker>
            <c:symbol val="none"/>
          </c:marker>
          <c:xVal>
            <c:numRef>
              <c:f>Operation!$E$12:$O$12</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Operation!$E$30:$O$30</c:f>
              <c:numCache>
                <c:formatCode>#,##0</c:formatCode>
                <c:ptCount val="11"/>
                <c:pt idx="0">
                  <c:v>25943.372456534755</c:v>
                </c:pt>
                <c:pt idx="1">
                  <c:v>26946.132444354567</c:v>
                </c:pt>
                <c:pt idx="2">
                  <c:v>29101.708705766505</c:v>
                </c:pt>
                <c:pt idx="3">
                  <c:v>30104.468693586321</c:v>
                </c:pt>
                <c:pt idx="4">
                  <c:v>31107.228681406134</c:v>
                </c:pt>
                <c:pt idx="5">
                  <c:v>32109.988669225946</c:v>
                </c:pt>
                <c:pt idx="6">
                  <c:v>33112.748657045762</c:v>
                </c:pt>
                <c:pt idx="7">
                  <c:v>34115.508644865578</c:v>
                </c:pt>
                <c:pt idx="8">
                  <c:v>35118.268632685395</c:v>
                </c:pt>
                <c:pt idx="9">
                  <c:v>36121.028620505203</c:v>
                </c:pt>
                <c:pt idx="10">
                  <c:v>37123.78860832502</c:v>
                </c:pt>
              </c:numCache>
            </c:numRef>
          </c:yVal>
          <c:smooth val="0"/>
        </c:ser>
        <c:dLbls>
          <c:showLegendKey val="0"/>
          <c:showVal val="0"/>
          <c:showCatName val="0"/>
          <c:showSerName val="0"/>
          <c:showPercent val="0"/>
          <c:showBubbleSize val="0"/>
        </c:dLbls>
        <c:axId val="221686536"/>
        <c:axId val="221687320"/>
      </c:scatterChart>
      <c:valAx>
        <c:axId val="221686536"/>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87320"/>
        <c:crosses val="autoZero"/>
        <c:crossBetween val="midCat"/>
        <c:majorUnit val="0.1"/>
      </c:valAx>
      <c:valAx>
        <c:axId val="2216873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8653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4.png"/></Relationships>
</file>

<file path=xl/drawings/_rels/drawing7.xml.rels><?xml version="1.0" encoding="UTF-8" standalone="yes"?>
<Relationships xmlns="http://schemas.openxmlformats.org/package/2006/relationships"><Relationship Id="rId1" Type="http://schemas.openxmlformats.org/officeDocument/2006/relationships/image" Target="../media/image15.jpg"/></Relationships>
</file>

<file path=xl/drawings/_rels/drawing8.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48</xdr:row>
          <xdr:rowOff>57150</xdr:rowOff>
        </xdr:from>
        <xdr:to>
          <xdr:col>8</xdr:col>
          <xdr:colOff>828675</xdr:colOff>
          <xdr:row>76</xdr:row>
          <xdr:rowOff>66675</xdr:rowOff>
        </xdr:to>
        <xdr:sp macro="" textlink="">
          <xdr:nvSpPr>
            <xdr:cNvPr id="25601" name="Object 7" hidden="1">
              <a:extLst>
                <a:ext uri="{63B3BB69-23CF-44E3-9099-C40C66FF867C}">
                  <a14:compatExt spid="_x0000_s25601"/>
                </a:ext>
                <a:ext uri="{FF2B5EF4-FFF2-40B4-BE49-F238E27FC236}">
                  <a16:creationId xmlns="" xmlns:a16="http://schemas.microsoft.com/office/drawing/2014/main" id="{00000000-0008-0000-0500-00003C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48</xdr:row>
          <xdr:rowOff>152400</xdr:rowOff>
        </xdr:from>
        <xdr:to>
          <xdr:col>8</xdr:col>
          <xdr:colOff>1285875</xdr:colOff>
          <xdr:row>74</xdr:row>
          <xdr:rowOff>57150</xdr:rowOff>
        </xdr:to>
        <xdr:sp macro="" textlink="">
          <xdr:nvSpPr>
            <xdr:cNvPr id="25602" name="Object 6" hidden="1">
              <a:extLst>
                <a:ext uri="{63B3BB69-23CF-44E3-9099-C40C66FF867C}">
                  <a14:compatExt spid="_x0000_s25602"/>
                </a:ext>
                <a:ext uri="{FF2B5EF4-FFF2-40B4-BE49-F238E27FC236}">
                  <a16:creationId xmlns="" xmlns:a16="http://schemas.microsoft.com/office/drawing/2014/main" id="{00000000-0008-0000-0500-000041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49</xdr:row>
          <xdr:rowOff>0</xdr:rowOff>
        </xdr:from>
        <xdr:to>
          <xdr:col>8</xdr:col>
          <xdr:colOff>2066925</xdr:colOff>
          <xdr:row>74</xdr:row>
          <xdr:rowOff>76200</xdr:rowOff>
        </xdr:to>
        <xdr:sp macro="" textlink="">
          <xdr:nvSpPr>
            <xdr:cNvPr id="25603" name="Object 5" hidden="1">
              <a:extLst>
                <a:ext uri="{63B3BB69-23CF-44E3-9099-C40C66FF867C}">
                  <a14:compatExt spid="_x0000_s25603"/>
                </a:ext>
                <a:ext uri="{FF2B5EF4-FFF2-40B4-BE49-F238E27FC236}">
                  <a16:creationId xmlns="" xmlns:a16="http://schemas.microsoft.com/office/drawing/2014/main" id="{00000000-0008-0000-0500-00003D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26</xdr:row>
          <xdr:rowOff>76200</xdr:rowOff>
        </xdr:from>
        <xdr:to>
          <xdr:col>8</xdr:col>
          <xdr:colOff>1514475</xdr:colOff>
          <xdr:row>37</xdr:row>
          <xdr:rowOff>142875</xdr:rowOff>
        </xdr:to>
        <xdr:sp macro="" textlink="">
          <xdr:nvSpPr>
            <xdr:cNvPr id="25604" name="Object 4" hidden="1">
              <a:extLst>
                <a:ext uri="{63B3BB69-23CF-44E3-9099-C40C66FF867C}">
                  <a14:compatExt spid="_x0000_s25604"/>
                </a:ext>
                <a:ext uri="{FF2B5EF4-FFF2-40B4-BE49-F238E27FC236}">
                  <a16:creationId xmlns="" xmlns:a16="http://schemas.microsoft.com/office/drawing/2014/main" id="{00000000-0008-0000-0500-000042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27</xdr:row>
          <xdr:rowOff>0</xdr:rowOff>
        </xdr:from>
        <xdr:to>
          <xdr:col>8</xdr:col>
          <xdr:colOff>2085975</xdr:colOff>
          <xdr:row>38</xdr:row>
          <xdr:rowOff>66675</xdr:rowOff>
        </xdr:to>
        <xdr:sp macro="" textlink="">
          <xdr:nvSpPr>
            <xdr:cNvPr id="25605" name="Object 3" hidden="1">
              <a:extLst>
                <a:ext uri="{63B3BB69-23CF-44E3-9099-C40C66FF867C}">
                  <a14:compatExt spid="_x0000_s25605"/>
                </a:ext>
                <a:ext uri="{FF2B5EF4-FFF2-40B4-BE49-F238E27FC236}">
                  <a16:creationId xmlns="" xmlns:a16="http://schemas.microsoft.com/office/drawing/2014/main" id="{00000000-0008-0000-0500-00003E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5</xdr:row>
          <xdr:rowOff>9525</xdr:rowOff>
        </xdr:from>
        <xdr:to>
          <xdr:col>8</xdr:col>
          <xdr:colOff>1333500</xdr:colOff>
          <xdr:row>16</xdr:row>
          <xdr:rowOff>0</xdr:rowOff>
        </xdr:to>
        <xdr:sp macro="" textlink="">
          <xdr:nvSpPr>
            <xdr:cNvPr id="25606" name="Object 2" hidden="1">
              <a:extLst>
                <a:ext uri="{63B3BB69-23CF-44E3-9099-C40C66FF867C}">
                  <a14:compatExt spid="_x0000_s25606"/>
                </a:ext>
                <a:ext uri="{FF2B5EF4-FFF2-40B4-BE49-F238E27FC236}">
                  <a16:creationId xmlns="" xmlns:a16="http://schemas.microsoft.com/office/drawing/2014/main" id="{00000000-0008-0000-0500-0000432C0000}"/>
                </a:ext>
              </a:extLst>
            </xdr:cNvPr>
            <xdr:cNvSpPr/>
          </xdr:nvSpPr>
          <xdr:spPr bwMode="auto">
            <a:xfrm>
              <a:off x="0" y="0"/>
              <a:ext cx="0" cy="0"/>
            </a:xfrm>
            <a:prstGeom prst="rect">
              <a:avLst/>
            </a:prstGeom>
            <a:noFill/>
            <a:extLst>
              <a:ext uri="{909E8E84-426E-40DD-AFC4-6F175D3DCCD1}">
                <a14:hiddenFill>
                  <a:solidFill>
                    <a:srgbClr val="CCFFFF" mc:Ignorable="a14" a14:legacySpreadsheetColorIndex="2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4</xdr:row>
          <xdr:rowOff>95250</xdr:rowOff>
        </xdr:from>
        <xdr:to>
          <xdr:col>8</xdr:col>
          <xdr:colOff>1933575</xdr:colOff>
          <xdr:row>17</xdr:row>
          <xdr:rowOff>9525</xdr:rowOff>
        </xdr:to>
        <xdr:sp macro="" textlink="">
          <xdr:nvSpPr>
            <xdr:cNvPr id="25607" name="Object 1" hidden="1">
              <a:extLst>
                <a:ext uri="{63B3BB69-23CF-44E3-9099-C40C66FF867C}">
                  <a14:compatExt spid="_x0000_s25607"/>
                </a:ext>
                <a:ext uri="{FF2B5EF4-FFF2-40B4-BE49-F238E27FC236}">
                  <a16:creationId xmlns="" xmlns:a16="http://schemas.microsoft.com/office/drawing/2014/main" id="{00000000-0008-0000-0500-00003F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48</xdr:row>
          <xdr:rowOff>152400</xdr:rowOff>
        </xdr:from>
        <xdr:to>
          <xdr:col>8</xdr:col>
          <xdr:colOff>1285875</xdr:colOff>
          <xdr:row>74</xdr:row>
          <xdr:rowOff>57150</xdr:rowOff>
        </xdr:to>
        <xdr:sp macro="" textlink="">
          <xdr:nvSpPr>
            <xdr:cNvPr id="25610" name="Object 6" hidden="1">
              <a:extLst>
                <a:ext uri="{63B3BB69-23CF-44E3-9099-C40C66FF867C}">
                  <a14:compatExt spid="_x0000_s25610"/>
                </a:ext>
                <a:ext uri="{FF2B5EF4-FFF2-40B4-BE49-F238E27FC236}">
                  <a16:creationId xmlns:a16="http://schemas.microsoft.com/office/drawing/2014/main" xmlns="" id="{00000000-0008-0000-0500-000041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49</xdr:row>
          <xdr:rowOff>0</xdr:rowOff>
        </xdr:from>
        <xdr:to>
          <xdr:col>8</xdr:col>
          <xdr:colOff>2066925</xdr:colOff>
          <xdr:row>74</xdr:row>
          <xdr:rowOff>76200</xdr:rowOff>
        </xdr:to>
        <xdr:sp macro="" textlink="">
          <xdr:nvSpPr>
            <xdr:cNvPr id="25611" name="Object 5" hidden="1">
              <a:extLst>
                <a:ext uri="{63B3BB69-23CF-44E3-9099-C40C66FF867C}">
                  <a14:compatExt spid="_x0000_s25611"/>
                </a:ext>
                <a:ext uri="{FF2B5EF4-FFF2-40B4-BE49-F238E27FC236}">
                  <a16:creationId xmlns:a16="http://schemas.microsoft.com/office/drawing/2014/main" xmlns="" id="{00000000-0008-0000-0500-00003D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27</xdr:row>
          <xdr:rowOff>0</xdr:rowOff>
        </xdr:from>
        <xdr:to>
          <xdr:col>8</xdr:col>
          <xdr:colOff>2085975</xdr:colOff>
          <xdr:row>38</xdr:row>
          <xdr:rowOff>66675</xdr:rowOff>
        </xdr:to>
        <xdr:sp macro="" textlink="">
          <xdr:nvSpPr>
            <xdr:cNvPr id="25613" name="Object 3" hidden="1">
              <a:extLst>
                <a:ext uri="{63B3BB69-23CF-44E3-9099-C40C66FF867C}">
                  <a14:compatExt spid="_x0000_s25613"/>
                </a:ext>
                <a:ext uri="{FF2B5EF4-FFF2-40B4-BE49-F238E27FC236}">
                  <a16:creationId xmlns:a16="http://schemas.microsoft.com/office/drawing/2014/main" xmlns="" id="{00000000-0008-0000-0500-00003E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5</xdr:row>
          <xdr:rowOff>0</xdr:rowOff>
        </xdr:from>
        <xdr:to>
          <xdr:col>8</xdr:col>
          <xdr:colOff>2066925</xdr:colOff>
          <xdr:row>17</xdr:row>
          <xdr:rowOff>104775</xdr:rowOff>
        </xdr:to>
        <xdr:sp macro="" textlink="">
          <xdr:nvSpPr>
            <xdr:cNvPr id="25615" name="Object 1" hidden="1">
              <a:extLst>
                <a:ext uri="{63B3BB69-23CF-44E3-9099-C40C66FF867C}">
                  <a14:compatExt spid="_x0000_s25615"/>
                </a:ext>
                <a:ext uri="{FF2B5EF4-FFF2-40B4-BE49-F238E27FC236}">
                  <a16:creationId xmlns:a16="http://schemas.microsoft.com/office/drawing/2014/main" xmlns="" id="{00000000-0008-0000-0500-00003F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742950</xdr:colOff>
          <xdr:row>5</xdr:row>
          <xdr:rowOff>28575</xdr:rowOff>
        </xdr:from>
        <xdr:to>
          <xdr:col>4</xdr:col>
          <xdr:colOff>2771775</xdr:colOff>
          <xdr:row>43</xdr:row>
          <xdr:rowOff>114300</xdr:rowOff>
        </xdr:to>
        <xdr:sp macro="" textlink="">
          <xdr:nvSpPr>
            <xdr:cNvPr id="9217" name="Object 20" hidden="1">
              <a:extLst>
                <a:ext uri="{63B3BB69-23CF-44E3-9099-C40C66FF867C}">
                  <a14:compatExt spid="_x0000_s9217"/>
                </a:ext>
                <a:ext uri="{FF2B5EF4-FFF2-40B4-BE49-F238E27FC236}">
                  <a16:creationId xmlns="" xmlns:a16="http://schemas.microsoft.com/office/drawing/2014/main" id="{00000000-0008-0000-07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161925</xdr:colOff>
          <xdr:row>122</xdr:row>
          <xdr:rowOff>180975</xdr:rowOff>
        </xdr:from>
        <xdr:to>
          <xdr:col>6</xdr:col>
          <xdr:colOff>628650</xdr:colOff>
          <xdr:row>138</xdr:row>
          <xdr:rowOff>38100</xdr:rowOff>
        </xdr:to>
        <xdr:sp macro="" textlink="">
          <xdr:nvSpPr>
            <xdr:cNvPr id="9218" name="Object 21"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161925</xdr:colOff>
          <xdr:row>153</xdr:row>
          <xdr:rowOff>9525</xdr:rowOff>
        </xdr:from>
        <xdr:to>
          <xdr:col>15</xdr:col>
          <xdr:colOff>257175</xdr:colOff>
          <xdr:row>171</xdr:row>
          <xdr:rowOff>142875</xdr:rowOff>
        </xdr:to>
        <xdr:sp macro="" textlink="">
          <xdr:nvSpPr>
            <xdr:cNvPr id="9219" name="Object 22" hidden="1">
              <a:extLst>
                <a:ext uri="{63B3BB69-23CF-44E3-9099-C40C66FF867C}">
                  <a14:compatExt spid="_x0000_s9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161925</xdr:colOff>
          <xdr:row>122</xdr:row>
          <xdr:rowOff>171450</xdr:rowOff>
        </xdr:from>
        <xdr:to>
          <xdr:col>17</xdr:col>
          <xdr:colOff>161925</xdr:colOff>
          <xdr:row>137</xdr:row>
          <xdr:rowOff>19050</xdr:rowOff>
        </xdr:to>
        <xdr:sp macro="" textlink="">
          <xdr:nvSpPr>
            <xdr:cNvPr id="9220" name="Object 23" hidden="1">
              <a:extLst>
                <a:ext uri="{63B3BB69-23CF-44E3-9099-C40C66FF867C}">
                  <a14:compatExt spid="_x0000_s9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161925</xdr:colOff>
          <xdr:row>150</xdr:row>
          <xdr:rowOff>180975</xdr:rowOff>
        </xdr:from>
        <xdr:to>
          <xdr:col>5</xdr:col>
          <xdr:colOff>123825</xdr:colOff>
          <xdr:row>169</xdr:row>
          <xdr:rowOff>114300</xdr:rowOff>
        </xdr:to>
        <xdr:sp macro="" textlink="">
          <xdr:nvSpPr>
            <xdr:cNvPr id="9221" name="Object 24" hidden="1">
              <a:extLst>
                <a:ext uri="{63B3BB69-23CF-44E3-9099-C40C66FF867C}">
                  <a14:compatExt spid="_x0000_s9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238125</xdr:colOff>
          <xdr:row>6</xdr:row>
          <xdr:rowOff>28575</xdr:rowOff>
        </xdr:from>
        <xdr:to>
          <xdr:col>6</xdr:col>
          <xdr:colOff>2438400</xdr:colOff>
          <xdr:row>18</xdr:row>
          <xdr:rowOff>123825</xdr:rowOff>
        </xdr:to>
        <xdr:sp macro="" textlink="">
          <xdr:nvSpPr>
            <xdr:cNvPr id="33793" name="Object 1" hidden="1">
              <a:extLst>
                <a:ext uri="{63B3BB69-23CF-44E3-9099-C40C66FF867C}">
                  <a14:compatExt spid="_x0000_s33793"/>
                </a:ext>
                <a:ext uri="{FF2B5EF4-FFF2-40B4-BE49-F238E27FC236}">
                  <a16:creationId xmlns:a16="http://schemas.microsoft.com/office/drawing/2014/main" xmlns="" id="{00000000-0008-0000-08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2771775</xdr:colOff>
          <xdr:row>4</xdr:row>
          <xdr:rowOff>28575</xdr:rowOff>
        </xdr:from>
        <xdr:to>
          <xdr:col>6</xdr:col>
          <xdr:colOff>6172200</xdr:colOff>
          <xdr:row>25</xdr:row>
          <xdr:rowOff>66675</xdr:rowOff>
        </xdr:to>
        <xdr:sp macro="" textlink="">
          <xdr:nvSpPr>
            <xdr:cNvPr id="33794" name="Object 2" hidden="1">
              <a:extLst>
                <a:ext uri="{63B3BB69-23CF-44E3-9099-C40C66FF867C}">
                  <a14:compatExt spid="_x0000_s33794"/>
                </a:ext>
                <a:ext uri="{FF2B5EF4-FFF2-40B4-BE49-F238E27FC236}">
                  <a16:creationId xmlns:a16="http://schemas.microsoft.com/office/drawing/2014/main" xmlns="" id="{00000000-0008-0000-08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27</xdr:row>
          <xdr:rowOff>114300</xdr:rowOff>
        </xdr:from>
        <xdr:to>
          <xdr:col>6</xdr:col>
          <xdr:colOff>6305550</xdr:colOff>
          <xdr:row>51</xdr:row>
          <xdr:rowOff>19050</xdr:rowOff>
        </xdr:to>
        <xdr:sp macro="" textlink="">
          <xdr:nvSpPr>
            <xdr:cNvPr id="33795" name="Object 3" hidden="1">
              <a:extLst>
                <a:ext uri="{63B3BB69-23CF-44E3-9099-C40C66FF867C}">
                  <a14:compatExt spid="_x0000_s33795"/>
                </a:ext>
                <a:ext uri="{FF2B5EF4-FFF2-40B4-BE49-F238E27FC236}">
                  <a16:creationId xmlns:a16="http://schemas.microsoft.com/office/drawing/2014/main" xmlns="" id="{00000000-0008-0000-08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62</xdr:row>
          <xdr:rowOff>0</xdr:rowOff>
        </xdr:from>
        <xdr:to>
          <xdr:col>8</xdr:col>
          <xdr:colOff>400050</xdr:colOff>
          <xdr:row>77</xdr:row>
          <xdr:rowOff>47625</xdr:rowOff>
        </xdr:to>
        <xdr:sp macro="" textlink="">
          <xdr:nvSpPr>
            <xdr:cNvPr id="17409" name="Object 1" hidden="1">
              <a:extLst>
                <a:ext uri="{63B3BB69-23CF-44E3-9099-C40C66FF867C}">
                  <a14:compatExt spid="_x0000_s17409"/>
                </a:ext>
                <a:ext uri="{FF2B5EF4-FFF2-40B4-BE49-F238E27FC236}">
                  <a16:creationId xmlns:a16="http://schemas.microsoft.com/office/drawing/2014/main" xmlns="" id="{00000000-0008-0000-0A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8</xdr:col>
          <xdr:colOff>400050</xdr:colOff>
          <xdr:row>21</xdr:row>
          <xdr:rowOff>47625</xdr:rowOff>
        </xdr:to>
        <xdr:sp macro="" textlink="">
          <xdr:nvSpPr>
            <xdr:cNvPr id="17410" name="Object 2" hidden="1">
              <a:extLst>
                <a:ext uri="{63B3BB69-23CF-44E3-9099-C40C66FF867C}">
                  <a14:compatExt spid="_x0000_s17410"/>
                </a:ext>
                <a:ext uri="{FF2B5EF4-FFF2-40B4-BE49-F238E27FC236}">
                  <a16:creationId xmlns:a16="http://schemas.microsoft.com/office/drawing/2014/main" xmlns="" id="{00000000-0008-0000-0A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646112</xdr:colOff>
      <xdr:row>31</xdr:row>
      <xdr:rowOff>50800</xdr:rowOff>
    </xdr:from>
    <xdr:to>
      <xdr:col>11</xdr:col>
      <xdr:colOff>285750</xdr:colOff>
      <xdr:row>50</xdr:row>
      <xdr:rowOff>17439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51668</xdr:colOff>
      <xdr:row>68</xdr:row>
      <xdr:rowOff>65631</xdr:rowOff>
    </xdr:from>
    <xdr:to>
      <xdr:col>21</xdr:col>
      <xdr:colOff>379173</xdr:colOff>
      <xdr:row>90</xdr:row>
      <xdr:rowOff>113256</xdr:rowOff>
    </xdr:to>
    <xdr:pic>
      <xdr:nvPicPr>
        <xdr:cNvPr id="2" name="Picture 1"/>
        <xdr:cNvPicPr>
          <a:picLocks noChangeAspect="1"/>
        </xdr:cNvPicPr>
      </xdr:nvPicPr>
      <xdr:blipFill rotWithShape="1">
        <a:blip xmlns:r="http://schemas.openxmlformats.org/officeDocument/2006/relationships" r:embed="rId1"/>
        <a:srcRect l="5052" t="25784" r="40915" b="16526"/>
        <a:stretch/>
      </xdr:blipFill>
      <xdr:spPr>
        <a:xfrm>
          <a:off x="12290641" y="10791042"/>
          <a:ext cx="7073293" cy="408048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95250</xdr:colOff>
      <xdr:row>127</xdr:row>
      <xdr:rowOff>145676</xdr:rowOff>
    </xdr:from>
    <xdr:to>
      <xdr:col>9</xdr:col>
      <xdr:colOff>721179</xdr:colOff>
      <xdr:row>342</xdr:row>
      <xdr:rowOff>126467</xdr:rowOff>
    </xdr:to>
    <xdr:pic>
      <xdr:nvPicPr>
        <xdr:cNvPr id="3" name="object x" hidden="1"/>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6794" t="3068" r="31121" b="33249"/>
        <a:stretch/>
      </xdr:blipFill>
      <xdr:spPr>
        <a:xfrm>
          <a:off x="5143500" y="23032890"/>
          <a:ext cx="4735286" cy="275664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16</xdr:col>
      <xdr:colOff>114300</xdr:colOff>
      <xdr:row>11</xdr:row>
      <xdr:rowOff>0</xdr:rowOff>
    </xdr:from>
    <xdr:to>
      <xdr:col>27</xdr:col>
      <xdr:colOff>542925</xdr:colOff>
      <xdr:row>41</xdr:row>
      <xdr:rowOff>85726</xdr:rowOff>
    </xdr:to>
    <xdr:pic>
      <xdr:nvPicPr>
        <xdr:cNvPr id="2" name="Picture 1"/>
        <xdr:cNvPicPr>
          <a:picLocks noChangeAspect="1"/>
        </xdr:cNvPicPr>
      </xdr:nvPicPr>
      <xdr:blipFill rotWithShape="1">
        <a:blip xmlns:r="http://schemas.openxmlformats.org/officeDocument/2006/relationships" r:embed="rId1"/>
        <a:srcRect l="22698" t="18384" r="22464" b="13950"/>
        <a:stretch/>
      </xdr:blipFill>
      <xdr:spPr>
        <a:xfrm>
          <a:off x="12239625" y="1781175"/>
          <a:ext cx="7134225" cy="494347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Ell\Desktop\26Nov2017\vertgate_201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okarna.pyakurel\Desktop\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eam Spacing"/>
      <sheetName val="Define Beam"/>
      <sheetName val="Stiffeners"/>
      <sheetName val="SecProp"/>
      <sheetName val="Stress"/>
      <sheetName val="Seals"/>
      <sheetName val="Wheel Spacing"/>
      <sheetName val="Wheel Design"/>
      <sheetName val="Downpull"/>
      <sheetName val="Lib"/>
      <sheetName val="Plates"/>
      <sheetName val="Weight &amp; cg"/>
      <sheetName val="Ope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5">
          <cell r="A5" t="str">
            <v>W 44 x 335</v>
          </cell>
        </row>
        <row r="6">
          <cell r="A6" t="str">
            <v>W 44 x 290</v>
          </cell>
        </row>
        <row r="7">
          <cell r="A7" t="str">
            <v>W 44 x 262</v>
          </cell>
        </row>
        <row r="8">
          <cell r="A8" t="str">
            <v>W 44 x 230</v>
          </cell>
        </row>
        <row r="9">
          <cell r="A9" t="str">
            <v>W 40 x 593</v>
          </cell>
        </row>
        <row r="10">
          <cell r="A10" t="str">
            <v>W 40 x 503</v>
          </cell>
        </row>
        <row r="11">
          <cell r="A11" t="str">
            <v>W 40 x 431</v>
          </cell>
        </row>
        <row r="12">
          <cell r="A12" t="str">
            <v>W 40 x 397</v>
          </cell>
        </row>
        <row r="13">
          <cell r="A13" t="str">
            <v>W 40 x 372</v>
          </cell>
        </row>
        <row r="14">
          <cell r="A14" t="str">
            <v>W 40 x 362</v>
          </cell>
        </row>
        <row r="15">
          <cell r="A15" t="str">
            <v>W 40 x 324</v>
          </cell>
        </row>
        <row r="16">
          <cell r="A16" t="str">
            <v>W 40 x 297</v>
          </cell>
        </row>
        <row r="17">
          <cell r="A17" t="str">
            <v>W 40 x 277</v>
          </cell>
        </row>
        <row r="18">
          <cell r="A18" t="str">
            <v>W 40 x 249</v>
          </cell>
        </row>
        <row r="19">
          <cell r="A19" t="str">
            <v>W 40 x 215</v>
          </cell>
        </row>
        <row r="20">
          <cell r="A20" t="str">
            <v>W 40 x 199</v>
          </cell>
        </row>
        <row r="21">
          <cell r="A21" t="str">
            <v>W 40 x 392</v>
          </cell>
        </row>
        <row r="22">
          <cell r="A22" t="str">
            <v>W 40 x 331</v>
          </cell>
        </row>
        <row r="23">
          <cell r="A23" t="str">
            <v>W 40 x 327</v>
          </cell>
        </row>
        <row r="24">
          <cell r="A24" t="str">
            <v>W 40 x 294</v>
          </cell>
        </row>
        <row r="25">
          <cell r="A25" t="str">
            <v>W 40 x 278</v>
          </cell>
        </row>
        <row r="26">
          <cell r="A26" t="str">
            <v>W 40 x 264</v>
          </cell>
        </row>
        <row r="27">
          <cell r="A27" t="str">
            <v>W 40 x 235</v>
          </cell>
        </row>
        <row r="28">
          <cell r="A28" t="str">
            <v>W 40 x 211</v>
          </cell>
        </row>
        <row r="29">
          <cell r="A29" t="str">
            <v>W 40 x 183</v>
          </cell>
        </row>
        <row r="30">
          <cell r="A30" t="str">
            <v>W 40 x 167</v>
          </cell>
        </row>
        <row r="31">
          <cell r="A31" t="str">
            <v>W 40 x 149</v>
          </cell>
        </row>
        <row r="32">
          <cell r="A32" t="str">
            <v>W 36 x 800</v>
          </cell>
        </row>
        <row r="33">
          <cell r="A33" t="str">
            <v>W 36 x 652</v>
          </cell>
        </row>
        <row r="34">
          <cell r="A34" t="str">
            <v>W 36 x 529</v>
          </cell>
        </row>
        <row r="35">
          <cell r="A35" t="str">
            <v>W 36 x 487</v>
          </cell>
        </row>
        <row r="36">
          <cell r="A36" t="str">
            <v>W 36 x 441</v>
          </cell>
        </row>
        <row r="37">
          <cell r="A37" t="str">
            <v>W 36 x 395</v>
          </cell>
        </row>
        <row r="38">
          <cell r="A38" t="str">
            <v>W 36 x 361</v>
          </cell>
        </row>
        <row r="39">
          <cell r="A39" t="str">
            <v>W 36 x 330</v>
          </cell>
        </row>
        <row r="40">
          <cell r="A40" t="str">
            <v>W 36 x 302</v>
          </cell>
        </row>
        <row r="41">
          <cell r="A41" t="str">
            <v>W 36 x 282</v>
          </cell>
        </row>
        <row r="42">
          <cell r="A42" t="str">
            <v>W 36 x 262</v>
          </cell>
        </row>
        <row r="43">
          <cell r="A43" t="str">
            <v>W 36 x 247</v>
          </cell>
        </row>
        <row r="44">
          <cell r="A44" t="str">
            <v>W 36 x 231</v>
          </cell>
        </row>
        <row r="45">
          <cell r="A45" t="str">
            <v>W 36 x 256</v>
          </cell>
        </row>
        <row r="46">
          <cell r="A46" t="str">
            <v>W 36 x 232</v>
          </cell>
        </row>
        <row r="47">
          <cell r="A47" t="str">
            <v>W 36 x 210</v>
          </cell>
        </row>
        <row r="48">
          <cell r="A48" t="str">
            <v>W 36 x 194</v>
          </cell>
        </row>
        <row r="49">
          <cell r="A49" t="str">
            <v>W 36 x 182</v>
          </cell>
        </row>
        <row r="50">
          <cell r="A50" t="str">
            <v>W 36 x 170</v>
          </cell>
        </row>
        <row r="51">
          <cell r="A51" t="str">
            <v>W 36 x 160</v>
          </cell>
        </row>
        <row r="52">
          <cell r="A52" t="str">
            <v>W 36 x 150</v>
          </cell>
        </row>
        <row r="53">
          <cell r="A53" t="str">
            <v>W 36 x 135</v>
          </cell>
        </row>
        <row r="54">
          <cell r="A54" t="str">
            <v>W 33 x 387</v>
          </cell>
        </row>
        <row r="55">
          <cell r="A55" t="str">
            <v>W 33 x 354</v>
          </cell>
        </row>
        <row r="56">
          <cell r="A56" t="str">
            <v>W 33 x 318</v>
          </cell>
        </row>
        <row r="57">
          <cell r="A57" t="str">
            <v>W 33 x 291</v>
          </cell>
        </row>
        <row r="58">
          <cell r="A58" t="str">
            <v>W 33 x 263</v>
          </cell>
        </row>
        <row r="59">
          <cell r="A59" t="str">
            <v>W 33 x 241</v>
          </cell>
        </row>
        <row r="60">
          <cell r="A60" t="str">
            <v>W 33 x 221</v>
          </cell>
        </row>
        <row r="61">
          <cell r="A61" t="str">
            <v>W 33 x 201</v>
          </cell>
        </row>
        <row r="62">
          <cell r="A62" t="str">
            <v>W 33 x 169</v>
          </cell>
        </row>
        <row r="63">
          <cell r="A63" t="str">
            <v>W 33 x 152</v>
          </cell>
        </row>
        <row r="64">
          <cell r="A64" t="str">
            <v>W 33 x 141</v>
          </cell>
        </row>
        <row r="65">
          <cell r="A65" t="str">
            <v>W 33 x 130</v>
          </cell>
        </row>
        <row r="66">
          <cell r="A66" t="str">
            <v>W 33 x 118</v>
          </cell>
        </row>
        <row r="67">
          <cell r="A67" t="str">
            <v>W 30 x 391</v>
          </cell>
        </row>
        <row r="68">
          <cell r="A68" t="str">
            <v>W 30 x 357</v>
          </cell>
        </row>
        <row r="69">
          <cell r="A69" t="str">
            <v>W 30 x 326</v>
          </cell>
        </row>
        <row r="70">
          <cell r="A70" t="str">
            <v>W 30 x 292</v>
          </cell>
        </row>
        <row r="71">
          <cell r="A71" t="str">
            <v>W 30 x 261</v>
          </cell>
        </row>
        <row r="72">
          <cell r="A72" t="str">
            <v>W 30 x 235</v>
          </cell>
        </row>
        <row r="73">
          <cell r="A73" t="str">
            <v>W 30 x 211</v>
          </cell>
        </row>
        <row r="74">
          <cell r="A74" t="str">
            <v>W 30 x 191</v>
          </cell>
        </row>
        <row r="75">
          <cell r="A75" t="str">
            <v>W 30 x 173</v>
          </cell>
        </row>
        <row r="76">
          <cell r="A76" t="str">
            <v>W 30 x 148</v>
          </cell>
        </row>
        <row r="77">
          <cell r="A77" t="str">
            <v>W 30 x 132</v>
          </cell>
        </row>
        <row r="78">
          <cell r="A78" t="str">
            <v>W 30 x 124</v>
          </cell>
        </row>
        <row r="79">
          <cell r="A79" t="str">
            <v>W 30 x 116</v>
          </cell>
        </row>
        <row r="80">
          <cell r="A80" t="str">
            <v>W 30 x 108</v>
          </cell>
        </row>
        <row r="81">
          <cell r="A81" t="str">
            <v>W 30 x 99</v>
          </cell>
        </row>
        <row r="82">
          <cell r="A82" t="str">
            <v>W 30 x 90</v>
          </cell>
        </row>
        <row r="83">
          <cell r="A83" t="str">
            <v>W 27 x 539</v>
          </cell>
        </row>
        <row r="84">
          <cell r="A84" t="str">
            <v>W 27 x 368</v>
          </cell>
        </row>
        <row r="85">
          <cell r="A85" t="str">
            <v>W 27 x 336</v>
          </cell>
        </row>
        <row r="86">
          <cell r="A86" t="str">
            <v>W 27 x 307</v>
          </cell>
        </row>
        <row r="87">
          <cell r="A87" t="str">
            <v>W 27 x 281</v>
          </cell>
        </row>
        <row r="88">
          <cell r="A88" t="str">
            <v>W 27 x 258</v>
          </cell>
        </row>
        <row r="89">
          <cell r="A89" t="str">
            <v>W 27 x 235</v>
          </cell>
        </row>
        <row r="90">
          <cell r="A90" t="str">
            <v>W 27 x 217</v>
          </cell>
        </row>
        <row r="91">
          <cell r="A91" t="str">
            <v>W 27 x 194</v>
          </cell>
        </row>
        <row r="92">
          <cell r="A92" t="str">
            <v>W 27 x 178</v>
          </cell>
        </row>
        <row r="93">
          <cell r="A93" t="str">
            <v>W 27 x 161</v>
          </cell>
        </row>
        <row r="94">
          <cell r="A94" t="str">
            <v>W 27 x 146</v>
          </cell>
        </row>
        <row r="95">
          <cell r="A95" t="str">
            <v>W 27 x 129</v>
          </cell>
        </row>
        <row r="96">
          <cell r="A96" t="str">
            <v>W 27 x 114</v>
          </cell>
        </row>
        <row r="97">
          <cell r="A97" t="str">
            <v>W 27 x 102</v>
          </cell>
        </row>
        <row r="98">
          <cell r="A98" t="str">
            <v>W 27 x 94</v>
          </cell>
        </row>
        <row r="99">
          <cell r="A99" t="str">
            <v>W 27 x 84</v>
          </cell>
        </row>
        <row r="100">
          <cell r="A100" t="str">
            <v>W 24 x 370</v>
          </cell>
        </row>
        <row r="101">
          <cell r="A101" t="str">
            <v>W 24 x 335</v>
          </cell>
        </row>
        <row r="102">
          <cell r="A102" t="str">
            <v>W 24 x 306</v>
          </cell>
        </row>
        <row r="103">
          <cell r="A103" t="str">
            <v>W 24 x 279</v>
          </cell>
        </row>
        <row r="104">
          <cell r="A104" t="str">
            <v>W 24 x 250</v>
          </cell>
        </row>
        <row r="105">
          <cell r="A105" t="str">
            <v>W 24 x 229</v>
          </cell>
        </row>
        <row r="106">
          <cell r="A106" t="str">
            <v>W 24 x 207</v>
          </cell>
        </row>
        <row r="107">
          <cell r="A107" t="str">
            <v>W 24 x 192</v>
          </cell>
        </row>
        <row r="108">
          <cell r="A108" t="str">
            <v>W 24 x 176</v>
          </cell>
        </row>
        <row r="109">
          <cell r="A109" t="str">
            <v>W 24 x 162</v>
          </cell>
        </row>
        <row r="110">
          <cell r="A110" t="str">
            <v>W 24 x 146</v>
          </cell>
        </row>
        <row r="111">
          <cell r="A111" t="str">
            <v>W 24 x 131</v>
          </cell>
        </row>
        <row r="112">
          <cell r="A112" t="str">
            <v>W 24 x 117</v>
          </cell>
        </row>
        <row r="113">
          <cell r="A113" t="str">
            <v>W 24 x 104</v>
          </cell>
        </row>
        <row r="114">
          <cell r="A114" t="str">
            <v>W 24 x 103</v>
          </cell>
        </row>
        <row r="115">
          <cell r="A115" t="str">
            <v>W 24 x 94</v>
          </cell>
        </row>
        <row r="116">
          <cell r="A116" t="str">
            <v>W 24 x 84</v>
          </cell>
        </row>
        <row r="117">
          <cell r="A117" t="str">
            <v>W 24 x 76</v>
          </cell>
        </row>
        <row r="118">
          <cell r="A118" t="str">
            <v>W 24 x 68</v>
          </cell>
        </row>
        <row r="119">
          <cell r="A119" t="str">
            <v>W 24 x 62</v>
          </cell>
        </row>
        <row r="120">
          <cell r="A120" t="str">
            <v>W 24 x 55</v>
          </cell>
        </row>
        <row r="121">
          <cell r="A121" t="str">
            <v>W 21 x 201</v>
          </cell>
        </row>
        <row r="122">
          <cell r="A122" t="str">
            <v>W 21 x 182</v>
          </cell>
        </row>
        <row r="123">
          <cell r="A123" t="str">
            <v>W 21 x 166</v>
          </cell>
        </row>
        <row r="124">
          <cell r="A124" t="str">
            <v>W 21 x 147</v>
          </cell>
        </row>
        <row r="125">
          <cell r="A125" t="str">
            <v>W 21 x 132</v>
          </cell>
        </row>
        <row r="126">
          <cell r="A126" t="str">
            <v>W 21 x 122</v>
          </cell>
        </row>
        <row r="127">
          <cell r="A127" t="str">
            <v>W 21 x 111</v>
          </cell>
        </row>
        <row r="128">
          <cell r="A128" t="str">
            <v>W 21 x 101</v>
          </cell>
        </row>
        <row r="129">
          <cell r="A129" t="str">
            <v>W 21 x 93</v>
          </cell>
        </row>
        <row r="130">
          <cell r="A130" t="str">
            <v>W 21 x 83</v>
          </cell>
        </row>
        <row r="131">
          <cell r="A131" t="str">
            <v>W 21 x 73</v>
          </cell>
        </row>
        <row r="132">
          <cell r="A132" t="str">
            <v>W 21 x 68</v>
          </cell>
        </row>
        <row r="133">
          <cell r="A133" t="str">
            <v>W 21 x 62</v>
          </cell>
        </row>
        <row r="134">
          <cell r="A134" t="str">
            <v>W 21 x 55</v>
          </cell>
        </row>
        <row r="135">
          <cell r="A135" t="str">
            <v>W 21 x 48</v>
          </cell>
        </row>
        <row r="136">
          <cell r="A136" t="str">
            <v>W 21 x 57</v>
          </cell>
        </row>
        <row r="137">
          <cell r="A137" t="str">
            <v>W 21 x 50</v>
          </cell>
        </row>
        <row r="138">
          <cell r="A138" t="str">
            <v>W 21 x 44</v>
          </cell>
        </row>
        <row r="139">
          <cell r="A139" t="str">
            <v>W 18 x 311</v>
          </cell>
        </row>
        <row r="140">
          <cell r="A140" t="str">
            <v>W 18 x 283</v>
          </cell>
        </row>
        <row r="141">
          <cell r="A141" t="str">
            <v>W 18 x 258</v>
          </cell>
        </row>
        <row r="142">
          <cell r="A142" t="str">
            <v>W 18 x 234</v>
          </cell>
        </row>
        <row r="143">
          <cell r="A143" t="str">
            <v>W 18 x 211</v>
          </cell>
        </row>
        <row r="144">
          <cell r="A144" t="str">
            <v>W 18 x 192</v>
          </cell>
        </row>
        <row r="145">
          <cell r="A145" t="str">
            <v>W 18 x 175</v>
          </cell>
        </row>
        <row r="146">
          <cell r="A146" t="str">
            <v>W 18 x 158</v>
          </cell>
        </row>
        <row r="147">
          <cell r="A147" t="str">
            <v>W 18 x 143</v>
          </cell>
        </row>
        <row r="148">
          <cell r="A148" t="str">
            <v>W 18 x 130</v>
          </cell>
        </row>
        <row r="149">
          <cell r="A149" t="str">
            <v>W 18 x 119</v>
          </cell>
        </row>
        <row r="150">
          <cell r="A150" t="str">
            <v>W 18 x 106</v>
          </cell>
        </row>
        <row r="151">
          <cell r="A151" t="str">
            <v>W 18 x 97</v>
          </cell>
        </row>
        <row r="152">
          <cell r="A152" t="str">
            <v>W 18 x 86</v>
          </cell>
        </row>
        <row r="153">
          <cell r="A153" t="str">
            <v>W 18 x 76</v>
          </cell>
        </row>
        <row r="154">
          <cell r="A154" t="str">
            <v>W 18 x 71</v>
          </cell>
        </row>
        <row r="155">
          <cell r="A155" t="str">
            <v>W 18 x 65</v>
          </cell>
        </row>
        <row r="156">
          <cell r="A156" t="str">
            <v>W 18 x 60</v>
          </cell>
        </row>
        <row r="157">
          <cell r="A157" t="str">
            <v>W 18 x 55</v>
          </cell>
        </row>
        <row r="158">
          <cell r="A158" t="str">
            <v>W 18 x 50</v>
          </cell>
        </row>
        <row r="159">
          <cell r="A159" t="str">
            <v>W 18 x 46</v>
          </cell>
        </row>
        <row r="160">
          <cell r="A160" t="str">
            <v>W 18 x 40</v>
          </cell>
        </row>
        <row r="161">
          <cell r="A161" t="str">
            <v>W 18 x 35</v>
          </cell>
        </row>
        <row r="162">
          <cell r="A162" t="str">
            <v>W 16 x 100</v>
          </cell>
        </row>
        <row r="163">
          <cell r="A163" t="str">
            <v>W 16 x 89</v>
          </cell>
        </row>
        <row r="164">
          <cell r="A164" t="str">
            <v>W 16 x 77</v>
          </cell>
        </row>
        <row r="165">
          <cell r="A165" t="str">
            <v>W 16 x 67</v>
          </cell>
        </row>
        <row r="166">
          <cell r="A166" t="str">
            <v>W 16 x 57</v>
          </cell>
        </row>
        <row r="167">
          <cell r="A167" t="str">
            <v>W 16 x 50</v>
          </cell>
        </row>
        <row r="168">
          <cell r="A168" t="str">
            <v>W 16 x 45</v>
          </cell>
        </row>
        <row r="169">
          <cell r="A169" t="str">
            <v>W 16 x 40</v>
          </cell>
        </row>
        <row r="170">
          <cell r="A170" t="str">
            <v>W 16 x 36</v>
          </cell>
        </row>
        <row r="171">
          <cell r="A171" t="str">
            <v>W 16 x 31</v>
          </cell>
        </row>
        <row r="172">
          <cell r="A172" t="str">
            <v>W 16 x 26</v>
          </cell>
        </row>
        <row r="173">
          <cell r="A173" t="str">
            <v>W 14 x 730</v>
          </cell>
        </row>
        <row r="174">
          <cell r="A174" t="str">
            <v>W 14 x 665</v>
          </cell>
        </row>
        <row r="175">
          <cell r="A175" t="str">
            <v>W 14 x 605</v>
          </cell>
        </row>
        <row r="176">
          <cell r="A176" t="str">
            <v>W 14 x 550</v>
          </cell>
        </row>
        <row r="177">
          <cell r="A177" t="str">
            <v>W 14 x 500</v>
          </cell>
        </row>
        <row r="178">
          <cell r="A178" t="str">
            <v>W 14 x 455</v>
          </cell>
        </row>
        <row r="179">
          <cell r="A179" t="str">
            <v>W 14 x 426</v>
          </cell>
        </row>
        <row r="180">
          <cell r="A180" t="str">
            <v>W 14 x 398</v>
          </cell>
        </row>
        <row r="181">
          <cell r="A181" t="str">
            <v>W 14 x 370</v>
          </cell>
        </row>
        <row r="182">
          <cell r="A182" t="str">
            <v>W 14 x 342</v>
          </cell>
        </row>
        <row r="183">
          <cell r="A183" t="str">
            <v>W 14 x 311</v>
          </cell>
        </row>
        <row r="184">
          <cell r="A184" t="str">
            <v>W 14 x 283</v>
          </cell>
        </row>
        <row r="185">
          <cell r="A185" t="str">
            <v>W 14 x 257</v>
          </cell>
        </row>
        <row r="186">
          <cell r="A186" t="str">
            <v>W 14 x 233</v>
          </cell>
        </row>
        <row r="187">
          <cell r="A187" t="str">
            <v>W 14 x 211</v>
          </cell>
        </row>
        <row r="188">
          <cell r="A188" t="str">
            <v>W 14 x 193</v>
          </cell>
        </row>
        <row r="189">
          <cell r="A189" t="str">
            <v>W 14 x 176</v>
          </cell>
        </row>
        <row r="190">
          <cell r="A190" t="str">
            <v>W 14 x 159</v>
          </cell>
        </row>
        <row r="191">
          <cell r="A191" t="str">
            <v>W 14 x 145</v>
          </cell>
        </row>
        <row r="192">
          <cell r="A192" t="str">
            <v>W 14 x 132</v>
          </cell>
        </row>
        <row r="193">
          <cell r="A193" t="str">
            <v>W 14 x 120</v>
          </cell>
        </row>
        <row r="194">
          <cell r="A194" t="str">
            <v>W 14 x 109</v>
          </cell>
        </row>
        <row r="195">
          <cell r="A195" t="str">
            <v>W 14 x 99</v>
          </cell>
        </row>
        <row r="196">
          <cell r="A196" t="str">
            <v>W 14 x 90</v>
          </cell>
        </row>
        <row r="197">
          <cell r="A197" t="str">
            <v>W 14 x 82</v>
          </cell>
        </row>
        <row r="198">
          <cell r="A198" t="str">
            <v>W 14 x 74</v>
          </cell>
        </row>
        <row r="199">
          <cell r="A199" t="str">
            <v>W 14 x 68</v>
          </cell>
        </row>
        <row r="200">
          <cell r="A200" t="str">
            <v>W 14 x 61</v>
          </cell>
        </row>
        <row r="201">
          <cell r="A201" t="str">
            <v>W 14 x 53</v>
          </cell>
        </row>
        <row r="202">
          <cell r="A202" t="str">
            <v>W 14 x 48</v>
          </cell>
        </row>
        <row r="203">
          <cell r="A203" t="str">
            <v>W 14 x 43</v>
          </cell>
        </row>
        <row r="204">
          <cell r="A204" t="str">
            <v>W 14 x 38</v>
          </cell>
        </row>
        <row r="205">
          <cell r="A205" t="str">
            <v>W 14 x 34</v>
          </cell>
        </row>
        <row r="206">
          <cell r="A206" t="str">
            <v>W 14 x 30</v>
          </cell>
        </row>
        <row r="207">
          <cell r="A207" t="str">
            <v>W 14 x 26</v>
          </cell>
        </row>
        <row r="208">
          <cell r="A208" t="str">
            <v>W 14 x 22</v>
          </cell>
        </row>
        <row r="209">
          <cell r="A209" t="str">
            <v>W 12 x 336</v>
          </cell>
        </row>
        <row r="210">
          <cell r="A210" t="str">
            <v>W 12 x 305</v>
          </cell>
        </row>
        <row r="211">
          <cell r="A211" t="str">
            <v>W 12 x 279</v>
          </cell>
        </row>
        <row r="212">
          <cell r="A212" t="str">
            <v>W 12 x 252</v>
          </cell>
        </row>
        <row r="213">
          <cell r="A213" t="str">
            <v>W 12 x 230</v>
          </cell>
        </row>
        <row r="214">
          <cell r="A214" t="str">
            <v>W 12 x 210</v>
          </cell>
        </row>
        <row r="215">
          <cell r="A215" t="str">
            <v>W 12 x 190</v>
          </cell>
        </row>
        <row r="216">
          <cell r="A216" t="str">
            <v>W 12 x 170</v>
          </cell>
        </row>
        <row r="217">
          <cell r="A217" t="str">
            <v>W 12 x 152</v>
          </cell>
        </row>
        <row r="218">
          <cell r="A218" t="str">
            <v>W 12 x 136</v>
          </cell>
        </row>
        <row r="219">
          <cell r="A219" t="str">
            <v>W 12 x 120</v>
          </cell>
        </row>
        <row r="220">
          <cell r="A220" t="str">
            <v>W 12 x 106</v>
          </cell>
        </row>
        <row r="221">
          <cell r="A221" t="str">
            <v>W 12 x 96</v>
          </cell>
        </row>
        <row r="222">
          <cell r="A222" t="str">
            <v>W 12 x 87</v>
          </cell>
        </row>
        <row r="223">
          <cell r="A223" t="str">
            <v>W 12 x 79</v>
          </cell>
        </row>
        <row r="224">
          <cell r="A224" t="str">
            <v>W 12 x 72</v>
          </cell>
        </row>
        <row r="225">
          <cell r="A225" t="str">
            <v>W 12 x 65</v>
          </cell>
        </row>
        <row r="226">
          <cell r="A226" t="str">
            <v>W 12 x 58</v>
          </cell>
        </row>
        <row r="227">
          <cell r="A227" t="str">
            <v>W 12 x 53</v>
          </cell>
        </row>
        <row r="228">
          <cell r="A228" t="str">
            <v>W 12 x 50</v>
          </cell>
        </row>
        <row r="229">
          <cell r="A229" t="str">
            <v>W 12 x 45</v>
          </cell>
        </row>
        <row r="230">
          <cell r="A230" t="str">
            <v>W 12 x 40</v>
          </cell>
        </row>
        <row r="231">
          <cell r="A231" t="str">
            <v>W 12 x 35</v>
          </cell>
        </row>
        <row r="232">
          <cell r="A232" t="str">
            <v>W 12 x 30</v>
          </cell>
        </row>
        <row r="233">
          <cell r="A233" t="str">
            <v>W 12 x 26</v>
          </cell>
        </row>
        <row r="234">
          <cell r="A234" t="str">
            <v>W 12 x 22</v>
          </cell>
        </row>
        <row r="235">
          <cell r="A235" t="str">
            <v>W 12 x 19</v>
          </cell>
        </row>
        <row r="236">
          <cell r="A236" t="str">
            <v>W 12 x 16</v>
          </cell>
        </row>
        <row r="237">
          <cell r="A237" t="str">
            <v>W 12 x 14</v>
          </cell>
        </row>
        <row r="238">
          <cell r="A238" t="str">
            <v>W 10 x 112</v>
          </cell>
        </row>
        <row r="239">
          <cell r="A239" t="str">
            <v>W 10 x 100</v>
          </cell>
        </row>
        <row r="240">
          <cell r="A240" t="str">
            <v>W 10 x 88</v>
          </cell>
        </row>
        <row r="241">
          <cell r="A241" t="str">
            <v>W 10 x 77</v>
          </cell>
        </row>
        <row r="242">
          <cell r="A242" t="str">
            <v>W 10 x 68</v>
          </cell>
        </row>
        <row r="243">
          <cell r="A243" t="str">
            <v>W 10 x 60</v>
          </cell>
        </row>
        <row r="244">
          <cell r="A244" t="str">
            <v>W 10 x 54</v>
          </cell>
        </row>
        <row r="245">
          <cell r="A245" t="str">
            <v>W 10 x 49</v>
          </cell>
        </row>
        <row r="246">
          <cell r="A246" t="str">
            <v>W 10 x 45</v>
          </cell>
        </row>
        <row r="247">
          <cell r="A247" t="str">
            <v>W 10 x 39</v>
          </cell>
        </row>
        <row r="248">
          <cell r="A248" t="str">
            <v>W 10 x 33</v>
          </cell>
        </row>
        <row r="249">
          <cell r="A249" t="str">
            <v>W 10 x 30</v>
          </cell>
        </row>
        <row r="250">
          <cell r="A250" t="str">
            <v>W 10 x 26</v>
          </cell>
        </row>
        <row r="251">
          <cell r="A251" t="str">
            <v>W 10 x 22</v>
          </cell>
        </row>
        <row r="252">
          <cell r="A252" t="str">
            <v>W 10 x 19</v>
          </cell>
        </row>
        <row r="253">
          <cell r="A253" t="str">
            <v>W 10 x 17</v>
          </cell>
        </row>
        <row r="254">
          <cell r="A254" t="str">
            <v>W 10 x 15</v>
          </cell>
        </row>
        <row r="255">
          <cell r="A255" t="str">
            <v>W 10 x 12</v>
          </cell>
        </row>
        <row r="256">
          <cell r="A256" t="str">
            <v>W 8 x 67</v>
          </cell>
        </row>
        <row r="257">
          <cell r="A257" t="str">
            <v>W 8 x 58</v>
          </cell>
        </row>
        <row r="258">
          <cell r="A258" t="str">
            <v>W 8 x 48</v>
          </cell>
        </row>
        <row r="259">
          <cell r="A259" t="str">
            <v>W 8 x 40</v>
          </cell>
        </row>
        <row r="260">
          <cell r="A260" t="str">
            <v>W 8 x 35</v>
          </cell>
        </row>
        <row r="261">
          <cell r="A261" t="str">
            <v>W 8 x 31</v>
          </cell>
        </row>
        <row r="262">
          <cell r="A262" t="str">
            <v>W 8 x 28</v>
          </cell>
        </row>
        <row r="263">
          <cell r="A263" t="str">
            <v>W 8 x 24</v>
          </cell>
        </row>
        <row r="264">
          <cell r="A264" t="str">
            <v>W 8 x 21</v>
          </cell>
        </row>
        <row r="265">
          <cell r="A265" t="str">
            <v>W 8 x 18</v>
          </cell>
        </row>
        <row r="266">
          <cell r="A266" t="str">
            <v>W 8 x 15</v>
          </cell>
        </row>
        <row r="267">
          <cell r="A267" t="str">
            <v>W 8 x 13</v>
          </cell>
        </row>
        <row r="268">
          <cell r="A268" t="str">
            <v>W 8 x 10</v>
          </cell>
        </row>
        <row r="269">
          <cell r="A269" t="str">
            <v>W 6 x 25</v>
          </cell>
        </row>
        <row r="270">
          <cell r="A270" t="str">
            <v>W 6 x 20</v>
          </cell>
        </row>
        <row r="271">
          <cell r="A271" t="str">
            <v>W 6 x 15</v>
          </cell>
        </row>
        <row r="272">
          <cell r="A272" t="str">
            <v>W 6 x 16</v>
          </cell>
        </row>
        <row r="273">
          <cell r="A273" t="str">
            <v>W 6 x 12</v>
          </cell>
        </row>
        <row r="274">
          <cell r="A274" t="str">
            <v>W 6 x 9</v>
          </cell>
        </row>
        <row r="275">
          <cell r="A275" t="str">
            <v>W 6 x 8.5</v>
          </cell>
        </row>
        <row r="276">
          <cell r="A276" t="str">
            <v>W 5 x 19</v>
          </cell>
        </row>
        <row r="277">
          <cell r="A277" t="str">
            <v>W 5 x 16</v>
          </cell>
        </row>
        <row r="278">
          <cell r="A278" t="str">
            <v>W 4 x 13</v>
          </cell>
        </row>
      </sheetData>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eam Spacing"/>
      <sheetName val="Define Beam"/>
      <sheetName val="Stiffeners"/>
      <sheetName val="SecProp"/>
      <sheetName val="Stress"/>
      <sheetName val="Seals"/>
      <sheetName val="Wheel Spacing"/>
      <sheetName val="Wheel Design"/>
      <sheetName val="Downpull"/>
      <sheetName val="Lib"/>
      <sheetName val="Plates"/>
      <sheetName val="Weight &amp; cg"/>
      <sheetName val="Opera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oleObject" Target="../embeddings/oleObject7.bin"/><Relationship Id="rId3" Type="http://schemas.openxmlformats.org/officeDocument/2006/relationships/vmlDrawing" Target="../drawings/vmlDrawing1.vml"/><Relationship Id="rId7" Type="http://schemas.openxmlformats.org/officeDocument/2006/relationships/image" Target="../media/image2.wmf"/><Relationship Id="rId12" Type="http://schemas.openxmlformats.org/officeDocument/2006/relationships/oleObject" Target="../embeddings/oleObject6.bin"/><Relationship Id="rId17" Type="http://schemas.openxmlformats.org/officeDocument/2006/relationships/oleObject" Target="../embeddings/oleObject11.bin"/><Relationship Id="rId2" Type="http://schemas.openxmlformats.org/officeDocument/2006/relationships/drawing" Target="../drawings/drawing1.xml"/><Relationship Id="rId16" Type="http://schemas.openxmlformats.org/officeDocument/2006/relationships/oleObject" Target="../embeddings/oleObject10.bin"/><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oleObject" Target="../embeddings/oleObject5.bin"/><Relationship Id="rId5" Type="http://schemas.openxmlformats.org/officeDocument/2006/relationships/image" Target="../media/image1.wmf"/><Relationship Id="rId15" Type="http://schemas.openxmlformats.org/officeDocument/2006/relationships/oleObject" Target="../embeddings/oleObject9.bin"/><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wmf"/><Relationship Id="rId14" Type="http://schemas.openxmlformats.org/officeDocument/2006/relationships/oleObject" Target="../embeddings/oleObject8.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14.bin"/><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oleObject" Target="../embeddings/oleObject16.bin"/><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oleObject" Target="../embeddings/oleObject13.bin"/><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oleObject" Target="../embeddings/oleObject15.bin"/><Relationship Id="rId4" Type="http://schemas.openxmlformats.org/officeDocument/2006/relationships/oleObject" Target="../embeddings/oleObject12.bin"/><Relationship Id="rId9" Type="http://schemas.openxmlformats.org/officeDocument/2006/relationships/image" Target="../media/image6.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19.bin"/><Relationship Id="rId3" Type="http://schemas.openxmlformats.org/officeDocument/2006/relationships/vmlDrawing" Target="../drawings/vmlDrawing3.vml"/><Relationship Id="rId7" Type="http://schemas.openxmlformats.org/officeDocument/2006/relationships/image" Target="../media/image10.emf"/><Relationship Id="rId2" Type="http://schemas.openxmlformats.org/officeDocument/2006/relationships/drawing" Target="../drawings/drawing3.xml"/><Relationship Id="rId1" Type="http://schemas.openxmlformats.org/officeDocument/2006/relationships/printerSettings" Target="../printerSettings/printerSettings10.bin"/><Relationship Id="rId6" Type="http://schemas.openxmlformats.org/officeDocument/2006/relationships/oleObject" Target="../embeddings/oleObject18.bin"/><Relationship Id="rId5" Type="http://schemas.openxmlformats.org/officeDocument/2006/relationships/image" Target="../media/image9.emf"/><Relationship Id="rId4" Type="http://schemas.openxmlformats.org/officeDocument/2006/relationships/oleObject" Target="../embeddings/oleObject17.bin"/><Relationship Id="rId9" Type="http://schemas.openxmlformats.org/officeDocument/2006/relationships/image" Target="../media/image11.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oleObject" Target="../embeddings/oleObject20.bin"/><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13.emf"/><Relationship Id="rId5" Type="http://schemas.openxmlformats.org/officeDocument/2006/relationships/oleObject" Target="../embeddings/oleObject21.bin"/><Relationship Id="rId4" Type="http://schemas.openxmlformats.org/officeDocument/2006/relationships/image" Target="../media/image12.emf"/></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hyperlink" Target="file:///\\bdplin-fil3\DATA\tmp\ERA\INDIAN%20Steel%20Table.xls" TargetMode="Externa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pageSetUpPr fitToPage="1"/>
  </sheetPr>
  <dimension ref="B2:H91"/>
  <sheetViews>
    <sheetView zoomScale="75" zoomScaleNormal="75" zoomScaleSheetLayoutView="85" workbookViewId="0">
      <selection activeCell="D8" sqref="D8"/>
    </sheetView>
  </sheetViews>
  <sheetFormatPr defaultRowHeight="14.25" x14ac:dyDescent="0.2"/>
  <cols>
    <col min="1" max="1" width="9.140625" style="87"/>
    <col min="2" max="2" width="6.28515625" style="105" customWidth="1"/>
    <col min="3" max="3" width="36.85546875" style="87" customWidth="1"/>
    <col min="4" max="4" width="41.42578125" style="88" bestFit="1" customWidth="1"/>
    <col min="5" max="5" width="9.140625" style="87"/>
    <col min="6" max="6" width="19" style="87" bestFit="1" customWidth="1"/>
    <col min="7" max="7" width="9.140625" style="87"/>
    <col min="8" max="8" width="19" style="87" bestFit="1" customWidth="1"/>
    <col min="9" max="16384" width="9.140625" style="87"/>
  </cols>
  <sheetData>
    <row r="2" spans="2:8" ht="15" x14ac:dyDescent="0.25">
      <c r="B2" s="106">
        <v>1</v>
      </c>
      <c r="C2" s="988" t="s">
        <v>781</v>
      </c>
      <c r="D2" s="988"/>
    </row>
    <row r="3" spans="2:8" x14ac:dyDescent="0.2">
      <c r="B3" s="108">
        <v>1.1000000000000001</v>
      </c>
      <c r="C3" s="109" t="s">
        <v>907</v>
      </c>
      <c r="D3" s="945" t="s">
        <v>1360</v>
      </c>
    </row>
    <row r="4" spans="2:8" x14ac:dyDescent="0.2">
      <c r="B4" s="112">
        <v>1.2</v>
      </c>
      <c r="C4" s="91" t="s">
        <v>782</v>
      </c>
      <c r="D4" s="92" t="str">
        <f>"Vertical "&amp;GType &amp;" Type"</f>
        <v>Vertical Fixed Wheel (cantilevered) Type</v>
      </c>
    </row>
    <row r="5" spans="2:8" x14ac:dyDescent="0.2">
      <c r="B5" s="108">
        <v>1.3</v>
      </c>
      <c r="C5" s="91" t="s">
        <v>783</v>
      </c>
      <c r="D5" s="103">
        <v>3.5</v>
      </c>
    </row>
    <row r="6" spans="2:8" x14ac:dyDescent="0.2">
      <c r="B6" s="112">
        <v>1.4</v>
      </c>
      <c r="C6" s="91" t="s">
        <v>784</v>
      </c>
      <c r="D6" s="103">
        <v>2.8</v>
      </c>
    </row>
    <row r="7" spans="2:8" x14ac:dyDescent="0.2">
      <c r="B7" s="108">
        <v>1.5</v>
      </c>
      <c r="C7" s="91" t="s">
        <v>785</v>
      </c>
      <c r="D7" s="975">
        <v>4</v>
      </c>
    </row>
    <row r="8" spans="2:8" x14ac:dyDescent="0.2">
      <c r="B8" s="112">
        <v>1.6</v>
      </c>
      <c r="C8" s="91" t="s">
        <v>786</v>
      </c>
      <c r="D8" s="113">
        <v>745.53</v>
      </c>
    </row>
    <row r="9" spans="2:8" x14ac:dyDescent="0.2">
      <c r="B9" s="108">
        <v>1.7</v>
      </c>
      <c r="C9" s="91" t="s">
        <v>787</v>
      </c>
      <c r="D9" s="113">
        <v>742</v>
      </c>
    </row>
    <row r="10" spans="2:8" x14ac:dyDescent="0.2">
      <c r="B10" s="112">
        <v>1.8</v>
      </c>
      <c r="C10" s="91" t="s">
        <v>788</v>
      </c>
      <c r="D10" s="113">
        <v>738</v>
      </c>
    </row>
    <row r="11" spans="2:8" x14ac:dyDescent="0.2">
      <c r="B11" s="108">
        <v>1.9</v>
      </c>
      <c r="C11" s="91" t="s">
        <v>805</v>
      </c>
      <c r="D11" s="113">
        <f>+D12+D+0.3</f>
        <v>750.19999999999993</v>
      </c>
    </row>
    <row r="12" spans="2:8" x14ac:dyDescent="0.2">
      <c r="B12" s="111">
        <v>1.1000000000000001</v>
      </c>
      <c r="C12" s="91" t="s">
        <v>866</v>
      </c>
      <c r="D12" s="113">
        <v>747</v>
      </c>
    </row>
    <row r="13" spans="2:8" x14ac:dyDescent="0.2">
      <c r="B13" s="110">
        <v>1.1100000000000001</v>
      </c>
      <c r="C13" s="91" t="s">
        <v>789</v>
      </c>
      <c r="D13" s="103">
        <f>D8-D10</f>
        <v>7.5299999999999727</v>
      </c>
      <c r="H13" s="104"/>
    </row>
    <row r="14" spans="2:8" x14ac:dyDescent="0.2">
      <c r="B14" s="111">
        <v>1.1200000000000001</v>
      </c>
      <c r="C14" s="91" t="s">
        <v>1350</v>
      </c>
      <c r="D14" s="103">
        <f>D9-D10</f>
        <v>4</v>
      </c>
      <c r="H14" s="104"/>
    </row>
    <row r="15" spans="2:8" ht="15" x14ac:dyDescent="0.25">
      <c r="B15" s="106">
        <v>2</v>
      </c>
      <c r="C15" s="988" t="s">
        <v>18</v>
      </c>
      <c r="D15" s="988"/>
    </row>
    <row r="16" spans="2:8" x14ac:dyDescent="0.2">
      <c r="B16" s="112">
        <v>2.1</v>
      </c>
      <c r="C16" s="91" t="s">
        <v>0</v>
      </c>
      <c r="D16" s="93">
        <f>N</f>
        <v>5</v>
      </c>
    </row>
    <row r="17" spans="2:4" x14ac:dyDescent="0.2">
      <c r="B17" s="112">
        <v>2.2000000000000002</v>
      </c>
      <c r="C17" s="91" t="s">
        <v>3</v>
      </c>
      <c r="D17" s="94">
        <f>D</f>
        <v>2.9</v>
      </c>
    </row>
    <row r="18" spans="2:4" x14ac:dyDescent="0.2">
      <c r="B18" s="112">
        <v>2.2999999999999998</v>
      </c>
      <c r="C18" s="91" t="s">
        <v>4</v>
      </c>
      <c r="D18" s="94">
        <f>Lsup</f>
        <v>3.9</v>
      </c>
    </row>
    <row r="19" spans="2:4" x14ac:dyDescent="0.2">
      <c r="B19" s="112">
        <v>2.4</v>
      </c>
      <c r="C19" s="91" t="s">
        <v>790</v>
      </c>
      <c r="D19" s="94">
        <f>HB</f>
        <v>7.5299999999999727</v>
      </c>
    </row>
    <row r="20" spans="2:4" x14ac:dyDescent="0.2">
      <c r="B20" s="112">
        <v>2.5</v>
      </c>
      <c r="C20" s="91" t="s">
        <v>791</v>
      </c>
      <c r="D20" s="95">
        <f>'Beam Spacing'!H17</f>
        <v>177.00186435265638</v>
      </c>
    </row>
    <row r="21" spans="2:4" ht="15" x14ac:dyDescent="0.25">
      <c r="B21" s="106">
        <v>3</v>
      </c>
      <c r="C21" s="988" t="s">
        <v>792</v>
      </c>
      <c r="D21" s="988"/>
    </row>
    <row r="22" spans="2:4" x14ac:dyDescent="0.2">
      <c r="B22" s="107">
        <v>3.1</v>
      </c>
      <c r="C22" s="91" t="s">
        <v>28</v>
      </c>
      <c r="D22" s="92" t="str">
        <f>'Define Beam'!D11</f>
        <v>I Shape</v>
      </c>
    </row>
    <row r="23" spans="2:4" x14ac:dyDescent="0.2">
      <c r="B23" s="107">
        <v>3.2</v>
      </c>
      <c r="C23" s="91" t="s">
        <v>29</v>
      </c>
      <c r="D23" s="92" t="str">
        <f>'Define Beam'!E11</f>
        <v>ISMB 350</v>
      </c>
    </row>
    <row r="24" spans="2:4" ht="15" x14ac:dyDescent="0.25">
      <c r="B24" s="106">
        <v>4</v>
      </c>
      <c r="C24" s="988" t="s">
        <v>624</v>
      </c>
      <c r="D24" s="988"/>
    </row>
    <row r="25" spans="2:4" x14ac:dyDescent="0.2">
      <c r="B25" s="107">
        <v>4.0999999999999996</v>
      </c>
      <c r="C25" s="91" t="s">
        <v>403</v>
      </c>
      <c r="D25" s="114">
        <f>Stiffeners!D13*1000</f>
        <v>300</v>
      </c>
    </row>
    <row r="26" spans="2:4" x14ac:dyDescent="0.2">
      <c r="B26" s="107">
        <v>4.2</v>
      </c>
      <c r="C26" s="91" t="s">
        <v>409</v>
      </c>
      <c r="D26" s="114">
        <f ca="1">Stiffeners!D15*1000</f>
        <v>335.8</v>
      </c>
    </row>
    <row r="27" spans="2:4" x14ac:dyDescent="0.2">
      <c r="B27" s="107">
        <v>4.3</v>
      </c>
      <c r="C27" s="91" t="s">
        <v>411</v>
      </c>
      <c r="D27" s="114">
        <f>Stiffeners!D16*1000</f>
        <v>10</v>
      </c>
    </row>
    <row r="28" spans="2:4" x14ac:dyDescent="0.2">
      <c r="B28" s="107">
        <v>4.4000000000000004</v>
      </c>
      <c r="C28" s="91" t="s">
        <v>414</v>
      </c>
      <c r="D28" s="115">
        <f>Stiffeners!D17</f>
        <v>12</v>
      </c>
    </row>
    <row r="29" spans="2:4" x14ac:dyDescent="0.2">
      <c r="B29" s="107">
        <v>4.5</v>
      </c>
      <c r="C29" s="91" t="s">
        <v>793</v>
      </c>
      <c r="D29" s="92" t="str">
        <f>Loc</f>
        <v>Upstream</v>
      </c>
    </row>
    <row r="30" spans="2:4" ht="15" x14ac:dyDescent="0.25">
      <c r="B30" s="106">
        <v>5</v>
      </c>
      <c r="C30" s="988" t="s">
        <v>490</v>
      </c>
      <c r="D30" s="988"/>
    </row>
    <row r="31" spans="2:4" x14ac:dyDescent="0.2">
      <c r="B31" s="107">
        <v>5.0999999999999996</v>
      </c>
      <c r="C31" s="91" t="s">
        <v>491</v>
      </c>
      <c r="D31" s="92" t="str">
        <f>LinType</f>
        <v>J Seal</v>
      </c>
    </row>
    <row r="32" spans="2:4" x14ac:dyDescent="0.2">
      <c r="B32" s="107">
        <v>5.2</v>
      </c>
      <c r="C32" s="91" t="s">
        <v>492</v>
      </c>
      <c r="D32" s="114">
        <f>Seals!C7</f>
        <v>44</v>
      </c>
    </row>
    <row r="33" spans="2:4" x14ac:dyDescent="0.2">
      <c r="B33" s="107">
        <v>5.3</v>
      </c>
      <c r="C33" s="91" t="s">
        <v>493</v>
      </c>
      <c r="D33" s="114">
        <f>Seals!C8</f>
        <v>14</v>
      </c>
    </row>
    <row r="34" spans="2:4" x14ac:dyDescent="0.2">
      <c r="B34" s="107">
        <v>5.4</v>
      </c>
      <c r="C34" s="91" t="s">
        <v>494</v>
      </c>
      <c r="D34" s="114">
        <v>4</v>
      </c>
    </row>
    <row r="35" spans="2:4" ht="15" x14ac:dyDescent="0.25">
      <c r="B35" s="106">
        <v>6</v>
      </c>
      <c r="C35" s="988" t="s">
        <v>514</v>
      </c>
      <c r="D35" s="988"/>
    </row>
    <row r="36" spans="2:4" x14ac:dyDescent="0.2">
      <c r="B36" s="107">
        <v>6.1</v>
      </c>
      <c r="C36" s="91" t="s">
        <v>491</v>
      </c>
      <c r="D36" s="92" t="str">
        <f>SidType</f>
        <v>J Seal</v>
      </c>
    </row>
    <row r="37" spans="2:4" x14ac:dyDescent="0.2">
      <c r="B37" s="107">
        <v>6.2</v>
      </c>
      <c r="C37" s="91" t="s">
        <v>492</v>
      </c>
      <c r="D37" s="114">
        <f>Seals!C29</f>
        <v>44</v>
      </c>
    </row>
    <row r="38" spans="2:4" x14ac:dyDescent="0.2">
      <c r="B38" s="107">
        <v>6.3</v>
      </c>
      <c r="C38" s="91" t="s">
        <v>493</v>
      </c>
      <c r="D38" s="114">
        <f>Seals!C30</f>
        <v>14</v>
      </c>
    </row>
    <row r="39" spans="2:4" x14ac:dyDescent="0.2">
      <c r="B39" s="107">
        <v>6.4</v>
      </c>
      <c r="C39" s="91" t="s">
        <v>494</v>
      </c>
      <c r="D39" s="114">
        <v>4</v>
      </c>
    </row>
    <row r="40" spans="2:4" ht="15" x14ac:dyDescent="0.25">
      <c r="B40" s="106">
        <v>7</v>
      </c>
      <c r="C40" s="988" t="s">
        <v>516</v>
      </c>
      <c r="D40" s="988"/>
    </row>
    <row r="41" spans="2:4" x14ac:dyDescent="0.2">
      <c r="B41" s="107">
        <v>7.1</v>
      </c>
      <c r="C41" s="91" t="s">
        <v>491</v>
      </c>
      <c r="D41" s="92" t="str">
        <f>SilType</f>
        <v>Wedge Seal</v>
      </c>
    </row>
    <row r="42" spans="2:4" x14ac:dyDescent="0.2">
      <c r="B42" s="107">
        <v>7.2</v>
      </c>
      <c r="C42" s="91" t="s">
        <v>493</v>
      </c>
      <c r="D42" s="114">
        <f>Seals!C52</f>
        <v>12</v>
      </c>
    </row>
    <row r="43" spans="2:4" x14ac:dyDescent="0.2">
      <c r="B43" s="107">
        <v>7.3</v>
      </c>
      <c r="C43" s="91" t="s">
        <v>520</v>
      </c>
      <c r="D43" s="114">
        <v>75</v>
      </c>
    </row>
    <row r="44" spans="2:4" ht="15" x14ac:dyDescent="0.25">
      <c r="B44" s="106">
        <v>8</v>
      </c>
      <c r="C44" s="988" t="s">
        <v>794</v>
      </c>
      <c r="D44" s="988"/>
    </row>
    <row r="45" spans="2:4" x14ac:dyDescent="0.2">
      <c r="B45" s="107">
        <v>8.1</v>
      </c>
      <c r="C45" s="91" t="s">
        <v>133</v>
      </c>
      <c r="D45" s="93">
        <f>WSN*2</f>
        <v>4</v>
      </c>
    </row>
    <row r="46" spans="2:4" ht="15" x14ac:dyDescent="0.25">
      <c r="B46" s="106">
        <v>9</v>
      </c>
      <c r="C46" s="988" t="s">
        <v>795</v>
      </c>
      <c r="D46" s="988"/>
    </row>
    <row r="47" spans="2:4" x14ac:dyDescent="0.2">
      <c r="B47" s="108">
        <v>9.1</v>
      </c>
      <c r="C47" s="109" t="s">
        <v>799</v>
      </c>
      <c r="D47" s="109" t="s">
        <v>1359</v>
      </c>
    </row>
    <row r="48" spans="2:4" x14ac:dyDescent="0.2">
      <c r="B48" s="107">
        <v>9.1999999999999993</v>
      </c>
      <c r="C48" s="91" t="s">
        <v>99</v>
      </c>
      <c r="D48" s="116">
        <f>IF(PType="Line Contact",'Wheel Design'!C30)</f>
        <v>165</v>
      </c>
    </row>
    <row r="49" spans="2:4" x14ac:dyDescent="0.2">
      <c r="B49" s="107">
        <v>9.3000000000000007</v>
      </c>
      <c r="C49" s="91" t="s">
        <v>100</v>
      </c>
      <c r="D49" s="653">
        <f>IF(PType="Line Contact",'Wheel Design'!C31)*1000</f>
        <v>250</v>
      </c>
    </row>
    <row r="50" spans="2:4" x14ac:dyDescent="0.2">
      <c r="B50" s="107">
        <v>9.4</v>
      </c>
      <c r="C50" s="91" t="s">
        <v>113</v>
      </c>
      <c r="D50" s="653">
        <f>IF(PType="Line Contact",'Wheel Design'!C32)*1000</f>
        <v>80</v>
      </c>
    </row>
    <row r="51" spans="2:4" ht="15" x14ac:dyDescent="0.25">
      <c r="B51" s="106">
        <v>10</v>
      </c>
      <c r="C51" s="988" t="s">
        <v>177</v>
      </c>
      <c r="D51" s="988"/>
    </row>
    <row r="52" spans="2:4" x14ac:dyDescent="0.2">
      <c r="B52" s="107">
        <v>10.1</v>
      </c>
      <c r="C52" s="91" t="s">
        <v>180</v>
      </c>
      <c r="D52" s="114">
        <f>IF(GType="Fixed Wheel (cantilevered)",'Wheel Design'!C127,'Wheel Design'!C75)*1000</f>
        <v>120</v>
      </c>
    </row>
    <row r="53" spans="2:4" x14ac:dyDescent="0.2">
      <c r="B53" s="107">
        <v>10.199999999999999</v>
      </c>
      <c r="C53" s="91" t="s">
        <v>188</v>
      </c>
      <c r="D53" s="114">
        <f>IF(GType="Fixed Wheel (cantilevered)",'Wheel Design'!C135,'Wheel Design'!C83)*1000</f>
        <v>231.00000000000009</v>
      </c>
    </row>
    <row r="54" spans="2:4" ht="15" x14ac:dyDescent="0.25">
      <c r="B54" s="106">
        <v>11</v>
      </c>
      <c r="C54" s="988" t="s">
        <v>219</v>
      </c>
      <c r="D54" s="988"/>
    </row>
    <row r="55" spans="2:4" x14ac:dyDescent="0.2">
      <c r="B55" s="107">
        <v>11.1</v>
      </c>
      <c r="C55" s="91" t="s">
        <v>804</v>
      </c>
      <c r="D55" s="114">
        <f>IF(GType="Fixed Wheel (double support)",'Wheel Design'!C103,'Wheel Design'!C157)*1000</f>
        <v>12</v>
      </c>
    </row>
    <row r="56" spans="2:4" x14ac:dyDescent="0.2">
      <c r="B56" s="107">
        <v>11.2</v>
      </c>
      <c r="C56" s="91" t="s">
        <v>82</v>
      </c>
      <c r="D56" s="114">
        <f>IF(GType="Fixed Wheel (double support)",'Wheel Design'!C104,'Wheel Design'!C158)*1000</f>
        <v>250</v>
      </c>
    </row>
    <row r="57" spans="2:4" ht="15" x14ac:dyDescent="0.25">
      <c r="B57" s="106">
        <v>12</v>
      </c>
      <c r="C57" s="988" t="s">
        <v>906</v>
      </c>
      <c r="D57" s="988"/>
    </row>
    <row r="58" spans="2:4" x14ac:dyDescent="0.2">
      <c r="B58" s="107">
        <v>12.1</v>
      </c>
      <c r="C58" s="91" t="s">
        <v>796</v>
      </c>
      <c r="D58" s="117">
        <f ca="1">CONVERT('Weight &amp; cg'!D6,"kg","ton")</f>
        <v>4.1714548508993481</v>
      </c>
    </row>
    <row r="59" spans="2:4" ht="15" x14ac:dyDescent="0.25">
      <c r="B59" s="106">
        <v>13</v>
      </c>
      <c r="C59" s="988" t="s">
        <v>800</v>
      </c>
      <c r="D59" s="988"/>
    </row>
    <row r="60" spans="2:4" x14ac:dyDescent="0.2">
      <c r="B60" s="107">
        <v>13.2</v>
      </c>
      <c r="C60" s="91" t="s">
        <v>633</v>
      </c>
      <c r="D60" s="116">
        <f>Operation!C8</f>
        <v>637.19728214241331</v>
      </c>
    </row>
    <row r="61" spans="2:4" x14ac:dyDescent="0.2">
      <c r="B61" s="107">
        <v>13.2</v>
      </c>
      <c r="C61" s="91" t="s">
        <v>801</v>
      </c>
      <c r="D61" s="116">
        <f ca="1">Operation!D29/1000</f>
        <v>48.30420476011529</v>
      </c>
    </row>
    <row r="62" spans="2:4" ht="15" x14ac:dyDescent="0.25">
      <c r="B62" s="106">
        <v>14</v>
      </c>
      <c r="C62" s="988" t="s">
        <v>798</v>
      </c>
      <c r="D62" s="988"/>
    </row>
    <row r="63" spans="2:4" x14ac:dyDescent="0.2">
      <c r="B63" s="107">
        <v>14.1</v>
      </c>
      <c r="C63" s="91" t="s">
        <v>799</v>
      </c>
      <c r="D63" s="92" t="s">
        <v>797</v>
      </c>
    </row>
    <row r="64" spans="2:4" x14ac:dyDescent="0.2">
      <c r="B64" s="107">
        <v>14.2</v>
      </c>
      <c r="C64" s="91" t="s">
        <v>730</v>
      </c>
      <c r="D64" s="117">
        <f ca="1">'Hoist(Rope Drum)'!C3/9.81</f>
        <v>4.9239760203991123</v>
      </c>
    </row>
    <row r="65" spans="2:4" x14ac:dyDescent="0.2">
      <c r="B65" s="107">
        <v>14.3</v>
      </c>
      <c r="C65" s="91" t="s">
        <v>802</v>
      </c>
      <c r="D65" s="117">
        <f>'Hoist(Rope Drum)'!C5/9.81</f>
        <v>12.02854230377166</v>
      </c>
    </row>
    <row r="66" spans="2:4" x14ac:dyDescent="0.2">
      <c r="B66" s="107">
        <v>14.4</v>
      </c>
      <c r="C66" s="91" t="s">
        <v>678</v>
      </c>
      <c r="D66" s="92" t="str">
        <f>'Hoist(Rope Drum)'!C11</f>
        <v>6X37M(18/12/6-1)</v>
      </c>
    </row>
    <row r="67" spans="2:4" x14ac:dyDescent="0.2">
      <c r="B67" s="107">
        <v>14.5</v>
      </c>
      <c r="C67" s="91" t="s">
        <v>679</v>
      </c>
      <c r="D67" s="96">
        <f>'Hoist(Rope Drum)'!C14</f>
        <v>28</v>
      </c>
    </row>
    <row r="68" spans="2:4" x14ac:dyDescent="0.2">
      <c r="B68" s="107">
        <v>14.6</v>
      </c>
      <c r="C68" s="91" t="s">
        <v>694</v>
      </c>
      <c r="D68" s="92" t="str">
        <f>'Hoist(Rope Drum)'!C12&amp;" "&amp;'Hoist(Rope Drum)'!C13</f>
        <v>1960 Fibre Core(CF)</v>
      </c>
    </row>
    <row r="69" spans="2:4" x14ac:dyDescent="0.2">
      <c r="B69" s="107">
        <v>14.7</v>
      </c>
      <c r="C69" s="91" t="s">
        <v>680</v>
      </c>
      <c r="D69" s="95">
        <f>'Hoist(Rope Drum)'!C16</f>
        <v>453</v>
      </c>
    </row>
    <row r="70" spans="2:4" x14ac:dyDescent="0.2">
      <c r="B70" s="107">
        <v>14.8</v>
      </c>
      <c r="C70" s="91" t="s">
        <v>695</v>
      </c>
      <c r="D70" s="93">
        <f>'Hoist(Rope Drum)'!C7</f>
        <v>2</v>
      </c>
    </row>
    <row r="71" spans="2:4" x14ac:dyDescent="0.2">
      <c r="B71" s="107">
        <v>14.9</v>
      </c>
      <c r="C71" s="91" t="s">
        <v>1213</v>
      </c>
      <c r="D71" s="98" t="str">
        <f>'Hoist(Rope Drum)'!D17 &amp;" for N and "&amp;'Hoist(Rope Drum)'!D20&amp;" for BDT"</f>
        <v>6 for N and 3 for BDT</v>
      </c>
    </row>
    <row r="72" spans="2:4" x14ac:dyDescent="0.2">
      <c r="B72" s="111">
        <v>14.1</v>
      </c>
      <c r="C72" s="91" t="s">
        <v>703</v>
      </c>
      <c r="D72" s="96">
        <f>'Hoist(Rope Drum)'!C75</f>
        <v>700</v>
      </c>
    </row>
    <row r="73" spans="2:4" x14ac:dyDescent="0.2">
      <c r="B73" s="111">
        <v>14.11</v>
      </c>
      <c r="C73" s="91" t="s">
        <v>1211</v>
      </c>
      <c r="D73" s="98">
        <f>'Hoist(Rope Drum)'!C87</f>
        <v>12</v>
      </c>
    </row>
    <row r="74" spans="2:4" x14ac:dyDescent="0.2">
      <c r="B74" s="111">
        <v>14.12</v>
      </c>
      <c r="C74" s="91" t="s">
        <v>739</v>
      </c>
      <c r="D74" s="96">
        <f>'Rope Drum Hoist'!D50</f>
        <v>500</v>
      </c>
    </row>
    <row r="75" spans="2:4" x14ac:dyDescent="0.2">
      <c r="B75" s="111">
        <v>14.13</v>
      </c>
      <c r="C75" s="91" t="s">
        <v>712</v>
      </c>
      <c r="D75" s="92" t="str">
        <f>'Rope Drum Hoist'!D29</f>
        <v>AC 400V, 3 PH, 50 Hz</v>
      </c>
    </row>
    <row r="76" spans="2:4" x14ac:dyDescent="0.2">
      <c r="B76" s="111">
        <v>14.14</v>
      </c>
      <c r="C76" s="91" t="s">
        <v>714</v>
      </c>
      <c r="D76" s="99">
        <f>'Hoist(Rope Drum)'!C52</f>
        <v>925</v>
      </c>
    </row>
    <row r="77" spans="2:4" x14ac:dyDescent="0.2">
      <c r="B77" s="111">
        <v>14.15</v>
      </c>
      <c r="C77" s="91" t="s">
        <v>715</v>
      </c>
      <c r="D77" s="100">
        <f>'Hoist(Rope Drum)'!C18</f>
        <v>0.5</v>
      </c>
    </row>
    <row r="78" spans="2:4" x14ac:dyDescent="0.2">
      <c r="B78" s="111">
        <v>14.16</v>
      </c>
      <c r="C78" s="91" t="s">
        <v>722</v>
      </c>
      <c r="D78" s="830">
        <f>'Hoist(Rope Drum)'!C36</f>
        <v>3</v>
      </c>
    </row>
    <row r="79" spans="2:4" x14ac:dyDescent="0.2">
      <c r="B79" s="111">
        <v>14.17</v>
      </c>
      <c r="C79" s="91" t="s">
        <v>803</v>
      </c>
      <c r="D79" s="97">
        <f>'Rope Drum Hoist'!E37</f>
        <v>6</v>
      </c>
    </row>
    <row r="80" spans="2:4" x14ac:dyDescent="0.2">
      <c r="B80" s="111">
        <v>14.18</v>
      </c>
      <c r="C80" s="91" t="s">
        <v>726</v>
      </c>
      <c r="D80" s="831">
        <f>'Hoist(Rope Drum)'!C343*2</f>
        <v>0.8</v>
      </c>
    </row>
    <row r="81" spans="2:4" x14ac:dyDescent="0.2">
      <c r="B81" s="111">
        <v>14.19</v>
      </c>
      <c r="C81" s="91" t="s">
        <v>727</v>
      </c>
      <c r="D81" s="831">
        <f>D80/2</f>
        <v>0.4</v>
      </c>
    </row>
    <row r="82" spans="2:4" x14ac:dyDescent="0.2">
      <c r="B82" s="111">
        <v>14.2</v>
      </c>
      <c r="C82" s="91" t="s">
        <v>725</v>
      </c>
      <c r="D82" s="101">
        <f>'Rope Drum Hoist'!D38</f>
        <v>10</v>
      </c>
    </row>
    <row r="83" spans="2:4" x14ac:dyDescent="0.2">
      <c r="B83" s="111">
        <v>14.21</v>
      </c>
      <c r="C83" s="91" t="s">
        <v>732</v>
      </c>
      <c r="D83" s="102">
        <f>'Hoist(Rope Drum)'!C349/9.81</f>
        <v>6.6867237435947509</v>
      </c>
    </row>
    <row r="84" spans="2:4" x14ac:dyDescent="0.2">
      <c r="B84" s="111">
        <v>14.22</v>
      </c>
      <c r="C84" s="91" t="s">
        <v>1353</v>
      </c>
      <c r="D84" s="100">
        <f>'Hoist(Rope Drum)'!C347</f>
        <v>4.0540540540540543E-2</v>
      </c>
    </row>
    <row r="85" spans="2:4" x14ac:dyDescent="0.2">
      <c r="B85" s="111">
        <v>14.23</v>
      </c>
      <c r="C85" s="91" t="s">
        <v>1212</v>
      </c>
      <c r="D85" s="832">
        <f>'Hoist(Rope Drum)'!C351</f>
        <v>1</v>
      </c>
    </row>
    <row r="86" spans="2:4" ht="15" x14ac:dyDescent="0.25">
      <c r="B86" s="106">
        <v>15</v>
      </c>
      <c r="C86" s="988" t="s">
        <v>806</v>
      </c>
      <c r="D86" s="988"/>
    </row>
    <row r="87" spans="2:4" x14ac:dyDescent="0.2">
      <c r="B87" s="107">
        <v>15.1</v>
      </c>
      <c r="C87" s="91" t="s">
        <v>807</v>
      </c>
      <c r="D87" s="96">
        <f>'Embedded Parts'!C49</f>
        <v>705</v>
      </c>
    </row>
    <row r="88" spans="2:4" x14ac:dyDescent="0.2">
      <c r="B88" s="107">
        <v>15.2</v>
      </c>
      <c r="C88" s="91" t="s">
        <v>808</v>
      </c>
      <c r="D88" s="96">
        <f>'Embedded Parts'!C50</f>
        <v>458</v>
      </c>
    </row>
    <row r="89" spans="2:4" x14ac:dyDescent="0.2">
      <c r="B89" s="107">
        <v>15.3</v>
      </c>
      <c r="C89" s="91" t="s">
        <v>809</v>
      </c>
      <c r="D89" s="96">
        <f>'Embedded Parts'!C25</f>
        <v>340</v>
      </c>
    </row>
    <row r="90" spans="2:4" x14ac:dyDescent="0.2">
      <c r="B90" s="107">
        <v>15.4</v>
      </c>
      <c r="C90" s="91" t="s">
        <v>810</v>
      </c>
      <c r="D90" s="96">
        <f>'Embedded Parts'!C42</f>
        <v>300</v>
      </c>
    </row>
    <row r="91" spans="2:4" x14ac:dyDescent="0.2">
      <c r="B91" s="107">
        <v>15.5</v>
      </c>
      <c r="C91" s="91" t="s">
        <v>872</v>
      </c>
      <c r="D91" s="102">
        <f>'Embedded Parts'!J87</f>
        <v>3403.2561844052789</v>
      </c>
    </row>
  </sheetData>
  <sheetProtection algorithmName="SHA-512" hashValue="M/mnt7qGAznFkjxjv9a6w/0rhhW/5I9SrFxWFaF8+9Ma5VIxqIzxl+yvegoMrGcVmCinCLgtAEwI4pj0StxynA==" saltValue="J64hEK7FBcobtY64qFimXA==" spinCount="100000" sheet="1" objects="1" scenarios="1" selectLockedCells="1"/>
  <mergeCells count="15">
    <mergeCell ref="C35:D35"/>
    <mergeCell ref="C40:D40"/>
    <mergeCell ref="C44:D44"/>
    <mergeCell ref="C2:D2"/>
    <mergeCell ref="C15:D15"/>
    <mergeCell ref="C21:D21"/>
    <mergeCell ref="C24:D24"/>
    <mergeCell ref="C30:D30"/>
    <mergeCell ref="C86:D86"/>
    <mergeCell ref="C57:D57"/>
    <mergeCell ref="C59:D59"/>
    <mergeCell ref="C62:D62"/>
    <mergeCell ref="C46:D46"/>
    <mergeCell ref="C51:D51"/>
    <mergeCell ref="C54:D54"/>
  </mergeCells>
  <pageMargins left="0.7" right="0.7" top="0.75" bottom="0.75" header="0.3" footer="0.3"/>
  <pageSetup paperSize="9" scale="58" orientation="portrait" blackAndWhite="1" r:id="rId1"/>
  <headerFooter>
    <oddHeader>&amp;L
Summary&amp;C
&amp;R
Lower Likhu Hydropower Project (28.1 MW)</oddHeader>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eamSpace">
    <pageSetUpPr fitToPage="1"/>
  </sheetPr>
  <dimension ref="A1:AW141"/>
  <sheetViews>
    <sheetView showGridLines="0" tabSelected="1" zoomScale="75" zoomScaleNormal="75" workbookViewId="0">
      <selection activeCell="F4" sqref="F4:G4"/>
    </sheetView>
  </sheetViews>
  <sheetFormatPr defaultRowHeight="15" x14ac:dyDescent="0.25"/>
  <cols>
    <col min="1" max="1" width="6.7109375" customWidth="1"/>
    <col min="2" max="2" width="1.7109375" customWidth="1"/>
    <col min="3" max="3" width="11.7109375" customWidth="1"/>
    <col min="4" max="4" width="1.7109375" customWidth="1"/>
    <col min="5" max="5" width="9.140625" customWidth="1"/>
    <col min="6" max="6" width="12.7109375" customWidth="1"/>
    <col min="7" max="7" width="17.85546875" bestFit="1" customWidth="1"/>
    <col min="8" max="9" width="15.7109375" customWidth="1"/>
    <col min="10" max="10" width="10.7109375" customWidth="1"/>
    <col min="11" max="11" width="11.42578125" customWidth="1"/>
    <col min="12" max="12" width="6.7109375" customWidth="1"/>
    <col min="13" max="13" width="12.7109375" hidden="1" customWidth="1"/>
    <col min="14" max="29" width="15.7109375" hidden="1" customWidth="1"/>
    <col min="30" max="49" width="9.140625" hidden="1" customWidth="1"/>
    <col min="50" max="50" width="9.140625" customWidth="1"/>
  </cols>
  <sheetData>
    <row r="1" spans="1:29" ht="18" x14ac:dyDescent="0.25">
      <c r="A1" s="1002" t="s">
        <v>21</v>
      </c>
      <c r="B1" s="1003"/>
      <c r="C1" s="1003"/>
      <c r="D1" s="1003"/>
      <c r="E1" s="1003"/>
      <c r="F1" s="1003"/>
      <c r="G1" s="1003"/>
      <c r="H1" s="1003"/>
      <c r="I1" s="1003"/>
      <c r="J1" s="1003"/>
      <c r="K1" s="1004"/>
      <c r="L1" s="118"/>
      <c r="M1" s="118"/>
      <c r="P1" s="118"/>
      <c r="Q1" s="118"/>
      <c r="R1" s="118"/>
      <c r="S1" s="118"/>
      <c r="T1" s="118"/>
      <c r="U1" s="118"/>
      <c r="V1" s="118"/>
      <c r="W1" s="118"/>
      <c r="X1" s="118"/>
    </row>
    <row r="2" spans="1:29" ht="18" x14ac:dyDescent="0.25">
      <c r="A2" s="1002" t="str">
        <f>GType</f>
        <v>Fixed Wheel (cantilevered)</v>
      </c>
      <c r="B2" s="1005"/>
      <c r="C2" s="1005"/>
      <c r="D2" s="1005"/>
      <c r="E2" s="1005"/>
      <c r="F2" s="1005"/>
      <c r="G2" s="1005"/>
      <c r="H2" s="1005"/>
      <c r="I2" s="1005"/>
      <c r="J2" s="1005"/>
      <c r="K2" s="1006"/>
      <c r="L2" s="118"/>
      <c r="M2" s="118"/>
      <c r="P2" s="118"/>
      <c r="Q2" s="118"/>
      <c r="R2" s="118"/>
      <c r="S2" s="118"/>
      <c r="T2" s="118"/>
      <c r="U2" s="118"/>
      <c r="V2" s="118"/>
      <c r="W2" s="118"/>
      <c r="X2" s="118"/>
    </row>
    <row r="3" spans="1:29" x14ac:dyDescent="0.25">
      <c r="A3" s="119"/>
      <c r="B3" s="120"/>
      <c r="C3" s="120"/>
      <c r="D3" s="120"/>
      <c r="E3" s="120"/>
      <c r="F3" s="120"/>
      <c r="G3" s="120"/>
      <c r="H3" s="120"/>
      <c r="I3" s="120"/>
      <c r="J3" s="119"/>
      <c r="K3" s="119"/>
      <c r="L3" s="119"/>
      <c r="M3" s="119"/>
      <c r="P3" s="119"/>
      <c r="Q3" s="119"/>
    </row>
    <row r="4" spans="1:29" x14ac:dyDescent="0.25">
      <c r="A4" s="119"/>
      <c r="B4" s="120"/>
      <c r="C4" s="120"/>
      <c r="D4" s="120"/>
      <c r="E4" s="121" t="s">
        <v>0</v>
      </c>
      <c r="F4" s="1007">
        <v>5</v>
      </c>
      <c r="G4" s="1008"/>
      <c r="J4" s="119"/>
      <c r="K4" s="119"/>
      <c r="L4" s="119"/>
      <c r="M4" s="119"/>
      <c r="N4" s="122">
        <f>MAX(Q:Q)</f>
        <v>38.941669990086382</v>
      </c>
      <c r="O4" s="123" t="s">
        <v>13</v>
      </c>
      <c r="Q4" s="124" t="s">
        <v>15</v>
      </c>
      <c r="S4" s="125">
        <f>MAX(M:M)</f>
        <v>0.63825372117795853</v>
      </c>
      <c r="T4" s="126" t="s">
        <v>661</v>
      </c>
    </row>
    <row r="5" spans="1:29" x14ac:dyDescent="0.25">
      <c r="A5" s="119"/>
      <c r="B5" s="120"/>
      <c r="C5" s="120"/>
      <c r="D5" s="120"/>
      <c r="E5" s="121" t="s">
        <v>1</v>
      </c>
      <c r="F5" s="1009" t="s">
        <v>9</v>
      </c>
      <c r="G5" s="1008"/>
      <c r="J5" s="119"/>
      <c r="K5" s="119"/>
      <c r="L5" s="119"/>
      <c r="M5" s="119"/>
      <c r="N5" s="127">
        <f>MAX(E:E)</f>
        <v>5</v>
      </c>
      <c r="O5" s="123" t="s">
        <v>14</v>
      </c>
      <c r="Q5" s="128">
        <v>0</v>
      </c>
      <c r="S5" s="129">
        <v>23</v>
      </c>
      <c r="T5" s="6" t="s">
        <v>16</v>
      </c>
    </row>
    <row r="6" spans="1:29" x14ac:dyDescent="0.25">
      <c r="A6" s="119"/>
      <c r="B6" s="120"/>
      <c r="C6" s="120"/>
      <c r="D6" s="120"/>
      <c r="E6" s="121" t="s">
        <v>2</v>
      </c>
      <c r="F6" s="1010">
        <v>0</v>
      </c>
      <c r="G6" s="1011"/>
      <c r="J6" s="119"/>
      <c r="K6" s="119"/>
      <c r="L6" s="119"/>
      <c r="M6" s="119"/>
      <c r="N6" t="s">
        <v>9</v>
      </c>
      <c r="O6" s="119"/>
      <c r="Q6" s="130">
        <f>0.0625*0.0254</f>
        <v>1.5874999999999999E-3</v>
      </c>
      <c r="S6" s="129">
        <v>3</v>
      </c>
      <c r="T6" s="6" t="s">
        <v>17</v>
      </c>
    </row>
    <row r="7" spans="1:29" x14ac:dyDescent="0.25">
      <c r="A7" s="119"/>
      <c r="B7" s="120"/>
      <c r="C7" s="120"/>
      <c r="D7" s="120"/>
      <c r="E7" s="121" t="s">
        <v>3</v>
      </c>
      <c r="F7" s="1010">
        <f>Summary!D6+0.1</f>
        <v>2.9</v>
      </c>
      <c r="G7" s="1011"/>
      <c r="J7" s="119"/>
      <c r="K7" s="119"/>
      <c r="L7" s="119"/>
      <c r="M7" s="119"/>
      <c r="N7" t="s">
        <v>11</v>
      </c>
      <c r="O7" s="123"/>
      <c r="Q7" s="131">
        <f>0.0254*0.125</f>
        <v>3.1749999999999999E-3</v>
      </c>
    </row>
    <row r="8" spans="1:29" x14ac:dyDescent="0.25">
      <c r="A8" s="119"/>
      <c r="B8" s="120"/>
      <c r="C8" s="120"/>
      <c r="D8" s="120"/>
      <c r="E8" s="132" t="s">
        <v>4</v>
      </c>
      <c r="F8" s="1010">
        <f>0.2*2+Summary!D5</f>
        <v>3.9</v>
      </c>
      <c r="G8" s="1011"/>
      <c r="J8" s="119"/>
      <c r="K8" s="119"/>
      <c r="L8" s="119"/>
      <c r="M8" s="119"/>
      <c r="N8" t="s">
        <v>12</v>
      </c>
      <c r="O8" s="123"/>
      <c r="Q8" s="131">
        <f>0.0254*0.25</f>
        <v>6.3499999999999997E-3</v>
      </c>
    </row>
    <row r="9" spans="1:29" x14ac:dyDescent="0.25">
      <c r="A9" s="119"/>
      <c r="B9" s="120"/>
      <c r="C9" s="120"/>
      <c r="D9" s="120"/>
      <c r="E9" s="121" t="s">
        <v>5</v>
      </c>
      <c r="F9" s="1010">
        <f>+Summary!D13</f>
        <v>7.5299999999999727</v>
      </c>
      <c r="G9" s="1011"/>
      <c r="J9" s="119"/>
      <c r="K9" s="119"/>
      <c r="L9" s="119"/>
      <c r="M9" s="119"/>
      <c r="N9" t="s">
        <v>10</v>
      </c>
      <c r="Q9" s="131">
        <f>0.0254*0.5</f>
        <v>1.2699999999999999E-2</v>
      </c>
    </row>
    <row r="10" spans="1:29" x14ac:dyDescent="0.25">
      <c r="A10" s="119"/>
      <c r="B10" s="120"/>
      <c r="C10" s="120"/>
      <c r="D10" s="120"/>
      <c r="E10" s="121" t="s">
        <v>6</v>
      </c>
      <c r="F10" s="1010">
        <f>+Summary!D13</f>
        <v>7.5299999999999727</v>
      </c>
      <c r="G10" s="1011"/>
      <c r="I10" s="5"/>
      <c r="J10" s="119"/>
      <c r="K10" s="119"/>
      <c r="L10" s="119"/>
      <c r="M10" s="119"/>
      <c r="O10" s="119"/>
      <c r="Q10" s="131">
        <f>0.0254*1</f>
        <v>2.5399999999999999E-2</v>
      </c>
    </row>
    <row r="11" spans="1:29" x14ac:dyDescent="0.25">
      <c r="A11" s="119"/>
      <c r="B11" s="120"/>
      <c r="C11" s="120"/>
      <c r="D11" s="120"/>
      <c r="E11" s="121" t="s">
        <v>7</v>
      </c>
      <c r="F11" s="1015">
        <v>2.4E-2</v>
      </c>
      <c r="G11" s="1008"/>
      <c r="J11" s="119"/>
      <c r="K11" s="119"/>
      <c r="L11" s="119"/>
      <c r="M11" s="119"/>
      <c r="O11" s="119"/>
      <c r="P11" s="119"/>
      <c r="Q11" s="133"/>
    </row>
    <row r="12" spans="1:29" x14ac:dyDescent="0.25">
      <c r="A12" s="119"/>
      <c r="B12" s="120"/>
      <c r="C12" s="120"/>
      <c r="D12" s="120"/>
      <c r="E12" s="121" t="s">
        <v>8</v>
      </c>
      <c r="F12" s="1012">
        <v>9.81</v>
      </c>
      <c r="G12" s="1013"/>
      <c r="J12" s="119"/>
      <c r="K12" s="119"/>
      <c r="L12" s="119"/>
      <c r="M12" s="119"/>
      <c r="N12" s="134"/>
      <c r="O12" s="119"/>
      <c r="P12" s="119"/>
      <c r="Q12" s="133"/>
      <c r="R12" s="119"/>
      <c r="S12" s="119"/>
      <c r="T12" s="119"/>
      <c r="U12" s="119"/>
      <c r="V12" s="119"/>
      <c r="W12" s="119"/>
    </row>
    <row r="13" spans="1:29" x14ac:dyDescent="0.25">
      <c r="A13" s="119"/>
      <c r="B13" s="135"/>
      <c r="C13" s="135"/>
      <c r="D13" s="135"/>
      <c r="E13" s="135"/>
      <c r="F13" s="135"/>
      <c r="G13" s="135"/>
      <c r="H13" s="135"/>
      <c r="I13" s="135"/>
      <c r="J13" s="119"/>
      <c r="K13" s="119"/>
      <c r="L13" s="119"/>
      <c r="M13" s="119"/>
      <c r="N13" s="119"/>
      <c r="O13" s="119"/>
      <c r="P13" s="119"/>
      <c r="Q13" s="119"/>
      <c r="R13" s="119"/>
      <c r="S13" s="119"/>
      <c r="T13" s="119"/>
      <c r="U13" s="119"/>
      <c r="V13" s="119"/>
      <c r="W13" s="119"/>
      <c r="X13" s="119"/>
    </row>
    <row r="14" spans="1:29" ht="51.75" customHeight="1" x14ac:dyDescent="0.25">
      <c r="A14" s="119"/>
      <c r="B14" s="1016" t="s">
        <v>18</v>
      </c>
      <c r="C14" s="1017"/>
      <c r="D14" s="1018"/>
      <c r="E14" s="906" t="s">
        <v>27</v>
      </c>
      <c r="F14" s="906" t="s">
        <v>19</v>
      </c>
      <c r="G14" s="907" t="s">
        <v>662</v>
      </c>
      <c r="H14" s="906" t="s">
        <v>20</v>
      </c>
      <c r="I14" s="906" t="s">
        <v>663</v>
      </c>
      <c r="J14" s="906" t="s">
        <v>664</v>
      </c>
      <c r="K14" s="906" t="s">
        <v>665</v>
      </c>
      <c r="L14" s="119"/>
      <c r="M14" s="136" t="s">
        <v>18</v>
      </c>
      <c r="N14" s="136" t="s">
        <v>24</v>
      </c>
      <c r="O14" s="137" t="s">
        <v>25</v>
      </c>
      <c r="P14" s="136" t="s">
        <v>24</v>
      </c>
      <c r="Q14" s="136" t="s">
        <v>20</v>
      </c>
      <c r="R14" s="136" t="s">
        <v>666</v>
      </c>
      <c r="S14" s="136" t="s">
        <v>667</v>
      </c>
      <c r="T14" s="136" t="s">
        <v>141</v>
      </c>
      <c r="U14" s="136" t="s">
        <v>142</v>
      </c>
      <c r="V14" s="136" t="s">
        <v>143</v>
      </c>
      <c r="W14" s="136" t="s">
        <v>144</v>
      </c>
      <c r="X14" s="136" t="s">
        <v>145</v>
      </c>
      <c r="Y14" s="136" t="s">
        <v>146</v>
      </c>
      <c r="Z14" s="136" t="s">
        <v>147</v>
      </c>
      <c r="AA14" s="136" t="s">
        <v>148</v>
      </c>
      <c r="AB14" s="136" t="s">
        <v>149</v>
      </c>
      <c r="AC14" s="136" t="s">
        <v>150</v>
      </c>
    </row>
    <row r="15" spans="1:29" x14ac:dyDescent="0.25">
      <c r="A15" s="119"/>
      <c r="B15" s="119"/>
      <c r="C15" s="138"/>
      <c r="D15" s="138"/>
      <c r="E15" s="138"/>
      <c r="F15" s="138"/>
      <c r="G15" s="119"/>
      <c r="H15" s="138" t="s">
        <v>1358</v>
      </c>
      <c r="I15" s="138" t="s">
        <v>1358</v>
      </c>
      <c r="J15" s="119"/>
      <c r="K15" s="119"/>
      <c r="L15" s="119"/>
      <c r="M15" s="119"/>
      <c r="N15" s="118"/>
      <c r="O15" s="118"/>
      <c r="P15" s="118"/>
      <c r="Q15" s="118"/>
      <c r="R15" s="118"/>
      <c r="S15" s="118"/>
      <c r="T15" s="118"/>
      <c r="U15" s="118"/>
      <c r="V15" s="118"/>
      <c r="W15" s="118"/>
      <c r="X15" s="118"/>
      <c r="Y15" s="118"/>
      <c r="Z15" s="118"/>
      <c r="AA15" s="118"/>
      <c r="AB15" s="118"/>
      <c r="AC15" s="118"/>
    </row>
    <row r="16" spans="1:29" x14ac:dyDescent="0.25">
      <c r="A16" s="89"/>
      <c r="B16" s="89"/>
      <c r="C16" s="89"/>
      <c r="D16" s="89"/>
      <c r="E16" s="89"/>
      <c r="F16" s="89"/>
      <c r="G16" s="119"/>
      <c r="H16" s="89"/>
      <c r="I16" s="89"/>
      <c r="J16" s="119"/>
      <c r="K16" s="139"/>
      <c r="L16" s="119"/>
      <c r="M16" s="119"/>
      <c r="P16" s="140"/>
      <c r="Q16" s="140"/>
      <c r="R16" s="118"/>
      <c r="S16" s="118"/>
      <c r="T16" s="118"/>
      <c r="U16" s="118"/>
      <c r="V16" s="118"/>
      <c r="W16" s="118"/>
      <c r="X16" s="118"/>
      <c r="Y16" s="118"/>
      <c r="Z16" s="118"/>
      <c r="AA16" s="118"/>
      <c r="AB16" s="118"/>
      <c r="AC16" s="118"/>
    </row>
    <row r="17" spans="1:49" x14ac:dyDescent="0.25">
      <c r="A17" s="89"/>
      <c r="B17" s="89"/>
      <c r="C17" s="125">
        <f>D</f>
        <v>2.9</v>
      </c>
      <c r="D17" s="89"/>
      <c r="E17" s="89"/>
      <c r="F17" s="89"/>
      <c r="G17" s="119"/>
      <c r="H17" s="141">
        <f>SUM(P:P)</f>
        <v>177.00186435265638</v>
      </c>
      <c r="I17" s="142"/>
      <c r="J17" s="119"/>
      <c r="K17" s="139"/>
      <c r="L17" s="119"/>
      <c r="M17" s="139"/>
      <c r="N17" s="143"/>
      <c r="O17" s="144"/>
      <c r="P17" s="145"/>
      <c r="Q17" s="140"/>
      <c r="R17" s="118"/>
      <c r="S17" s="118"/>
      <c r="T17" s="118"/>
      <c r="U17" s="118"/>
      <c r="V17" s="118"/>
      <c r="W17" s="118"/>
      <c r="X17" s="118"/>
      <c r="Y17" s="118"/>
      <c r="Z17" s="118"/>
      <c r="AA17" s="118"/>
      <c r="AB17" s="118"/>
      <c r="AC17" s="118"/>
    </row>
    <row r="18" spans="1:49" ht="15" customHeight="1" x14ac:dyDescent="0.25">
      <c r="A18" s="89"/>
      <c r="B18" s="89"/>
      <c r="C18" s="146"/>
      <c r="D18" s="147"/>
      <c r="E18" s="1014" t="s">
        <v>22</v>
      </c>
      <c r="F18" s="1001">
        <f>F21-C20</f>
        <v>4.6299999999999732</v>
      </c>
      <c r="G18" s="1000">
        <f>(F18+7/8*Alp*SQRT(Hp*F18))*Rw</f>
        <v>46.636699647794153</v>
      </c>
      <c r="H18" s="996"/>
      <c r="I18" s="998"/>
      <c r="J18" s="119"/>
      <c r="K18" s="139"/>
      <c r="L18" s="119"/>
      <c r="M18" s="139"/>
      <c r="N18" s="143"/>
      <c r="O18" s="144"/>
      <c r="P18" s="145"/>
      <c r="Q18" s="140"/>
      <c r="R18" s="118"/>
      <c r="S18" s="118"/>
      <c r="T18" s="118"/>
      <c r="U18" s="118"/>
      <c r="V18" s="118"/>
      <c r="W18" s="118"/>
      <c r="X18" s="118"/>
      <c r="Y18" s="118"/>
      <c r="Z18" s="118"/>
      <c r="AA18" s="118"/>
      <c r="AB18" s="118"/>
      <c r="AC18" s="118"/>
    </row>
    <row r="19" spans="1:49" x14ac:dyDescent="0.25">
      <c r="A19" s="148"/>
      <c r="B19" s="149"/>
      <c r="C19" s="139"/>
      <c r="D19" s="150"/>
      <c r="E19" s="999"/>
      <c r="F19" s="1001"/>
      <c r="G19" s="1000"/>
      <c r="H19" s="996"/>
      <c r="I19" s="998"/>
      <c r="J19" s="119"/>
      <c r="K19" s="139"/>
      <c r="L19" s="119"/>
      <c r="M19" s="139"/>
      <c r="N19" s="151"/>
      <c r="O19" s="152"/>
      <c r="P19" s="151"/>
      <c r="Q19" s="118"/>
      <c r="R19" s="118"/>
      <c r="S19" s="118"/>
      <c r="T19" s="118"/>
      <c r="U19" s="118"/>
      <c r="V19" s="118"/>
      <c r="W19" s="118"/>
      <c r="X19" s="118"/>
      <c r="Y19" s="118"/>
      <c r="Z19" s="118"/>
      <c r="AA19" s="118"/>
      <c r="AB19" s="118"/>
      <c r="AC19" s="118"/>
    </row>
    <row r="20" spans="1:49" x14ac:dyDescent="0.25">
      <c r="A20" s="148"/>
      <c r="B20" s="149"/>
      <c r="C20" s="153">
        <f>D-SUM(M:M)</f>
        <v>0.27235597878985818</v>
      </c>
      <c r="D20" s="150"/>
      <c r="E20" s="147"/>
      <c r="F20" s="153"/>
      <c r="G20" s="154"/>
      <c r="H20" s="155"/>
      <c r="I20" s="156"/>
      <c r="J20" s="157">
        <f>MIN(1,1.1/(1+2*(2*C20/Lsup)^2))</f>
        <v>1</v>
      </c>
      <c r="K20" s="139"/>
      <c r="L20" s="119"/>
      <c r="M20" s="139"/>
      <c r="N20" s="151"/>
      <c r="O20" s="158"/>
      <c r="P20" s="151"/>
      <c r="Q20" s="118"/>
      <c r="R20" s="118"/>
      <c r="S20" s="118"/>
      <c r="T20" s="118"/>
      <c r="U20" s="118"/>
      <c r="V20" s="118"/>
      <c r="W20" s="118"/>
      <c r="X20" s="118"/>
      <c r="Y20" s="118"/>
      <c r="Z20" s="118"/>
      <c r="AA20" s="118"/>
      <c r="AB20" s="118"/>
      <c r="AC20" s="118"/>
      <c r="AE20" s="5" t="s">
        <v>668</v>
      </c>
    </row>
    <row r="21" spans="1:49" ht="15" customHeight="1" thickBot="1" x14ac:dyDescent="0.3">
      <c r="A21" s="159"/>
      <c r="B21" s="160"/>
      <c r="C21" s="161"/>
      <c r="D21" s="162"/>
      <c r="E21" s="999">
        <f>(ROW()-BSref+5)/BSrow</f>
        <v>1</v>
      </c>
      <c r="F21" s="1001">
        <f>F24-C23</f>
        <v>4.9023559787898314</v>
      </c>
      <c r="G21" s="1000">
        <f>(F21+7/8*Alp*SQRT(Hp*F21))*Rw</f>
        <v>49.343777451096258</v>
      </c>
      <c r="H21" s="996">
        <f>+Q21</f>
        <v>29.429443075147965</v>
      </c>
      <c r="I21" s="998">
        <f>R21</f>
        <v>1.7631709073931312</v>
      </c>
      <c r="J21" s="119"/>
      <c r="K21" s="997">
        <f>C20*J20+C23/2*J23</f>
        <v>0.59148283937883739</v>
      </c>
      <c r="L21" s="119"/>
      <c r="M21" s="139"/>
      <c r="N21" s="163">
        <f>(G18+G21)*C20/2</f>
        <v>13.070428392492934</v>
      </c>
      <c r="O21" s="158"/>
      <c r="P21" s="163">
        <f>+N21</f>
        <v>13.070428392492934</v>
      </c>
      <c r="Q21" s="994">
        <f>(P21+P22)</f>
        <v>29.429443075147965</v>
      </c>
      <c r="R21" s="994">
        <f>AC21</f>
        <v>1.7631709073931312</v>
      </c>
      <c r="S21" s="994">
        <f>AC21</f>
        <v>1.7631709073931312</v>
      </c>
      <c r="T21" s="994">
        <f>AC21</f>
        <v>1.7631709073931312</v>
      </c>
      <c r="U21" s="994">
        <f>AC21</f>
        <v>1.7631709073931312</v>
      </c>
      <c r="V21" s="994">
        <f>AC21</f>
        <v>1.7631709073931312</v>
      </c>
      <c r="W21" s="994">
        <f>AC21</f>
        <v>1.7631709073931312</v>
      </c>
      <c r="X21" s="994">
        <f>AC21</f>
        <v>1.7631709073931312</v>
      </c>
      <c r="Y21" s="994">
        <f>AC21</f>
        <v>1.7631709073931312</v>
      </c>
      <c r="Z21" s="994">
        <f>AC21</f>
        <v>1.7631709073931312</v>
      </c>
      <c r="AA21" s="994">
        <f>AC21</f>
        <v>1.7631709073931312</v>
      </c>
      <c r="AB21" s="994">
        <f>AC21</f>
        <v>1.7631709073931312</v>
      </c>
      <c r="AC21" s="994">
        <f>C20^2*(2*G18+G21)/6</f>
        <v>1.7631709073931312</v>
      </c>
      <c r="AE21" s="993">
        <f>(W20*AD20+W23*AD23)/2</f>
        <v>0</v>
      </c>
      <c r="AF21" s="119"/>
      <c r="AG21" s="119"/>
      <c r="AH21" s="164">
        <f>(AA18+2*AA21)*W20/6</f>
        <v>0</v>
      </c>
      <c r="AI21" s="165">
        <f>(7*AA18+8*AA21)*W20^3/360</f>
        <v>0</v>
      </c>
      <c r="AJ21" s="164" t="e">
        <f>AH21+(AL21-AL18)/W20</f>
        <v>#DIV/0!</v>
      </c>
      <c r="AK21" s="991" t="e">
        <f>AJ21+AJ22</f>
        <v>#DIV/0!</v>
      </c>
      <c r="AL21" s="989" t="e">
        <f>(6*(AI21-AI22)-AL18*W20-AM24*W23)/2/(W20+W23)</f>
        <v>#DIV/0!</v>
      </c>
      <c r="AM21" s="989" t="e">
        <f>(6*(AI21-AI22)-AM18*W20-AN24*W23)/2/(W20+W23)</f>
        <v>#DIV/0!</v>
      </c>
      <c r="AN21" s="989" t="e">
        <f>(6*(AI21-AI22)-AN18*W20-AO24*W23)/2/(W20+W23)</f>
        <v>#DIV/0!</v>
      </c>
      <c r="AO21" s="989" t="e">
        <f>(6*(AI21-AI22)-AO18*W20-AP24*W23)/2/(W20+W23)</f>
        <v>#DIV/0!</v>
      </c>
      <c r="AP21" s="989" t="e">
        <f>(6*(AI21-AI22)-AP18*W20-AQ24*W23)/2/(W20+W23)</f>
        <v>#DIV/0!</v>
      </c>
      <c r="AQ21" s="989" t="e">
        <f>(6*(AI21-AI22)-AQ18*W20-AR24*W23)/2/(W20+W23)</f>
        <v>#DIV/0!</v>
      </c>
      <c r="AR21" s="989" t="e">
        <f>(6*(AI21-AI22)-AR18*W20-AS24*W23)/2/(W20+W23)</f>
        <v>#DIV/0!</v>
      </c>
      <c r="AS21" s="989" t="e">
        <f>(6*(AI21-AI22)-AS18*W20-AT24*W23)/2/(W20+W23)</f>
        <v>#DIV/0!</v>
      </c>
      <c r="AT21" s="989" t="e">
        <f>(6*(AI21-AI22)-AT18*W20-AU24*W23)/2/(W20+W23)</f>
        <v>#DIV/0!</v>
      </c>
      <c r="AU21" s="989" t="e">
        <f>(6*(AI21-AI22)-AU18*W20-AV24*W23)/2/(W20+W23)</f>
        <v>#DIV/0!</v>
      </c>
      <c r="AV21" s="989" t="e">
        <f>(6*(AI21-AI22)-AV18*W20-AW24*W23)/2/(W20+W23)</f>
        <v>#DIV/0!</v>
      </c>
      <c r="AW21" s="989" t="e">
        <f>(6*(AI21-AI22)-AW18*W20)/2/(W20+W23)</f>
        <v>#DIV/0!</v>
      </c>
    </row>
    <row r="22" spans="1:49" ht="15.75" thickTop="1" x14ac:dyDescent="0.25">
      <c r="A22" s="159"/>
      <c r="B22" s="166"/>
      <c r="C22" s="167"/>
      <c r="D22" s="168"/>
      <c r="E22" s="999"/>
      <c r="F22" s="1001"/>
      <c r="G22" s="1000"/>
      <c r="H22" s="996"/>
      <c r="I22" s="998"/>
      <c r="J22" s="119"/>
      <c r="K22" s="997"/>
      <c r="L22" s="119"/>
      <c r="M22" s="139"/>
      <c r="N22" s="163">
        <f>(2*G21+G24)*C23/6</f>
        <v>16.421373445929788</v>
      </c>
      <c r="O22" s="169">
        <f>-(8*G21+7*G24)*C23^3/360</f>
        <v>-0.56661987086512311</v>
      </c>
      <c r="P22" s="163">
        <f>N22-(R24-R21)/C23</f>
        <v>16.359014682655033</v>
      </c>
      <c r="Q22" s="995"/>
      <c r="R22" s="995"/>
      <c r="S22" s="995"/>
      <c r="T22" s="995"/>
      <c r="U22" s="995"/>
      <c r="V22" s="995"/>
      <c r="W22" s="995"/>
      <c r="X22" s="995"/>
      <c r="Y22" s="995"/>
      <c r="Z22" s="995"/>
      <c r="AA22" s="995"/>
      <c r="AB22" s="995"/>
      <c r="AC22" s="995"/>
      <c r="AE22" s="993"/>
      <c r="AF22" s="119"/>
      <c r="AG22" s="119"/>
      <c r="AH22" s="164">
        <f>(2*AA21+AA24)*W23/6</f>
        <v>0</v>
      </c>
      <c r="AI22" s="165">
        <f>-(8*AA21+7*AA24)*W23^3/360</f>
        <v>0</v>
      </c>
      <c r="AJ22" s="164" t="e">
        <f>AH22-(AL24-AL21)/W23</f>
        <v>#DIV/0!</v>
      </c>
      <c r="AK22" s="992"/>
      <c r="AL22" s="990"/>
      <c r="AM22" s="990"/>
      <c r="AN22" s="990"/>
      <c r="AO22" s="990"/>
      <c r="AP22" s="990"/>
      <c r="AQ22" s="990"/>
      <c r="AR22" s="990"/>
      <c r="AS22" s="990"/>
      <c r="AT22" s="990"/>
      <c r="AU22" s="990"/>
      <c r="AV22" s="990"/>
      <c r="AW22" s="990"/>
    </row>
    <row r="23" spans="1:49" ht="12" customHeight="1" x14ac:dyDescent="0.25">
      <c r="A23" s="149"/>
      <c r="B23" s="149"/>
      <c r="C23" s="170">
        <v>0.63825372117795853</v>
      </c>
      <c r="D23" s="171"/>
      <c r="E23" s="172"/>
      <c r="F23" s="173"/>
      <c r="G23" s="174"/>
      <c r="H23" s="175"/>
      <c r="I23" s="156"/>
      <c r="J23" s="157">
        <f>MIN(1,1.1/(1+2*(C23/Lsup)^2))</f>
        <v>1</v>
      </c>
      <c r="K23" s="139"/>
      <c r="L23" s="119"/>
      <c r="M23" s="125">
        <f>+C23</f>
        <v>0.63825372117795853</v>
      </c>
      <c r="N23" s="176"/>
      <c r="O23" s="177"/>
      <c r="P23" s="176"/>
      <c r="Q23" s="178"/>
      <c r="R23" s="178"/>
      <c r="S23" s="178"/>
      <c r="T23" s="178"/>
      <c r="U23" s="178"/>
      <c r="V23" s="178"/>
      <c r="W23" s="178"/>
      <c r="X23" s="178"/>
      <c r="Y23" s="178"/>
      <c r="Z23" s="178"/>
      <c r="AA23" s="178"/>
      <c r="AB23" s="178"/>
      <c r="AC23" s="178"/>
    </row>
    <row r="24" spans="1:49" ht="15" customHeight="1" thickBot="1" x14ac:dyDescent="0.3">
      <c r="A24" s="159"/>
      <c r="B24" s="160"/>
      <c r="C24" s="161"/>
      <c r="D24" s="162"/>
      <c r="E24" s="999">
        <f>(ROW()-BSref+5)/BSrow</f>
        <v>2</v>
      </c>
      <c r="F24" s="1001">
        <f>F27-C26</f>
        <v>5.5406096999677903</v>
      </c>
      <c r="G24" s="1000">
        <f>(F24+7/8*Alp*SQRT(Hp*F24))*Rw</f>
        <v>55.684033396165383</v>
      </c>
      <c r="H24" s="996">
        <f>+Q24</f>
        <v>34.700854257400323</v>
      </c>
      <c r="I24" s="998">
        <f>R24</f>
        <v>1.8029716201012984</v>
      </c>
      <c r="J24" s="119"/>
      <c r="K24" s="993">
        <f>(C23*J23+C26*J26)/2</f>
        <v>0.62416926440319309</v>
      </c>
      <c r="L24" s="119"/>
      <c r="M24" s="119"/>
      <c r="N24" s="164">
        <f>(G21+2*G24)*C23/6</f>
        <v>17.095822104289962</v>
      </c>
      <c r="O24" s="165">
        <f>(7*G21+8*G24)*C23^3/360</f>
        <v>0.57119901544288154</v>
      </c>
      <c r="P24" s="164">
        <f>N24+(R24-R21)/C23</f>
        <v>17.158180867564717</v>
      </c>
      <c r="Q24" s="991">
        <f>P24+P25</f>
        <v>34.700854257400323</v>
      </c>
      <c r="R24" s="989">
        <f>(6*(O24-O25)-R21*C23-S27*C26)/2/(C23+C26)</f>
        <v>1.8029716201012984</v>
      </c>
      <c r="S24" s="989">
        <f>(6*(O24-O25)-S21*C23-T27*C26)/2/(C23+C26)</f>
        <v>1.8029716209908344</v>
      </c>
      <c r="T24" s="989">
        <f>(6*(O24-O25)-T21*C23-U27*C26)/2/(C23+C26)</f>
        <v>1.8029716281292452</v>
      </c>
      <c r="U24" s="989">
        <f>(6*(O24-O25)-U21*C23-V27*C26)/2/(C23+C26)</f>
        <v>1.802971685414084</v>
      </c>
      <c r="V24" s="989">
        <f>(6*(O24-O25)-V21*C23-W27*C26)/2/(C23+C26)</f>
        <v>1.8029721451176333</v>
      </c>
      <c r="W24" s="989">
        <f>(6*(O24-O25)-W21*C23-X27*C26)/2/(C23+C26)</f>
        <v>1.8029758341801545</v>
      </c>
      <c r="X24" s="989">
        <f>(6*(O24-O25)-X21*C23-Y27*C26)/2/(C23+C26)</f>
        <v>1.8030054384377607</v>
      </c>
      <c r="Y24" s="989">
        <f>(6*(O24-O25)-Y21*C23-Z27*C26)/2/(C23+C26)</f>
        <v>1.8032430088403608</v>
      </c>
      <c r="Z24" s="989">
        <f>(6*(O24-O25)-Z21*C23-AA27*C26)/2/(C23+C26)</f>
        <v>1.8051494811100599</v>
      </c>
      <c r="AA24" s="989">
        <f>(6*(O24-O25)-AA21*C23-AB27*C26)/2/(C23+C26)</f>
        <v>1.8204486786336351</v>
      </c>
      <c r="AB24" s="989">
        <f>(6*(O24-O25)-AB21*C23-AC27*C26)/2/(C23+C26)</f>
        <v>1.7188871327573083</v>
      </c>
      <c r="AC24" s="989">
        <f>(6*(O24-O25)-AC21*C23)/2/(C23+C26)</f>
        <v>2.2523578339642314</v>
      </c>
    </row>
    <row r="25" spans="1:49" ht="15.75" thickTop="1" x14ac:dyDescent="0.25">
      <c r="A25" s="159"/>
      <c r="B25" s="166"/>
      <c r="C25" s="139"/>
      <c r="D25" s="179"/>
      <c r="E25" s="999"/>
      <c r="F25" s="1001"/>
      <c r="G25" s="1000"/>
      <c r="H25" s="996"/>
      <c r="I25" s="998"/>
      <c r="J25" s="119"/>
      <c r="K25" s="993"/>
      <c r="L25" s="119"/>
      <c r="M25" s="119"/>
      <c r="N25" s="164">
        <f>(2*G24+G27)*C26/6</f>
        <v>17.601798728669852</v>
      </c>
      <c r="O25" s="165">
        <f>-(8*G24+7*G27)*C26^3/360</f>
        <v>-0.5535944049419983</v>
      </c>
      <c r="P25" s="164">
        <f>N25-(R27-R24)/C26</f>
        <v>17.54267338983561</v>
      </c>
      <c r="Q25" s="992"/>
      <c r="R25" s="990"/>
      <c r="S25" s="990"/>
      <c r="T25" s="990"/>
      <c r="U25" s="990"/>
      <c r="V25" s="990"/>
      <c r="W25" s="990"/>
      <c r="X25" s="990"/>
      <c r="Y25" s="990"/>
      <c r="Z25" s="990"/>
      <c r="AA25" s="990"/>
      <c r="AB25" s="990"/>
      <c r="AC25" s="990"/>
    </row>
    <row r="26" spans="1:49" x14ac:dyDescent="0.25">
      <c r="A26" s="149"/>
      <c r="B26" s="149"/>
      <c r="C26" s="170">
        <v>0.61008480762842776</v>
      </c>
      <c r="D26" s="171"/>
      <c r="E26" s="172"/>
      <c r="F26" s="173"/>
      <c r="G26" s="174"/>
      <c r="H26" s="175"/>
      <c r="I26" s="156"/>
      <c r="J26" s="157">
        <f>MIN(1,1.1/(1+2*(C26/Lsup)^2))</f>
        <v>1</v>
      </c>
      <c r="K26" s="139"/>
      <c r="L26" s="119"/>
      <c r="M26" s="125">
        <f>+C26</f>
        <v>0.61008480762842776</v>
      </c>
      <c r="N26" s="176"/>
      <c r="O26" s="177"/>
      <c r="P26" s="176"/>
      <c r="Q26" s="178"/>
      <c r="R26" s="178"/>
      <c r="S26" s="178"/>
      <c r="T26" s="178"/>
      <c r="U26" s="178"/>
      <c r="V26" s="178"/>
      <c r="W26" s="178"/>
      <c r="X26" s="178"/>
      <c r="Y26" s="178"/>
      <c r="Z26" s="178"/>
      <c r="AA26" s="178"/>
      <c r="AB26" s="178"/>
      <c r="AC26" s="178"/>
    </row>
    <row r="27" spans="1:49" ht="15.75" thickBot="1" x14ac:dyDescent="0.3">
      <c r="A27" s="159"/>
      <c r="B27" s="160"/>
      <c r="C27" s="161"/>
      <c r="D27" s="162"/>
      <c r="E27" s="999">
        <f>(ROW()-BSref+5)/BSrow</f>
        <v>3</v>
      </c>
      <c r="F27" s="1001">
        <f>F30-C29</f>
        <v>6.1506945075962181</v>
      </c>
      <c r="G27" s="1000">
        <f>(F27+7/8*Alp*SQRT(Hp*F27))*Rw</f>
        <v>61.740312651763467</v>
      </c>
      <c r="H27" s="996">
        <f>+Q27</f>
        <v>36.905234127002132</v>
      </c>
      <c r="I27" s="998">
        <f>R27</f>
        <v>1.8390430910699527</v>
      </c>
      <c r="J27" s="119"/>
      <c r="K27" s="993">
        <f>(C26*J26+C29*J29)/2</f>
        <v>0.59842685811736251</v>
      </c>
      <c r="L27" s="119"/>
      <c r="M27" s="119"/>
      <c r="N27" s="164">
        <f>(G24+2*G27)*C26/6</f>
        <v>18.217606056102451</v>
      </c>
      <c r="O27" s="165">
        <f>(7*G24+8*G27)*C26^3/360</f>
        <v>0.55741449870301085</v>
      </c>
      <c r="P27" s="164">
        <f>N27+(R27-R24)/C26</f>
        <v>18.276731394936693</v>
      </c>
      <c r="Q27" s="991">
        <f>P27+P28</f>
        <v>36.905234127002132</v>
      </c>
      <c r="R27" s="989">
        <f>(6*(O27-O28)-R24*C26-S30*C29)/2/(C26+C29)</f>
        <v>1.8390430910699527</v>
      </c>
      <c r="S27" s="989">
        <f>(6*(O27-O28)-S24*C26-T30*C29)/2/(C26+C29)</f>
        <v>1.8390430906163273</v>
      </c>
      <c r="T27" s="989">
        <f>(6*(O27-O28)-T24*C26-U30*C29)/2/(C26+C29)</f>
        <v>1.8390430869760406</v>
      </c>
      <c r="U27" s="989">
        <f>(6*(O27-O28)-U24*C26-V30*C29)/2/(C26+C29)</f>
        <v>1.839043057763206</v>
      </c>
      <c r="V27" s="989">
        <f>(6*(O27-O28)-V24*C26-W30*C29)/2/(C26+C29)</f>
        <v>1.8390428233339242</v>
      </c>
      <c r="W27" s="989">
        <f>(6*(O27-O28)-W24*C26-X30*C29)/2/(C26+C29)</f>
        <v>1.8390409420687461</v>
      </c>
      <c r="X27" s="989">
        <f>(6*(O27-O28)-X24*C26-Y30*C29)/2/(C26+C29)</f>
        <v>1.8390258451549302</v>
      </c>
      <c r="Y27" s="989">
        <f>(6*(O27-O28)-Y24*C26-Z30*C29)/2/(C26+C29)</f>
        <v>1.8389046943413894</v>
      </c>
      <c r="Z27" s="989">
        <f>(6*(O27-O28)-Z24*C26-AA30*C29)/2/(C26+C29)</f>
        <v>1.8379324744691308</v>
      </c>
      <c r="AA27" s="989">
        <f>(6*(O27-O28)-AA24*C26-AB30*C29)/2/(C26+C29)</f>
        <v>1.8301305336287492</v>
      </c>
      <c r="AB27" s="989">
        <f>(6*(O27-O28)-AB24*C26-AC30*C29)/2/(C26+C29)</f>
        <v>1.767520950535737</v>
      </c>
      <c r="AC27" s="989">
        <f>(6*(O27-O28)-AC24*C26)/2/(C26+C29)</f>
        <v>2.1831457593402646</v>
      </c>
    </row>
    <row r="28" spans="1:49" ht="15.75" thickTop="1" x14ac:dyDescent="0.25">
      <c r="A28" s="159"/>
      <c r="B28" s="166"/>
      <c r="C28" s="139"/>
      <c r="D28" s="179"/>
      <c r="E28" s="999"/>
      <c r="F28" s="1001"/>
      <c r="G28" s="1000"/>
      <c r="H28" s="996"/>
      <c r="I28" s="998"/>
      <c r="J28" s="119"/>
      <c r="K28" s="993"/>
      <c r="L28" s="119"/>
      <c r="M28" s="119"/>
      <c r="N28" s="164">
        <f>(2*G27+G30)*C29/6</f>
        <v>18.682965791429449</v>
      </c>
      <c r="O28" s="165">
        <f>-(8*G27+7*G30)*C29^3/360</f>
        <v>-0.54257575565388949</v>
      </c>
      <c r="P28" s="164">
        <f>N28-(R30-R27)/C29</f>
        <v>18.628502732065442</v>
      </c>
      <c r="Q28" s="992"/>
      <c r="R28" s="990"/>
      <c r="S28" s="990"/>
      <c r="T28" s="990"/>
      <c r="U28" s="990"/>
      <c r="V28" s="990"/>
      <c r="W28" s="990"/>
      <c r="X28" s="990"/>
      <c r="Y28" s="990"/>
      <c r="Z28" s="990"/>
      <c r="AA28" s="990"/>
      <c r="AB28" s="990"/>
      <c r="AC28" s="990"/>
    </row>
    <row r="29" spans="1:49" x14ac:dyDescent="0.25">
      <c r="A29" s="149"/>
      <c r="B29" s="149"/>
      <c r="C29" s="170">
        <v>0.58676890860629727</v>
      </c>
      <c r="D29" s="171"/>
      <c r="E29" s="172"/>
      <c r="F29" s="173"/>
      <c r="G29" s="174"/>
      <c r="H29" s="175"/>
      <c r="I29" s="156"/>
      <c r="J29" s="157">
        <f>MIN(1,1.1/(1+2*(C29/Lsup)^2))</f>
        <v>1</v>
      </c>
      <c r="K29" s="139"/>
      <c r="L29" s="119"/>
      <c r="M29" s="125">
        <f>+C29</f>
        <v>0.58676890860629727</v>
      </c>
      <c r="N29" s="176"/>
      <c r="O29" s="177"/>
      <c r="P29" s="176"/>
      <c r="Q29" s="178"/>
      <c r="R29" s="178"/>
      <c r="S29" s="178"/>
      <c r="T29" s="178"/>
      <c r="U29" s="178"/>
      <c r="V29" s="178"/>
      <c r="W29" s="178"/>
      <c r="X29" s="178"/>
      <c r="Y29" s="178"/>
      <c r="Z29" s="178"/>
      <c r="AA29" s="178"/>
      <c r="AB29" s="178"/>
      <c r="AC29" s="178"/>
    </row>
    <row r="30" spans="1:49" ht="15.75" thickBot="1" x14ac:dyDescent="0.3">
      <c r="A30" s="159"/>
      <c r="B30" s="160"/>
      <c r="C30" s="161"/>
      <c r="D30" s="162"/>
      <c r="E30" s="999">
        <f>(ROW()-BSref+5)/BSrow</f>
        <v>4</v>
      </c>
      <c r="F30" s="1001">
        <f>F33-C32</f>
        <v>6.7374634162025151</v>
      </c>
      <c r="G30" s="1000">
        <f>(F30+7/8*Alp*SQRT(Hp*F30))*Rw</f>
        <v>67.561867071935026</v>
      </c>
      <c r="H30" s="996">
        <f>+Q30</f>
        <v>38.941669990086382</v>
      </c>
      <c r="I30" s="998">
        <f>R30</f>
        <v>1.8710003209723309</v>
      </c>
      <c r="J30" s="119"/>
      <c r="K30" s="993">
        <f>(C29*J29+C32*J32)/2</f>
        <v>0.57688134817681314</v>
      </c>
      <c r="L30" s="119"/>
      <c r="M30" s="119"/>
      <c r="N30" s="164">
        <f>(G27+2*G30)*C29/6</f>
        <v>19.252283647015485</v>
      </c>
      <c r="O30" s="165">
        <f>(7*G27+8*G30)*C29^3/360</f>
        <v>0.54584266995243402</v>
      </c>
      <c r="P30" s="164">
        <f>N30+(R30-R27)/C29</f>
        <v>19.306746706379492</v>
      </c>
      <c r="Q30" s="991">
        <f>P30+P31</f>
        <v>38.941669990086382</v>
      </c>
      <c r="R30" s="989">
        <f>(6*(O30-O31)-R27*C29-S33*C32)/2/(C29+C32)</f>
        <v>1.8710003209723309</v>
      </c>
      <c r="S30" s="989">
        <f>(6*(O30-O31)-S27*C29-T33*C32)/2/(C29+C32)</f>
        <v>1.8710003210876809</v>
      </c>
      <c r="T30" s="989">
        <f>(6*(O30-O31)-T27*C29-U33*C32)/2/(C29+C32)</f>
        <v>1.8710003220133506</v>
      </c>
      <c r="U30" s="989">
        <f>(6*(O30-O31)-U27*C29-V33*C32)/2/(C29+C32)</f>
        <v>1.8710003294417343</v>
      </c>
      <c r="V30" s="989">
        <f>(6*(O30-O31)-V27*C29-W33*C32)/2/(C29+C32)</f>
        <v>1.8710003890535654</v>
      </c>
      <c r="W30" s="989">
        <f>(6*(O30-O31)-W27*C29-X33*C32)/2/(C29+C32)</f>
        <v>1.8710008674309295</v>
      </c>
      <c r="X30" s="989">
        <f>(6*(O30-O31)-X27*C29-Y33*C32)/2/(C29+C32)</f>
        <v>1.8710047063484432</v>
      </c>
      <c r="Y30" s="989">
        <f>(6*(O30-O31)-Y27*C29-Z33*C32)/2/(C29+C32)</f>
        <v>1.8710355131733052</v>
      </c>
      <c r="Z30" s="989">
        <f>(6*(O30-O31)-Z27*C29-AA33*C32)/2/(C29+C32)</f>
        <v>1.871282734025207</v>
      </c>
      <c r="AA30" s="989">
        <f>(6*(O30-O31)-AA27*C29-AB33*C32)/2/(C29+C32)</f>
        <v>1.8732666499233332</v>
      </c>
      <c r="AB30" s="989">
        <f>(6*(O30-O31)-AB27*C29-AC33*C32)/2/(C29+C32)</f>
        <v>1.8891873227167453</v>
      </c>
      <c r="AC30" s="989">
        <f>(6*(O30-O31)-AC27*C29)/2/(C29+C32)</f>
        <v>2.2501985785365277</v>
      </c>
    </row>
    <row r="31" spans="1:49" ht="15.75" thickTop="1" x14ac:dyDescent="0.25">
      <c r="A31" s="159"/>
      <c r="B31" s="166"/>
      <c r="C31" s="139"/>
      <c r="D31" s="179"/>
      <c r="E31" s="999"/>
      <c r="F31" s="1001"/>
      <c r="G31" s="1000"/>
      <c r="H31" s="996"/>
      <c r="I31" s="998"/>
      <c r="J31" s="119"/>
      <c r="K31" s="993"/>
      <c r="L31" s="119"/>
      <c r="M31" s="119"/>
      <c r="N31" s="164">
        <f>(2*G30+G33)*C32/6</f>
        <v>19.684919235820107</v>
      </c>
      <c r="O31" s="165">
        <f>-(8*G30+7*G33)*C32^3/360</f>
        <v>-0.53305606557145857</v>
      </c>
      <c r="P31" s="164">
        <f>N31-(R33-R30)/C32</f>
        <v>19.63492328370689</v>
      </c>
      <c r="Q31" s="992"/>
      <c r="R31" s="990"/>
      <c r="S31" s="990"/>
      <c r="T31" s="990"/>
      <c r="U31" s="990"/>
      <c r="V31" s="990"/>
      <c r="W31" s="990"/>
      <c r="X31" s="990"/>
      <c r="Y31" s="990"/>
      <c r="Z31" s="990"/>
      <c r="AA31" s="990"/>
      <c r="AB31" s="990"/>
      <c r="AC31" s="990"/>
    </row>
    <row r="32" spans="1:49" x14ac:dyDescent="0.25">
      <c r="A32" s="149"/>
      <c r="B32" s="149"/>
      <c r="C32" s="170">
        <v>0.566993787747329</v>
      </c>
      <c r="D32" s="171"/>
      <c r="E32" s="172"/>
      <c r="F32" s="173"/>
      <c r="G32" s="174"/>
      <c r="H32" s="175"/>
      <c r="I32" s="156"/>
      <c r="J32" s="157">
        <f>MIN(1,1.1/(1+2*(C32/Lsup)^2))</f>
        <v>1</v>
      </c>
      <c r="K32" s="139"/>
      <c r="L32" s="119"/>
      <c r="M32" s="125">
        <f>+C32</f>
        <v>0.566993787747329</v>
      </c>
      <c r="N32" s="176"/>
      <c r="O32" s="177"/>
      <c r="P32" s="176"/>
      <c r="Q32" s="178"/>
      <c r="R32" s="178"/>
      <c r="S32" s="178"/>
      <c r="T32" s="178"/>
      <c r="U32" s="178"/>
      <c r="V32" s="178"/>
      <c r="W32" s="178"/>
      <c r="X32" s="178"/>
      <c r="Y32" s="178"/>
      <c r="Z32" s="178"/>
      <c r="AA32" s="178"/>
      <c r="AB32" s="178"/>
      <c r="AC32" s="178"/>
    </row>
    <row r="33" spans="1:29" ht="15.75" thickBot="1" x14ac:dyDescent="0.3">
      <c r="A33" s="159"/>
      <c r="B33" s="160"/>
      <c r="C33" s="161"/>
      <c r="D33" s="162"/>
      <c r="E33" s="999">
        <f>(ROW()-BSref+5)/BSrow</f>
        <v>5</v>
      </c>
      <c r="F33" s="1001">
        <f>F36-C35</f>
        <v>7.3044572039498439</v>
      </c>
      <c r="G33" s="1000">
        <f>(F33+7/8*Alp*SQRT(Hp*F33))*Rw</f>
        <v>73.184571815125963</v>
      </c>
      <c r="H33" s="996">
        <f>+Q33</f>
        <v>37.024662903019603</v>
      </c>
      <c r="I33" s="998">
        <f>R33</f>
        <v>1.8993477152330376</v>
      </c>
      <c r="J33" s="119"/>
      <c r="K33" s="997">
        <f>C32/2*J32+C35*J35</f>
        <v>0.50903968992379378</v>
      </c>
      <c r="L33" s="119"/>
      <c r="M33" s="139"/>
      <c r="N33" s="163">
        <f>(G30+2*G33)*C32/6</f>
        <v>20.216259012441224</v>
      </c>
      <c r="O33" s="169">
        <f>(7*G30+8*G33)*C32^3/360</f>
        <v>0.53590300141046265</v>
      </c>
      <c r="P33" s="163">
        <f>N33+(R33-R30)/C32</f>
        <v>20.266254964554442</v>
      </c>
      <c r="Q33" s="994">
        <f>(P33+P34)</f>
        <v>37.024662903019603</v>
      </c>
      <c r="R33" s="994">
        <f>AC33</f>
        <v>1.8993477152330376</v>
      </c>
      <c r="S33" s="994">
        <f>AC33</f>
        <v>1.8993477152330376</v>
      </c>
      <c r="T33" s="994">
        <f>AC33</f>
        <v>1.8993477152330376</v>
      </c>
      <c r="U33" s="994">
        <f>AC33</f>
        <v>1.8993477152330376</v>
      </c>
      <c r="V33" s="994">
        <f>AC33</f>
        <v>1.8993477152330376</v>
      </c>
      <c r="W33" s="994">
        <f>AC33</f>
        <v>1.8993477152330376</v>
      </c>
      <c r="X33" s="994">
        <f>AC33</f>
        <v>1.8993477152330376</v>
      </c>
      <c r="Y33" s="994">
        <f>AC33</f>
        <v>1.8993477152330376</v>
      </c>
      <c r="Z33" s="994">
        <f>AC33</f>
        <v>1.8993477152330376</v>
      </c>
      <c r="AA33" s="994">
        <f>AC33</f>
        <v>1.8993477152330376</v>
      </c>
      <c r="AB33" s="994">
        <f>AC33</f>
        <v>1.8993477152330376</v>
      </c>
      <c r="AC33" s="994">
        <f>C35^2*(G33+2*G36)/6</f>
        <v>1.8993477152330376</v>
      </c>
    </row>
    <row r="34" spans="1:29" ht="15.75" thickTop="1" x14ac:dyDescent="0.25">
      <c r="A34" s="159"/>
      <c r="B34" s="166"/>
      <c r="C34" s="139"/>
      <c r="D34" s="179"/>
      <c r="E34" s="999"/>
      <c r="F34" s="1001"/>
      <c r="G34" s="1000"/>
      <c r="H34" s="996"/>
      <c r="I34" s="998"/>
      <c r="J34" s="119"/>
      <c r="K34" s="997"/>
      <c r="L34" s="119"/>
      <c r="M34" s="139"/>
      <c r="N34" s="163">
        <f>(G33+G36)*C35/2</f>
        <v>16.758407938465165</v>
      </c>
      <c r="O34" s="180"/>
      <c r="P34" s="163">
        <f>N34</f>
        <v>16.758407938465165</v>
      </c>
      <c r="Q34" s="995"/>
      <c r="R34" s="995"/>
      <c r="S34" s="995"/>
      <c r="T34" s="995"/>
      <c r="U34" s="995"/>
      <c r="V34" s="995"/>
      <c r="W34" s="995"/>
      <c r="X34" s="995"/>
      <c r="Y34" s="995"/>
      <c r="Z34" s="995"/>
      <c r="AA34" s="995"/>
      <c r="AB34" s="995"/>
      <c r="AC34" s="995"/>
    </row>
    <row r="35" spans="1:29" x14ac:dyDescent="0.25">
      <c r="A35" s="159"/>
      <c r="B35" s="159"/>
      <c r="C35" s="170">
        <v>0.22554279605012925</v>
      </c>
      <c r="D35" s="179"/>
      <c r="E35" s="979"/>
      <c r="F35" s="980"/>
      <c r="G35" s="981"/>
      <c r="H35" s="982"/>
      <c r="I35" s="983"/>
      <c r="J35" s="157">
        <f>MIN(1,1.1/(1+2*(2*C35/Lsup)^2))</f>
        <v>1</v>
      </c>
      <c r="K35" s="139"/>
      <c r="L35" s="119"/>
      <c r="M35" s="125">
        <f>+C35</f>
        <v>0.22554279605012925</v>
      </c>
      <c r="N35" s="181"/>
      <c r="O35" s="182"/>
      <c r="P35" s="181"/>
      <c r="Q35" s="183"/>
      <c r="R35" s="982"/>
      <c r="S35" s="982"/>
      <c r="T35" s="982"/>
      <c r="U35" s="982"/>
      <c r="V35" s="982"/>
      <c r="W35" s="982"/>
      <c r="X35" s="982"/>
      <c r="Y35" s="184"/>
      <c r="Z35" s="184"/>
      <c r="AA35" s="184"/>
      <c r="AB35" s="184"/>
      <c r="AC35" s="184"/>
    </row>
    <row r="36" spans="1:29" x14ac:dyDescent="0.25">
      <c r="A36" s="148"/>
      <c r="B36" s="149"/>
      <c r="C36" s="139"/>
      <c r="D36" s="171"/>
      <c r="E36" s="999" t="s">
        <v>23</v>
      </c>
      <c r="F36" s="1001">
        <f>HB</f>
        <v>7.5299999999999727</v>
      </c>
      <c r="G36" s="1000">
        <f>(F36+7/8*Alp*SQRT(Hp*F36))*Rw</f>
        <v>75.420555299999734</v>
      </c>
      <c r="H36" s="996"/>
      <c r="I36" s="998"/>
      <c r="J36" s="119"/>
      <c r="K36" s="139"/>
      <c r="L36" s="119"/>
      <c r="M36" s="139"/>
      <c r="N36" s="151"/>
      <c r="O36" s="158"/>
      <c r="P36" s="151"/>
      <c r="Q36" s="185"/>
      <c r="R36" s="185"/>
      <c r="S36" s="185"/>
      <c r="T36" s="185"/>
      <c r="U36" s="185"/>
      <c r="V36" s="185"/>
      <c r="W36" s="185"/>
      <c r="X36" s="185"/>
      <c r="Y36" s="184"/>
      <c r="Z36" s="184"/>
      <c r="AA36" s="184"/>
      <c r="AB36" s="184"/>
      <c r="AC36" s="184"/>
    </row>
    <row r="37" spans="1:29" x14ac:dyDescent="0.25">
      <c r="A37" s="148"/>
      <c r="B37" s="149"/>
      <c r="C37" s="139"/>
      <c r="D37" s="172"/>
      <c r="E37" s="1014"/>
      <c r="F37" s="1001"/>
      <c r="G37" s="1000"/>
      <c r="H37" s="996"/>
      <c r="I37" s="998"/>
      <c r="J37" s="119"/>
      <c r="K37" s="139"/>
      <c r="L37" s="119"/>
      <c r="M37" s="139"/>
      <c r="N37" s="151"/>
      <c r="O37" s="158"/>
      <c r="P37" s="151"/>
      <c r="Q37" s="185"/>
      <c r="R37" s="185"/>
      <c r="S37" s="185"/>
      <c r="T37" s="185"/>
      <c r="U37" s="185"/>
      <c r="V37" s="185"/>
      <c r="W37" s="185"/>
      <c r="X37" s="185"/>
      <c r="Y37" s="184"/>
      <c r="Z37" s="184"/>
      <c r="AA37" s="184"/>
      <c r="AB37" s="184"/>
      <c r="AC37" s="184"/>
    </row>
    <row r="38" spans="1:29" x14ac:dyDescent="0.25">
      <c r="I38" s="978"/>
    </row>
    <row r="39" spans="1:29" x14ac:dyDescent="0.25">
      <c r="I39" s="978"/>
    </row>
    <row r="40" spans="1:29" x14ac:dyDescent="0.25">
      <c r="I40" s="978"/>
    </row>
    <row r="41" spans="1:29" x14ac:dyDescent="0.25">
      <c r="I41" s="978"/>
    </row>
    <row r="42" spans="1:29" x14ac:dyDescent="0.25">
      <c r="I42" s="978"/>
    </row>
    <row r="43" spans="1:29" x14ac:dyDescent="0.25">
      <c r="I43" s="978"/>
    </row>
    <row r="44" spans="1:29" x14ac:dyDescent="0.25">
      <c r="I44" s="978"/>
    </row>
    <row r="45" spans="1:29" x14ac:dyDescent="0.25">
      <c r="I45" s="978"/>
    </row>
    <row r="46" spans="1:29" x14ac:dyDescent="0.25">
      <c r="I46" s="978"/>
    </row>
    <row r="47" spans="1:29" x14ac:dyDescent="0.25">
      <c r="I47" s="978"/>
    </row>
    <row r="48" spans="1:29" x14ac:dyDescent="0.25">
      <c r="I48" s="978"/>
    </row>
    <row r="49" spans="9:9" x14ac:dyDescent="0.25">
      <c r="I49" s="978"/>
    </row>
    <row r="50" spans="9:9" x14ac:dyDescent="0.25">
      <c r="I50" s="978"/>
    </row>
    <row r="51" spans="9:9" x14ac:dyDescent="0.25">
      <c r="I51" s="978"/>
    </row>
    <row r="52" spans="9:9" x14ac:dyDescent="0.25">
      <c r="I52" s="978"/>
    </row>
    <row r="53" spans="9:9" x14ac:dyDescent="0.25">
      <c r="I53" s="978"/>
    </row>
    <row r="54" spans="9:9" x14ac:dyDescent="0.25">
      <c r="I54" s="978"/>
    </row>
    <row r="55" spans="9:9" x14ac:dyDescent="0.25">
      <c r="I55" s="978"/>
    </row>
    <row r="56" spans="9:9" x14ac:dyDescent="0.25">
      <c r="I56" s="978"/>
    </row>
    <row r="57" spans="9:9" x14ac:dyDescent="0.25">
      <c r="I57" s="978"/>
    </row>
    <row r="58" spans="9:9" x14ac:dyDescent="0.25">
      <c r="I58" s="978"/>
    </row>
    <row r="59" spans="9:9" x14ac:dyDescent="0.25">
      <c r="I59" s="978"/>
    </row>
    <row r="60" spans="9:9" x14ac:dyDescent="0.25">
      <c r="I60" s="978"/>
    </row>
    <row r="61" spans="9:9" x14ac:dyDescent="0.25">
      <c r="I61" s="978"/>
    </row>
    <row r="62" spans="9:9" x14ac:dyDescent="0.25">
      <c r="I62" s="978"/>
    </row>
    <row r="63" spans="9:9" x14ac:dyDescent="0.25">
      <c r="I63" s="978"/>
    </row>
    <row r="64" spans="9:9" x14ac:dyDescent="0.25">
      <c r="I64" s="978"/>
    </row>
    <row r="65" spans="9:9" x14ac:dyDescent="0.25">
      <c r="I65" s="978"/>
    </row>
    <row r="66" spans="9:9" x14ac:dyDescent="0.25">
      <c r="I66" s="978"/>
    </row>
    <row r="67" spans="9:9" x14ac:dyDescent="0.25">
      <c r="I67" s="978"/>
    </row>
    <row r="68" spans="9:9" x14ac:dyDescent="0.25">
      <c r="I68" s="978"/>
    </row>
    <row r="69" spans="9:9" x14ac:dyDescent="0.25">
      <c r="I69" s="978"/>
    </row>
    <row r="70" spans="9:9" x14ac:dyDescent="0.25">
      <c r="I70" s="978"/>
    </row>
    <row r="71" spans="9:9" x14ac:dyDescent="0.25">
      <c r="I71" s="978"/>
    </row>
    <row r="72" spans="9:9" x14ac:dyDescent="0.25">
      <c r="I72" s="978"/>
    </row>
    <row r="73" spans="9:9" x14ac:dyDescent="0.25">
      <c r="I73" s="978"/>
    </row>
    <row r="74" spans="9:9" x14ac:dyDescent="0.25">
      <c r="I74" s="978"/>
    </row>
    <row r="75" spans="9:9" x14ac:dyDescent="0.25">
      <c r="I75" s="978"/>
    </row>
    <row r="76" spans="9:9" x14ac:dyDescent="0.25">
      <c r="I76" s="978"/>
    </row>
    <row r="77" spans="9:9" x14ac:dyDescent="0.25">
      <c r="I77" s="978"/>
    </row>
    <row r="78" spans="9:9" x14ac:dyDescent="0.25">
      <c r="I78" s="978"/>
    </row>
    <row r="79" spans="9:9" x14ac:dyDescent="0.25">
      <c r="I79" s="978"/>
    </row>
    <row r="80" spans="9:9" x14ac:dyDescent="0.25">
      <c r="I80" s="978"/>
    </row>
    <row r="81" spans="9:9" x14ac:dyDescent="0.25">
      <c r="I81" s="978"/>
    </row>
    <row r="82" spans="9:9" x14ac:dyDescent="0.25">
      <c r="I82" s="978"/>
    </row>
    <row r="83" spans="9:9" x14ac:dyDescent="0.25">
      <c r="I83" s="978"/>
    </row>
    <row r="84" spans="9:9" x14ac:dyDescent="0.25">
      <c r="I84" s="978"/>
    </row>
    <row r="85" spans="9:9" x14ac:dyDescent="0.25">
      <c r="I85" s="978"/>
    </row>
    <row r="86" spans="9:9" x14ac:dyDescent="0.25">
      <c r="I86" s="978"/>
    </row>
    <row r="87" spans="9:9" x14ac:dyDescent="0.25">
      <c r="I87" s="978"/>
    </row>
    <row r="88" spans="9:9" x14ac:dyDescent="0.25">
      <c r="I88" s="978"/>
    </row>
    <row r="89" spans="9:9" x14ac:dyDescent="0.25">
      <c r="I89" s="978"/>
    </row>
    <row r="90" spans="9:9" x14ac:dyDescent="0.25">
      <c r="I90" s="978"/>
    </row>
    <row r="91" spans="9:9" x14ac:dyDescent="0.25">
      <c r="I91" s="978"/>
    </row>
    <row r="92" spans="9:9" x14ac:dyDescent="0.25">
      <c r="I92" s="978"/>
    </row>
    <row r="93" spans="9:9" x14ac:dyDescent="0.25">
      <c r="I93" s="978"/>
    </row>
    <row r="94" spans="9:9" x14ac:dyDescent="0.25">
      <c r="I94" s="978"/>
    </row>
    <row r="95" spans="9:9" x14ac:dyDescent="0.25">
      <c r="I95" s="978"/>
    </row>
    <row r="96" spans="9:9" x14ac:dyDescent="0.25">
      <c r="I96" s="978"/>
    </row>
    <row r="97" spans="9:9" x14ac:dyDescent="0.25">
      <c r="I97" s="978"/>
    </row>
    <row r="98" spans="9:9" x14ac:dyDescent="0.25">
      <c r="I98" s="978"/>
    </row>
    <row r="99" spans="9:9" x14ac:dyDescent="0.25">
      <c r="I99" s="978"/>
    </row>
    <row r="100" spans="9:9" x14ac:dyDescent="0.25">
      <c r="I100" s="978"/>
    </row>
    <row r="101" spans="9:9" x14ac:dyDescent="0.25">
      <c r="I101" s="978"/>
    </row>
    <row r="102" spans="9:9" x14ac:dyDescent="0.25">
      <c r="I102" s="978"/>
    </row>
    <row r="103" spans="9:9" x14ac:dyDescent="0.25">
      <c r="I103" s="978"/>
    </row>
    <row r="104" spans="9:9" x14ac:dyDescent="0.25">
      <c r="I104" s="978"/>
    </row>
    <row r="105" spans="9:9" x14ac:dyDescent="0.25">
      <c r="I105" s="978"/>
    </row>
    <row r="106" spans="9:9" x14ac:dyDescent="0.25">
      <c r="I106" s="978"/>
    </row>
    <row r="107" spans="9:9" x14ac:dyDescent="0.25">
      <c r="I107" s="978"/>
    </row>
    <row r="108" spans="9:9" x14ac:dyDescent="0.25">
      <c r="I108" s="978"/>
    </row>
    <row r="109" spans="9:9" x14ac:dyDescent="0.25">
      <c r="I109" s="978"/>
    </row>
    <row r="110" spans="9:9" x14ac:dyDescent="0.25">
      <c r="I110" s="978"/>
    </row>
    <row r="111" spans="9:9" x14ac:dyDescent="0.25">
      <c r="I111" s="978"/>
    </row>
    <row r="112" spans="9:9" x14ac:dyDescent="0.25">
      <c r="I112" s="978"/>
    </row>
    <row r="113" spans="9:9" x14ac:dyDescent="0.25">
      <c r="I113" s="978"/>
    </row>
    <row r="114" spans="9:9" x14ac:dyDescent="0.25">
      <c r="I114" s="978"/>
    </row>
    <row r="115" spans="9:9" x14ac:dyDescent="0.25">
      <c r="I115" s="978"/>
    </row>
    <row r="116" spans="9:9" x14ac:dyDescent="0.25">
      <c r="I116" s="978"/>
    </row>
    <row r="117" spans="9:9" x14ac:dyDescent="0.25">
      <c r="I117" s="978"/>
    </row>
    <row r="118" spans="9:9" x14ac:dyDescent="0.25">
      <c r="I118" s="978"/>
    </row>
    <row r="119" spans="9:9" x14ac:dyDescent="0.25">
      <c r="I119" s="978"/>
    </row>
    <row r="120" spans="9:9" x14ac:dyDescent="0.25">
      <c r="I120" s="978"/>
    </row>
    <row r="121" spans="9:9" x14ac:dyDescent="0.25">
      <c r="I121" s="978"/>
    </row>
    <row r="122" spans="9:9" x14ac:dyDescent="0.25">
      <c r="I122" s="978"/>
    </row>
    <row r="123" spans="9:9" x14ac:dyDescent="0.25">
      <c r="I123" s="978"/>
    </row>
    <row r="124" spans="9:9" x14ac:dyDescent="0.25">
      <c r="I124" s="978"/>
    </row>
    <row r="125" spans="9:9" x14ac:dyDescent="0.25">
      <c r="I125" s="978"/>
    </row>
    <row r="126" spans="9:9" x14ac:dyDescent="0.25">
      <c r="I126" s="978"/>
    </row>
    <row r="127" spans="9:9" x14ac:dyDescent="0.25">
      <c r="I127" s="978"/>
    </row>
    <row r="128" spans="9:9" x14ac:dyDescent="0.25">
      <c r="I128" s="978"/>
    </row>
    <row r="129" spans="9:9" x14ac:dyDescent="0.25">
      <c r="I129" s="978"/>
    </row>
    <row r="130" spans="9:9" x14ac:dyDescent="0.25">
      <c r="I130" s="978"/>
    </row>
    <row r="131" spans="9:9" x14ac:dyDescent="0.25">
      <c r="I131" s="978"/>
    </row>
    <row r="132" spans="9:9" x14ac:dyDescent="0.25">
      <c r="I132" s="978"/>
    </row>
    <row r="133" spans="9:9" x14ac:dyDescent="0.25">
      <c r="I133" s="978"/>
    </row>
    <row r="134" spans="9:9" x14ac:dyDescent="0.25">
      <c r="I134" s="978"/>
    </row>
    <row r="135" spans="9:9" x14ac:dyDescent="0.25">
      <c r="I135" s="978"/>
    </row>
    <row r="136" spans="9:9" x14ac:dyDescent="0.25">
      <c r="I136" s="978"/>
    </row>
    <row r="137" spans="9:9" x14ac:dyDescent="0.25">
      <c r="I137" s="978"/>
    </row>
    <row r="138" spans="9:9" x14ac:dyDescent="0.25">
      <c r="I138" s="978"/>
    </row>
    <row r="139" spans="9:9" x14ac:dyDescent="0.25">
      <c r="I139" s="978"/>
    </row>
    <row r="140" spans="9:9" x14ac:dyDescent="0.25">
      <c r="I140" s="978"/>
    </row>
    <row r="141" spans="9:9" x14ac:dyDescent="0.25">
      <c r="I141" s="978"/>
    </row>
  </sheetData>
  <sheetProtection algorithmName="SHA-512" hashValue="9gO1OGeGJzYfi3sY5ODRH4NjdQNqUIBC+4R840zOgcvrTk/Xh5OKmgmUHNn+sIPHcEnrDAuA4VBkkQj1pb2VdQ==" saltValue="tA5cSRo3hcGLHKr2orfHdA==" spinCount="100000" sheet="1" objects="1" scenarios="1" selectLockedCells="1"/>
  <mergeCells count="131">
    <mergeCell ref="U33:U34"/>
    <mergeCell ref="V33:V34"/>
    <mergeCell ref="W33:W34"/>
    <mergeCell ref="X33:X34"/>
    <mergeCell ref="Y33:Y34"/>
    <mergeCell ref="Z33:Z34"/>
    <mergeCell ref="AA33:AA34"/>
    <mergeCell ref="AB33:AB34"/>
    <mergeCell ref="AC33:AC34"/>
    <mergeCell ref="E36:E37"/>
    <mergeCell ref="F36:F37"/>
    <mergeCell ref="G36:G37"/>
    <mergeCell ref="H36:H37"/>
    <mergeCell ref="I36:I37"/>
    <mergeCell ref="K33:K34"/>
    <mergeCell ref="Q33:Q34"/>
    <mergeCell ref="R33:R34"/>
    <mergeCell ref="S33:S34"/>
    <mergeCell ref="Z30:Z31"/>
    <mergeCell ref="AA30:AA31"/>
    <mergeCell ref="AB30:AB31"/>
    <mergeCell ref="AC30:AC31"/>
    <mergeCell ref="U30:U31"/>
    <mergeCell ref="V30:V31"/>
    <mergeCell ref="W30:W31"/>
    <mergeCell ref="X30:X31"/>
    <mergeCell ref="Y30:Y31"/>
    <mergeCell ref="K30:K31"/>
    <mergeCell ref="Q30:Q31"/>
    <mergeCell ref="R30:R31"/>
    <mergeCell ref="S30:S31"/>
    <mergeCell ref="T30:T31"/>
    <mergeCell ref="E33:E34"/>
    <mergeCell ref="F33:F34"/>
    <mergeCell ref="G33:G34"/>
    <mergeCell ref="H33:H34"/>
    <mergeCell ref="I33:I34"/>
    <mergeCell ref="E30:E31"/>
    <mergeCell ref="F30:F31"/>
    <mergeCell ref="G30:G31"/>
    <mergeCell ref="H30:H31"/>
    <mergeCell ref="I30:I31"/>
    <mergeCell ref="T33:T34"/>
    <mergeCell ref="E27:E28"/>
    <mergeCell ref="F27:F28"/>
    <mergeCell ref="G27:G28"/>
    <mergeCell ref="E24:E25"/>
    <mergeCell ref="G24:G25"/>
    <mergeCell ref="F24:F25"/>
    <mergeCell ref="U27:U28"/>
    <mergeCell ref="V27:V28"/>
    <mergeCell ref="K27:K28"/>
    <mergeCell ref="Q27:Q28"/>
    <mergeCell ref="R27:R28"/>
    <mergeCell ref="S27:S28"/>
    <mergeCell ref="T27:T28"/>
    <mergeCell ref="AC27:AC28"/>
    <mergeCell ref="Z27:Z28"/>
    <mergeCell ref="AA27:AA28"/>
    <mergeCell ref="W27:W28"/>
    <mergeCell ref="X27:X28"/>
    <mergeCell ref="Y27:Y28"/>
    <mergeCell ref="AB27:AB28"/>
    <mergeCell ref="H27:H28"/>
    <mergeCell ref="I27:I28"/>
    <mergeCell ref="E21:E22"/>
    <mergeCell ref="G21:G22"/>
    <mergeCell ref="F21:F22"/>
    <mergeCell ref="I21:I22"/>
    <mergeCell ref="H24:H25"/>
    <mergeCell ref="A1:K1"/>
    <mergeCell ref="A2:K2"/>
    <mergeCell ref="F4:G4"/>
    <mergeCell ref="F5:G5"/>
    <mergeCell ref="F6:G6"/>
    <mergeCell ref="F12:G12"/>
    <mergeCell ref="F18:F19"/>
    <mergeCell ref="G18:G19"/>
    <mergeCell ref="E18:E19"/>
    <mergeCell ref="F7:G7"/>
    <mergeCell ref="F8:G8"/>
    <mergeCell ref="F9:G9"/>
    <mergeCell ref="F10:G10"/>
    <mergeCell ref="F11:G11"/>
    <mergeCell ref="B14:D14"/>
    <mergeCell ref="H18:H19"/>
    <mergeCell ref="I18:I19"/>
    <mergeCell ref="AC24:AC25"/>
    <mergeCell ref="V24:V25"/>
    <mergeCell ref="W24:W25"/>
    <mergeCell ref="X24:X25"/>
    <mergeCell ref="Y24:Y25"/>
    <mergeCell ref="Z24:Z25"/>
    <mergeCell ref="U21:U22"/>
    <mergeCell ref="H21:H22"/>
    <mergeCell ref="Q21:Q22"/>
    <mergeCell ref="R21:R22"/>
    <mergeCell ref="K24:K25"/>
    <mergeCell ref="Q24:Q25"/>
    <mergeCell ref="R24:R25"/>
    <mergeCell ref="K21:K22"/>
    <mergeCell ref="T21:T22"/>
    <mergeCell ref="S21:S22"/>
    <mergeCell ref="I24:I25"/>
    <mergeCell ref="AA24:AA25"/>
    <mergeCell ref="T24:T25"/>
    <mergeCell ref="U24:U25"/>
    <mergeCell ref="S24:S25"/>
    <mergeCell ref="AB24:AB25"/>
    <mergeCell ref="AE21:AE22"/>
    <mergeCell ref="AA21:AA22"/>
    <mergeCell ref="AB21:AB22"/>
    <mergeCell ref="AC21:AC22"/>
    <mergeCell ref="V21:V22"/>
    <mergeCell ref="Y21:Y22"/>
    <mergeCell ref="W21:W22"/>
    <mergeCell ref="X21:X22"/>
    <mergeCell ref="Z21:Z22"/>
    <mergeCell ref="AU21:AU22"/>
    <mergeCell ref="AV21:AV22"/>
    <mergeCell ref="AW21:AW22"/>
    <mergeCell ref="AO21:AO22"/>
    <mergeCell ref="AP21:AP22"/>
    <mergeCell ref="AQ21:AQ22"/>
    <mergeCell ref="AR21:AR22"/>
    <mergeCell ref="AS21:AS22"/>
    <mergeCell ref="AK21:AK22"/>
    <mergeCell ref="AL21:AL22"/>
    <mergeCell ref="AM21:AM22"/>
    <mergeCell ref="AN21:AN22"/>
    <mergeCell ref="AT21:AT22"/>
  </mergeCells>
  <conditionalFormatting sqref="H21:H22 H18:H19">
    <cfRule type="cellIs" dxfId="413" priority="93" stopIfTrue="1" operator="greaterThan">
      <formula>$N$4-0.001</formula>
    </cfRule>
  </conditionalFormatting>
  <conditionalFormatting sqref="H24:H25">
    <cfRule type="cellIs" dxfId="412" priority="11" stopIfTrue="1" operator="greaterThan">
      <formula>$N$4-0.001</formula>
    </cfRule>
  </conditionalFormatting>
  <conditionalFormatting sqref="H36:H37">
    <cfRule type="cellIs" dxfId="411" priority="4" stopIfTrue="1" operator="greaterThan">
      <formula>$N$4-0.001</formula>
    </cfRule>
  </conditionalFormatting>
  <conditionalFormatting sqref="H33:H34">
    <cfRule type="cellIs" dxfId="409" priority="3" stopIfTrue="1" operator="greaterThan">
      <formula>$N$4-0.001</formula>
    </cfRule>
  </conditionalFormatting>
  <conditionalFormatting sqref="H27:H28">
    <cfRule type="cellIs" dxfId="406" priority="2" stopIfTrue="1" operator="greaterThan">
      <formula>$N$4-0.001</formula>
    </cfRule>
  </conditionalFormatting>
  <conditionalFormatting sqref="H30:H31">
    <cfRule type="cellIs" dxfId="405" priority="1" stopIfTrue="1" operator="greaterThan">
      <formula>$N$4-0.001</formula>
    </cfRule>
  </conditionalFormatting>
  <dataValidations count="9">
    <dataValidation type="list" allowBlank="1" showInputMessage="1" showErrorMessage="1" sqref="F5">
      <formula1>$N$6:$N$9</formula1>
    </dataValidation>
    <dataValidation type="list" allowBlank="1" showInputMessage="1" showErrorMessage="1" sqref="F6">
      <formula1>$Q$5:$Q$10</formula1>
    </dataValidation>
    <dataValidation type="decimal" allowBlank="1" showInputMessage="1" showErrorMessage="1" errorTitle="Seismic OBE factor" error="Must be between 0 and 1" sqref="F11:G11">
      <formula1>0</formula1>
      <formula2>1</formula2>
    </dataValidation>
    <dataValidation type="whole" allowBlank="1" showInputMessage="1" showErrorMessage="1" errorTitle="Number of Beams" error="Whole in the range range 2 to 99 required" sqref="F4:G4">
      <formula1>2</formula1>
      <formula2>99</formula2>
    </dataValidation>
    <dataValidation type="decimal" allowBlank="1" showInputMessage="1" showErrorMessage="1" errorTitle="Beam Spacing" error="Needs to be between zero and height of gate" sqref="C23 C35 C26 C32 C29">
      <formula1>0</formula1>
      <formula2>D</formula2>
    </dataValidation>
    <dataValidation type="decimal" operator="greaterThanOrEqual" allowBlank="1" showInputMessage="1" showErrorMessage="1" errorTitle="Upstream pool depth" error="Pool depth cannot be less than water depth to sill" sqref="F10:G10">
      <formula1>F9</formula1>
    </dataValidation>
    <dataValidation type="decimal" allowBlank="1" showInputMessage="1" showErrorMessage="1" errorTitle="Depth of water" error="Water depth must be greater than or equal to the gate height with a maximum value of 6000." sqref="F9:G9">
      <formula1>F7</formula1>
      <formula2>0.0254*6000</formula2>
    </dataValidation>
    <dataValidation type="decimal" allowBlank="1" showInputMessage="1" showErrorMessage="1" errorTitle="Support Span" error="Value between 12 and 1000 required" sqref="F8:G8">
      <formula1>0.0254*12</formula1>
      <formula2>0.0254*1000</formula2>
    </dataValidation>
    <dataValidation type="decimal" allowBlank="1" showInputMessage="1" showErrorMessage="1" errorTitle="Gate Height" error="Value between 12 and 1000 required" sqref="F7:G7">
      <formula1>0.0254*12</formula1>
      <formula2>0.0254*1000</formula2>
    </dataValidation>
  </dataValidations>
  <pageMargins left="0.7" right="0.7" top="0.75" bottom="0.75" header="0.3" footer="0.3"/>
  <pageSetup paperSize="9" scale="75" orientation="portrait" blackAndWhite="1" r:id="rId1"/>
  <headerFooter>
    <oddHeader>&amp;L
Summary&amp;C
&amp;R
Lower Likhu Hydropower Project (28.1 MW)</oddHeader>
    <oddFooter>Page &amp;P of &amp;N</oddFooter>
  </headerFooter>
  <rowBreaks count="3" manualBreakCount="3">
    <brk id="55" max="16383" man="1"/>
    <brk id="111" max="16383" man="1"/>
    <brk id="167"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fineBeam">
    <pageSetUpPr fitToPage="1"/>
  </sheetPr>
  <dimension ref="A1:O27"/>
  <sheetViews>
    <sheetView showGridLines="0" zoomScale="75" zoomScaleNormal="75" zoomScaleSheetLayoutView="50" workbookViewId="0">
      <selection activeCell="A22" sqref="A22:XFD24"/>
    </sheetView>
  </sheetViews>
  <sheetFormatPr defaultRowHeight="14.25" x14ac:dyDescent="0.2"/>
  <cols>
    <col min="1" max="1" width="2" style="186" customWidth="1"/>
    <col min="2" max="2" width="9.140625" style="186"/>
    <col min="3" max="3" width="11.42578125" style="186" customWidth="1"/>
    <col min="4" max="4" width="23.5703125" style="186" customWidth="1"/>
    <col min="5" max="5" width="25.140625" style="186" customWidth="1"/>
    <col min="6" max="10" width="10.7109375" style="186" customWidth="1"/>
    <col min="11" max="11" width="13.28515625" style="186" customWidth="1"/>
    <col min="12" max="12" width="9.140625" style="186"/>
    <col min="13" max="13" width="0" style="186" hidden="1" customWidth="1"/>
    <col min="14" max="15" width="9.140625" style="186" hidden="1" customWidth="1"/>
    <col min="16" max="16384" width="9.140625" style="186"/>
  </cols>
  <sheetData>
    <row r="1" spans="1:15" x14ac:dyDescent="0.2">
      <c r="A1" s="1025" t="s">
        <v>26</v>
      </c>
      <c r="B1" s="1025"/>
      <c r="C1" s="1025"/>
      <c r="D1" s="1025"/>
      <c r="E1" s="1025"/>
      <c r="F1" s="1025"/>
      <c r="G1" s="1025"/>
      <c r="H1" s="1025"/>
      <c r="I1" s="1025"/>
      <c r="J1" s="1025"/>
      <c r="K1" s="1025"/>
    </row>
    <row r="2" spans="1:15" x14ac:dyDescent="0.2">
      <c r="A2" s="1025" t="str">
        <f>GType</f>
        <v>Fixed Wheel (cantilevered)</v>
      </c>
      <c r="B2" s="1025"/>
      <c r="C2" s="1025"/>
      <c r="D2" s="1025"/>
      <c r="E2" s="1025"/>
      <c r="F2" s="1025"/>
      <c r="G2" s="1025"/>
      <c r="H2" s="1025"/>
      <c r="I2" s="1025"/>
      <c r="J2" s="1025"/>
      <c r="K2" s="1025"/>
    </row>
    <row r="4" spans="1:15" ht="12.75" customHeight="1" x14ac:dyDescent="0.2">
      <c r="C4" s="1026" t="s">
        <v>27</v>
      </c>
      <c r="D4" s="1026" t="s">
        <v>28</v>
      </c>
      <c r="E4" s="1026" t="s">
        <v>29</v>
      </c>
      <c r="F4" s="1026" t="s">
        <v>30</v>
      </c>
      <c r="G4" s="1027"/>
      <c r="H4" s="1026" t="s">
        <v>38</v>
      </c>
      <c r="I4" s="1027"/>
      <c r="J4" s="1026" t="s">
        <v>39</v>
      </c>
      <c r="K4" s="1027"/>
      <c r="N4" s="193">
        <v>11</v>
      </c>
      <c r="O4" s="194" t="s">
        <v>16</v>
      </c>
    </row>
    <row r="5" spans="1:15" ht="15" x14ac:dyDescent="0.2">
      <c r="C5" s="1027"/>
      <c r="D5" s="1027"/>
      <c r="E5" s="1027"/>
      <c r="F5" s="195" t="s">
        <v>31</v>
      </c>
      <c r="G5" s="195" t="s">
        <v>905</v>
      </c>
      <c r="H5" s="195" t="s">
        <v>905</v>
      </c>
      <c r="I5" s="195" t="s">
        <v>33</v>
      </c>
      <c r="J5" s="195" t="s">
        <v>31</v>
      </c>
      <c r="K5" s="195" t="s">
        <v>905</v>
      </c>
      <c r="N5" s="193">
        <v>3</v>
      </c>
      <c r="O5" s="194" t="s">
        <v>17</v>
      </c>
    </row>
    <row r="6" spans="1:15" ht="15" x14ac:dyDescent="0.2">
      <c r="C6" s="1027"/>
      <c r="D6" s="1027"/>
      <c r="E6" s="1027"/>
      <c r="F6" s="195" t="s">
        <v>34</v>
      </c>
      <c r="G6" s="195" t="s">
        <v>35</v>
      </c>
      <c r="H6" s="195" t="s">
        <v>36</v>
      </c>
      <c r="I6" s="195" t="s">
        <v>37</v>
      </c>
      <c r="J6" s="195" t="s">
        <v>670</v>
      </c>
      <c r="K6" s="195" t="s">
        <v>671</v>
      </c>
    </row>
    <row r="8" spans="1:15" x14ac:dyDescent="0.2">
      <c r="B8" s="187"/>
      <c r="C8" s="1024" t="s">
        <v>22</v>
      </c>
    </row>
    <row r="9" spans="1:15" x14ac:dyDescent="0.2">
      <c r="B9" s="188"/>
      <c r="C9" s="1024"/>
    </row>
    <row r="10" spans="1:15" x14ac:dyDescent="0.2">
      <c r="B10" s="188"/>
      <c r="C10" s="189"/>
    </row>
    <row r="11" spans="1:15" ht="15" thickBot="1" x14ac:dyDescent="0.25">
      <c r="B11" s="190"/>
      <c r="C11" s="1024">
        <f>(ROW()-DBref+3)/DBrow</f>
        <v>1</v>
      </c>
      <c r="D11" s="1019" t="s">
        <v>672</v>
      </c>
      <c r="E11" s="1021" t="s">
        <v>62</v>
      </c>
      <c r="F11" s="1022">
        <f>VLOOKUP(E11,ShapeData,2,FALSE)</f>
        <v>0.14000000000000001</v>
      </c>
      <c r="G11" s="1022">
        <f>VLOOKUP(E11,ShapeData,3,FALSE)</f>
        <v>1.4199999999999999E-2</v>
      </c>
      <c r="H11" s="1022">
        <f>VLOOKUP(E11,ShapeData,4,FALSE)</f>
        <v>8.0999999999999996E-3</v>
      </c>
      <c r="I11" s="1022">
        <f>VLOOKUP(E11,ShapeData,5,FALSE)</f>
        <v>0.3216</v>
      </c>
      <c r="J11" s="1022">
        <f>VLOOKUP(E11,ShapeData,6,FALSE)</f>
        <v>0.14000000000000001</v>
      </c>
      <c r="K11" s="1022">
        <f>VLOOKUP(E11,ShapeData,7,FALSE)</f>
        <v>1.4199999999999999E-2</v>
      </c>
    </row>
    <row r="12" spans="1:15" ht="15" thickTop="1" x14ac:dyDescent="0.2">
      <c r="B12" s="191"/>
      <c r="C12" s="1024"/>
      <c r="D12" s="1020"/>
      <c r="E12" s="1020"/>
      <c r="F12" s="1023"/>
      <c r="G12" s="1023"/>
      <c r="H12" s="1023"/>
      <c r="I12" s="1023"/>
      <c r="J12" s="1023"/>
      <c r="K12" s="1023"/>
    </row>
    <row r="13" spans="1:15" ht="15" x14ac:dyDescent="0.25">
      <c r="B13" s="188"/>
      <c r="C13" s="189"/>
      <c r="D13" s="196"/>
      <c r="E13" s="196"/>
    </row>
    <row r="14" spans="1:15" ht="15" thickBot="1" x14ac:dyDescent="0.25">
      <c r="B14" s="190"/>
      <c r="C14" s="1024">
        <f>(ROW()-DBref+3)/DBrow</f>
        <v>2</v>
      </c>
      <c r="D14" s="1019" t="str">
        <f>D11</f>
        <v>I Shape</v>
      </c>
      <c r="E14" s="1021" t="str">
        <f>E11</f>
        <v>ISMB 350</v>
      </c>
      <c r="F14" s="1022">
        <f>VLOOKUP(E14,ShapeData,2,FALSE)</f>
        <v>0.14000000000000001</v>
      </c>
      <c r="G14" s="1022">
        <f>VLOOKUP(E14,ShapeData,3,FALSE)</f>
        <v>1.4199999999999999E-2</v>
      </c>
      <c r="H14" s="1022">
        <f>VLOOKUP(E14,ShapeData,4,FALSE)</f>
        <v>8.0999999999999996E-3</v>
      </c>
      <c r="I14" s="1022">
        <f>VLOOKUP(E14,ShapeData,5,FALSE)</f>
        <v>0.3216</v>
      </c>
      <c r="J14" s="1022">
        <f>VLOOKUP(E14,ShapeData,6,FALSE)</f>
        <v>0.14000000000000001</v>
      </c>
      <c r="K14" s="1022">
        <f>VLOOKUP(E14,ShapeData,7,FALSE)</f>
        <v>1.4199999999999999E-2</v>
      </c>
    </row>
    <row r="15" spans="1:15" ht="15" thickTop="1" x14ac:dyDescent="0.2">
      <c r="B15" s="191"/>
      <c r="C15" s="1024"/>
      <c r="D15" s="1020"/>
      <c r="E15" s="1020"/>
      <c r="F15" s="1023"/>
      <c r="G15" s="1023"/>
      <c r="H15" s="1023"/>
      <c r="I15" s="1023"/>
      <c r="J15" s="1023"/>
      <c r="K15" s="1023"/>
    </row>
    <row r="16" spans="1:15" ht="15" x14ac:dyDescent="0.25">
      <c r="B16" s="188"/>
      <c r="C16" s="189"/>
      <c r="D16" s="196"/>
      <c r="E16" s="196"/>
    </row>
    <row r="17" spans="2:11" ht="15" thickBot="1" x14ac:dyDescent="0.25">
      <c r="B17" s="190"/>
      <c r="C17" s="1024">
        <f>(ROW()-DBref+3)/DBrow</f>
        <v>3</v>
      </c>
      <c r="D17" s="1019" t="str">
        <f>D14</f>
        <v>I Shape</v>
      </c>
      <c r="E17" s="1021" t="str">
        <f>E14</f>
        <v>ISMB 350</v>
      </c>
      <c r="F17" s="1022">
        <f>VLOOKUP(E17,ShapeData,2,FALSE)</f>
        <v>0.14000000000000001</v>
      </c>
      <c r="G17" s="1022">
        <f>VLOOKUP(E17,ShapeData,3,FALSE)</f>
        <v>1.4199999999999999E-2</v>
      </c>
      <c r="H17" s="1022">
        <f>VLOOKUP(E17,ShapeData,4,FALSE)</f>
        <v>8.0999999999999996E-3</v>
      </c>
      <c r="I17" s="1022">
        <f>VLOOKUP(E17,ShapeData,5,FALSE)</f>
        <v>0.3216</v>
      </c>
      <c r="J17" s="1022">
        <f>VLOOKUP(E17,ShapeData,6,FALSE)</f>
        <v>0.14000000000000001</v>
      </c>
      <c r="K17" s="1022">
        <f>VLOOKUP(E17,ShapeData,7,FALSE)</f>
        <v>1.4199999999999999E-2</v>
      </c>
    </row>
    <row r="18" spans="2:11" ht="15" thickTop="1" x14ac:dyDescent="0.2">
      <c r="B18" s="191"/>
      <c r="C18" s="1024"/>
      <c r="D18" s="1020"/>
      <c r="E18" s="1020"/>
      <c r="F18" s="1023"/>
      <c r="G18" s="1023"/>
      <c r="H18" s="1023"/>
      <c r="I18" s="1023"/>
      <c r="J18" s="1023"/>
      <c r="K18" s="1023"/>
    </row>
    <row r="19" spans="2:11" ht="15" x14ac:dyDescent="0.25">
      <c r="B19" s="188"/>
      <c r="C19" s="189"/>
      <c r="D19" s="196"/>
      <c r="E19" s="196"/>
    </row>
    <row r="20" spans="2:11" ht="15" thickBot="1" x14ac:dyDescent="0.25">
      <c r="B20" s="190"/>
      <c r="C20" s="1024">
        <f>(ROW()-DBref+3)/DBrow</f>
        <v>4</v>
      </c>
      <c r="D20" s="1019" t="str">
        <f>D17</f>
        <v>I Shape</v>
      </c>
      <c r="E20" s="1021" t="str">
        <f>E17</f>
        <v>ISMB 350</v>
      </c>
      <c r="F20" s="1022">
        <f>VLOOKUP(E20,ShapeData,2,FALSE)</f>
        <v>0.14000000000000001</v>
      </c>
      <c r="G20" s="1022">
        <f>VLOOKUP(E20,ShapeData,3,FALSE)</f>
        <v>1.4199999999999999E-2</v>
      </c>
      <c r="H20" s="1022">
        <f>VLOOKUP(E20,ShapeData,4,FALSE)</f>
        <v>8.0999999999999996E-3</v>
      </c>
      <c r="I20" s="1022">
        <f>VLOOKUP(E20,ShapeData,5,FALSE)</f>
        <v>0.3216</v>
      </c>
      <c r="J20" s="1022">
        <f>VLOOKUP(E20,ShapeData,6,FALSE)</f>
        <v>0.14000000000000001</v>
      </c>
      <c r="K20" s="1022">
        <f>VLOOKUP(E20,ShapeData,7,FALSE)</f>
        <v>1.4199999999999999E-2</v>
      </c>
    </row>
    <row r="21" spans="2:11" ht="15" thickTop="1" x14ac:dyDescent="0.2">
      <c r="B21" s="191"/>
      <c r="C21" s="1024"/>
      <c r="D21" s="1020"/>
      <c r="E21" s="1020"/>
      <c r="F21" s="1023"/>
      <c r="G21" s="1023"/>
      <c r="H21" s="1023"/>
      <c r="I21" s="1023"/>
      <c r="J21" s="1023"/>
      <c r="K21" s="1023"/>
    </row>
    <row r="22" spans="2:11" ht="15" x14ac:dyDescent="0.25">
      <c r="B22" s="188"/>
      <c r="C22" s="189"/>
      <c r="D22" s="196"/>
      <c r="E22" s="196"/>
    </row>
    <row r="23" spans="2:11" ht="15" thickBot="1" x14ac:dyDescent="0.25">
      <c r="B23" s="190"/>
      <c r="C23" s="1024">
        <f>(ROW()-DBref+3)/DBrow</f>
        <v>5</v>
      </c>
      <c r="D23" s="1019" t="str">
        <f>D20</f>
        <v>I Shape</v>
      </c>
      <c r="E23" s="1021" t="str">
        <f>E20</f>
        <v>ISMB 350</v>
      </c>
      <c r="F23" s="1022">
        <f>VLOOKUP(E23,ShapeData,2,FALSE)</f>
        <v>0.14000000000000001</v>
      </c>
      <c r="G23" s="1022">
        <f>VLOOKUP(E23,ShapeData,3,FALSE)</f>
        <v>1.4199999999999999E-2</v>
      </c>
      <c r="H23" s="1022">
        <f>VLOOKUP(E23,ShapeData,4,FALSE)</f>
        <v>8.0999999999999996E-3</v>
      </c>
      <c r="I23" s="1022">
        <f>VLOOKUP(E23,ShapeData,5,FALSE)</f>
        <v>0.3216</v>
      </c>
      <c r="J23" s="1022">
        <f>VLOOKUP(E23,ShapeData,6,FALSE)</f>
        <v>0.14000000000000001</v>
      </c>
      <c r="K23" s="1022">
        <f>VLOOKUP(E23,ShapeData,7,FALSE)</f>
        <v>1.4199999999999999E-2</v>
      </c>
    </row>
    <row r="24" spans="2:11" ht="15" thickTop="1" x14ac:dyDescent="0.2">
      <c r="B24" s="191"/>
      <c r="C24" s="1024"/>
      <c r="D24" s="1020"/>
      <c r="E24" s="1020"/>
      <c r="F24" s="1023"/>
      <c r="G24" s="1023"/>
      <c r="H24" s="1023"/>
      <c r="I24" s="1023"/>
      <c r="J24" s="1023"/>
      <c r="K24" s="1023"/>
    </row>
    <row r="25" spans="2:11" ht="15" x14ac:dyDescent="0.25">
      <c r="B25" s="188"/>
      <c r="C25" s="189"/>
      <c r="D25" s="196"/>
      <c r="E25" s="196"/>
    </row>
    <row r="26" spans="2:11" x14ac:dyDescent="0.2">
      <c r="B26" s="188"/>
      <c r="C26" s="1024" t="s">
        <v>23</v>
      </c>
    </row>
    <row r="27" spans="2:11" x14ac:dyDescent="0.2">
      <c r="B27" s="192"/>
      <c r="C27" s="1024"/>
    </row>
  </sheetData>
  <sheetProtection algorithmName="SHA-512" hashValue="VrPa5W5J6zGgT3Vh7KhouikvqJWeWuTTE1lZapyrIPxcnTQRcLYgBQcgUA0LnqsltrzfNjha1/fhsvpXAN0Jtg==" saltValue="0jC6zk8XRskDepWbZNCZPQ==" spinCount="100000" sheet="1" objects="1" scenarios="1"/>
  <mergeCells count="55">
    <mergeCell ref="K23:K24"/>
    <mergeCell ref="F23:F24"/>
    <mergeCell ref="G23:G24"/>
    <mergeCell ref="H23:H24"/>
    <mergeCell ref="I23:I24"/>
    <mergeCell ref="J23:J24"/>
    <mergeCell ref="G20:G21"/>
    <mergeCell ref="H20:H21"/>
    <mergeCell ref="I20:I21"/>
    <mergeCell ref="J20:J21"/>
    <mergeCell ref="K20:K21"/>
    <mergeCell ref="K17:K18"/>
    <mergeCell ref="H17:H18"/>
    <mergeCell ref="I17:I18"/>
    <mergeCell ref="J17:J18"/>
    <mergeCell ref="G17:G18"/>
    <mergeCell ref="G14:G15"/>
    <mergeCell ref="H14:H15"/>
    <mergeCell ref="K11:K12"/>
    <mergeCell ref="I14:I15"/>
    <mergeCell ref="J14:J15"/>
    <mergeCell ref="K14:K15"/>
    <mergeCell ref="H11:H12"/>
    <mergeCell ref="I11:I12"/>
    <mergeCell ref="J11:J12"/>
    <mergeCell ref="C11:C12"/>
    <mergeCell ref="D11:D12"/>
    <mergeCell ref="F4:G4"/>
    <mergeCell ref="H4:I4"/>
    <mergeCell ref="J4:K4"/>
    <mergeCell ref="C8:C9"/>
    <mergeCell ref="E11:E12"/>
    <mergeCell ref="F11:F12"/>
    <mergeCell ref="G11:G12"/>
    <mergeCell ref="A1:K1"/>
    <mergeCell ref="A2:K2"/>
    <mergeCell ref="C4:C6"/>
    <mergeCell ref="D4:D6"/>
    <mergeCell ref="E4:E6"/>
    <mergeCell ref="D14:D15"/>
    <mergeCell ref="E14:E15"/>
    <mergeCell ref="F14:F15"/>
    <mergeCell ref="C26:C27"/>
    <mergeCell ref="C14:C15"/>
    <mergeCell ref="C17:C18"/>
    <mergeCell ref="D17:D18"/>
    <mergeCell ref="E17:E18"/>
    <mergeCell ref="F17:F18"/>
    <mergeCell ref="C20:C21"/>
    <mergeCell ref="D20:D21"/>
    <mergeCell ref="E20:E21"/>
    <mergeCell ref="F20:F21"/>
    <mergeCell ref="C23:C24"/>
    <mergeCell ref="D23:D24"/>
    <mergeCell ref="E23:E24"/>
  </mergeCells>
  <dataValidations count="2">
    <dataValidation type="list" allowBlank="1" showInputMessage="1" showErrorMessage="1" sqref="D11 D14 D17 D20 D23">
      <formula1>BeamTypes</formula1>
    </dataValidation>
    <dataValidation type="list" allowBlank="1" showInputMessage="1" showErrorMessage="1" sqref="E14:E15 E11:E12 E17:E18 E20:E21 E23:E24">
      <formula1>IShape</formula1>
    </dataValidation>
  </dataValidations>
  <pageMargins left="0.7" right="0.7" top="0.75" bottom="0.75" header="0.3" footer="0.3"/>
  <pageSetup paperSize="9" scale="59" orientation="portrait" blackAndWhite="1" r:id="rId1"/>
  <headerFooter>
    <oddHeader>&amp;L
Summary&amp;C
&amp;R
Lower Likhu Hydropower Project (28.1 MW)</oddHeader>
    <oddFooter>Page &amp;P of &amp;N</oddFooter>
  </headerFooter>
  <rowBreaks count="10" manualBreakCount="10">
    <brk id="43" max="16383" man="1"/>
    <brk id="87" max="16383" man="1"/>
    <brk id="131" max="16383" man="1"/>
    <brk id="175" max="16383" man="1"/>
    <brk id="219" max="16383" man="1"/>
    <brk id="263" max="16383" man="1"/>
    <brk id="307" max="16383" man="1"/>
    <brk id="351" max="16383" man="1"/>
    <brk id="395" max="16383" man="1"/>
    <brk id="439"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iffeners">
    <pageSetUpPr fitToPage="1"/>
  </sheetPr>
  <dimension ref="A1:Y59"/>
  <sheetViews>
    <sheetView showGridLines="0" zoomScale="75" zoomScaleNormal="75" zoomScaleSheetLayoutView="85" workbookViewId="0">
      <selection activeCell="A44" sqref="A44:XFD51"/>
    </sheetView>
  </sheetViews>
  <sheetFormatPr defaultRowHeight="14.25" x14ac:dyDescent="0.2"/>
  <cols>
    <col min="1" max="2" width="3.28515625" style="197" customWidth="1"/>
    <col min="3" max="3" width="40.5703125" style="197" customWidth="1"/>
    <col min="4" max="4" width="13.28515625" style="197" customWidth="1"/>
    <col min="5" max="5" width="13.28515625" style="197" hidden="1" customWidth="1"/>
    <col min="6" max="8" width="3.28515625" style="197" customWidth="1"/>
    <col min="9" max="9" width="26.7109375" style="197" customWidth="1"/>
    <col min="10" max="10" width="17" style="197" customWidth="1"/>
    <col min="11" max="11" width="4.7109375" style="197" customWidth="1"/>
    <col min="12" max="12" width="9.140625" style="197"/>
    <col min="13" max="13" width="13" style="197" hidden="1" customWidth="1"/>
    <col min="14" max="15" width="12.42578125" style="197" hidden="1" customWidth="1"/>
    <col min="16" max="21" width="9.140625" style="197" hidden="1" customWidth="1"/>
    <col min="22" max="22" width="13.42578125" style="197" bestFit="1" customWidth="1"/>
    <col min="23" max="23" width="9.140625" style="197"/>
    <col min="24" max="24" width="9.140625" style="197" customWidth="1"/>
    <col min="25" max="25" width="0" style="197" hidden="1" customWidth="1"/>
    <col min="26" max="16384" width="9.140625" style="197"/>
  </cols>
  <sheetData>
    <row r="1" spans="1:25" ht="15" x14ac:dyDescent="0.2">
      <c r="A1" s="1034" t="s">
        <v>397</v>
      </c>
      <c r="B1" s="1035"/>
      <c r="C1" s="1035"/>
      <c r="D1" s="1035"/>
      <c r="E1" s="1035"/>
      <c r="F1" s="1035"/>
      <c r="G1" s="1035"/>
      <c r="H1" s="1035"/>
      <c r="I1" s="1035"/>
      <c r="J1" s="1035"/>
      <c r="K1" s="1036"/>
    </row>
    <row r="2" spans="1:25" ht="15" x14ac:dyDescent="0.2">
      <c r="A2" s="1034" t="str">
        <f>GType</f>
        <v>Fixed Wheel (cantilevered)</v>
      </c>
      <c r="B2" s="1035"/>
      <c r="C2" s="1035"/>
      <c r="D2" s="1035"/>
      <c r="E2" s="1035"/>
      <c r="F2" s="1035"/>
      <c r="G2" s="1035"/>
      <c r="H2" s="1035"/>
      <c r="I2" s="1035"/>
      <c r="J2" s="1035"/>
      <c r="K2" s="1036"/>
    </row>
    <row r="3" spans="1:25" ht="46.5" hidden="1" customHeight="1" x14ac:dyDescent="0.2">
      <c r="A3" s="1037" t="s">
        <v>398</v>
      </c>
      <c r="B3" s="1037"/>
      <c r="C3" s="1037"/>
      <c r="D3" s="1037"/>
      <c r="E3" s="1037"/>
      <c r="F3" s="1037"/>
      <c r="G3" s="1037"/>
      <c r="H3" s="1037"/>
      <c r="I3" s="1037"/>
      <c r="J3" s="1037"/>
      <c r="K3" s="1037"/>
    </row>
    <row r="4" spans="1:25" ht="14.25" hidden="1" customHeight="1" x14ac:dyDescent="0.2">
      <c r="A4" s="221"/>
      <c r="B4" s="1037" t="s">
        <v>399</v>
      </c>
      <c r="C4" s="1038"/>
      <c r="D4" s="1038"/>
      <c r="E4" s="1038"/>
      <c r="F4" s="1038"/>
      <c r="G4" s="1038"/>
      <c r="H4" s="1038"/>
      <c r="I4" s="1038"/>
      <c r="J4" s="1038"/>
      <c r="K4" s="1038"/>
    </row>
    <row r="5" spans="1:25" ht="14.25" hidden="1" customHeight="1" x14ac:dyDescent="0.2">
      <c r="A5" s="221"/>
      <c r="B5" s="1037" t="s">
        <v>400</v>
      </c>
      <c r="C5" s="1038"/>
      <c r="D5" s="1038"/>
      <c r="E5" s="1038"/>
      <c r="F5" s="1038"/>
      <c r="G5" s="1038"/>
      <c r="H5" s="1038"/>
      <c r="I5" s="1038"/>
      <c r="J5" s="1038"/>
      <c r="K5" s="1038"/>
    </row>
    <row r="6" spans="1:25" ht="14.25" hidden="1" customHeight="1" x14ac:dyDescent="0.2">
      <c r="A6" s="222"/>
      <c r="B6" s="1039" t="s">
        <v>401</v>
      </c>
      <c r="C6" s="1040"/>
      <c r="D6" s="1040"/>
      <c r="E6" s="1040"/>
      <c r="F6" s="1040"/>
      <c r="G6" s="1040"/>
      <c r="H6" s="1040"/>
      <c r="I6" s="1040"/>
      <c r="J6" s="1040"/>
      <c r="K6" s="1040"/>
    </row>
    <row r="7" spans="1:25" ht="15" x14ac:dyDescent="0.25">
      <c r="A7" s="198"/>
      <c r="B7" s="223"/>
      <c r="C7" s="223"/>
      <c r="D7" s="223"/>
      <c r="E7" s="223"/>
      <c r="F7" s="223"/>
      <c r="G7" s="223"/>
      <c r="H7" s="223"/>
      <c r="I7" s="223"/>
      <c r="J7" s="223"/>
      <c r="K7" s="198"/>
    </row>
    <row r="8" spans="1:25" ht="14.25" customHeight="1" x14ac:dyDescent="0.25">
      <c r="A8" s="198"/>
      <c r="B8" s="223"/>
      <c r="C8" s="224"/>
      <c r="D8" s="198"/>
      <c r="E8" s="198"/>
      <c r="F8" s="198"/>
      <c r="G8" s="198"/>
      <c r="H8" s="198"/>
      <c r="I8" s="1029" t="s">
        <v>402</v>
      </c>
      <c r="J8" s="1030"/>
      <c r="K8" s="198"/>
      <c r="O8" s="225">
        <v>13</v>
      </c>
      <c r="P8" s="226" t="s">
        <v>16</v>
      </c>
    </row>
    <row r="9" spans="1:25" ht="12.75" customHeight="1" x14ac:dyDescent="0.25">
      <c r="A9" s="198"/>
      <c r="B9" s="198"/>
      <c r="C9" s="198"/>
      <c r="D9" s="227"/>
      <c r="E9" s="227"/>
      <c r="F9" s="227"/>
      <c r="G9" s="227"/>
      <c r="H9" s="227"/>
      <c r="I9" s="1031"/>
      <c r="J9" s="1032"/>
      <c r="K9" s="227"/>
      <c r="O9" s="225">
        <v>8</v>
      </c>
      <c r="P9" s="226" t="s">
        <v>17</v>
      </c>
    </row>
    <row r="10" spans="1:25" ht="15" x14ac:dyDescent="0.25">
      <c r="A10" s="198"/>
      <c r="B10" s="198"/>
      <c r="C10" s="198"/>
      <c r="D10" s="227"/>
      <c r="E10" s="227"/>
      <c r="F10" s="227"/>
      <c r="G10" s="227"/>
      <c r="H10" s="227"/>
      <c r="I10" s="198"/>
      <c r="J10" s="227"/>
      <c r="K10" s="227"/>
    </row>
    <row r="11" spans="1:25" ht="15" x14ac:dyDescent="0.25">
      <c r="A11" s="198"/>
      <c r="B11" s="199"/>
      <c r="C11" s="1033"/>
      <c r="D11" s="228" t="s">
        <v>22</v>
      </c>
      <c r="E11" s="228"/>
      <c r="F11" s="200"/>
      <c r="G11" s="201"/>
      <c r="H11" s="199"/>
      <c r="I11" s="198"/>
      <c r="J11" s="229"/>
      <c r="K11" s="229"/>
    </row>
    <row r="12" spans="1:25" ht="15" x14ac:dyDescent="0.25">
      <c r="A12" s="198"/>
      <c r="B12" s="198"/>
      <c r="C12" s="1033"/>
      <c r="D12" s="202"/>
      <c r="E12" s="202"/>
      <c r="F12" s="202"/>
      <c r="G12" s="203"/>
      <c r="H12" s="204"/>
      <c r="I12" s="198"/>
      <c r="J12" s="198"/>
      <c r="K12" s="198"/>
      <c r="P12" s="230" t="str">
        <f>GType</f>
        <v>Fixed Wheel (cantilevered)</v>
      </c>
    </row>
    <row r="13" spans="1:25" x14ac:dyDescent="0.2">
      <c r="C13" s="231" t="s">
        <v>403</v>
      </c>
      <c r="D13" s="232">
        <v>0.3</v>
      </c>
      <c r="E13" s="233">
        <f>$O$16/(D17+1)</f>
        <v>0.25569230769230766</v>
      </c>
      <c r="G13" s="205"/>
      <c r="H13" s="206"/>
      <c r="I13" s="234" t="s">
        <v>404</v>
      </c>
      <c r="J13" s="235">
        <v>0</v>
      </c>
      <c r="K13" s="198"/>
      <c r="O13" s="236">
        <f>'Wheel Design'!C83+'Wheel Design'!C78/3</f>
        <v>0.25800000000000001</v>
      </c>
      <c r="P13" s="237" t="s">
        <v>405</v>
      </c>
      <c r="Y13" s="197">
        <f>CEILING(Summary!D5/Stiffeners!D13,1)</f>
        <v>12</v>
      </c>
    </row>
    <row r="14" spans="1:25" x14ac:dyDescent="0.2">
      <c r="C14" s="231" t="s">
        <v>406</v>
      </c>
      <c r="D14" s="232">
        <f>IF(MOD(D17,2)=0,D13/2,0)</f>
        <v>0.15</v>
      </c>
      <c r="E14" s="233">
        <f>IF(ISODD(D17),0,D13/2)</f>
        <v>0.15</v>
      </c>
      <c r="G14" s="205"/>
      <c r="H14" s="206"/>
      <c r="I14" s="234" t="s">
        <v>407</v>
      </c>
      <c r="J14" s="207">
        <v>0</v>
      </c>
      <c r="K14" s="198"/>
      <c r="O14" s="236">
        <f>'Wheel Design'!C126+2*'Wheel Design'!C132+'Wheel Design'!C131+2*'Wheel Design'!C135</f>
        <v>0.57600000000000018</v>
      </c>
      <c r="P14" s="237" t="s">
        <v>408</v>
      </c>
    </row>
    <row r="15" spans="1:25" ht="15" x14ac:dyDescent="0.25">
      <c r="C15" s="231" t="s">
        <v>409</v>
      </c>
      <c r="D15" s="232">
        <f ca="1">E15</f>
        <v>0.33579999999999999</v>
      </c>
      <c r="E15" s="233">
        <f ca="1">OFFSET('Define Beam'!$I$11,DBrow,0)+OFFSET('Define Beam'!$K$11,DBrow,0)</f>
        <v>0.33579999999999999</v>
      </c>
      <c r="G15" s="205"/>
      <c r="H15" s="206"/>
      <c r="I15" s="238" t="s">
        <v>410</v>
      </c>
      <c r="J15" s="207">
        <f ca="1" xml:space="preserve"> ((Stress!P14*D13*6/D16/D15^2*(D17&gt;0))/1000)/0.0254</f>
        <v>0.36636670823259398</v>
      </c>
      <c r="K15" s="198"/>
      <c r="O15" s="239">
        <f>IF(GType="Fixed Wheel (cantilevered)",O14,IF(GType="Fixed Wheel (double support)",O13,0))</f>
        <v>0.57600000000000018</v>
      </c>
      <c r="Y15" s="197">
        <f>(Summary!D5-(Y13-1)*D13)/2</f>
        <v>0.10000000000000009</v>
      </c>
    </row>
    <row r="16" spans="1:25" x14ac:dyDescent="0.2">
      <c r="C16" s="231" t="s">
        <v>411</v>
      </c>
      <c r="D16" s="232">
        <v>0.01</v>
      </c>
      <c r="E16" s="233">
        <f ca="1">ROUND(OFFSET('Define Beam'!$H$11,DBrow,0)*16,0)/16</f>
        <v>0</v>
      </c>
      <c r="G16" s="205"/>
      <c r="H16" s="206"/>
      <c r="I16" s="238" t="s">
        <v>412</v>
      </c>
      <c r="J16" s="207">
        <f ca="1">(J13/D16/D15)/1000</f>
        <v>0</v>
      </c>
      <c r="K16" s="198"/>
      <c r="O16" s="236">
        <f>Lsup-O15</f>
        <v>3.3239999999999998</v>
      </c>
      <c r="P16" s="237" t="s">
        <v>413</v>
      </c>
    </row>
    <row r="17" spans="2:25" ht="15" x14ac:dyDescent="0.25">
      <c r="B17" s="208"/>
      <c r="C17" s="240" t="s">
        <v>414</v>
      </c>
      <c r="D17" s="209">
        <v>12</v>
      </c>
      <c r="E17" s="241">
        <f>CEILING($O$16/D13,1)-1</f>
        <v>11</v>
      </c>
      <c r="G17" s="205"/>
      <c r="H17" s="206"/>
      <c r="I17" s="238" t="s">
        <v>415</v>
      </c>
      <c r="J17" s="242">
        <f ca="1">SQRT((J15+J16)^2+3*J14^2)</f>
        <v>0.36636670823259398</v>
      </c>
      <c r="K17" s="198"/>
      <c r="Y17" s="197">
        <f>0.2-'Wheel Design'!C32/2-0.002-SecProp!I13-'Wheel Design'!C131/2+Stiffeners!Y15</f>
        <v>0.23100000000000009</v>
      </c>
    </row>
    <row r="18" spans="2:25" ht="15" x14ac:dyDescent="0.2">
      <c r="B18" s="210"/>
      <c r="C18" s="211"/>
      <c r="D18" s="243"/>
      <c r="E18" s="243"/>
      <c r="F18" s="243"/>
      <c r="G18" s="244"/>
      <c r="H18" s="245"/>
      <c r="I18" s="246"/>
      <c r="J18" s="224"/>
      <c r="K18" s="224"/>
    </row>
    <row r="19" spans="2:25" ht="15" x14ac:dyDescent="0.25">
      <c r="B19" s="212"/>
      <c r="C19" s="213"/>
      <c r="D19" s="247">
        <f>(ROW()-VSref+2)/VSrow</f>
        <v>1</v>
      </c>
      <c r="E19" s="247"/>
      <c r="F19" s="214"/>
      <c r="G19" s="215"/>
      <c r="H19" s="216"/>
      <c r="I19" s="198"/>
      <c r="J19" s="229"/>
      <c r="K19" s="229"/>
      <c r="P19" s="197">
        <f ca="1">+(OFFSET(Stress!$P$24,STrow*(D19-1),0))</f>
        <v>6.5873103111155455E-3</v>
      </c>
    </row>
    <row r="20" spans="2:25" ht="15" x14ac:dyDescent="0.2">
      <c r="B20" s="210"/>
      <c r="C20" s="248"/>
      <c r="D20" s="243"/>
      <c r="E20" s="243"/>
      <c r="F20" s="243"/>
      <c r="G20" s="244"/>
      <c r="H20" s="245"/>
      <c r="I20" s="198"/>
      <c r="J20" s="198"/>
      <c r="K20" s="198"/>
      <c r="P20" s="197">
        <f ca="1">(OFFSET(Stress!$P$22,STrow*(D19-1),0))*D21*6/D24/D23^2*(D25&gt;0)</f>
        <v>11.298595603008863</v>
      </c>
    </row>
    <row r="21" spans="2:25" x14ac:dyDescent="0.2">
      <c r="B21" s="217"/>
      <c r="C21" s="231" t="s">
        <v>403</v>
      </c>
      <c r="D21" s="232">
        <f>D13</f>
        <v>0.3</v>
      </c>
      <c r="E21" s="233">
        <f>$O$16/(D25+1)</f>
        <v>0.25569230769230766</v>
      </c>
      <c r="G21" s="205"/>
      <c r="H21" s="206"/>
      <c r="I21" s="234" t="s">
        <v>404</v>
      </c>
      <c r="J21" s="235">
        <f ca="1">((OFFSET('Define Beam'!$F$11,DBrow*(D19-1),0)*OFFSET('Define Beam'!$G$11,DBrow*(D19-1),0)+OFFSET('Define Beam'!$H$11,DBrow*(D19-1),0)*OFFSET('Define Beam'!$I$11,DBrow*(D19-1),0)+OFFSET('Define Beam'!$J$11,DBrow*(D19-1),0)*OFFSET('Define Beam'!$K$11,DBrow*(D19-1),0)+OFFSET('Beam Spacing'!$C$20,BSrow*(D19-1),0)*SecProp!$I$13+OFFSET('Beam Spacing'!$C$23,BSrow*(D19-1),0)*OFFSET(SecProp!$I$28,SProw*(D19-1),0))*D21*7.85*9.81+OFFSET($J$21,VSrow*(D19-2),0))</f>
        <v>0.40448583093589791</v>
      </c>
      <c r="K21" s="198"/>
      <c r="Q21" s="249"/>
    </row>
    <row r="22" spans="2:25" x14ac:dyDescent="0.2">
      <c r="C22" s="231" t="s">
        <v>406</v>
      </c>
      <c r="D22" s="232">
        <f t="shared" ref="D22:D24" si="0">D14</f>
        <v>0.15</v>
      </c>
      <c r="E22" s="233">
        <f>IF(ISODD(D25),0,D21/2)</f>
        <v>0.15</v>
      </c>
      <c r="G22" s="205"/>
      <c r="H22" s="206"/>
      <c r="I22" s="234" t="s">
        <v>407</v>
      </c>
      <c r="J22" s="207">
        <f ca="1">(ABS(OFFSET(SecProp!$V$14,SProw*(D19-1),0)-OFFSET(SecProp!$V$31,SProw*(D19-1),0))*D21/D24/D23/0.0254*(D25&gt;0))/1000</f>
        <v>0.45830184889379488</v>
      </c>
      <c r="K22" s="198"/>
    </row>
    <row r="23" spans="2:25" x14ac:dyDescent="0.2">
      <c r="C23" s="231" t="s">
        <v>409</v>
      </c>
      <c r="D23" s="232">
        <f t="shared" ca="1" si="0"/>
        <v>0.33579999999999999</v>
      </c>
      <c r="E23" s="233">
        <f ca="1">OFFSET('Define Beam'!$I$11,DBrow*(D19-1),0)+OFFSET('Define Beam'!$K$11,DBrow*(D19-1),0)</f>
        <v>0.33579999999999999</v>
      </c>
      <c r="G23" s="205"/>
      <c r="H23" s="206"/>
      <c r="I23" s="238" t="s">
        <v>410</v>
      </c>
      <c r="J23" s="207">
        <f ca="1">((MAX(OFFSET(Stress!$P$24,STrow*(D19-1),0),OFFSET(Stress!$P$22,STrow*(D19-1),0))/0.0254*D21*6/D24/D23^2*(D25&gt;0))/1000)</f>
        <v>0.44482659854365603</v>
      </c>
      <c r="K23" s="198"/>
    </row>
    <row r="24" spans="2:25" x14ac:dyDescent="0.2">
      <c r="C24" s="231" t="s">
        <v>411</v>
      </c>
      <c r="D24" s="232">
        <f t="shared" si="0"/>
        <v>0.01</v>
      </c>
      <c r="E24" s="233">
        <f ca="1">ROUND(OFFSET('Define Beam'!$H$11,DBrow*(D19-1),0)*16,0)/16</f>
        <v>0</v>
      </c>
      <c r="G24" s="205"/>
      <c r="H24" s="206"/>
      <c r="I24" s="238" t="s">
        <v>412</v>
      </c>
      <c r="J24" s="207">
        <f ca="1">(J21/D24/D23*(D25&gt;0))/1000</f>
        <v>0.12045438681831384</v>
      </c>
      <c r="K24" s="198"/>
    </row>
    <row r="25" spans="2:25" ht="15" x14ac:dyDescent="0.25">
      <c r="B25" s="208"/>
      <c r="C25" s="240" t="s">
        <v>414</v>
      </c>
      <c r="D25" s="209">
        <f>D17</f>
        <v>12</v>
      </c>
      <c r="E25" s="241">
        <f>CEILING($O$16/D21,1)-1</f>
        <v>11</v>
      </c>
      <c r="G25" s="205"/>
      <c r="H25" s="206"/>
      <c r="I25" s="238" t="s">
        <v>415</v>
      </c>
      <c r="J25" s="242">
        <f ca="1">SQRT((J23+J24)^2+3*J22^2)</f>
        <v>0.97450723266182682</v>
      </c>
      <c r="K25" s="198"/>
    </row>
    <row r="26" spans="2:25" ht="15" x14ac:dyDescent="0.2">
      <c r="B26" s="210"/>
      <c r="C26" s="218"/>
      <c r="D26" s="243"/>
      <c r="E26" s="243"/>
      <c r="F26" s="243"/>
      <c r="G26" s="244"/>
      <c r="H26" s="245"/>
      <c r="I26" s="246"/>
      <c r="J26" s="224"/>
      <c r="K26" s="224"/>
    </row>
    <row r="27" spans="2:25" ht="15" x14ac:dyDescent="0.25">
      <c r="B27" s="212"/>
      <c r="C27" s="213"/>
      <c r="D27" s="247">
        <f>(ROW()-VSref+2)/VSrow</f>
        <v>2</v>
      </c>
      <c r="E27" s="247"/>
      <c r="F27" s="214"/>
      <c r="G27" s="215"/>
      <c r="H27" s="216"/>
      <c r="I27" s="198"/>
      <c r="J27" s="229"/>
      <c r="K27" s="229"/>
    </row>
    <row r="28" spans="2:25" ht="15" x14ac:dyDescent="0.2">
      <c r="B28" s="210"/>
      <c r="C28" s="248"/>
      <c r="D28" s="243"/>
      <c r="E28" s="243"/>
      <c r="F28" s="243"/>
      <c r="G28" s="244"/>
      <c r="H28" s="245"/>
      <c r="I28" s="198"/>
      <c r="J28" s="198"/>
      <c r="K28" s="198"/>
      <c r="P28" s="197">
        <f ca="1">(OFFSET(Stress!$P$22,STrow*(D27-1),0))*D29*6/D32/D31^2*(D33&gt;0)</f>
        <v>12.551053535381481</v>
      </c>
    </row>
    <row r="29" spans="2:25" x14ac:dyDescent="0.2">
      <c r="B29" s="217"/>
      <c r="C29" s="231" t="s">
        <v>403</v>
      </c>
      <c r="D29" s="232">
        <f>D21</f>
        <v>0.3</v>
      </c>
      <c r="E29" s="233">
        <f>$O$16/(D33+1)</f>
        <v>0.25569230769230766</v>
      </c>
      <c r="G29" s="205"/>
      <c r="H29" s="206"/>
      <c r="I29" s="234" t="s">
        <v>404</v>
      </c>
      <c r="J29" s="235">
        <f ca="1">((OFFSET('Define Beam'!$F$11,DBrow*(D27-1),0)*OFFSET('Define Beam'!$G$11,DBrow*(D27-1),0)+OFFSET('Define Beam'!$H$11,DBrow*(D27-1),0)*OFFSET('Define Beam'!$I$11,DBrow*(D27-1),0)+OFFSET('Define Beam'!$J$11,DBrow*(D27-1),0)*OFFSET('Define Beam'!$K$11,DBrow*(D27-1),0)+OFFSET('Beam Spacing'!$C$20,BSrow*(D27-1),0)*SecProp!$I$13+OFFSET('Beam Spacing'!$C$23,BSrow*(D27-1),0)*OFFSET(SecProp!$I$28,SProw*(D27-1),0))*D29*7.85*9.81+OFFSET($J$21,VSrow*(D27-2),0))</f>
        <v>0.90260042772800964</v>
      </c>
      <c r="K29" s="198"/>
      <c r="Q29" s="249"/>
    </row>
    <row r="30" spans="2:25" x14ac:dyDescent="0.2">
      <c r="C30" s="231" t="s">
        <v>406</v>
      </c>
      <c r="D30" s="232">
        <f t="shared" ref="D30:D32" si="1">D22</f>
        <v>0.15</v>
      </c>
      <c r="E30" s="233">
        <f>IF(ISODD(D33),0,D29/2)</f>
        <v>0.15</v>
      </c>
      <c r="G30" s="205"/>
      <c r="H30" s="206"/>
      <c r="I30" s="234" t="s">
        <v>407</v>
      </c>
      <c r="J30" s="207">
        <f ca="1">(ABS(OFFSET(SecProp!$V$14,SProw*(D27-1),0)-OFFSET(SecProp!$V$31,SProw*(D27-1),0))*D29/D32/D31/0.0254*(D33&gt;0))/1000</f>
        <v>0.19805382951239833</v>
      </c>
      <c r="K30" s="198"/>
    </row>
    <row r="31" spans="2:25" x14ac:dyDescent="0.2">
      <c r="C31" s="231" t="s">
        <v>409</v>
      </c>
      <c r="D31" s="232">
        <f t="shared" ca="1" si="1"/>
        <v>0.33579999999999999</v>
      </c>
      <c r="E31" s="233">
        <f ca="1">OFFSET('Define Beam'!$I$11,DBrow*(D27-1),0)+OFFSET('Define Beam'!$K$11,DBrow*(D27-1),0)</f>
        <v>0.33579999999999999</v>
      </c>
      <c r="G31" s="205"/>
      <c r="H31" s="206"/>
      <c r="I31" s="238" t="s">
        <v>410</v>
      </c>
      <c r="J31" s="207">
        <f ca="1">((MAX(OFFSET(Stress!$P$24,STrow*(D27-1),0),OFFSET(Stress!$P$22,STrow*(D27-1),0))/0.0254*D29*6/D32/D31^2*(D33&gt;0))/1000)</f>
        <v>0.494135965959901</v>
      </c>
      <c r="K31" s="198"/>
    </row>
    <row r="32" spans="2:25" x14ac:dyDescent="0.2">
      <c r="C32" s="231" t="s">
        <v>411</v>
      </c>
      <c r="D32" s="232">
        <f t="shared" si="1"/>
        <v>0.01</v>
      </c>
      <c r="E32" s="233">
        <f ca="1">ROUND(OFFSET('Define Beam'!$H$11,DBrow*(D27-1),0)*16,0)/16</f>
        <v>0</v>
      </c>
      <c r="G32" s="205"/>
      <c r="H32" s="206"/>
      <c r="I32" s="238" t="s">
        <v>412</v>
      </c>
      <c r="J32" s="207">
        <f ca="1">(J29/D32/D31*(D33&gt;0))/1000</f>
        <v>0.26879107436807909</v>
      </c>
      <c r="K32" s="198"/>
    </row>
    <row r="33" spans="2:17" ht="15" x14ac:dyDescent="0.25">
      <c r="B33" s="208"/>
      <c r="C33" s="240" t="s">
        <v>414</v>
      </c>
      <c r="D33" s="209">
        <f>D25</f>
        <v>12</v>
      </c>
      <c r="E33" s="241">
        <f>CEILING($O$16/D29,1)-1</f>
        <v>11</v>
      </c>
      <c r="G33" s="205"/>
      <c r="H33" s="206"/>
      <c r="I33" s="238" t="s">
        <v>415</v>
      </c>
      <c r="J33" s="242">
        <f ca="1">SQRT((J31+J32)^2+3*J30^2)</f>
        <v>0.83650082308219509</v>
      </c>
      <c r="K33" s="198"/>
    </row>
    <row r="34" spans="2:17" ht="15" x14ac:dyDescent="0.2">
      <c r="B34" s="210"/>
      <c r="C34" s="218"/>
      <c r="D34" s="243"/>
      <c r="E34" s="243"/>
      <c r="F34" s="243"/>
      <c r="G34" s="244"/>
      <c r="H34" s="245"/>
      <c r="I34" s="246"/>
      <c r="J34" s="224"/>
      <c r="K34" s="224"/>
    </row>
    <row r="35" spans="2:17" ht="15" x14ac:dyDescent="0.25">
      <c r="B35" s="212"/>
      <c r="C35" s="213"/>
      <c r="D35" s="247">
        <f>(ROW()-VSref+2)/VSrow</f>
        <v>3</v>
      </c>
      <c r="E35" s="247"/>
      <c r="F35" s="214"/>
      <c r="G35" s="215"/>
      <c r="H35" s="216"/>
      <c r="I35" s="198"/>
      <c r="J35" s="229"/>
      <c r="K35" s="229"/>
    </row>
    <row r="36" spans="2:17" ht="15" x14ac:dyDescent="0.2">
      <c r="B36" s="210"/>
      <c r="C36" s="248"/>
      <c r="D36" s="243"/>
      <c r="E36" s="243"/>
      <c r="F36" s="243"/>
      <c r="G36" s="244"/>
      <c r="H36" s="245"/>
      <c r="I36" s="198"/>
      <c r="J36" s="198"/>
      <c r="K36" s="198"/>
      <c r="P36" s="197">
        <f ca="1">(OFFSET(Stress!$P$22,STrow*(D35-1),0))*D37*6/D40/D39^2*(D41&gt;0)</f>
        <v>13.822158401594377</v>
      </c>
    </row>
    <row r="37" spans="2:17" x14ac:dyDescent="0.2">
      <c r="B37" s="217"/>
      <c r="C37" s="231" t="s">
        <v>403</v>
      </c>
      <c r="D37" s="232">
        <f>D29</f>
        <v>0.3</v>
      </c>
      <c r="E37" s="233">
        <f>$O$16/(D41+1)</f>
        <v>0.25569230769230766</v>
      </c>
      <c r="G37" s="205"/>
      <c r="H37" s="206"/>
      <c r="I37" s="234" t="s">
        <v>404</v>
      </c>
      <c r="J37" s="235">
        <f ca="1">((OFFSET('Define Beam'!$F$11,DBrow*(D35-1),0)*OFFSET('Define Beam'!$G$11,DBrow*(D35-1),0)+OFFSET('Define Beam'!$H$11,DBrow*(D35-1),0)*OFFSET('Define Beam'!$I$11,DBrow*(D35-1),0)+OFFSET('Define Beam'!$J$11,DBrow*(D35-1),0)*OFFSET('Define Beam'!$K$11,DBrow*(D35-1),0)+OFFSET('Beam Spacing'!$C$20,BSrow*(D35-1),0)*SecProp!$I$13+OFFSET('Beam Spacing'!$C$23,BSrow*(D35-1),0)*OFFSET(SecProp!$I$28,SProw*(D35-1),0))*D37*7.85*9.81+OFFSET($J$21,VSrow*(D35-2),0))</f>
        <v>1.3864418590399921</v>
      </c>
      <c r="K37" s="198"/>
      <c r="Q37" s="249"/>
    </row>
    <row r="38" spans="2:17" x14ac:dyDescent="0.2">
      <c r="C38" s="231" t="s">
        <v>406</v>
      </c>
      <c r="D38" s="232">
        <f t="shared" ref="D38:D40" si="2">D30</f>
        <v>0.15</v>
      </c>
      <c r="E38" s="233">
        <f>IF(ISODD(D41),0,D37/2)</f>
        <v>0.15</v>
      </c>
      <c r="G38" s="205"/>
      <c r="H38" s="206"/>
      <c r="I38" s="234" t="s">
        <v>407</v>
      </c>
      <c r="J38" s="207">
        <f ca="1">(ABS(OFFSET(SecProp!$V$14,SProw*(D35-1),0)-OFFSET(SecProp!$V$31,SProw*(D35-1),0))*D37/D40/D39/0.0254*(D41&gt;0))/1000</f>
        <v>0.17869039633873895</v>
      </c>
      <c r="K38" s="198"/>
    </row>
    <row r="39" spans="2:17" x14ac:dyDescent="0.2">
      <c r="C39" s="231" t="s">
        <v>409</v>
      </c>
      <c r="D39" s="232">
        <f t="shared" ca="1" si="2"/>
        <v>0.33579999999999999</v>
      </c>
      <c r="E39" s="233">
        <f ca="1">OFFSET('Define Beam'!$I$11,DBrow*(D35-1),0)+OFFSET('Define Beam'!$K$11,DBrow*(D35-1),0)</f>
        <v>0.33579999999999999</v>
      </c>
      <c r="G39" s="205"/>
      <c r="H39" s="206"/>
      <c r="I39" s="238" t="s">
        <v>410</v>
      </c>
      <c r="J39" s="207">
        <f ca="1">((MAX(OFFSET(Stress!$P$24,STrow*(D35-1),0),OFFSET(Stress!$P$22,STrow*(D35-1),0))/0.0254*D37*6/D40/D39^2*(D41&gt;0))/1000)</f>
        <v>0.54417946462970002</v>
      </c>
      <c r="K39" s="198"/>
    </row>
    <row r="40" spans="2:17" x14ac:dyDescent="0.2">
      <c r="C40" s="231" t="s">
        <v>411</v>
      </c>
      <c r="D40" s="232">
        <f t="shared" si="2"/>
        <v>0.01</v>
      </c>
      <c r="E40" s="233">
        <f ca="1">ROUND(OFFSET('Define Beam'!$H$11,DBrow*(D35-1),0)*16,0)/16</f>
        <v>0</v>
      </c>
      <c r="G40" s="205"/>
      <c r="H40" s="206"/>
      <c r="I40" s="238" t="s">
        <v>412</v>
      </c>
      <c r="J40" s="207">
        <f ca="1">(J37/D40/D39*(D41&gt;0))/1000</f>
        <v>0.41287726594401197</v>
      </c>
      <c r="K40" s="198"/>
    </row>
    <row r="41" spans="2:17" ht="15" x14ac:dyDescent="0.25">
      <c r="B41" s="208"/>
      <c r="C41" s="240" t="s">
        <v>414</v>
      </c>
      <c r="D41" s="209">
        <f>D33</f>
        <v>12</v>
      </c>
      <c r="E41" s="241">
        <f>CEILING($O$16/D37,1)-1</f>
        <v>11</v>
      </c>
      <c r="G41" s="205"/>
      <c r="H41" s="206"/>
      <c r="I41" s="238" t="s">
        <v>415</v>
      </c>
      <c r="J41" s="242">
        <f ca="1">SQRT((J39+J40)^2+3*J38^2)</f>
        <v>1.0058570270011189</v>
      </c>
      <c r="K41" s="198"/>
    </row>
    <row r="42" spans="2:17" ht="15" x14ac:dyDescent="0.2">
      <c r="B42" s="210"/>
      <c r="C42" s="218"/>
      <c r="D42" s="243"/>
      <c r="E42" s="243"/>
      <c r="F42" s="243"/>
      <c r="G42" s="244"/>
      <c r="H42" s="245"/>
      <c r="I42" s="246"/>
      <c r="J42" s="224"/>
      <c r="K42" s="224"/>
    </row>
    <row r="43" spans="2:17" ht="15" x14ac:dyDescent="0.25">
      <c r="B43" s="212"/>
      <c r="C43" s="213"/>
      <c r="D43" s="247">
        <f>(ROW()-VSref+2)/VSrow</f>
        <v>4</v>
      </c>
      <c r="E43" s="247"/>
      <c r="F43" s="214"/>
      <c r="G43" s="215"/>
      <c r="H43" s="216"/>
      <c r="I43" s="198"/>
      <c r="J43" s="229"/>
      <c r="K43" s="229"/>
    </row>
    <row r="44" spans="2:17" ht="15" x14ac:dyDescent="0.2">
      <c r="B44" s="210"/>
      <c r="C44" s="248"/>
      <c r="D44" s="243"/>
      <c r="E44" s="243"/>
      <c r="F44" s="243"/>
      <c r="G44" s="244"/>
      <c r="H44" s="245"/>
      <c r="I44" s="198"/>
      <c r="J44" s="198"/>
      <c r="K44" s="198"/>
      <c r="P44" s="197">
        <f ca="1">(OFFSET(Stress!$P$22,STrow*(D43-1),0))*D45*6/D48/D47^2*(D49&gt;0)</f>
        <v>15.10969647515005</v>
      </c>
    </row>
    <row r="45" spans="2:17" x14ac:dyDescent="0.2">
      <c r="B45" s="217"/>
      <c r="C45" s="231" t="s">
        <v>403</v>
      </c>
      <c r="D45" s="232">
        <f>D37</f>
        <v>0.3</v>
      </c>
      <c r="E45" s="233">
        <f>$O$16/(D49+1)</f>
        <v>0.25569230769230766</v>
      </c>
      <c r="G45" s="205"/>
      <c r="H45" s="206"/>
      <c r="I45" s="234" t="s">
        <v>404</v>
      </c>
      <c r="J45" s="235">
        <f ca="1">((OFFSET('Define Beam'!$F$11,DBrow*(D43-1),0)*OFFSET('Define Beam'!$G$11,DBrow*(D43-1),0)+OFFSET('Define Beam'!$H$11,DBrow*(D43-1),0)*OFFSET('Define Beam'!$I$11,DBrow*(D43-1),0)+OFFSET('Define Beam'!$J$11,DBrow*(D43-1),0)*OFFSET('Define Beam'!$K$11,DBrow*(D43-1),0)+OFFSET('Beam Spacing'!$C$20,BSrow*(D43-1),0)*SecProp!$I$13+OFFSET('Beam Spacing'!$C$23,BSrow*(D43-1),0)*OFFSET(SecProp!$I$28,SProw*(D43-1),0))*D45*7.85*9.81+OFFSET($J$21,VSrow*(D43-2),0))</f>
        <v>1.8583371410557257</v>
      </c>
      <c r="K45" s="198"/>
      <c r="Q45" s="249"/>
    </row>
    <row r="46" spans="2:17" x14ac:dyDescent="0.2">
      <c r="C46" s="231" t="s">
        <v>406</v>
      </c>
      <c r="D46" s="232">
        <f t="shared" ref="D46:D48" si="3">D38</f>
        <v>0.15</v>
      </c>
      <c r="E46" s="233">
        <f>IF(ISODD(D49),0,D45/2)</f>
        <v>0.15</v>
      </c>
      <c r="G46" s="205"/>
      <c r="H46" s="206"/>
      <c r="I46" s="234" t="s">
        <v>407</v>
      </c>
      <c r="J46" s="207">
        <f ca="1">(ABS(OFFSET(SecProp!$V$14,SProw*(D43-1),0)-OFFSET(SecProp!$V$31,SProw*(D43-1),0))*D45/D48/D47/0.0254*(D49&gt;0))/1000</f>
        <v>0.17398275872313032</v>
      </c>
      <c r="K46" s="198"/>
    </row>
    <row r="47" spans="2:17" x14ac:dyDescent="0.2">
      <c r="C47" s="231" t="s">
        <v>409</v>
      </c>
      <c r="D47" s="232">
        <f t="shared" ca="1" si="3"/>
        <v>0.33579999999999999</v>
      </c>
      <c r="E47" s="233">
        <f ca="1">OFFSET('Define Beam'!$I$11,DBrow*(D43-1),0)+OFFSET('Define Beam'!$K$11,DBrow*(D43-1),0)</f>
        <v>0.33579999999999999</v>
      </c>
      <c r="G47" s="205"/>
      <c r="H47" s="206"/>
      <c r="I47" s="238" t="s">
        <v>410</v>
      </c>
      <c r="J47" s="207">
        <f ca="1">((MAX(OFFSET(Stress!$P$24,STrow*(D43-1),0),OFFSET(Stress!$P$22,STrow*(D43-1),0))/0.0254*D45*6/D48/D47^2*(D49&gt;0))/1000)</f>
        <v>0.59486993996653748</v>
      </c>
      <c r="K47" s="198"/>
    </row>
    <row r="48" spans="2:17" x14ac:dyDescent="0.2">
      <c r="C48" s="231" t="s">
        <v>411</v>
      </c>
      <c r="D48" s="232">
        <f t="shared" si="3"/>
        <v>0.01</v>
      </c>
      <c r="E48" s="233">
        <f ca="1">ROUND(OFFSET('Define Beam'!$H$11,DBrow*(D43-1),0)*16,0)/16</f>
        <v>0</v>
      </c>
      <c r="G48" s="205"/>
      <c r="H48" s="206"/>
      <c r="I48" s="238" t="s">
        <v>412</v>
      </c>
      <c r="J48" s="207">
        <f ca="1">(J45/D48/D47*(D49&gt;0))/1000</f>
        <v>0.55340593837275931</v>
      </c>
      <c r="K48" s="198"/>
    </row>
    <row r="49" spans="2:11" ht="15" x14ac:dyDescent="0.25">
      <c r="B49" s="208"/>
      <c r="C49" s="240" t="s">
        <v>414</v>
      </c>
      <c r="D49" s="209">
        <f>D41</f>
        <v>12</v>
      </c>
      <c r="E49" s="241">
        <f>CEILING($O$16/D45,1)-1</f>
        <v>11</v>
      </c>
      <c r="G49" s="205"/>
      <c r="H49" s="206"/>
      <c r="I49" s="238" t="s">
        <v>415</v>
      </c>
      <c r="J49" s="242">
        <f ca="1">SQRT((J47+J48)^2+3*J46^2)</f>
        <v>1.1871594222237452</v>
      </c>
      <c r="K49" s="198"/>
    </row>
    <row r="50" spans="2:11" ht="15" x14ac:dyDescent="0.2">
      <c r="B50" s="210"/>
      <c r="C50" s="218"/>
      <c r="D50" s="243"/>
      <c r="E50" s="243"/>
      <c r="F50" s="243"/>
      <c r="G50" s="244"/>
      <c r="H50" s="245"/>
      <c r="I50" s="246"/>
      <c r="J50" s="224"/>
      <c r="K50" s="224"/>
    </row>
    <row r="51" spans="2:11" ht="15" x14ac:dyDescent="0.25">
      <c r="B51" s="212"/>
      <c r="C51" s="213"/>
      <c r="D51" s="247">
        <f>(ROW()-VSref+2)/VSrow</f>
        <v>5</v>
      </c>
      <c r="E51" s="247"/>
      <c r="F51" s="214"/>
      <c r="G51" s="215"/>
      <c r="H51" s="216"/>
      <c r="I51" s="198"/>
      <c r="J51" s="229"/>
      <c r="K51" s="229"/>
    </row>
    <row r="52" spans="2:11" ht="15" x14ac:dyDescent="0.2">
      <c r="B52" s="210"/>
      <c r="C52" s="248"/>
      <c r="D52" s="243"/>
      <c r="E52" s="243"/>
      <c r="F52" s="243"/>
      <c r="G52" s="244"/>
      <c r="H52" s="245"/>
      <c r="I52" s="198"/>
      <c r="J52" s="198"/>
      <c r="K52" s="198"/>
    </row>
    <row r="53" spans="2:11" x14ac:dyDescent="0.2">
      <c r="B53" s="217"/>
      <c r="C53" s="231" t="s">
        <v>403</v>
      </c>
      <c r="D53" s="232">
        <f>D45</f>
        <v>0.3</v>
      </c>
      <c r="E53" s="233">
        <f>$O$16/(D57+1)</f>
        <v>0.25569230769230766</v>
      </c>
      <c r="G53" s="205"/>
      <c r="H53" s="206"/>
      <c r="I53" s="234" t="s">
        <v>404</v>
      </c>
      <c r="J53" s="235">
        <f ca="1">((OFFSET('Define Beam'!$F$11,DBrow*(D51-1),0)*OFFSET('Define Beam'!$G$11,DBrow*(D51-1),0)+OFFSET('Define Beam'!$H$11,DBrow*(D51-1),0)*OFFSET('Define Beam'!$I$11,DBrow*(D51-1),0)+OFFSET('Define Beam'!$J$11,DBrow*(D51-1),0)*OFFSET('Define Beam'!$K$11,DBrow*(D51-1),0)+OFFSET('Beam Spacing'!$C$20,BSrow*(D51-1),0)*SecProp!$I$13+OFFSET('Beam Spacing'!$C$23,BSrow*(D51-1),0)*OFFSET(SecProp!$I$28,SProw*(D51-1),0))*D53*7.85*9.81+OFFSET($J$21,VSrow*(D51-2),0))</f>
        <v>2.2300894911518454</v>
      </c>
      <c r="K53" s="198"/>
    </row>
    <row r="54" spans="2:11" x14ac:dyDescent="0.2">
      <c r="C54" s="231" t="s">
        <v>406</v>
      </c>
      <c r="D54" s="232">
        <f>D46</f>
        <v>0.15</v>
      </c>
      <c r="E54" s="233">
        <f>IF(ISODD(D57),0,D53/2)</f>
        <v>0.15</v>
      </c>
      <c r="G54" s="205"/>
      <c r="H54" s="206"/>
      <c r="I54" s="234" t="s">
        <v>407</v>
      </c>
      <c r="J54" s="207">
        <v>0</v>
      </c>
      <c r="K54" s="198"/>
    </row>
    <row r="55" spans="2:11" x14ac:dyDescent="0.2">
      <c r="C55" s="231" t="s">
        <v>409</v>
      </c>
      <c r="D55" s="232">
        <f ca="1">D47</f>
        <v>0.33579999999999999</v>
      </c>
      <c r="E55" s="233">
        <f ca="1">OFFSET('Define Beam'!$I$11,DBrow*(D51-1),0)+OFFSET('Define Beam'!$K$11,DBrow*(D51-1),0)</f>
        <v>0.33579999999999999</v>
      </c>
      <c r="G55" s="205"/>
      <c r="H55" s="206"/>
      <c r="I55" s="238" t="s">
        <v>410</v>
      </c>
      <c r="J55" s="207">
        <f ca="1">(MAX(OFFSET(Stress!$P$23,STrow*(D51-1),0),OFFSET(Stress!$P$21,STrow*(D51-1),0))/0.0254*D53*6/D56/D55^2*(D57&gt;0))/1000</f>
        <v>0.55322103016580082</v>
      </c>
      <c r="K55" s="198"/>
    </row>
    <row r="56" spans="2:11" x14ac:dyDescent="0.2">
      <c r="C56" s="231" t="s">
        <v>411</v>
      </c>
      <c r="D56" s="232">
        <f>D48</f>
        <v>0.01</v>
      </c>
      <c r="E56" s="233">
        <f ca="1">ROUND(OFFSET('Define Beam'!$H$11,DBrow*(D51-1),0)*16,0)/16</f>
        <v>0</v>
      </c>
      <c r="G56" s="205"/>
      <c r="H56" s="206"/>
      <c r="I56" s="238" t="s">
        <v>412</v>
      </c>
      <c r="J56" s="207">
        <f ca="1">(J53/D56/D55*(D57&gt;0))/1000</f>
        <v>0.6641124154710677</v>
      </c>
      <c r="K56" s="198"/>
    </row>
    <row r="57" spans="2:11" ht="15" x14ac:dyDescent="0.25">
      <c r="C57" s="240" t="s">
        <v>414</v>
      </c>
      <c r="D57" s="209">
        <f>D49</f>
        <v>12</v>
      </c>
      <c r="E57" s="241">
        <f>CEILING($O$16/D53,1)-1</f>
        <v>11</v>
      </c>
      <c r="G57" s="205"/>
      <c r="H57" s="206"/>
      <c r="I57" s="238" t="s">
        <v>415</v>
      </c>
      <c r="J57" s="242">
        <f ca="1">SQRT((J55+J56)^2+3*J54^2)</f>
        <v>1.2173334456368685</v>
      </c>
      <c r="K57" s="198"/>
    </row>
    <row r="58" spans="2:11" ht="15" x14ac:dyDescent="0.2">
      <c r="C58" s="1028"/>
      <c r="D58" s="243"/>
      <c r="E58" s="243"/>
      <c r="F58" s="243"/>
      <c r="G58" s="244"/>
      <c r="H58" s="245"/>
      <c r="I58" s="246"/>
      <c r="J58" s="224"/>
      <c r="K58" s="224"/>
    </row>
    <row r="59" spans="2:11" ht="15" x14ac:dyDescent="0.25">
      <c r="B59" s="216"/>
      <c r="C59" s="1028"/>
      <c r="D59" s="250" t="s">
        <v>23</v>
      </c>
      <c r="E59" s="250"/>
      <c r="F59" s="219"/>
      <c r="G59" s="220"/>
      <c r="H59" s="216"/>
      <c r="I59" s="198"/>
      <c r="J59" s="229"/>
      <c r="K59" s="229"/>
    </row>
  </sheetData>
  <sheetProtection algorithmName="SHA-512" hashValue="s9Hm/eTaFx5T0fiiz0kjpzX4OwZ30GstWji7jHrFpSO52AYGxAQ82hAlk0V3Pwi/SHdpWs9GJWXcLMbeKJIdBw==" saltValue="6BmYftt6QlwhihQUyjSgmA==" spinCount="100000" sheet="1" objects="1" scenarios="1" selectLockedCells="1"/>
  <mergeCells count="9">
    <mergeCell ref="C58:C59"/>
    <mergeCell ref="I8:J9"/>
    <mergeCell ref="C11:C12"/>
    <mergeCell ref="A1:K1"/>
    <mergeCell ref="A2:K2"/>
    <mergeCell ref="A3:K3"/>
    <mergeCell ref="B4:K4"/>
    <mergeCell ref="B5:K5"/>
    <mergeCell ref="B6:K6"/>
  </mergeCells>
  <dataValidations count="3">
    <dataValidation type="whole" allowBlank="1" showInputMessage="1" showErrorMessage="1" errorTitle="Number of Stiffeners" error="Whole number between 0 and 99 expected" sqref="D17 D25 D57 D33 D41 D49">
      <formula1>0</formula1>
      <formula2>99</formula2>
    </dataValidation>
    <dataValidation type="decimal" allowBlank="1" showInputMessage="1" showErrorMessage="1" errorTitle="Vertical Stiffener Spacing" error="Spacing must not exceed support span and must be at least 1." sqref="D13 D21:D24 D53:D56 D29:D32 D37:D40 D45:D48">
      <formula1>0</formula1>
      <formula2>Lsup</formula2>
    </dataValidation>
    <dataValidation type="decimal" allowBlank="1" showInputMessage="1" showErrorMessage="1" errorTitle="Stiffener Distance" error="Distance must not exceed half of the support span and must not be less than 0" sqref="D14">
      <formula1>0</formula1>
      <formula2>Lsup/2</formula2>
    </dataValidation>
  </dataValidations>
  <pageMargins left="0.7" right="0.7" top="0.75" bottom="0.75" header="0.3" footer="0.3"/>
  <pageSetup paperSize="9" scale="73" orientation="portrait" blackAndWhite="1" r:id="rId1"/>
  <headerFooter>
    <oddHeader>&amp;L
Summary&amp;C
&amp;R
Lower Likhu Hydropower Project (28.1 MW)</oddHeader>
    <oddFooter>Page &amp;P of &amp;N</oddFooter>
  </headerFooter>
  <rowBreaks count="10" manualBreakCount="10">
    <brk id="66" max="16383" man="1"/>
    <brk id="130" max="16383" man="1"/>
    <brk id="194" max="16383" man="1"/>
    <brk id="258" max="16383" man="1"/>
    <brk id="322" max="16383" man="1"/>
    <brk id="386" max="16383" man="1"/>
    <brk id="450" max="16383" man="1"/>
    <brk id="514" max="16383" man="1"/>
    <brk id="578" max="16383" man="1"/>
    <brk id="642"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ecProp">
    <pageSetUpPr fitToPage="1"/>
  </sheetPr>
  <dimension ref="A1:AP97"/>
  <sheetViews>
    <sheetView showGridLines="0" zoomScale="75" zoomScaleNormal="75" zoomScalePageLayoutView="70" workbookViewId="0">
      <selection activeCell="A81" sqref="A81:XFD97"/>
    </sheetView>
  </sheetViews>
  <sheetFormatPr defaultRowHeight="14.25" x14ac:dyDescent="0.2"/>
  <cols>
    <col min="1" max="1" width="3.7109375" style="197" customWidth="1"/>
    <col min="2" max="6" width="3.28515625" style="197" customWidth="1"/>
    <col min="7" max="7" width="10.42578125" style="197" customWidth="1"/>
    <col min="8" max="8" width="11" style="197" customWidth="1"/>
    <col min="9" max="9" width="9.5703125" style="197" customWidth="1"/>
    <col min="10" max="10" width="9.28515625" style="197" customWidth="1"/>
    <col min="11" max="11" width="4.7109375" style="197" customWidth="1"/>
    <col min="12" max="15" width="3.28515625" style="197" customWidth="1"/>
    <col min="16" max="16" width="6.85546875" style="197" customWidth="1"/>
    <col min="17" max="17" width="32.7109375" style="197" customWidth="1"/>
    <col min="18" max="18" width="8.7109375" style="197" customWidth="1"/>
    <col min="19" max="19" width="18.5703125" style="197" customWidth="1"/>
    <col min="20" max="20" width="37.42578125" style="197" customWidth="1"/>
    <col min="21" max="21" width="8.7109375" style="197" customWidth="1"/>
    <col min="22" max="22" width="21.140625" style="197" bestFit="1" customWidth="1"/>
    <col min="23" max="23" width="21" style="197" bestFit="1" customWidth="1"/>
    <col min="24" max="24" width="3.28515625" style="197" customWidth="1"/>
    <col min="25" max="25" width="7.7109375" style="197" hidden="1" customWidth="1"/>
    <col min="26" max="26" width="18.7109375" style="197" hidden="1" customWidth="1"/>
    <col min="27" max="27" width="75.85546875" style="197" hidden="1" customWidth="1"/>
    <col min="28" max="28" width="7.7109375" style="197" hidden="1" customWidth="1"/>
    <col min="29" max="29" width="18.7109375" style="197" hidden="1" customWidth="1"/>
    <col min="30" max="30" width="57.28515625" style="197" hidden="1" customWidth="1"/>
    <col min="31" max="31" width="7.7109375" style="197" hidden="1" customWidth="1"/>
    <col min="32" max="32" width="18.7109375" style="197" hidden="1" customWidth="1"/>
    <col min="33" max="33" width="63.28515625" style="197" hidden="1" customWidth="1"/>
    <col min="34" max="34" width="7.7109375" style="197" hidden="1" customWidth="1"/>
    <col min="35" max="35" width="18.7109375" style="197" hidden="1" customWidth="1"/>
    <col min="36" max="36" width="49.28515625" style="197" hidden="1" customWidth="1"/>
    <col min="37" max="37" width="15.7109375" style="197" hidden="1" customWidth="1"/>
    <col min="38" max="38" width="9.140625" style="197" hidden="1" customWidth="1"/>
    <col min="39" max="39" width="32.7109375" style="197" hidden="1" customWidth="1"/>
    <col min="40" max="40" width="8.7109375" style="197" hidden="1" customWidth="1"/>
    <col min="41" max="41" width="19" style="197" hidden="1" customWidth="1"/>
    <col min="42" max="42" width="3.28515625" style="197" customWidth="1"/>
    <col min="43" max="44" width="9.140625" style="197" customWidth="1"/>
    <col min="45" max="16384" width="9.140625" style="197"/>
  </cols>
  <sheetData>
    <row r="1" spans="1:42" s="609" customFormat="1" ht="15" x14ac:dyDescent="0.25">
      <c r="A1" s="908" t="s">
        <v>69</v>
      </c>
      <c r="B1" s="909"/>
      <c r="C1" s="910"/>
      <c r="D1" s="910"/>
      <c r="E1" s="910"/>
      <c r="F1" s="910"/>
      <c r="G1" s="910"/>
      <c r="H1" s="910"/>
      <c r="I1" s="910"/>
      <c r="J1" s="910"/>
      <c r="K1" s="910"/>
      <c r="L1" s="910"/>
      <c r="M1" s="910"/>
      <c r="N1" s="910"/>
      <c r="O1" s="910"/>
      <c r="P1" s="910"/>
      <c r="Q1" s="910"/>
      <c r="R1" s="910"/>
      <c r="S1" s="910"/>
      <c r="T1" s="910"/>
      <c r="U1" s="910"/>
      <c r="V1" s="910"/>
      <c r="W1" s="911"/>
    </row>
    <row r="2" spans="1:42" ht="42" hidden="1" customHeight="1" x14ac:dyDescent="0.2">
      <c r="A2" s="1070" t="s">
        <v>275</v>
      </c>
      <c r="B2" s="1071"/>
      <c r="C2" s="1071"/>
      <c r="D2" s="1071"/>
      <c r="E2" s="1071"/>
      <c r="F2" s="1071"/>
      <c r="G2" s="1071"/>
      <c r="H2" s="1071"/>
      <c r="I2" s="1071"/>
      <c r="J2" s="1071"/>
      <c r="K2" s="1071"/>
      <c r="L2" s="1071"/>
      <c r="M2" s="1071"/>
      <c r="N2" s="1071"/>
      <c r="O2" s="1071"/>
      <c r="P2" s="1071"/>
      <c r="Q2" s="1071"/>
      <c r="R2" s="1071"/>
      <c r="S2" s="1071"/>
      <c r="T2" s="1071"/>
      <c r="U2" s="1071"/>
      <c r="V2" s="1071"/>
      <c r="W2" s="1071"/>
    </row>
    <row r="3" spans="1:42" ht="12.75" customHeight="1" x14ac:dyDescent="0.2">
      <c r="A3" s="249"/>
      <c r="B3" s="249"/>
      <c r="C3" s="249"/>
      <c r="D3" s="249"/>
      <c r="E3" s="249"/>
      <c r="F3" s="249"/>
      <c r="G3" s="249"/>
      <c r="H3" s="249"/>
      <c r="I3" s="249"/>
      <c r="J3" s="249"/>
      <c r="K3" s="249"/>
      <c r="L3" s="249"/>
      <c r="M3" s="249"/>
      <c r="N3" s="249"/>
      <c r="O3" s="249"/>
      <c r="P3" s="249"/>
      <c r="Q3" s="249"/>
      <c r="R3" s="249"/>
      <c r="S3" s="249"/>
      <c r="T3" s="249"/>
      <c r="U3" s="249"/>
      <c r="V3" s="249"/>
      <c r="W3" s="249"/>
    </row>
    <row r="4" spans="1:42" ht="12.75" customHeight="1" x14ac:dyDescent="0.2">
      <c r="A4" s="1057" t="s">
        <v>70</v>
      </c>
      <c r="B4" s="1058"/>
      <c r="C4" s="1058"/>
      <c r="D4" s="1058"/>
      <c r="E4" s="1058"/>
      <c r="F4" s="1058"/>
      <c r="G4" s="1058"/>
      <c r="H4" s="249"/>
      <c r="I4" s="1072" t="s">
        <v>669</v>
      </c>
      <c r="J4" s="1073"/>
      <c r="K4" s="1074"/>
      <c r="L4" s="249"/>
      <c r="M4" s="249"/>
      <c r="N4" s="249"/>
      <c r="O4" s="249"/>
      <c r="P4" s="249"/>
      <c r="Q4" s="257" t="s">
        <v>78</v>
      </c>
      <c r="R4" s="258" t="s">
        <v>276</v>
      </c>
      <c r="S4" s="915">
        <v>250</v>
      </c>
      <c r="T4" s="1075" t="s">
        <v>83</v>
      </c>
      <c r="U4" s="1076" t="s">
        <v>46</v>
      </c>
      <c r="V4" s="1077"/>
      <c r="W4" s="1078"/>
      <c r="Z4" s="259">
        <v>13</v>
      </c>
      <c r="AA4" s="260" t="s">
        <v>16</v>
      </c>
    </row>
    <row r="5" spans="1:42" ht="12.75" customHeight="1" x14ac:dyDescent="0.2">
      <c r="A5" s="1057" t="s">
        <v>71</v>
      </c>
      <c r="B5" s="1058"/>
      <c r="C5" s="1058"/>
      <c r="D5" s="1058"/>
      <c r="E5" s="1058"/>
      <c r="F5" s="1058"/>
      <c r="G5" s="1058"/>
      <c r="H5" s="258" t="s">
        <v>75</v>
      </c>
      <c r="I5" s="1082">
        <v>206000</v>
      </c>
      <c r="J5" s="1083"/>
      <c r="K5" s="1084"/>
      <c r="L5" s="249"/>
      <c r="M5" s="249"/>
      <c r="N5" s="249"/>
      <c r="O5" s="249"/>
      <c r="P5" s="261"/>
      <c r="Q5" s="257" t="s">
        <v>79</v>
      </c>
      <c r="R5" s="258" t="s">
        <v>277</v>
      </c>
      <c r="S5" s="915">
        <v>250</v>
      </c>
      <c r="T5" s="1075"/>
      <c r="U5" s="1079"/>
      <c r="V5" s="1080"/>
      <c r="W5" s="1081"/>
      <c r="Z5" s="259">
        <v>17</v>
      </c>
      <c r="AA5" s="260" t="s">
        <v>17</v>
      </c>
    </row>
    <row r="6" spans="1:42" ht="15" x14ac:dyDescent="0.25">
      <c r="A6" s="1057" t="s">
        <v>72</v>
      </c>
      <c r="B6" s="1058"/>
      <c r="C6" s="1058"/>
      <c r="D6" s="1058"/>
      <c r="E6" s="1058"/>
      <c r="F6" s="1058"/>
      <c r="G6" s="1058"/>
      <c r="H6" s="258" t="s">
        <v>76</v>
      </c>
      <c r="I6" s="1059">
        <f>0.1+Summary!D5</f>
        <v>3.6</v>
      </c>
      <c r="J6" s="1060"/>
      <c r="K6" s="1061"/>
      <c r="L6" s="249"/>
      <c r="M6" s="249"/>
      <c r="N6" s="249"/>
      <c r="O6" s="249"/>
      <c r="P6" s="249"/>
      <c r="Q6" s="257" t="s">
        <v>80</v>
      </c>
      <c r="R6" s="258" t="s">
        <v>278</v>
      </c>
      <c r="S6" s="916">
        <v>400</v>
      </c>
      <c r="T6" s="638" t="s">
        <v>987</v>
      </c>
      <c r="U6" s="1091" t="s">
        <v>989</v>
      </c>
      <c r="V6" s="1091"/>
      <c r="W6" s="1091"/>
    </row>
    <row r="7" spans="1:42" x14ac:dyDescent="0.2">
      <c r="A7" s="1057" t="s">
        <v>73</v>
      </c>
      <c r="B7" s="1058"/>
      <c r="C7" s="1058"/>
      <c r="D7" s="1058"/>
      <c r="E7" s="1058"/>
      <c r="F7" s="1058"/>
      <c r="G7" s="1058"/>
      <c r="H7" s="258" t="s">
        <v>77</v>
      </c>
      <c r="I7" s="1062">
        <v>0.75</v>
      </c>
      <c r="J7" s="1063"/>
      <c r="K7" s="1064"/>
      <c r="L7" s="249"/>
      <c r="M7" s="249"/>
      <c r="N7" s="249"/>
      <c r="O7" s="249"/>
      <c r="P7" s="249"/>
      <c r="Q7" s="262" t="s">
        <v>81</v>
      </c>
      <c r="R7" s="258" t="s">
        <v>279</v>
      </c>
      <c r="S7" s="263">
        <f>Stiffeners!Y17</f>
        <v>0.23100000000000009</v>
      </c>
      <c r="T7" s="264"/>
      <c r="U7" s="249"/>
      <c r="V7" s="265"/>
      <c r="W7" s="249"/>
    </row>
    <row r="8" spans="1:42" x14ac:dyDescent="0.2">
      <c r="A8" s="1057" t="s">
        <v>74</v>
      </c>
      <c r="B8" s="1058"/>
      <c r="C8" s="1058"/>
      <c r="D8" s="1058"/>
      <c r="E8" s="1058"/>
      <c r="F8" s="1058"/>
      <c r="G8" s="1058"/>
      <c r="H8" s="258" t="s">
        <v>280</v>
      </c>
      <c r="I8" s="1065">
        <v>1.67</v>
      </c>
      <c r="J8" s="1066"/>
      <c r="K8" s="1067"/>
      <c r="L8" s="249"/>
      <c r="M8" s="249"/>
      <c r="N8" s="249"/>
      <c r="O8" s="249"/>
      <c r="P8" s="249"/>
      <c r="Q8" s="262" t="s">
        <v>82</v>
      </c>
      <c r="R8" s="266" t="s">
        <v>231</v>
      </c>
      <c r="S8" s="263">
        <v>0.25</v>
      </c>
      <c r="T8" s="249"/>
      <c r="U8" s="249"/>
      <c r="V8" s="249"/>
      <c r="W8" s="249"/>
    </row>
    <row r="9" spans="1:42" x14ac:dyDescent="0.2">
      <c r="A9" s="249"/>
      <c r="B9" s="249"/>
      <c r="C9" s="249"/>
      <c r="D9" s="249"/>
      <c r="E9" s="249"/>
      <c r="F9" s="249"/>
      <c r="G9" s="249"/>
      <c r="H9" s="249"/>
      <c r="I9" s="249"/>
      <c r="J9" s="249"/>
      <c r="K9" s="249"/>
      <c r="L9" s="249"/>
      <c r="M9" s="249"/>
      <c r="N9" s="249"/>
      <c r="O9" s="249"/>
      <c r="P9" s="249"/>
      <c r="Q9" s="267"/>
      <c r="R9" s="249"/>
      <c r="S9" s="249"/>
      <c r="T9" s="249"/>
      <c r="U9" s="249"/>
      <c r="V9" s="249"/>
      <c r="W9" s="249"/>
    </row>
    <row r="10" spans="1:42" ht="12.75" customHeight="1" x14ac:dyDescent="0.2">
      <c r="A10" s="249"/>
      <c r="B10" s="268"/>
      <c r="C10" s="268"/>
      <c r="D10" s="268"/>
      <c r="E10" s="268"/>
      <c r="F10" s="268"/>
      <c r="G10" s="268"/>
      <c r="H10" s="268"/>
      <c r="I10" s="268"/>
      <c r="J10" s="268"/>
      <c r="K10" s="268"/>
      <c r="L10" s="268"/>
      <c r="M10" s="268"/>
      <c r="N10" s="268"/>
      <c r="O10" s="268"/>
      <c r="P10" s="268"/>
      <c r="Q10" s="1085" t="s">
        <v>84</v>
      </c>
      <c r="R10" s="1086"/>
      <c r="S10" s="1087"/>
      <c r="T10" s="1085" t="s">
        <v>281</v>
      </c>
      <c r="U10" s="1086"/>
      <c r="V10" s="1086"/>
      <c r="W10" s="1087"/>
    </row>
    <row r="11" spans="1:42" ht="12.75" customHeight="1" x14ac:dyDescent="0.2">
      <c r="A11" s="249"/>
      <c r="B11" s="268"/>
      <c r="C11" s="268"/>
      <c r="D11" s="268"/>
      <c r="E11" s="268"/>
      <c r="F11" s="268"/>
      <c r="G11" s="268"/>
      <c r="H11" s="268"/>
      <c r="I11" s="268"/>
      <c r="J11" s="268"/>
      <c r="K11" s="1069"/>
      <c r="L11" s="1069"/>
      <c r="M11" s="1069"/>
      <c r="N11" s="268"/>
      <c r="O11" s="268"/>
      <c r="P11" s="268"/>
      <c r="Q11" s="1088"/>
      <c r="R11" s="1089"/>
      <c r="S11" s="1090"/>
      <c r="T11" s="1088"/>
      <c r="U11" s="1089"/>
      <c r="V11" s="1089"/>
      <c r="W11" s="1090"/>
    </row>
    <row r="12" spans="1:42" x14ac:dyDescent="0.2">
      <c r="A12" s="249"/>
      <c r="B12" s="268"/>
      <c r="C12" s="268"/>
      <c r="D12" s="268"/>
      <c r="E12" s="268"/>
      <c r="F12" s="268"/>
      <c r="G12" s="268"/>
      <c r="H12" s="268"/>
      <c r="I12" s="269"/>
      <c r="J12" s="268"/>
      <c r="K12" s="270"/>
      <c r="L12" s="271"/>
      <c r="M12" s="272"/>
      <c r="N12" s="268"/>
      <c r="O12" s="268"/>
      <c r="P12" s="268"/>
      <c r="Q12" s="267"/>
      <c r="R12" s="249"/>
      <c r="S12" s="264"/>
      <c r="T12" s="249"/>
      <c r="U12" s="249"/>
      <c r="V12" s="249"/>
      <c r="W12" s="249"/>
      <c r="Z12" s="251"/>
    </row>
    <row r="13" spans="1:42" ht="12.75" customHeight="1" x14ac:dyDescent="0.2">
      <c r="A13" s="249"/>
      <c r="B13" s="268"/>
      <c r="C13" s="268"/>
      <c r="D13" s="268"/>
      <c r="E13" s="268"/>
      <c r="F13" s="268"/>
      <c r="G13" s="268"/>
      <c r="H13" s="268"/>
      <c r="I13" s="273">
        <v>1.2E-2</v>
      </c>
      <c r="J13" s="274"/>
      <c r="K13" s="270" t="s">
        <v>282</v>
      </c>
      <c r="L13" s="1068"/>
      <c r="M13" s="275" t="s">
        <v>283</v>
      </c>
      <c r="N13" s="276"/>
      <c r="O13" s="1045" t="s">
        <v>284</v>
      </c>
      <c r="P13" s="276"/>
      <c r="Q13" s="277"/>
      <c r="R13" s="278"/>
      <c r="S13" s="278"/>
      <c r="T13" s="279"/>
      <c r="U13" s="278"/>
      <c r="V13" s="278"/>
      <c r="W13" s="278"/>
      <c r="AM13" s="252"/>
      <c r="AN13" s="253"/>
      <c r="AO13" s="253"/>
    </row>
    <row r="14" spans="1:42" ht="15" x14ac:dyDescent="0.25">
      <c r="A14" s="249"/>
      <c r="B14" s="268"/>
      <c r="C14" s="268"/>
      <c r="D14" s="268"/>
      <c r="E14" s="268"/>
      <c r="F14" s="268"/>
      <c r="G14" s="274"/>
      <c r="H14" s="268"/>
      <c r="I14" s="269"/>
      <c r="J14" s="269"/>
      <c r="K14" s="269"/>
      <c r="L14" s="1055"/>
      <c r="M14" s="268"/>
      <c r="N14" s="268"/>
      <c r="O14" s="1056"/>
      <c r="P14" s="268"/>
      <c r="Q14" s="257" t="s">
        <v>85</v>
      </c>
      <c r="R14" s="258" t="s">
        <v>151</v>
      </c>
      <c r="S14" s="918">
        <f ca="1">S16*S17+N19*I16+H26*C19+B19*D15</f>
        <v>1.367875407254605E-2</v>
      </c>
      <c r="T14" s="257" t="s">
        <v>285</v>
      </c>
      <c r="U14" s="258" t="s">
        <v>117</v>
      </c>
      <c r="V14" s="280">
        <f ca="1">OFFSET(Stress!$AL$16,STrow*(H19-1),0)</f>
        <v>0.75071569431412888</v>
      </c>
      <c r="W14" s="281"/>
      <c r="Y14" s="282" t="s">
        <v>286</v>
      </c>
      <c r="Z14" s="283"/>
      <c r="AA14" s="284"/>
      <c r="AB14" s="282" t="s">
        <v>287</v>
      </c>
      <c r="AC14" s="283"/>
      <c r="AD14" s="284"/>
      <c r="AE14" s="282" t="s">
        <v>288</v>
      </c>
      <c r="AF14" s="283"/>
      <c r="AG14" s="284"/>
      <c r="AH14" s="282" t="s">
        <v>289</v>
      </c>
      <c r="AI14" s="283"/>
      <c r="AJ14" s="283"/>
      <c r="AM14" s="257" t="s">
        <v>85</v>
      </c>
      <c r="AN14" s="258" t="s">
        <v>151</v>
      </c>
      <c r="AO14" s="942">
        <f ca="1">S16*S17+N19*I16+AO21*C19+B19*D15</f>
        <v>1.3678743231540471E-2</v>
      </c>
    </row>
    <row r="15" spans="1:42" ht="12.75" customHeight="1" x14ac:dyDescent="0.2">
      <c r="A15" s="249"/>
      <c r="B15" s="268"/>
      <c r="C15" s="268"/>
      <c r="D15" s="1092">
        <f ca="1">OFFSET('Define Beam'!$G$11,DBrow*(H19-1),0)</f>
        <v>1.4199999999999999E-2</v>
      </c>
      <c r="E15" s="1092"/>
      <c r="F15" s="1092"/>
      <c r="G15" s="268"/>
      <c r="H15" s="268"/>
      <c r="I15" s="268"/>
      <c r="J15" s="269"/>
      <c r="K15" s="269"/>
      <c r="L15" s="1055"/>
      <c r="M15" s="268"/>
      <c r="N15" s="268"/>
      <c r="O15" s="1043">
        <f ca="1">OFFSET('Beam Spacing'!$C$20,BSrow*(H19-1),0)*OFFSET('Beam Spacing'!$J$20,BSrow*(H19-1),0)/IF(H19=1,1,2)</f>
        <v>0.27235597878985818</v>
      </c>
      <c r="P15" s="268"/>
      <c r="Q15" s="257" t="s">
        <v>86</v>
      </c>
      <c r="R15" s="286" t="s">
        <v>261</v>
      </c>
      <c r="S15" s="920">
        <f ca="1">MIN(OFFSET(Stiffeners!$D$13,VSrow*(H19-1),0),OFFSET(Stiffeners!$D$21,VSrow*(H19-1),0))</f>
        <v>0.3</v>
      </c>
      <c r="T15" s="257" t="s">
        <v>290</v>
      </c>
      <c r="U15" s="258" t="s">
        <v>291</v>
      </c>
      <c r="V15" s="288">
        <f ca="1">V14*Lse/8*(2*Lsup-Lse)/0.0254</f>
        <v>55.860341033610368</v>
      </c>
      <c r="W15" s="289"/>
      <c r="X15" s="290"/>
      <c r="Y15" s="258" t="s">
        <v>292</v>
      </c>
      <c r="Z15" s="291">
        <f ca="1">S23*(Fyb*1000)/1</f>
        <v>662.225631926696</v>
      </c>
      <c r="AA15" s="290" t="s">
        <v>293</v>
      </c>
      <c r="AB15" s="258" t="s">
        <v>294</v>
      </c>
      <c r="AC15" s="292">
        <f ca="1">IF(Loc="Upstream",S17*S16^3/12+I16*N19^3/12,D15*B19^3/12)</f>
        <v>2.1017849098881608E-4</v>
      </c>
      <c r="AD15" s="290" t="s">
        <v>295</v>
      </c>
      <c r="AE15" s="258" t="s">
        <v>296</v>
      </c>
      <c r="AF15" s="293">
        <f ca="1">MAX(MIN(4*SQRT(C19/H26),0.76),0.35)</f>
        <v>0.63481105427273843</v>
      </c>
      <c r="AG15" s="290" t="s">
        <v>297</v>
      </c>
      <c r="AH15" s="258" t="s">
        <v>298</v>
      </c>
      <c r="AI15" s="294">
        <f ca="1">S24*(Fyb*1000)/1</f>
        <v>229.21491057380055</v>
      </c>
      <c r="AJ15" s="290" t="s">
        <v>299</v>
      </c>
      <c r="AM15" s="257" t="s">
        <v>89</v>
      </c>
      <c r="AN15" s="258" t="s">
        <v>300</v>
      </c>
      <c r="AO15" s="942">
        <f ca="1">(S16*S17*(S17/2)^2+N19*I16*(I16/2+S17)^2+C19*AO21*(AO21/2+I16+S17)^2+B19*D15*(D15/2+AO21+I16+S17)^2)+(S16*S17^3/12+N19*I16^3/12+C19*AO21^3/12+B19*D15^3/12)-(S16*S17*(S17/2)+N19*I16*(I16/2+S17)+C19*AO21*(AO21/2+I16+S17)+B19*D15*(D15/2+AO21+I16+S17))^2/AO14</f>
        <v>2.4655927183385174E-4</v>
      </c>
      <c r="AP15" s="290"/>
    </row>
    <row r="16" spans="1:42" x14ac:dyDescent="0.2">
      <c r="A16" s="249"/>
      <c r="B16" s="268"/>
      <c r="C16" s="268"/>
      <c r="D16" s="270" t="s">
        <v>284</v>
      </c>
      <c r="E16" s="295"/>
      <c r="F16" s="272" t="s">
        <v>283</v>
      </c>
      <c r="G16" s="268"/>
      <c r="H16" s="268"/>
      <c r="I16" s="922">
        <f ca="1">OFFSET('Define Beam'!$K$11,DBrow*(H19-1),0)</f>
        <v>1.4199999999999999E-2</v>
      </c>
      <c r="J16" s="270" t="s">
        <v>284</v>
      </c>
      <c r="K16" s="297"/>
      <c r="L16" s="1055"/>
      <c r="M16" s="268"/>
      <c r="N16" s="268"/>
      <c r="O16" s="1044"/>
      <c r="P16" s="268"/>
      <c r="Q16" s="257" t="s">
        <v>87</v>
      </c>
      <c r="R16" s="286" t="s">
        <v>301</v>
      </c>
      <c r="S16" s="920">
        <f ca="1">(O15*I13+O24*I28)/S17</f>
        <v>0.5914828393788375</v>
      </c>
      <c r="T16" s="257" t="s">
        <v>228</v>
      </c>
      <c r="U16" s="258" t="s">
        <v>241</v>
      </c>
      <c r="V16" s="298">
        <f ca="1">V15*1/IF(Loc="Upstream",S23,S24)*0.001</f>
        <v>21.088107414042888</v>
      </c>
      <c r="W16" s="299">
        <f ca="1">S28/Sigb*GDF/IF(Loc="Upstream",S23,S24)*0.001</f>
        <v>50.614476198214369</v>
      </c>
      <c r="X16" s="290"/>
      <c r="Y16" s="258" t="s">
        <v>302</v>
      </c>
      <c r="Z16" s="300">
        <f ca="1">MIN(S27*(Fyb*1000)/1,1.6*Z15)</f>
        <v>298.53546570641089</v>
      </c>
      <c r="AA16" s="290" t="s">
        <v>303</v>
      </c>
      <c r="AB16" s="258" t="s">
        <v>304</v>
      </c>
      <c r="AC16" s="236">
        <f ca="1">D15/2+H26+I16/2+S17/2</f>
        <v>0.34179999999999999</v>
      </c>
      <c r="AD16" s="290" t="s">
        <v>305</v>
      </c>
      <c r="AE16" s="258" t="s">
        <v>921</v>
      </c>
      <c r="AF16" s="293">
        <f>0.38*SQRT(E/(Fyb))</f>
        <v>10.908052071749566</v>
      </c>
      <c r="AG16" s="290" t="s">
        <v>306</v>
      </c>
      <c r="AH16" s="258" t="s">
        <v>307</v>
      </c>
      <c r="AI16" s="301">
        <f ca="1">IF(Z21&gt;Z19,MIN(Z16/AI15-(Z16/AI15-1)*(Z21-Z19)/(Z20-Z19),Z16/AI15),Z16/AI15)</f>
        <v>1.3024260287390472</v>
      </c>
      <c r="AJ16" s="290" t="s">
        <v>308</v>
      </c>
      <c r="AM16" s="257" t="s">
        <v>91</v>
      </c>
      <c r="AN16" s="258" t="s">
        <v>202</v>
      </c>
      <c r="AO16" s="942">
        <f ca="1">D15+AO21+I16+S17</f>
        <v>0.36199866160424943</v>
      </c>
      <c r="AP16" s="290"/>
    </row>
    <row r="17" spans="1:42" ht="12.75" customHeight="1" x14ac:dyDescent="0.2">
      <c r="A17" s="249"/>
      <c r="B17" s="1045" t="s">
        <v>284</v>
      </c>
      <c r="C17" s="302"/>
      <c r="D17" s="302"/>
      <c r="E17" s="1047"/>
      <c r="F17" s="303"/>
      <c r="G17" s="268"/>
      <c r="H17" s="268"/>
      <c r="I17" s="268"/>
      <c r="J17" s="268"/>
      <c r="K17" s="1047"/>
      <c r="L17" s="1055"/>
      <c r="M17" s="302"/>
      <c r="N17" s="1045" t="s">
        <v>284</v>
      </c>
      <c r="O17" s="1044"/>
      <c r="P17" s="268"/>
      <c r="Q17" s="257" t="s">
        <v>88</v>
      </c>
      <c r="R17" s="286" t="s">
        <v>230</v>
      </c>
      <c r="S17" s="920">
        <f>AVERAGE(I13,I28)</f>
        <v>1.2E-2</v>
      </c>
      <c r="T17" s="257" t="s">
        <v>309</v>
      </c>
      <c r="U17" s="258" t="s">
        <v>242</v>
      </c>
      <c r="V17" s="298">
        <f ca="1">V15*1/IF(Loc="Upstream",S24,S23)*0.001</f>
        <v>60.925727839621672</v>
      </c>
      <c r="W17" s="299">
        <f ca="1">S28/Sigb*GDF/IF(Loc="Upstream",S24,S23)*0.001</f>
        <v>146.23046729854573</v>
      </c>
      <c r="X17" s="290"/>
      <c r="Y17" s="258" t="s">
        <v>310</v>
      </c>
      <c r="Z17" s="236">
        <f ca="1">IF(Loc="Upstream",S21-S17-I16,S21-D15)*2</f>
        <v>0.13376114854944365</v>
      </c>
      <c r="AA17" s="290" t="s">
        <v>311</v>
      </c>
      <c r="AB17" s="258" t="s">
        <v>312</v>
      </c>
      <c r="AC17" s="236">
        <f ca="1">Z23/SQRT(1*(AC16/S20+Z25/6*H26^2/AC16/S20))</f>
        <v>0.60559433687318742</v>
      </c>
      <c r="AD17" s="290" t="s">
        <v>313</v>
      </c>
      <c r="AE17" s="258" t="s">
        <v>922</v>
      </c>
      <c r="AF17" s="293">
        <f ca="1">0.95*SQRT(E*1000*AF15/AC20)</f>
        <v>30.727303448902397</v>
      </c>
      <c r="AG17" s="290" t="s">
        <v>314</v>
      </c>
      <c r="AH17" s="258" t="s">
        <v>315</v>
      </c>
      <c r="AI17" s="291">
        <f ca="1">AI16*AI15</f>
        <v>298.53546570641089</v>
      </c>
      <c r="AJ17" s="290" t="s">
        <v>316</v>
      </c>
      <c r="AM17" s="257" t="str">
        <f>IF(Loc&lt;&gt;"Upstream","CG to skinplate face","CG to back flange")</f>
        <v>CG to back flange</v>
      </c>
      <c r="AN17" s="258" t="s">
        <v>237</v>
      </c>
      <c r="AO17" s="942">
        <f ca="1">(S16*S17*(S17/2)+N19*I16*(I16/2+S17)+C19*AO21*(AO21/2+I16+S17)+B19*D15*(D15/2+AO21+I16+S17))/AO14</f>
        <v>9.3080177883173201E-2</v>
      </c>
      <c r="AP17" s="290"/>
    </row>
    <row r="18" spans="1:42" ht="12.75" customHeight="1" x14ac:dyDescent="0.2">
      <c r="A18" s="249"/>
      <c r="B18" s="1041"/>
      <c r="C18" s="269"/>
      <c r="D18" s="1050" t="s">
        <v>283</v>
      </c>
      <c r="E18" s="1048"/>
      <c r="F18" s="303"/>
      <c r="G18" s="268"/>
      <c r="H18" s="268"/>
      <c r="I18" s="268"/>
      <c r="J18" s="268"/>
      <c r="K18" s="1048"/>
      <c r="L18" s="1055"/>
      <c r="M18" s="268"/>
      <c r="N18" s="1041"/>
      <c r="O18" s="1044"/>
      <c r="P18" s="268"/>
      <c r="Q18" s="257" t="s">
        <v>89</v>
      </c>
      <c r="R18" s="258" t="s">
        <v>300</v>
      </c>
      <c r="S18" s="304">
        <f ca="1">(S16*S17*(S17/2)^2+N19*I16*(I16/2+S17)^2+C19*H26*(H26/2+I16+S17)^2+B19*D15*(D15/2+H26+I16+S17)^2)+(S16*S17^3/12+N19*I16^3/12+C19*H26^3/12+B19*D15^3/12)-(S16*S17*(S17/2)+N19*I16*(I16/2+S17)+C19*H26*(H26/2+I16+S17)+B19*D15*(D15/2+H26+I16+S17))^2/S14</f>
        <v>2.4656136847670972E-4</v>
      </c>
      <c r="T18" s="257" t="s">
        <v>317</v>
      </c>
      <c r="U18" s="258" t="s">
        <v>318</v>
      </c>
      <c r="V18" s="287">
        <f ca="1">(1/0.0254)*V14*Lse/384/(E*1000)/S18*(8*Lsup^3-4*Lse^2*Lsup+Lse^3)</f>
        <v>1.7404239431545914E-3</v>
      </c>
      <c r="W18" s="305"/>
      <c r="X18" s="290"/>
      <c r="Y18" s="258" t="s">
        <v>319</v>
      </c>
      <c r="Z18" s="236">
        <f ca="1">IF(Loc="Upstream",S26-S17-I16,H26+I16+S17-S26)*2</f>
        <v>-2.9273793858649925E-2</v>
      </c>
      <c r="AA18" s="290" t="s">
        <v>320</v>
      </c>
      <c r="AB18" s="258" t="s">
        <v>321</v>
      </c>
      <c r="AC18" s="236">
        <f ca="1">1.1*AC17*SQRT(E/(Fyb))</f>
        <v>19.122210571227143</v>
      </c>
      <c r="AD18" s="290" t="s">
        <v>322</v>
      </c>
      <c r="AE18" s="258" t="s">
        <v>323</v>
      </c>
      <c r="AF18" s="293">
        <f ca="1">Z23/2/Z24</f>
        <v>11.28784044616102</v>
      </c>
      <c r="AG18" s="290" t="s">
        <v>324</v>
      </c>
      <c r="AH18" s="258" t="s">
        <v>315</v>
      </c>
      <c r="AI18" s="291">
        <f ca="1">(Fyb*1000)*S24/1</f>
        <v>229.21491057380055</v>
      </c>
      <c r="AJ18" s="290" t="s">
        <v>325</v>
      </c>
      <c r="AM18" s="257" t="str">
        <f>IF(Loc="Upstream","CG to skinplate face","CG to back flange")</f>
        <v>CG to skinplate face</v>
      </c>
      <c r="AN18" s="258" t="s">
        <v>238</v>
      </c>
      <c r="AO18" s="942">
        <f ca="1">D15+AO21+I16+S17-AO17</f>
        <v>0.26891848372107624</v>
      </c>
      <c r="AP18" s="290"/>
    </row>
    <row r="19" spans="1:42" ht="12.75" customHeight="1" x14ac:dyDescent="0.25">
      <c r="A19" s="249"/>
      <c r="B19" s="1043">
        <f ca="1">OFFSET('Define Beam'!$F$11,DBrow*(H19-1),0)</f>
        <v>0.14000000000000001</v>
      </c>
      <c r="C19" s="1052">
        <f ca="1">OFFSET('Define Beam'!$H$11,DBrow*(H19-1),0)</f>
        <v>8.0999999999999996E-3</v>
      </c>
      <c r="D19" s="1050"/>
      <c r="E19" s="1048"/>
      <c r="F19" s="303"/>
      <c r="G19" s="306"/>
      <c r="H19" s="307">
        <f>(ROW()-SPref+11)/SProw</f>
        <v>1</v>
      </c>
      <c r="I19" s="268"/>
      <c r="J19" s="268"/>
      <c r="K19" s="1048"/>
      <c r="L19" s="1055"/>
      <c r="M19" s="268"/>
      <c r="N19" s="1043">
        <f ca="1">OFFSET('Define Beam'!$J$11,DBrow*(H19-1),0)</f>
        <v>0.14000000000000001</v>
      </c>
      <c r="O19" s="1046" t="s">
        <v>326</v>
      </c>
      <c r="P19" s="268"/>
      <c r="Q19" s="257" t="s">
        <v>90</v>
      </c>
      <c r="R19" s="258" t="s">
        <v>266</v>
      </c>
      <c r="S19" s="304">
        <f ca="1">S17*S16^3/12+I16*N19^3/12+H26*C19^3/12+D15*B19^3/12</f>
        <v>2.1343980027428274E-4</v>
      </c>
      <c r="T19" s="257" t="s">
        <v>327</v>
      </c>
      <c r="U19" s="258"/>
      <c r="V19" s="308">
        <f ca="1">Lsup/V18</f>
        <v>2240.8333414047879</v>
      </c>
      <c r="W19" s="309">
        <v>800</v>
      </c>
      <c r="X19" s="290"/>
      <c r="Y19" s="258" t="s">
        <v>923</v>
      </c>
      <c r="Z19" s="293">
        <f ca="1">MIN(IF(Z18&gt;0,Z17/Z18/(0.54*Z16/Z15-0.09)^2,5.7),5.7)*SQRT(E/(Fyb))</f>
        <v>163.6207810762435</v>
      </c>
      <c r="AA19" s="290" t="s">
        <v>328</v>
      </c>
      <c r="AB19" s="258" t="s">
        <v>329</v>
      </c>
      <c r="AC19" s="310">
        <f ca="1">PI()^2*E*1000/(S15/AC17)^2*SQRT(1+0.078*IF(AC15/S19&gt;0.23,S25,0)/S23/AC16*(S15/AC17)^2)</f>
        <v>8284973417.0370903</v>
      </c>
      <c r="AD19" s="290" t="s">
        <v>330</v>
      </c>
      <c r="AE19" s="258" t="s">
        <v>331</v>
      </c>
      <c r="AF19" s="291">
        <f ca="1">IF(AF18&gt;AF17,0.9*E*1000*AF15*S23/AF18^2/1,Z22*Z15-(Z22*Z15-AC20*S23/1)*(AF18-AF16)/(AF17-AF16))</f>
        <v>299.15973241867317</v>
      </c>
      <c r="AG19" s="290" t="s">
        <v>908</v>
      </c>
      <c r="AH19" s="258" t="s">
        <v>315</v>
      </c>
      <c r="AI19" s="291">
        <f ca="1">IF(S24&lt;S23,IF(Z21&gt;Z20,AI18,AI17),Z27)</f>
        <v>298.53546570641089</v>
      </c>
      <c r="AJ19" s="290" t="s">
        <v>95</v>
      </c>
      <c r="AM19" s="257" t="str">
        <f>IF(Loc&lt;&gt;"Upstream","Section modulus at skinplate face","Section modulus at back flange")</f>
        <v>Section modulus at back flange</v>
      </c>
      <c r="AN19" s="258" t="s">
        <v>239</v>
      </c>
      <c r="AO19" s="942">
        <f ca="1">AO15/AO17</f>
        <v>2.6488912832043922E-3</v>
      </c>
      <c r="AP19" s="290"/>
    </row>
    <row r="20" spans="1:42" x14ac:dyDescent="0.2">
      <c r="A20" s="249"/>
      <c r="B20" s="1043"/>
      <c r="C20" s="1052"/>
      <c r="D20" s="1051"/>
      <c r="E20" s="1048"/>
      <c r="F20" s="303"/>
      <c r="G20" s="268"/>
      <c r="H20" s="268"/>
      <c r="I20" s="268"/>
      <c r="J20" s="268"/>
      <c r="K20" s="1048"/>
      <c r="L20" s="1055"/>
      <c r="M20" s="268"/>
      <c r="N20" s="1043"/>
      <c r="O20" s="1044"/>
      <c r="P20" s="268"/>
      <c r="Q20" s="257" t="s">
        <v>91</v>
      </c>
      <c r="R20" s="258" t="s">
        <v>202</v>
      </c>
      <c r="S20" s="920">
        <f ca="1">D15+H26+I16+S17</f>
        <v>0.36199999999999999</v>
      </c>
      <c r="T20" s="257" t="s">
        <v>332</v>
      </c>
      <c r="U20" s="258" t="s">
        <v>126</v>
      </c>
      <c r="V20" s="312">
        <f ca="1">DEGREES(V14*Lse/48/(E*1000)/S18*(3*Lsup^2-Lse^2)/0.0254)</f>
        <v>8.1692569581985425E-2</v>
      </c>
      <c r="W20" s="313"/>
      <c r="X20" s="290"/>
      <c r="Y20" s="258" t="s">
        <v>924</v>
      </c>
      <c r="Z20" s="293">
        <f>5.7*SQRT(E/(Fyb))</f>
        <v>163.6207810762435</v>
      </c>
      <c r="AA20" s="290" t="s">
        <v>333</v>
      </c>
      <c r="AB20" s="258" t="s">
        <v>334</v>
      </c>
      <c r="AC20" s="310">
        <f ca="1">IF(S24/S23&lt;0.7,MAX((Fyb*1000)*S24/S23,0.5*(Fyb*1000)),0.7*(Fyb*1000))</f>
        <v>125000</v>
      </c>
      <c r="AD20" s="290" t="s">
        <v>335</v>
      </c>
      <c r="AE20" s="258" t="s">
        <v>329</v>
      </c>
      <c r="AF20" s="310">
        <f ca="1">IF(AF18&lt;AF17,(1-0.3*(AF18-AF16)/(AF17-AF16))*(Fyb*1000),0.9*E*1000*AF15/AF18^2)</f>
        <v>248562.80504551777</v>
      </c>
      <c r="AG20" s="290" t="s">
        <v>336</v>
      </c>
      <c r="AM20" s="257" t="str">
        <f>IF(Loc="Upstream","Section modulus at skinplate face","Section modulus at back flange")</f>
        <v>Section modulus at skinplate face</v>
      </c>
      <c r="AN20" s="258" t="s">
        <v>240</v>
      </c>
      <c r="AO20" s="944">
        <f ca="1">AO15/AO18</f>
        <v>9.1685505742172932E-4</v>
      </c>
      <c r="AP20" s="290"/>
    </row>
    <row r="21" spans="1:42" x14ac:dyDescent="0.2">
      <c r="A21" s="249"/>
      <c r="B21" s="1043"/>
      <c r="C21" s="1052"/>
      <c r="D21" s="314"/>
      <c r="E21" s="1048"/>
      <c r="F21" s="315"/>
      <c r="G21" s="316"/>
      <c r="H21" s="316"/>
      <c r="I21" s="316"/>
      <c r="J21" s="317"/>
      <c r="K21" s="1048"/>
      <c r="L21" s="318" t="s">
        <v>96</v>
      </c>
      <c r="M21" s="268"/>
      <c r="N21" s="1043"/>
      <c r="O21" s="1044"/>
      <c r="P21" s="268"/>
      <c r="Q21" s="257" t="str">
        <f>IF(Loc="Upstream","CG to skinplate face","CG to back flange")</f>
        <v>CG to skinplate face</v>
      </c>
      <c r="R21" s="258" t="s">
        <v>337</v>
      </c>
      <c r="S21" s="920">
        <f ca="1">IF(Loc="Upstream",(S16*S17*(S17/2)+N19*I16*(I16/2+S17)+C19*H26*(H26/2+I16+S17)+B19*D15*(D15/2+H26+I16+S17))/S14,D15+H26+I16+S17-S22)</f>
        <v>9.3080574274721828E-2</v>
      </c>
      <c r="T21" s="257" t="str">
        <f ca="1">IF(I16=0,"Weld size - skinplate to web","Weld size - skinplate to front flange")</f>
        <v>Weld size - skinplate to front flange</v>
      </c>
      <c r="U21" s="258"/>
      <c r="V21" s="287">
        <f ca="1">(ROUNDUP((V14*Lse/2*S17*(O24+O15)*(S22-S17/2)/2/S18/(GDF*0.3*Fyw*1000/SQRT(2)))*16,0)/16)*0.0254</f>
        <v>1.5874999999999999E-3</v>
      </c>
      <c r="W21" s="319"/>
      <c r="X21" s="290"/>
      <c r="Y21" s="258" t="s">
        <v>925</v>
      </c>
      <c r="Z21" s="293">
        <f ca="1">Z17/C19</f>
        <v>16.513722043141193</v>
      </c>
      <c r="AA21" s="290" t="s">
        <v>338</v>
      </c>
      <c r="AB21" s="258" t="s">
        <v>208</v>
      </c>
      <c r="AC21" s="236">
        <f ca="1">1.95*AC17*E*1000/AC20*SQRT(S25/S23/AC16)*SQRT(1+SQRT(1+6.76*(AC20/(E*1000)*S23*AC16/S25)^2))</f>
        <v>96.811292446243201</v>
      </c>
      <c r="AD21" s="290" t="s">
        <v>339</v>
      </c>
      <c r="AE21" s="258" t="s">
        <v>331</v>
      </c>
      <c r="AF21" s="291">
        <f ca="1">Z26*AF20*S23/1</f>
        <v>658.41864257896054</v>
      </c>
      <c r="AG21" s="290" t="s">
        <v>340</v>
      </c>
      <c r="AM21" s="257" t="s">
        <v>341</v>
      </c>
      <c r="AN21" s="286" t="s">
        <v>342</v>
      </c>
      <c r="AO21" s="943">
        <f ca="1">MIN((H26-dweb)*V25/tap+dweb,H26)</f>
        <v>0.32159866160424944</v>
      </c>
      <c r="AP21" s="290"/>
    </row>
    <row r="22" spans="1:42" ht="12.75" customHeight="1" x14ac:dyDescent="0.2">
      <c r="A22" s="249"/>
      <c r="B22" s="1043"/>
      <c r="C22" s="1052"/>
      <c r="D22" s="1053" t="s">
        <v>284</v>
      </c>
      <c r="E22" s="1048"/>
      <c r="F22" s="303"/>
      <c r="G22" s="268"/>
      <c r="H22" s="268"/>
      <c r="I22" s="268"/>
      <c r="J22" s="268"/>
      <c r="K22" s="1048"/>
      <c r="L22" s="1055"/>
      <c r="M22" s="268"/>
      <c r="N22" s="1043"/>
      <c r="O22" s="1044"/>
      <c r="P22" s="268"/>
      <c r="Q22" s="257" t="str">
        <f>IF(Loc&lt;&gt;"Upstream","CG to skinplate face","CG to back flange")</f>
        <v>CG to back flange</v>
      </c>
      <c r="R22" s="258" t="s">
        <v>343</v>
      </c>
      <c r="S22" s="920">
        <f ca="1">IF(Loc&lt;&gt;"Upstream",(S16*S17*(S17/2)+N19*I16*(I16/2+S17)+C19*H26*(H26/2+I16+S17)+B19*D15*(D15/2+H26+I16+S17))/S14,D15+H26+I16+S17-S21)</f>
        <v>0.26891942572527816</v>
      </c>
      <c r="T22" s="257" t="s">
        <v>344</v>
      </c>
      <c r="U22" s="258"/>
      <c r="V22" s="320" t="str">
        <f ca="1">IF(I16=0,"NA",IF(OFFSET('Define Beam'!$D$11,(H19-1)*DBrow,0)="Fabricated Shape",ROUNDUP((V14*Lse/2*(S17*(O24+O15)+I16*N19)*(S22-(((O15+O24)*S17*S17/2+I16*N19*(I16/2+S17))/((O15+O24)*S17+I16*N19)))/2/S18/(GDF*0.3*Fyw*1000/SQRT(2)))*16,0)/16,"NA"))</f>
        <v>NA</v>
      </c>
      <c r="W22" s="321"/>
      <c r="X22" s="290"/>
      <c r="Y22" s="258" t="s">
        <v>345</v>
      </c>
      <c r="Z22" s="301">
        <f ca="1">IF(Z21&gt;Z19,Z16/Z15-(Z16/Z15-1)*(Z21-Z19)/(Z20-Z19),Z16/Z15)</f>
        <v>0.45080626800542928</v>
      </c>
      <c r="AA22" s="290" t="s">
        <v>346</v>
      </c>
      <c r="AB22" s="258" t="s">
        <v>347</v>
      </c>
      <c r="AC22" s="291">
        <f ca="1">MIN(IF(S15&gt;AC21,AC19*S23/1,Z22*Z15-(Z22*Z15-AC20*S23/1)*(S15-AC18)/(AC21-AC18)),Z22*Z15)</f>
        <v>290.64275116287757</v>
      </c>
      <c r="AD22" s="290" t="s">
        <v>348</v>
      </c>
      <c r="AE22" s="258" t="s">
        <v>331</v>
      </c>
      <c r="AF22" s="291">
        <f ca="1">IF(AF18&lt;AF16,Z27,IF(Z21&gt;Z20,AF21,AF19))</f>
        <v>299.15973241867317</v>
      </c>
      <c r="AG22" s="290" t="s">
        <v>95</v>
      </c>
      <c r="AM22" s="257"/>
      <c r="AN22" s="286"/>
      <c r="AP22" s="290"/>
    </row>
    <row r="23" spans="1:42" x14ac:dyDescent="0.2">
      <c r="A23" s="249"/>
      <c r="B23" s="1043"/>
      <c r="C23" s="1052"/>
      <c r="D23" s="1054"/>
      <c r="E23" s="1048"/>
      <c r="F23" s="303"/>
      <c r="G23" s="268"/>
      <c r="H23" s="268"/>
      <c r="I23" s="268"/>
      <c r="J23" s="268"/>
      <c r="K23" s="1048"/>
      <c r="L23" s="1055"/>
      <c r="M23" s="268"/>
      <c r="N23" s="1043"/>
      <c r="O23" s="1044"/>
      <c r="P23" s="268"/>
      <c r="Q23" s="257" t="str">
        <f>IF(Loc="Upstream","Section modulus at skinplate face","Section modulus at back flange")</f>
        <v>Section modulus at skinplate face</v>
      </c>
      <c r="R23" s="258" t="s">
        <v>349</v>
      </c>
      <c r="S23" s="921">
        <f ca="1">S18/S21</f>
        <v>2.6489025277067839E-3</v>
      </c>
      <c r="T23" s="257" t="s">
        <v>350</v>
      </c>
      <c r="U23" s="258"/>
      <c r="V23" s="320" t="str">
        <f ca="1">IF(OFFSET('Define Beam'!$D$11,(H19-1)*DBrow,0)="Fabricated Shape",ROUNDUP((V14*Lse/2*(D15*B19)*(S21-D15/2)/2/S18/(GDF*0.3*Fyw*1000/SQRT(2)))*16,0)/16,"NA")</f>
        <v>NA</v>
      </c>
      <c r="W23" s="321"/>
      <c r="X23" s="290"/>
      <c r="Y23" s="258" t="s">
        <v>351</v>
      </c>
      <c r="Z23" s="236">
        <f ca="1">IF(Loc="Upstream",S16,B19)</f>
        <v>0.5914828393788375</v>
      </c>
      <c r="AA23" s="290" t="s">
        <v>352</v>
      </c>
      <c r="AB23" s="258" t="s">
        <v>208</v>
      </c>
      <c r="AC23" s="236">
        <f ca="1">PI()*AC17*SQRT(E/(Fyb)/0.7)</f>
        <v>65.27490731083769</v>
      </c>
      <c r="AD23" s="290" t="s">
        <v>353</v>
      </c>
      <c r="AK23" s="255">
        <f ca="1">V20</f>
        <v>8.1692569581985425E-2</v>
      </c>
      <c r="AP23" s="290"/>
    </row>
    <row r="24" spans="1:42" ht="12.75" customHeight="1" x14ac:dyDescent="0.2">
      <c r="A24" s="249"/>
      <c r="B24" s="1041" t="s">
        <v>283</v>
      </c>
      <c r="C24" s="322"/>
      <c r="D24" s="1054"/>
      <c r="E24" s="1048"/>
      <c r="F24" s="303"/>
      <c r="G24" s="268"/>
      <c r="H24" s="268"/>
      <c r="I24" s="268"/>
      <c r="J24" s="268"/>
      <c r="K24" s="1048"/>
      <c r="L24" s="1055"/>
      <c r="M24" s="268"/>
      <c r="N24" s="1041" t="s">
        <v>283</v>
      </c>
      <c r="O24" s="1043">
        <f ca="1">OFFSET('Beam Spacing'!$C$23,BSrow*(H19-1),0)*OFFSET('Beam Spacing'!$J$23,BSrow*(H19-1),0)/IF(H19=N,1,2)</f>
        <v>0.31912686058897927</v>
      </c>
      <c r="P24" s="268"/>
      <c r="Q24" s="257" t="str">
        <f>IF(Loc&lt;&gt;"Upstream","Section modulus at skinplate face","Section modulus at back flange")</f>
        <v>Section modulus at back flange</v>
      </c>
      <c r="R24" s="258" t="s">
        <v>354</v>
      </c>
      <c r="S24" s="921">
        <f ca="1">S18/S22</f>
        <v>9.1685964229520217E-4</v>
      </c>
      <c r="T24" s="262" t="s">
        <v>355</v>
      </c>
      <c r="U24" s="258" t="s">
        <v>356</v>
      </c>
      <c r="V24" s="298">
        <f ca="1">V14*Lse/2/(S17+I16+D15+dweb)/C19/1000/0.0254</f>
        <v>22.616877867018101</v>
      </c>
      <c r="W24" s="299">
        <f>0.4*GDF*(Fyb)</f>
        <v>75.000000000000014</v>
      </c>
      <c r="Y24" s="258" t="s">
        <v>357</v>
      </c>
      <c r="Z24" s="236">
        <f ca="1">IF(Loc="Upstream",S17+I16,D15)</f>
        <v>2.6200000000000001E-2</v>
      </c>
      <c r="AA24" s="290" t="s">
        <v>358</v>
      </c>
      <c r="AB24" s="258" t="s">
        <v>329</v>
      </c>
      <c r="AC24" s="310">
        <f ca="1">IF(S15&gt;AC23,MIN(PI()^2*E*1000*(AC17/S15)^2,(Fyb*1000)),MIN(1-0.3*(S15-AC18)/(AC23-AC18),1)*(Fyb*1000))</f>
        <v>250000</v>
      </c>
      <c r="AD24" s="290" t="s">
        <v>359</v>
      </c>
      <c r="AN24" s="258"/>
    </row>
    <row r="25" spans="1:42" x14ac:dyDescent="0.2">
      <c r="A25" s="249"/>
      <c r="B25" s="1042"/>
      <c r="C25" s="323"/>
      <c r="D25" s="323"/>
      <c r="E25" s="1049"/>
      <c r="F25" s="303"/>
      <c r="G25" s="268"/>
      <c r="H25" s="268"/>
      <c r="I25" s="268"/>
      <c r="J25" s="268"/>
      <c r="K25" s="1049"/>
      <c r="L25" s="1055"/>
      <c r="M25" s="323"/>
      <c r="N25" s="1042"/>
      <c r="O25" s="1044"/>
      <c r="P25" s="268"/>
      <c r="Q25" s="257" t="s">
        <v>92</v>
      </c>
      <c r="R25" s="258" t="s">
        <v>264</v>
      </c>
      <c r="S25" s="324">
        <f ca="1">S16*S17^3/3+N19*I16^3/3+H26*C19^3/3+B19*D15^3/3</f>
        <v>6.6490480401554373E-7</v>
      </c>
      <c r="T25" s="262" t="s">
        <v>360</v>
      </c>
      <c r="U25" s="258"/>
      <c r="V25" s="287">
        <v>0.23099568199136353</v>
      </c>
      <c r="W25" s="249"/>
      <c r="Y25" s="258" t="s">
        <v>361</v>
      </c>
      <c r="Z25" s="293">
        <f ca="1">MIN(Z17*C19/Z23/Z24,10)</f>
        <v>6.9915194111250106E-2</v>
      </c>
      <c r="AA25" s="290" t="s">
        <v>362</v>
      </c>
      <c r="AB25" s="258" t="s">
        <v>347</v>
      </c>
      <c r="AC25" s="291">
        <f ca="1">Z26*AC24*S23/1</f>
        <v>662.225631926696</v>
      </c>
      <c r="AD25" s="290" t="s">
        <v>363</v>
      </c>
      <c r="AM25" s="257"/>
      <c r="AO25" s="258"/>
    </row>
    <row r="26" spans="1:42" x14ac:dyDescent="0.2">
      <c r="A26" s="249"/>
      <c r="B26" s="268"/>
      <c r="C26" s="268"/>
      <c r="D26" s="268"/>
      <c r="E26" s="268"/>
      <c r="F26" s="325" t="s">
        <v>364</v>
      </c>
      <c r="G26" s="268"/>
      <c r="H26" s="922">
        <f ca="1">OFFSET('Define Beam'!$I$11,DBrow*(H19-1),0)</f>
        <v>0.3216</v>
      </c>
      <c r="I26" s="268"/>
      <c r="J26" s="326" t="s">
        <v>365</v>
      </c>
      <c r="K26" s="297"/>
      <c r="L26" s="1055"/>
      <c r="M26" s="268"/>
      <c r="N26" s="268"/>
      <c r="O26" s="1044"/>
      <c r="P26" s="268"/>
      <c r="Q26" s="257" t="s">
        <v>93</v>
      </c>
      <c r="R26" s="258" t="s">
        <v>366</v>
      </c>
      <c r="S26" s="919">
        <f ca="1">IF(IF(S16*S17&gt;S14/2,1,0)=1,S17-(S16*S17-S14/2)/(S16*S17)*S17,0)+IF(IF((N19*I16+S16*S17&gt;S14/2)*AND(S16*S17&lt;S14/2),1,0)=1,I16+S17-(N19*I16+S16*S17-S14/2)/(N19*I16)*I16,0)+IF(IF((C19*H26+N19*I16+S16*S17&gt;S14/2)*AND(N19*I16+S16*S17&lt;S14/2),1,0)=1,(H26+I16+S17)-((C19*H26+N19*I16+S16*S17)-S14/2)/(C19*H26)*H26,0)+IF(IF(C19*H26+N19*I16+S16*S17&lt;S14/2,1,0)=1,(D15+H26+I16+S17-S14/2)/(B19*D15)*D15,0)</f>
        <v>1.1563103070675037E-2</v>
      </c>
      <c r="T26" s="262" t="s">
        <v>367</v>
      </c>
      <c r="U26" s="258" t="s">
        <v>368</v>
      </c>
      <c r="V26" s="288">
        <f ca="1">IF(tap=0,0,IF(V25&lt;(Lsup-Lse)/2,V25*V14*Lse/2,V25*V14*Lse/2-V14/2*(V25-(Lsup-Lse)/2)^2)/1)/0.0254</f>
        <v>12.192098053095702</v>
      </c>
      <c r="W26" s="249"/>
      <c r="Y26" s="258" t="s">
        <v>369</v>
      </c>
      <c r="Z26" s="301">
        <f ca="1">MIN(1-Z25/(100+300*Z25)*(Z17/C19-5.7*SQRT(E/(Fyb))),1)</f>
        <v>1</v>
      </c>
      <c r="AA26" s="290" t="s">
        <v>370</v>
      </c>
      <c r="AB26" s="258" t="s">
        <v>347</v>
      </c>
      <c r="AC26" s="291">
        <f ca="1">IF(S15&lt;AC18,Z27,IF(Z21&gt;Z20,AC25,AC22))</f>
        <v>298.53546570641089</v>
      </c>
      <c r="AD26" s="290" t="s">
        <v>95</v>
      </c>
      <c r="AM26" s="257"/>
      <c r="AO26" s="258"/>
    </row>
    <row r="27" spans="1:42" x14ac:dyDescent="0.2">
      <c r="A27" s="249"/>
      <c r="B27" s="327"/>
      <c r="C27" s="268"/>
      <c r="D27" s="268"/>
      <c r="E27" s="268"/>
      <c r="F27" s="268"/>
      <c r="G27" s="268"/>
      <c r="H27" s="268"/>
      <c r="I27" s="268"/>
      <c r="J27" s="268"/>
      <c r="K27" s="268"/>
      <c r="L27" s="1055"/>
      <c r="M27" s="268"/>
      <c r="N27" s="268"/>
      <c r="O27" s="1044"/>
      <c r="P27" s="268"/>
      <c r="Q27" s="257" t="s">
        <v>94</v>
      </c>
      <c r="R27" s="258" t="s">
        <v>371</v>
      </c>
      <c r="S27" s="921">
        <f ca="1">S16*S17*ABS(S17/2-S26)*(1-IF(S16*S17&gt;S14/2,1,0))+IF(S16*S17&gt;S14/2,1,0)*S16/2*((S17-S26)^2+S26^2)+N19*I16*ABS(((I16+S17)+S17)/2-S26)*(1-IF((N19*I16+S16*S17&gt;S14/2)*AND(S16*S17&lt;S14/2),1,0))+IF((N19*I16+S16*S17&gt;S14/2)*AND(S16*S17&lt;S14/2),1,0)*N19/2*((I16+S17-S26)^2+(S26-S17)^2)+C19*H26*ABS((H26+I16+S17+I16+S17)/2-S26)*(1-IF((C19*H26+N19*I16+S16*S17&gt;S14/2)*AND(N19*I16+S16*S17&lt;S14/2),1,0))+IF((C19*H26+N19*I16+S16*S17&gt;S14/2)*AND(N19*I16+S16*S17&lt;S14/2),1,0)*C19/2*((H26+I16+S17-S26)^2+(S26-(I16+S17))^2)+B19*D15*ABS(((D15+H26+I16+S17)+(H26+I16+S17))/2-S26)*(1-IF((S14&gt;S14/2)*AND(C19*H26+N19*I16+S16*S17&lt;S14/2),1,0))+IF((S14&gt;S14/2)*AND(C19*H26+N19*I16+S16*S17&lt;S14/2),1,0)*B19/2*(((D15+H26+I16+S17)-S26)^2+(S26-(H26+I16+S17))^2)</f>
        <v>1.1941418628256435E-3</v>
      </c>
      <c r="T27" s="262" t="s">
        <v>372</v>
      </c>
      <c r="U27" s="258" t="s">
        <v>373</v>
      </c>
      <c r="V27" s="298">
        <f ca="1">IF(tap=0,0,V26*1/AO19)*0.001</f>
        <v>4.6027174200772745</v>
      </c>
      <c r="W27" s="299">
        <f ca="1">V16</f>
        <v>21.088107414042888</v>
      </c>
      <c r="Y27" s="258" t="s">
        <v>374</v>
      </c>
      <c r="Z27" s="291">
        <f ca="1">IF(Z21&gt;Z20,Z26,Z22)*Z15</f>
        <v>298.53546570641089</v>
      </c>
      <c r="AA27" s="290" t="s">
        <v>375</v>
      </c>
      <c r="AM27" s="257"/>
      <c r="AO27" s="258"/>
    </row>
    <row r="28" spans="1:42" ht="12.75" customHeight="1" x14ac:dyDescent="0.2">
      <c r="A28" s="249"/>
      <c r="B28" s="327"/>
      <c r="C28" s="268"/>
      <c r="D28" s="268"/>
      <c r="E28" s="268"/>
      <c r="F28" s="268"/>
      <c r="G28" s="268"/>
      <c r="H28" s="268"/>
      <c r="I28" s="273">
        <f>I13</f>
        <v>1.2E-2</v>
      </c>
      <c r="J28" s="274"/>
      <c r="K28" s="270" t="s">
        <v>282</v>
      </c>
      <c r="L28" s="1055"/>
      <c r="M28" s="272" t="s">
        <v>283</v>
      </c>
      <c r="N28" s="268"/>
      <c r="O28" s="1041" t="s">
        <v>283</v>
      </c>
      <c r="P28" s="268"/>
      <c r="Q28" s="257" t="s">
        <v>95</v>
      </c>
      <c r="R28" s="258" t="s">
        <v>273</v>
      </c>
      <c r="S28" s="288">
        <f ca="1">MIN(Z27,AC26,AF22,AI19)*1</f>
        <v>298.53546570641089</v>
      </c>
      <c r="T28" s="262" t="s">
        <v>376</v>
      </c>
      <c r="U28" s="258" t="s">
        <v>377</v>
      </c>
      <c r="V28" s="298">
        <f ca="1">IF(tap=0,0,V26*1/AO20)*0.001</f>
        <v>13.297737689729136</v>
      </c>
      <c r="W28" s="299">
        <f ca="1">V17</f>
        <v>60.925727839621672</v>
      </c>
      <c r="AM28" s="257"/>
      <c r="AN28" s="258"/>
    </row>
    <row r="29" spans="1:42" x14ac:dyDescent="0.2">
      <c r="A29" s="249"/>
      <c r="B29" s="327"/>
      <c r="C29" s="268"/>
      <c r="D29" s="268"/>
      <c r="E29" s="268"/>
      <c r="F29" s="268"/>
      <c r="G29" s="268"/>
      <c r="H29" s="268"/>
      <c r="I29" s="268"/>
      <c r="J29" s="268"/>
      <c r="K29" s="268"/>
      <c r="L29" s="1055"/>
      <c r="M29" s="328"/>
      <c r="N29" s="328"/>
      <c r="O29" s="1093"/>
      <c r="P29" s="268"/>
      <c r="Q29" s="262"/>
      <c r="R29" s="249"/>
      <c r="S29" s="249"/>
      <c r="T29" s="262"/>
      <c r="U29" s="249"/>
      <c r="V29" s="249"/>
      <c r="W29" s="249"/>
      <c r="AM29" s="256"/>
    </row>
    <row r="30" spans="1:42" ht="12.75" customHeight="1" x14ac:dyDescent="0.2">
      <c r="A30" s="249"/>
      <c r="B30" s="268"/>
      <c r="C30" s="268"/>
      <c r="D30" s="268"/>
      <c r="E30" s="268"/>
      <c r="F30" s="268"/>
      <c r="G30" s="268"/>
      <c r="H30" s="268"/>
      <c r="I30" s="268"/>
      <c r="J30" s="268"/>
      <c r="K30" s="268"/>
      <c r="L30" s="1055"/>
      <c r="M30" s="268"/>
      <c r="N30" s="276"/>
      <c r="O30" s="1045" t="s">
        <v>284</v>
      </c>
      <c r="P30" s="276"/>
      <c r="Q30" s="277"/>
      <c r="R30" s="278"/>
      <c r="S30" s="278"/>
      <c r="T30" s="279"/>
      <c r="U30" s="278"/>
      <c r="V30" s="278"/>
      <c r="W30" s="278"/>
      <c r="AM30" s="252"/>
      <c r="AN30" s="253"/>
      <c r="AO30" s="253"/>
    </row>
    <row r="31" spans="1:42" ht="15" x14ac:dyDescent="0.25">
      <c r="A31" s="249"/>
      <c r="B31" s="268"/>
      <c r="C31" s="268"/>
      <c r="D31" s="268"/>
      <c r="E31" s="268"/>
      <c r="F31" s="268"/>
      <c r="G31" s="274"/>
      <c r="H31" s="268"/>
      <c r="I31" s="268"/>
      <c r="J31" s="269"/>
      <c r="K31" s="269"/>
      <c r="L31" s="1055"/>
      <c r="M31" s="268"/>
      <c r="N31" s="268"/>
      <c r="O31" s="1056"/>
      <c r="P31" s="268"/>
      <c r="Q31" s="257" t="s">
        <v>85</v>
      </c>
      <c r="R31" s="258" t="s">
        <v>151</v>
      </c>
      <c r="S31" s="329">
        <f ca="1">S33*S34+N36*I33+H43*C36+B36*D32</f>
        <v>1.4070991172838318E-2</v>
      </c>
      <c r="T31" s="257" t="s">
        <v>285</v>
      </c>
      <c r="U31" s="258" t="s">
        <v>117</v>
      </c>
      <c r="V31" s="280">
        <f ca="1">OFFSET(Stress!$AL$16,STrow*(H36-1),0)</f>
        <v>0.88101579850768963</v>
      </c>
      <c r="W31" s="281"/>
      <c r="Y31" s="282" t="s">
        <v>286</v>
      </c>
      <c r="Z31" s="283"/>
      <c r="AA31" s="284"/>
      <c r="AB31" s="282" t="s">
        <v>287</v>
      </c>
      <c r="AC31" s="283"/>
      <c r="AD31" s="284"/>
      <c r="AE31" s="282" t="s">
        <v>288</v>
      </c>
      <c r="AF31" s="283"/>
      <c r="AG31" s="284"/>
      <c r="AH31" s="282" t="s">
        <v>289</v>
      </c>
      <c r="AI31" s="283"/>
      <c r="AJ31" s="283"/>
      <c r="AM31" s="257" t="s">
        <v>85</v>
      </c>
      <c r="AN31" s="258" t="s">
        <v>151</v>
      </c>
      <c r="AO31" s="285">
        <f ca="1">S33*S34+N36*I33+AO38*C36+B36*D32</f>
        <v>1.4070980331832739E-2</v>
      </c>
    </row>
    <row r="32" spans="1:42" ht="12.75" customHeight="1" x14ac:dyDescent="0.2">
      <c r="A32" s="249"/>
      <c r="B32" s="268"/>
      <c r="C32" s="268"/>
      <c r="D32" s="1069">
        <f ca="1">OFFSET('Define Beam'!$G$11,DBrow*(H36-1),0)</f>
        <v>1.4199999999999999E-2</v>
      </c>
      <c r="E32" s="1069"/>
      <c r="F32" s="1069"/>
      <c r="G32" s="268"/>
      <c r="H32" s="268"/>
      <c r="I32" s="268"/>
      <c r="J32" s="269"/>
      <c r="K32" s="269"/>
      <c r="L32" s="1055"/>
      <c r="M32" s="268"/>
      <c r="N32" s="268"/>
      <c r="O32" s="1043">
        <f ca="1">OFFSET('Beam Spacing'!$C$20,BSrow*(H36-1),0)*OFFSET('Beam Spacing'!$J$20,BSrow*(H36-1),0)/IF(H36=1,1,2)</f>
        <v>0.31912686058897927</v>
      </c>
      <c r="P32" s="268"/>
      <c r="Q32" s="257" t="s">
        <v>86</v>
      </c>
      <c r="R32" s="286" t="s">
        <v>261</v>
      </c>
      <c r="S32" s="287">
        <f ca="1">MIN(OFFSET(Stiffeners!$D$13,VSrow*(H36-1),0),OFFSET(Stiffeners!$D$21,VSrow*(H36-1),0))</f>
        <v>0.3</v>
      </c>
      <c r="T32" s="257" t="s">
        <v>290</v>
      </c>
      <c r="U32" s="258" t="s">
        <v>291</v>
      </c>
      <c r="V32" s="288">
        <f ca="1">V31*Lse/8*(2*Lsup-Lse)/0.0254</f>
        <v>65.555899967698153</v>
      </c>
      <c r="W32" s="289"/>
      <c r="X32" s="330"/>
      <c r="Y32" s="258" t="s">
        <v>292</v>
      </c>
      <c r="Z32" s="291">
        <f ca="1">S40*(Fyb*1000)/1</f>
        <v>687.94493478548463</v>
      </c>
      <c r="AA32" s="290" t="s">
        <v>293</v>
      </c>
      <c r="AB32" s="258" t="s">
        <v>294</v>
      </c>
      <c r="AC32" s="292">
        <f ca="1">IF(Loc="Upstream",S34*S33^3/12+I33*N36^3/12,D32*B36^3/12)</f>
        <v>2.4641546679390962E-4</v>
      </c>
      <c r="AD32" s="290" t="s">
        <v>295</v>
      </c>
      <c r="AE32" s="258" t="s">
        <v>296</v>
      </c>
      <c r="AF32" s="293">
        <f ca="1">MAX(MIN(4*SQRT(C36/H43),0.76),0.35)</f>
        <v>0.63481105427273843</v>
      </c>
      <c r="AG32" s="290" t="s">
        <v>297</v>
      </c>
      <c r="AH32" s="258" t="s">
        <v>298</v>
      </c>
      <c r="AI32" s="294">
        <f ca="1">S41*(Fyb*1000)/1</f>
        <v>229.83269404531208</v>
      </c>
      <c r="AJ32" s="290" t="s">
        <v>299</v>
      </c>
      <c r="AM32" s="257" t="s">
        <v>89</v>
      </c>
      <c r="AN32" s="258" t="s">
        <v>300</v>
      </c>
      <c r="AO32" s="942">
        <f ca="1">(S33*S34*(S34/2)^2+N36*I33*(I33/2+S34)^2+C36*AO38*(AO38/2+I33+S34)^2+B36*D32*(D32/2+AO38+I33+S34)^2)+(S33*S34^3/12+N36*I33^3/12+C36*AO38^3/12+B36*D32^3/12)-(S33*S34*(S34/2)+N36*I33*(I33/2+S34)+C36*AO38*(AO38/2+I33+S34)+B36*D32*(D32/2+AO38+I33+S34))^2/AO31</f>
        <v>2.4945538499943629E-4</v>
      </c>
      <c r="AP32" s="290"/>
    </row>
    <row r="33" spans="1:42" x14ac:dyDescent="0.2">
      <c r="A33" s="249"/>
      <c r="B33" s="268"/>
      <c r="C33" s="268"/>
      <c r="D33" s="270" t="s">
        <v>284</v>
      </c>
      <c r="E33" s="295"/>
      <c r="F33" s="272" t="s">
        <v>283</v>
      </c>
      <c r="G33" s="268"/>
      <c r="H33" s="268"/>
      <c r="I33" s="296">
        <f ca="1">OFFSET('Define Beam'!$K$11,DBrow*(H36-1),0)</f>
        <v>1.4199999999999999E-2</v>
      </c>
      <c r="J33" s="270" t="s">
        <v>284</v>
      </c>
      <c r="K33" s="297"/>
      <c r="L33" s="1055"/>
      <c r="M33" s="268"/>
      <c r="N33" s="268"/>
      <c r="O33" s="1044"/>
      <c r="P33" s="268"/>
      <c r="Q33" s="257" t="s">
        <v>87</v>
      </c>
      <c r="R33" s="286" t="s">
        <v>301</v>
      </c>
      <c r="S33" s="287">
        <f ca="1">(O32*I28+O41*I45)/S34</f>
        <v>0.62416926440319309</v>
      </c>
      <c r="T33" s="257" t="s">
        <v>228</v>
      </c>
      <c r="U33" s="258" t="s">
        <v>241</v>
      </c>
      <c r="V33" s="298">
        <f ca="1">V32*1/IF(Loc="Upstream",S40,S41)*0.001</f>
        <v>23.823091301682393</v>
      </c>
      <c r="W33" s="299">
        <f ca="1">S45/Sigb*GDF/IF(Loc="Upstream",S40,S41)*0.001</f>
        <v>48.809341842128021</v>
      </c>
      <c r="X33" s="330"/>
      <c r="Y33" s="258" t="s">
        <v>302</v>
      </c>
      <c r="Z33" s="300">
        <f ca="1">MIN(S44*(Fyb*1000)/1,1.6*Z32)</f>
        <v>299.06929572876618</v>
      </c>
      <c r="AA33" s="290" t="s">
        <v>303</v>
      </c>
      <c r="AB33" s="258" t="s">
        <v>304</v>
      </c>
      <c r="AC33" s="236">
        <f ca="1">D32/2+H43+I33/2+S34/2</f>
        <v>0.34179999999999999</v>
      </c>
      <c r="AD33" s="290" t="s">
        <v>305</v>
      </c>
      <c r="AE33" s="258" t="s">
        <v>921</v>
      </c>
      <c r="AF33" s="293">
        <f>0.38*SQRT(E/(Fyb))</f>
        <v>10.908052071749566</v>
      </c>
      <c r="AG33" s="290" t="s">
        <v>306</v>
      </c>
      <c r="AH33" s="258" t="s">
        <v>307</v>
      </c>
      <c r="AI33" s="301">
        <f ca="1">IF(Z38&gt;Z36,MIN(Z33/AI32-(Z33/AI32-1)*(Z38-Z36)/(Z37-Z36),Z33/AI32),Z33/AI32)</f>
        <v>1.3012478358270645</v>
      </c>
      <c r="AJ33" s="290" t="s">
        <v>308</v>
      </c>
      <c r="AM33" s="257" t="s">
        <v>91</v>
      </c>
      <c r="AN33" s="258" t="s">
        <v>202</v>
      </c>
      <c r="AO33" s="236">
        <f ca="1">D32+AO38+I33+S34</f>
        <v>0.36199866160424943</v>
      </c>
      <c r="AP33" s="290"/>
    </row>
    <row r="34" spans="1:42" ht="12.75" customHeight="1" x14ac:dyDescent="0.2">
      <c r="A34" s="249"/>
      <c r="B34" s="1045" t="s">
        <v>284</v>
      </c>
      <c r="C34" s="302"/>
      <c r="D34" s="302"/>
      <c r="E34" s="1047"/>
      <c r="F34" s="303"/>
      <c r="G34" s="268"/>
      <c r="H34" s="268"/>
      <c r="I34" s="268"/>
      <c r="J34" s="268"/>
      <c r="K34" s="1047"/>
      <c r="L34" s="1055"/>
      <c r="M34" s="302"/>
      <c r="N34" s="1045" t="s">
        <v>284</v>
      </c>
      <c r="O34" s="1044"/>
      <c r="P34" s="268"/>
      <c r="Q34" s="257" t="s">
        <v>88</v>
      </c>
      <c r="R34" s="286" t="s">
        <v>230</v>
      </c>
      <c r="S34" s="287">
        <f>AVERAGE(I28,I45)</f>
        <v>1.2E-2</v>
      </c>
      <c r="T34" s="257" t="s">
        <v>309</v>
      </c>
      <c r="U34" s="258" t="s">
        <v>242</v>
      </c>
      <c r="V34" s="298">
        <f ca="1">V32*1/IF(Loc="Upstream",S41,S40)*0.001</f>
        <v>71.308283880157674</v>
      </c>
      <c r="W34" s="299">
        <f ca="1">S45/Sigb*GDF/IF(Loc="Upstream",S41,S40)*0.001</f>
        <v>146.09818516022432</v>
      </c>
      <c r="X34" s="330"/>
      <c r="Y34" s="258" t="s">
        <v>310</v>
      </c>
      <c r="Z34" s="236">
        <f ca="1">IF(Loc="Upstream",S38-S34-I33,S38-D32)*2</f>
        <v>0.1289063047753625</v>
      </c>
      <c r="AA34" s="290" t="s">
        <v>311</v>
      </c>
      <c r="AB34" s="258" t="s">
        <v>312</v>
      </c>
      <c r="AC34" s="236">
        <f ca="1">Z40/SQRT(1*(AC33/S37+Z42/6*H43^2/AC33/S37))</f>
        <v>0.63934384678506606</v>
      </c>
      <c r="AD34" s="290" t="s">
        <v>313</v>
      </c>
      <c r="AE34" s="258" t="s">
        <v>922</v>
      </c>
      <c r="AF34" s="293">
        <f ca="1">0.95*SQRT(E*1000*AF32/AC37)</f>
        <v>30.727303448902397</v>
      </c>
      <c r="AG34" s="290" t="s">
        <v>314</v>
      </c>
      <c r="AH34" s="258" t="s">
        <v>315</v>
      </c>
      <c r="AI34" s="291">
        <f ca="1">AI33*AI32</f>
        <v>299.06929572876618</v>
      </c>
      <c r="AJ34" s="290" t="s">
        <v>316</v>
      </c>
      <c r="AM34" s="257" t="str">
        <f>IF(Loc&lt;&gt;"Upstream","CG to skinplate face","CG to back flange")</f>
        <v>CG to back flange</v>
      </c>
      <c r="AN34" s="258" t="s">
        <v>237</v>
      </c>
      <c r="AO34" s="236">
        <f ca="1">(S33*S34*(S34/2)+N36*I33*(I33/2+S34)+C36*AO38*(AO38/2+I33+S34)+B36*D32*(D32/2+AO38+I33+S34))/AO31</f>
        <v>9.0652765175576744E-2</v>
      </c>
      <c r="AP34" s="290"/>
    </row>
    <row r="35" spans="1:42" ht="12.75" customHeight="1" x14ac:dyDescent="0.2">
      <c r="A35" s="249"/>
      <c r="B35" s="1041"/>
      <c r="C35" s="269"/>
      <c r="D35" s="1050" t="s">
        <v>283</v>
      </c>
      <c r="E35" s="1048"/>
      <c r="F35" s="303"/>
      <c r="G35" s="268"/>
      <c r="H35" s="268"/>
      <c r="I35" s="268"/>
      <c r="J35" s="268"/>
      <c r="K35" s="1048"/>
      <c r="L35" s="1055"/>
      <c r="M35" s="268"/>
      <c r="N35" s="1041"/>
      <c r="O35" s="1044"/>
      <c r="P35" s="268"/>
      <c r="Q35" s="257" t="s">
        <v>89</v>
      </c>
      <c r="R35" s="258" t="s">
        <v>300</v>
      </c>
      <c r="S35" s="324">
        <f ca="1">(S33*S34*(S34/2)^2+N36*I33*(I33/2+S34)^2+C36*H43*(H43/2+I33+S34)^2+B36*D32*(D32/2+H43+I33+S34)^2)+(S33*S34^3/12+N36*I33^3/12+C36*H43^3/12+B36*D32^3/12)-(S33*S34*(S34/2)+N36*I33*(I33/2+S34)+C36*H43*(H43/2+I33+S34)+B36*D32*(D32/2+H43+I33+S34))^2/S31</f>
        <v>2.4945750802976791E-4</v>
      </c>
      <c r="T35" s="257" t="s">
        <v>317</v>
      </c>
      <c r="U35" s="258" t="s">
        <v>318</v>
      </c>
      <c r="V35" s="287">
        <f ca="1">1/0.0254*V31*Lse/384/(E*1000)/S35*(8*Lsup^3-4*Lse^2*Lsup+Lse^3)</f>
        <v>2.0187925927326869E-3</v>
      </c>
      <c r="W35" s="305"/>
      <c r="X35" s="331"/>
      <c r="Y35" s="258" t="s">
        <v>319</v>
      </c>
      <c r="Z35" s="236">
        <f ca="1">IF(Loc="Upstream",S43-S34-I33,H43+I33+S34-S43)*2</f>
        <v>-2.9856449755992925E-2</v>
      </c>
      <c r="AA35" s="290" t="s">
        <v>320</v>
      </c>
      <c r="AB35" s="258" t="s">
        <v>321</v>
      </c>
      <c r="AC35" s="236">
        <f ca="1">1.1*AC34*SQRT(E/(Fyb))</f>
        <v>20.187883078243672</v>
      </c>
      <c r="AD35" s="290" t="s">
        <v>322</v>
      </c>
      <c r="AE35" s="258" t="s">
        <v>323</v>
      </c>
      <c r="AF35" s="293">
        <f ca="1">Z40/2/Z41</f>
        <v>11.911627183267044</v>
      </c>
      <c r="AG35" s="290" t="s">
        <v>324</v>
      </c>
      <c r="AH35" s="258" t="s">
        <v>315</v>
      </c>
      <c r="AI35" s="291">
        <f ca="1">(Fyb*1000)*S41/1</f>
        <v>229.83269404531208</v>
      </c>
      <c r="AJ35" s="290" t="s">
        <v>325</v>
      </c>
      <c r="AM35" s="257" t="str">
        <f>IF(Loc="Upstream","CG to skinplate face","CG to back flange")</f>
        <v>CG to skinplate face</v>
      </c>
      <c r="AN35" s="258" t="s">
        <v>238</v>
      </c>
      <c r="AO35" s="236">
        <f ca="1">D32+AO38+I33+S34-AO34</f>
        <v>0.27134589642867268</v>
      </c>
      <c r="AP35" s="290"/>
    </row>
    <row r="36" spans="1:42" ht="12.75" customHeight="1" x14ac:dyDescent="0.25">
      <c r="A36" s="249"/>
      <c r="B36" s="1043">
        <f ca="1">OFFSET('Define Beam'!$F$11,DBrow*(H36-1),0)</f>
        <v>0.14000000000000001</v>
      </c>
      <c r="C36" s="1043">
        <f ca="1">OFFSET('Define Beam'!$H$11,DBrow*(H36-1),0)</f>
        <v>8.0999999999999996E-3</v>
      </c>
      <c r="D36" s="1050"/>
      <c r="E36" s="1048"/>
      <c r="F36" s="303"/>
      <c r="G36" s="306"/>
      <c r="H36" s="307">
        <f>(ROW()-SPref+11)/SProw</f>
        <v>2</v>
      </c>
      <c r="I36" s="268"/>
      <c r="J36" s="268"/>
      <c r="K36" s="1048"/>
      <c r="L36" s="1055"/>
      <c r="M36" s="268"/>
      <c r="N36" s="1043">
        <f ca="1">OFFSET('Define Beam'!$J$11,DBrow*(H36-1),0)</f>
        <v>0.14000000000000001</v>
      </c>
      <c r="O36" s="1046" t="s">
        <v>326</v>
      </c>
      <c r="P36" s="268"/>
      <c r="Q36" s="257" t="s">
        <v>90</v>
      </c>
      <c r="R36" s="258" t="s">
        <v>266</v>
      </c>
      <c r="S36" s="324">
        <f ca="1">S34*S33^3/12+I33*N36^3/12+H43*C36^3/12+D32*B36^3/12</f>
        <v>2.4967677607937627E-4</v>
      </c>
      <c r="T36" s="257" t="s">
        <v>327</v>
      </c>
      <c r="U36" s="258"/>
      <c r="V36" s="308">
        <f ca="1">Lsup/V35</f>
        <v>1931.8477856711693</v>
      </c>
      <c r="W36" s="309">
        <v>800</v>
      </c>
      <c r="X36" s="332"/>
      <c r="Y36" s="258" t="s">
        <v>923</v>
      </c>
      <c r="Z36" s="293">
        <f ca="1">MIN(IF(Z35&gt;0,Z34/Z35/(0.54*Z33/Z32-0.09)^2,5.7),5.7)*SQRT(E/(Fyb))</f>
        <v>163.6207810762435</v>
      </c>
      <c r="AA36" s="290" t="s">
        <v>328</v>
      </c>
      <c r="AB36" s="258" t="s">
        <v>329</v>
      </c>
      <c r="AC36" s="310">
        <f ca="1">PI()^2*E*1000/(S32/AC34)^2*SQRT(1+0.078*IF(AC32/S36&gt;0.23,S42,0)/S40/AC33*(S32/AC34)^2)</f>
        <v>9234133454.0277805</v>
      </c>
      <c r="AD36" s="290" t="s">
        <v>330</v>
      </c>
      <c r="AE36" s="258" t="s">
        <v>331</v>
      </c>
      <c r="AF36" s="291">
        <f ca="1">IF(AF35&gt;AF34,0.9*E*1000*AF32*S40/AF35^2/1,Z39*Z32-(Z39*Z32-AC37*S40/1)*(AF35-AF33)/(AF34-AF33))</f>
        <v>301.34302971864389</v>
      </c>
      <c r="AG36" s="290" t="s">
        <v>908</v>
      </c>
      <c r="AH36" s="258" t="s">
        <v>315</v>
      </c>
      <c r="AI36" s="291">
        <f ca="1">IF(S41&lt;S40,IF(Z38&gt;Z37,AI35,AI34),Z44)</f>
        <v>299.06929572876618</v>
      </c>
      <c r="AJ36" s="290" t="s">
        <v>95</v>
      </c>
      <c r="AM36" s="257" t="str">
        <f>IF(Loc&lt;&gt;"Upstream","Section modulus at skinplate face","Section modulus at back flange")</f>
        <v>Section modulus at back flange</v>
      </c>
      <c r="AN36" s="258" t="s">
        <v>239</v>
      </c>
      <c r="AO36" s="311">
        <f ca="1">AO32/AO34</f>
        <v>2.7517680736631675E-3</v>
      </c>
      <c r="AP36" s="290"/>
    </row>
    <row r="37" spans="1:42" x14ac:dyDescent="0.2">
      <c r="A37" s="249"/>
      <c r="B37" s="1043"/>
      <c r="C37" s="1043"/>
      <c r="D37" s="1051"/>
      <c r="E37" s="1048"/>
      <c r="F37" s="303"/>
      <c r="G37" s="268"/>
      <c r="H37" s="268"/>
      <c r="I37" s="268"/>
      <c r="J37" s="268"/>
      <c r="K37" s="1048"/>
      <c r="L37" s="1055"/>
      <c r="M37" s="268"/>
      <c r="N37" s="1043"/>
      <c r="O37" s="1044"/>
      <c r="P37" s="268"/>
      <c r="Q37" s="257" t="s">
        <v>91</v>
      </c>
      <c r="R37" s="258" t="s">
        <v>202</v>
      </c>
      <c r="S37" s="287">
        <f ca="1">D32+H43+I33+S34</f>
        <v>0.36199999999999999</v>
      </c>
      <c r="T37" s="257" t="s">
        <v>332</v>
      </c>
      <c r="U37" s="258" t="s">
        <v>126</v>
      </c>
      <c r="V37" s="312">
        <f ca="1">DEGREES(V31*Lse/48/(E*1000)/S35*(3*Lsup^2-Lse^2)/0.0254)</f>
        <v>9.4758725310619865E-2</v>
      </c>
      <c r="W37" s="313"/>
      <c r="X37" s="332"/>
      <c r="Y37" s="258" t="s">
        <v>924</v>
      </c>
      <c r="Z37" s="293">
        <f>5.7*SQRT(E/(Fyb))</f>
        <v>163.6207810762435</v>
      </c>
      <c r="AA37" s="290" t="s">
        <v>333</v>
      </c>
      <c r="AB37" s="258" t="s">
        <v>334</v>
      </c>
      <c r="AC37" s="310">
        <f ca="1">IF(S41/S40&lt;0.7,MAX((Fyb*1000)*S41/S40,0.5*(Fyb*1000)),0.7*(Fyb*1000))</f>
        <v>125000</v>
      </c>
      <c r="AD37" s="290" t="s">
        <v>335</v>
      </c>
      <c r="AE37" s="258" t="s">
        <v>329</v>
      </c>
      <c r="AF37" s="310">
        <f ca="1">IF(AF35&lt;AF34,(1-0.3*(AF35-AF33)/(AF34-AF33))*(Fyb*1000),0.9*E*1000*AF32/AF35^2)</f>
        <v>246202.27162310589</v>
      </c>
      <c r="AG37" s="290" t="s">
        <v>336</v>
      </c>
      <c r="AM37" s="257" t="str">
        <f>IF(Loc="Upstream","Section modulus at skinplate face","Section modulus at back flange")</f>
        <v>Section modulus at skinplate face</v>
      </c>
      <c r="AN37" s="258" t="s">
        <v>240</v>
      </c>
      <c r="AO37" s="311">
        <f ca="1">AO32/AO35</f>
        <v>9.1932617475573054E-4</v>
      </c>
      <c r="AP37" s="290"/>
    </row>
    <row r="38" spans="1:42" x14ac:dyDescent="0.2">
      <c r="A38" s="249"/>
      <c r="B38" s="1043"/>
      <c r="C38" s="1043"/>
      <c r="D38" s="314"/>
      <c r="E38" s="1048"/>
      <c r="F38" s="315"/>
      <c r="G38" s="316"/>
      <c r="H38" s="316"/>
      <c r="I38" s="316"/>
      <c r="J38" s="317"/>
      <c r="K38" s="1048"/>
      <c r="L38" s="318" t="s">
        <v>96</v>
      </c>
      <c r="M38" s="268"/>
      <c r="N38" s="1043"/>
      <c r="O38" s="1044"/>
      <c r="P38" s="268"/>
      <c r="Q38" s="257" t="str">
        <f>IF(Loc="Upstream","CG to skinplate face","CG to back flange")</f>
        <v>CG to skinplate face</v>
      </c>
      <c r="R38" s="258" t="s">
        <v>337</v>
      </c>
      <c r="S38" s="287">
        <f ca="1">IF(Loc="Upstream",(S33*S34*(S34/2)+N36*I33*(I33/2+S34)+C36*H43*(H43/2+I33+S34)+B36*D32*(D32/2+H43+I33+S34))/S31,D32+H43+I33+S34-S39)</f>
        <v>9.0653152387681249E-2</v>
      </c>
      <c r="T38" s="257" t="str">
        <f ca="1">IF(I33=0,"Weld size - skinplate to web","Weld size - skinplate to front flange")</f>
        <v>Weld size - skinplate to front flange</v>
      </c>
      <c r="U38" s="258"/>
      <c r="V38" s="287">
        <f ca="1">(ROUNDUP((V31*Lse/2*S34*(O41+O32)*(S39-S34/2)/2/S35/(GDF*0.3*Fyw*1000/SQRT(2)))*16,0)/16)*0.0254</f>
        <v>1.5874999999999999E-3</v>
      </c>
      <c r="W38" s="319"/>
      <c r="X38" s="305"/>
      <c r="Y38" s="258" t="s">
        <v>925</v>
      </c>
      <c r="Z38" s="293">
        <f ca="1">Z34/C36</f>
        <v>15.914358614242284</v>
      </c>
      <c r="AA38" s="290" t="s">
        <v>338</v>
      </c>
      <c r="AB38" s="258" t="s">
        <v>208</v>
      </c>
      <c r="AC38" s="236">
        <f ca="1">1.95*AC34*E*1000/AC37*SQRT(S42/S40/AC33)*SQRT(1+SQRT(1+6.76*(AC37/(E*1000)*S40*AC33/S42)^2))</f>
        <v>101.98815312998362</v>
      </c>
      <c r="AD38" s="290" t="s">
        <v>339</v>
      </c>
      <c r="AE38" s="258" t="s">
        <v>331</v>
      </c>
      <c r="AF38" s="291">
        <f ca="1">Z43*AF37*S40/1</f>
        <v>677.49442278318293</v>
      </c>
      <c r="AG38" s="290" t="s">
        <v>340</v>
      </c>
      <c r="AM38" s="257" t="s">
        <v>341</v>
      </c>
      <c r="AN38" s="286" t="s">
        <v>342</v>
      </c>
      <c r="AO38" s="254">
        <f ca="1">MIN((H43-dweb)*V42/tap+dweb,H43)</f>
        <v>0.32159866160424944</v>
      </c>
      <c r="AP38" s="290"/>
    </row>
    <row r="39" spans="1:42" ht="12.75" customHeight="1" x14ac:dyDescent="0.2">
      <c r="A39" s="249"/>
      <c r="B39" s="1043"/>
      <c r="C39" s="1043"/>
      <c r="D39" s="1053" t="s">
        <v>284</v>
      </c>
      <c r="E39" s="1048"/>
      <c r="F39" s="303"/>
      <c r="G39" s="268"/>
      <c r="H39" s="268"/>
      <c r="I39" s="268"/>
      <c r="J39" s="268"/>
      <c r="K39" s="1048"/>
      <c r="L39" s="1055"/>
      <c r="M39" s="268"/>
      <c r="N39" s="1043"/>
      <c r="O39" s="1044"/>
      <c r="P39" s="268"/>
      <c r="Q39" s="257" t="str">
        <f>IF(Loc&lt;&gt;"Upstream","CG to skinplate face","CG to back flange")</f>
        <v>CG to back flange</v>
      </c>
      <c r="R39" s="258" t="s">
        <v>343</v>
      </c>
      <c r="S39" s="287">
        <f ca="1">IF(Loc&lt;&gt;"Upstream",(S33*S34*(S34/2)+N36*I33*(I33/2+S34)+C36*H43*(H43/2+I33+S34)+B36*D32*(D32/2+H43+I33+S34))/S31,D32+H43+I33+S34-S38)</f>
        <v>0.27134684761231875</v>
      </c>
      <c r="T39" s="257" t="s">
        <v>344</v>
      </c>
      <c r="U39" s="258"/>
      <c r="V39" s="320" t="str">
        <f ca="1">IF(I33=0,"NA",IF(OFFSET('Define Beam'!$D$11,(H36-1)*DBrow,0)="Fabricated Shape",ROUNDUP((V31*Lse/2*(S34*(O41+O32)+I33*N36)*(S39-(((O32+O41)*S34*S34/2+I33*N36*(I33/2+S34))/((O32+O41)*S34+I33*N36)))/2/S35/(GDF*0.3*Fyw*1000/SQRT(2)))*16,0)/16,"NA"))</f>
        <v>NA</v>
      </c>
      <c r="W39" s="321"/>
      <c r="X39" s="333"/>
      <c r="Y39" s="258" t="s">
        <v>345</v>
      </c>
      <c r="Z39" s="301">
        <f ca="1">IF(Z38&gt;Z36,Z33/Z32-(Z33/Z32-1)*(Z38-Z36)/(Z37-Z36),Z33/Z32)</f>
        <v>0.43472853800722022</v>
      </c>
      <c r="AA39" s="290" t="s">
        <v>346</v>
      </c>
      <c r="AB39" s="258" t="s">
        <v>347</v>
      </c>
      <c r="AC39" s="291">
        <f ca="1">MIN(IF(S32&gt;AC38,AC36*S40/1,Z39*Z32-(Z39*Z32-AC37*S40/1)*(S32-AC35)/(AC38-AC35)),Z39*Z32)</f>
        <v>288.15210649050806</v>
      </c>
      <c r="AD39" s="290" t="s">
        <v>348</v>
      </c>
      <c r="AE39" s="258" t="s">
        <v>331</v>
      </c>
      <c r="AF39" s="291">
        <f ca="1">IF(AF35&lt;AF33,Z44,IF(Z38&gt;Z37,AF38,AF36))</f>
        <v>301.34302971864389</v>
      </c>
      <c r="AG39" s="290" t="s">
        <v>95</v>
      </c>
      <c r="AN39" s="258"/>
      <c r="AP39" s="290"/>
    </row>
    <row r="40" spans="1:42" x14ac:dyDescent="0.2">
      <c r="A40" s="249"/>
      <c r="B40" s="1043"/>
      <c r="C40" s="1043"/>
      <c r="D40" s="1054"/>
      <c r="E40" s="1048"/>
      <c r="F40" s="303"/>
      <c r="G40" s="268"/>
      <c r="H40" s="268"/>
      <c r="I40" s="268"/>
      <c r="J40" s="268"/>
      <c r="K40" s="1048"/>
      <c r="L40" s="1055"/>
      <c r="M40" s="268"/>
      <c r="N40" s="1043"/>
      <c r="O40" s="1044"/>
      <c r="P40" s="268"/>
      <c r="Q40" s="257" t="str">
        <f>IF(Loc="Upstream","Section modulus at skinplate face","Section modulus at back flange")</f>
        <v>Section modulus at skinplate face</v>
      </c>
      <c r="R40" s="258" t="s">
        <v>349</v>
      </c>
      <c r="S40" s="334">
        <f ca="1">S35/S38</f>
        <v>2.7517797391419384E-3</v>
      </c>
      <c r="T40" s="257" t="s">
        <v>350</v>
      </c>
      <c r="U40" s="258"/>
      <c r="V40" s="320" t="str">
        <f ca="1">IF(OFFSET('Define Beam'!$D$11,(H36-1)*DBrow,0)="Fabricated Shape",ROUNDUP((V31*Lse/2*(D32*B36)*(S38-D32/2)/2/S35/(GDF*0.3*Fyw*1000/SQRT(2)))*16,0)/16,"NA")</f>
        <v>NA</v>
      </c>
      <c r="W40" s="321"/>
      <c r="X40" s="313"/>
      <c r="Y40" s="258" t="s">
        <v>351</v>
      </c>
      <c r="Z40" s="236">
        <f ca="1">IF(Loc="Upstream",S33,B36)</f>
        <v>0.62416926440319309</v>
      </c>
      <c r="AA40" s="290" t="s">
        <v>352</v>
      </c>
      <c r="AB40" s="258" t="s">
        <v>208</v>
      </c>
      <c r="AC40" s="236">
        <f ca="1">PI()*AC34*SQRT(E/(Fyb)/0.7)</f>
        <v>68.912649603241903</v>
      </c>
      <c r="AD40" s="290" t="s">
        <v>353</v>
      </c>
      <c r="AK40" s="255">
        <f ca="1">V37</f>
        <v>9.4758725310619865E-2</v>
      </c>
      <c r="AM40" s="257"/>
      <c r="AO40" s="258"/>
      <c r="AP40" s="290"/>
    </row>
    <row r="41" spans="1:42" ht="12.75" customHeight="1" x14ac:dyDescent="0.2">
      <c r="A41" s="249"/>
      <c r="B41" s="1041" t="s">
        <v>283</v>
      </c>
      <c r="C41" s="322"/>
      <c r="D41" s="1054"/>
      <c r="E41" s="1048"/>
      <c r="F41" s="303"/>
      <c r="G41" s="268"/>
      <c r="H41" s="268"/>
      <c r="I41" s="268"/>
      <c r="J41" s="268"/>
      <c r="K41" s="1048"/>
      <c r="L41" s="1055"/>
      <c r="M41" s="268"/>
      <c r="N41" s="1041" t="s">
        <v>283</v>
      </c>
      <c r="O41" s="1043">
        <f ca="1">OFFSET('Beam Spacing'!$C$23,BSrow*(H36-1),0)*OFFSET('Beam Spacing'!$J$23,BSrow*(H36-1),0)/IF(H36=N,1,2)</f>
        <v>0.30504240381421388</v>
      </c>
      <c r="P41" s="268"/>
      <c r="Q41" s="257" t="str">
        <f>IF(Loc&lt;&gt;"Upstream","Section modulus at skinplate face","Section modulus at back flange")</f>
        <v>Section modulus at back flange</v>
      </c>
      <c r="R41" s="258" t="s">
        <v>354</v>
      </c>
      <c r="S41" s="334">
        <f ca="1">S35/S39</f>
        <v>9.1933077618124828E-4</v>
      </c>
      <c r="T41" s="262" t="s">
        <v>355</v>
      </c>
      <c r="U41" s="258" t="s">
        <v>356</v>
      </c>
      <c r="V41" s="298">
        <f ca="1">V14*Lse/2/(S17+I16+D15+dweb)/C19/1000/0.0254</f>
        <v>22.616877867018101</v>
      </c>
      <c r="W41" s="299">
        <f>0.4*GDF*(Fyb)</f>
        <v>75.000000000000014</v>
      </c>
      <c r="Y41" s="258" t="s">
        <v>357</v>
      </c>
      <c r="Z41" s="236">
        <f ca="1">IF(Loc="Upstream",S34+I33,D32)</f>
        <v>2.6200000000000001E-2</v>
      </c>
      <c r="AA41" s="290" t="s">
        <v>358</v>
      </c>
      <c r="AB41" s="258" t="s">
        <v>329</v>
      </c>
      <c r="AC41" s="310">
        <f ca="1">IF(S32&gt;AC40,MIN(PI()^2*E*1000*(AC34/S32)^2,(Fyb*1000)),MIN(1-0.3*(S32-AC35)/(AC40-AC35),1)*(Fyb*1000))</f>
        <v>250000</v>
      </c>
      <c r="AD41" s="290" t="s">
        <v>359</v>
      </c>
    </row>
    <row r="42" spans="1:42" x14ac:dyDescent="0.2">
      <c r="A42" s="249"/>
      <c r="B42" s="1042"/>
      <c r="C42" s="323"/>
      <c r="D42" s="323"/>
      <c r="E42" s="1049"/>
      <c r="F42" s="303"/>
      <c r="G42" s="268"/>
      <c r="H42" s="268"/>
      <c r="I42" s="268"/>
      <c r="J42" s="268"/>
      <c r="K42" s="1049"/>
      <c r="L42" s="1055"/>
      <c r="M42" s="323"/>
      <c r="N42" s="1042"/>
      <c r="O42" s="1044"/>
      <c r="P42" s="268"/>
      <c r="Q42" s="257" t="s">
        <v>92</v>
      </c>
      <c r="R42" s="258" t="s">
        <v>264</v>
      </c>
      <c r="S42" s="324">
        <f ca="1">S33*S34^3/3+N36*I33^3/3+H43*C36^3/3+B36*D32^3/3</f>
        <v>6.837321848295725E-7</v>
      </c>
      <c r="T42" s="262" t="s">
        <v>360</v>
      </c>
      <c r="U42" s="258"/>
      <c r="V42" s="287">
        <v>0.23099568199136353</v>
      </c>
      <c r="W42" s="249"/>
      <c r="Y42" s="258" t="s">
        <v>361</v>
      </c>
      <c r="Z42" s="293">
        <f ca="1">MIN(Z34*C36/Z40/Z41,10)</f>
        <v>6.3849206966575742E-2</v>
      </c>
      <c r="AA42" s="290" t="s">
        <v>362</v>
      </c>
      <c r="AB42" s="258" t="s">
        <v>347</v>
      </c>
      <c r="AC42" s="291">
        <f ca="1">Z43*AC41*S40/1</f>
        <v>687.94493478548463</v>
      </c>
      <c r="AD42" s="290" t="s">
        <v>363</v>
      </c>
    </row>
    <row r="43" spans="1:42" x14ac:dyDescent="0.2">
      <c r="A43" s="249"/>
      <c r="B43" s="268"/>
      <c r="C43" s="268"/>
      <c r="D43" s="268"/>
      <c r="E43" s="268"/>
      <c r="F43" s="325" t="s">
        <v>364</v>
      </c>
      <c r="G43" s="268"/>
      <c r="H43" s="296">
        <f ca="1">OFFSET('Define Beam'!$I$11,DBrow*(H36-1),0)</f>
        <v>0.3216</v>
      </c>
      <c r="I43" s="268"/>
      <c r="J43" s="326" t="s">
        <v>365</v>
      </c>
      <c r="K43" s="297"/>
      <c r="L43" s="1055"/>
      <c r="M43" s="268"/>
      <c r="N43" s="268"/>
      <c r="O43" s="1044"/>
      <c r="P43" s="268"/>
      <c r="Q43" s="257" t="s">
        <v>93</v>
      </c>
      <c r="R43" s="258" t="s">
        <v>366</v>
      </c>
      <c r="S43" s="287">
        <f ca="1">IF(IF(S33*S34&gt;S31/2,1,0)=1,S34-(S33*S34-S31/2)/(S33*S34)*S34,0)+IF(IF((N36*I33+S33*S34&gt;S31/2)*AND(S33*S34&lt;S31/2),1,0)=1,I33+S34-(N36*I33+S33*S34-S31/2)/(N36*I33)*I33,0)+IF(IF((C36*H43+N36*I33+S33*S34&gt;S31/2)*AND(N36*I33+S33*S34&lt;S31/2),1,0)=1,(H43+I33+S34)-((C36*H43+N36*I33+S33*S34)-S31/2)/(C36*H43)*H43,0)+IF(IF(C36*H43+N36*I33+S33*S34&lt;S31/2,1,0)=1,(D32+H43+I33+S34-S31/2)/(B36*D32)*D32,0)</f>
        <v>1.1271775122003537E-2</v>
      </c>
      <c r="T43" s="262" t="s">
        <v>367</v>
      </c>
      <c r="U43" s="258" t="s">
        <v>368</v>
      </c>
      <c r="V43" s="288">
        <f ca="1">IF(tap=0,0,IF(V42&lt;(Lsup-Lse)/2,V42*V31*Lse/2,V42*V31*Lse/2-V31/2*(V42-(Lsup-Lse)/2)^2)/1)</f>
        <v>0.36342965720633119</v>
      </c>
      <c r="W43" s="249"/>
      <c r="Y43" s="258" t="s">
        <v>369</v>
      </c>
      <c r="Z43" s="301">
        <f ca="1">MIN(1-Z42/(100+300*Z42)*(Z34/C36-5.7*SQRT(E/(Fyb))),1)</f>
        <v>1</v>
      </c>
      <c r="AA43" s="290" t="s">
        <v>370</v>
      </c>
      <c r="AB43" s="258" t="s">
        <v>347</v>
      </c>
      <c r="AC43" s="291">
        <f ca="1">IF(S32&lt;AC35,Z44,IF(Z38&gt;Z37,AC42,AC39))</f>
        <v>299.06929572876618</v>
      </c>
      <c r="AD43" s="290" t="s">
        <v>95</v>
      </c>
      <c r="AM43" s="257"/>
      <c r="AO43" s="258"/>
    </row>
    <row r="44" spans="1:42" x14ac:dyDescent="0.2">
      <c r="A44" s="249"/>
      <c r="B44" s="268"/>
      <c r="C44" s="268"/>
      <c r="D44" s="268"/>
      <c r="E44" s="268"/>
      <c r="F44" s="268"/>
      <c r="G44" s="268"/>
      <c r="H44" s="268"/>
      <c r="I44" s="268"/>
      <c r="J44" s="268"/>
      <c r="K44" s="268"/>
      <c r="L44" s="1055"/>
      <c r="M44" s="268"/>
      <c r="N44" s="268"/>
      <c r="O44" s="1044"/>
      <c r="P44" s="268"/>
      <c r="Q44" s="257" t="s">
        <v>94</v>
      </c>
      <c r="R44" s="258" t="s">
        <v>371</v>
      </c>
      <c r="S44" s="334">
        <f ca="1">S33*S34*ABS(S34/2-S43)*(1-IF(S33*S34&gt;S31/2,1,0))+IF(S33*S34&gt;S31/2,1,0)*S33/2*((S34-S43)^2+S43^2)+N36*I33*ABS(((I33+S34)+S34)/2-S43)*(1-IF((N36*I33+S33*S34&gt;S31/2)*AND(S33*S34&lt;S31/2),1,0))+IF((N36*I33+S33*S34&gt;S31/2)*AND(S33*S34&lt;S31/2),1,0)*N36/2*((I33+S34-S43)^2+(S43-S34)^2)+C36*H43*ABS((H43+I33+S34+I33+S34)/2-S43)*(1-IF((C36*H43+N36*I33+S33*S34&gt;S31/2)*AND(N36*I33+S33*S34&lt;S31/2),1,0))+IF((C36*H43+N36*I33+S33*S34&gt;S31/2)*AND(N36*I33+S33*S34&lt;S31/2),1,0)*C36/2*((H43+I33+S34-S43)^2+(S43-(I33+S34))^2)+B36*D32*ABS(((D32+H43+I33+S34)+(H43+I33+S34))/2-S43)*(1-IF((S31&gt;S31/2)*AND(C36*H43+N36*I33+S33*S34&lt;S31/2),1,0))+IF((S31&gt;S31/2)*AND(C36*H43+N36*I33+S33*S34&lt;S31/2),1,0)*B36/2*(((D32+H43+I33+S34)-S43)^2+(S43-(H43+I33+S34))^2)</f>
        <v>1.1962771829150648E-3</v>
      </c>
      <c r="T44" s="262" t="s">
        <v>372</v>
      </c>
      <c r="U44" s="258" t="s">
        <v>373</v>
      </c>
      <c r="V44" s="298">
        <f ca="1">IF(tap=0,0,V43*1/AO36)*0.001</f>
        <v>0.13207132559050727</v>
      </c>
      <c r="W44" s="299">
        <f ca="1">V33</f>
        <v>23.823091301682393</v>
      </c>
      <c r="Y44" s="258" t="s">
        <v>374</v>
      </c>
      <c r="Z44" s="291">
        <f ca="1">IF(Z38&gt;Z37,Z43,Z39)*Z32</f>
        <v>299.06929572876618</v>
      </c>
      <c r="AA44" s="290" t="s">
        <v>375</v>
      </c>
      <c r="AM44" s="257"/>
      <c r="AO44" s="258"/>
    </row>
    <row r="45" spans="1:42" ht="12.75" customHeight="1" x14ac:dyDescent="0.2">
      <c r="A45" s="249"/>
      <c r="B45" s="268"/>
      <c r="C45" s="268"/>
      <c r="D45" s="268"/>
      <c r="E45" s="268"/>
      <c r="F45" s="268"/>
      <c r="G45" s="268"/>
      <c r="H45" s="268"/>
      <c r="I45" s="273">
        <f>I28</f>
        <v>1.2E-2</v>
      </c>
      <c r="J45" s="274"/>
      <c r="K45" s="270" t="s">
        <v>282</v>
      </c>
      <c r="L45" s="1055"/>
      <c r="M45" s="272" t="s">
        <v>283</v>
      </c>
      <c r="N45" s="268"/>
      <c r="O45" s="1041" t="s">
        <v>283</v>
      </c>
      <c r="P45" s="268"/>
      <c r="Q45" s="257" t="s">
        <v>95</v>
      </c>
      <c r="R45" s="258" t="s">
        <v>273</v>
      </c>
      <c r="S45" s="288">
        <f ca="1">MIN(Z44,AC43,AF39,AI36)*1</f>
        <v>299.06929572876618</v>
      </c>
      <c r="T45" s="262" t="s">
        <v>376</v>
      </c>
      <c r="U45" s="258" t="s">
        <v>377</v>
      </c>
      <c r="V45" s="298">
        <f ca="1">IF(tap=0,0,V43*1/AO37)*0.001</f>
        <v>0.39532177717326084</v>
      </c>
      <c r="W45" s="299">
        <f ca="1">V34</f>
        <v>71.308283880157674</v>
      </c>
      <c r="AM45" s="257"/>
      <c r="AN45" s="258"/>
    </row>
    <row r="46" spans="1:42" x14ac:dyDescent="0.2">
      <c r="A46" s="249"/>
      <c r="B46" s="268"/>
      <c r="C46" s="268"/>
      <c r="D46" s="268"/>
      <c r="E46" s="268"/>
      <c r="F46" s="268"/>
      <c r="G46" s="268"/>
      <c r="H46" s="268"/>
      <c r="I46" s="268"/>
      <c r="J46" s="268"/>
      <c r="K46" s="268"/>
      <c r="L46" s="1094"/>
      <c r="M46" s="335"/>
      <c r="N46" s="328"/>
      <c r="O46" s="1093"/>
      <c r="P46" s="328"/>
      <c r="Q46" s="336"/>
      <c r="R46" s="337"/>
      <c r="S46" s="337"/>
      <c r="T46" s="336"/>
      <c r="U46" s="337"/>
      <c r="V46" s="337"/>
      <c r="W46" s="337"/>
      <c r="AM46" s="256"/>
    </row>
    <row r="47" spans="1:42" ht="12.75" customHeight="1" x14ac:dyDescent="0.2">
      <c r="A47" s="249"/>
      <c r="B47" s="268"/>
      <c r="C47" s="268"/>
      <c r="D47" s="268"/>
      <c r="E47" s="268"/>
      <c r="F47" s="268"/>
      <c r="G47" s="268"/>
      <c r="H47" s="268"/>
      <c r="I47" s="268"/>
      <c r="J47" s="268"/>
      <c r="K47" s="268"/>
      <c r="L47" s="1055"/>
      <c r="M47" s="268"/>
      <c r="N47" s="276"/>
      <c r="O47" s="1045" t="s">
        <v>284</v>
      </c>
      <c r="P47" s="276"/>
      <c r="Q47" s="277"/>
      <c r="R47" s="278"/>
      <c r="S47" s="278"/>
      <c r="T47" s="279"/>
      <c r="U47" s="278"/>
      <c r="V47" s="278"/>
      <c r="W47" s="278"/>
      <c r="AM47" s="252"/>
      <c r="AN47" s="253"/>
      <c r="AO47" s="253"/>
    </row>
    <row r="48" spans="1:42" ht="15" x14ac:dyDescent="0.25">
      <c r="A48" s="249"/>
      <c r="B48" s="268"/>
      <c r="C48" s="268"/>
      <c r="D48" s="268"/>
      <c r="E48" s="268"/>
      <c r="F48" s="268"/>
      <c r="G48" s="949"/>
      <c r="H48" s="268"/>
      <c r="I48" s="268"/>
      <c r="J48" s="269"/>
      <c r="K48" s="269"/>
      <c r="L48" s="1055"/>
      <c r="M48" s="268"/>
      <c r="N48" s="268"/>
      <c r="O48" s="1056"/>
      <c r="P48" s="268"/>
      <c r="Q48" s="947" t="s">
        <v>85</v>
      </c>
      <c r="R48" s="258" t="s">
        <v>151</v>
      </c>
      <c r="S48" s="329">
        <f ca="1">S50*S51+N53*I50+H60*C53+B53*D49</f>
        <v>1.376208229740835E-2</v>
      </c>
      <c r="T48" s="947" t="s">
        <v>285</v>
      </c>
      <c r="U48" s="258" t="s">
        <v>117</v>
      </c>
      <c r="V48" s="280">
        <f ca="1">OFFSET(Stress!$AL$16,STrow*(H53-1),0)</f>
        <v>0.93732461481224594</v>
      </c>
      <c r="W48" s="281"/>
      <c r="Y48" s="282" t="s">
        <v>286</v>
      </c>
      <c r="Z48" s="283"/>
      <c r="AA48" s="284"/>
      <c r="AB48" s="282" t="s">
        <v>287</v>
      </c>
      <c r="AC48" s="283"/>
      <c r="AD48" s="284"/>
      <c r="AE48" s="282" t="s">
        <v>288</v>
      </c>
      <c r="AF48" s="283"/>
      <c r="AG48" s="284"/>
      <c r="AH48" s="282" t="s">
        <v>289</v>
      </c>
      <c r="AI48" s="283"/>
      <c r="AJ48" s="283"/>
      <c r="AM48" s="947" t="s">
        <v>85</v>
      </c>
      <c r="AN48" s="258" t="s">
        <v>151</v>
      </c>
      <c r="AO48" s="285">
        <f ca="1">S50*S51+N53*I50+AO55*C53+B53*D49</f>
        <v>1.376207145640277E-2</v>
      </c>
    </row>
    <row r="49" spans="1:42" ht="12.75" customHeight="1" x14ac:dyDescent="0.2">
      <c r="A49" s="249"/>
      <c r="B49" s="268"/>
      <c r="C49" s="268"/>
      <c r="D49" s="1069">
        <f ca="1">OFFSET('Define Beam'!$G$11,DBrow*(H53-1),0)</f>
        <v>1.4199999999999999E-2</v>
      </c>
      <c r="E49" s="1069"/>
      <c r="F49" s="1069"/>
      <c r="G49" s="268"/>
      <c r="H49" s="268"/>
      <c r="I49" s="268"/>
      <c r="J49" s="269"/>
      <c r="K49" s="269"/>
      <c r="L49" s="1055"/>
      <c r="M49" s="268"/>
      <c r="N49" s="268"/>
      <c r="O49" s="1043">
        <f ca="1">OFFSET('Beam Spacing'!$C$20,BSrow*(H53-1),0)*OFFSET('Beam Spacing'!$J$20,BSrow*(H53-1),0)/IF(H53=1,1,2)</f>
        <v>0.30504240381421388</v>
      </c>
      <c r="P49" s="268"/>
      <c r="Q49" s="947" t="s">
        <v>86</v>
      </c>
      <c r="R49" s="286" t="s">
        <v>261</v>
      </c>
      <c r="S49" s="287">
        <f ca="1">MIN(OFFSET(Stiffeners!$D$13,VSrow*(H53-1),0),OFFSET(Stiffeners!$D$21,VSrow*(H53-1),0))</f>
        <v>0.3</v>
      </c>
      <c r="T49" s="947" t="s">
        <v>290</v>
      </c>
      <c r="U49" s="258" t="s">
        <v>291</v>
      </c>
      <c r="V49" s="288">
        <f ca="1">V48*Lse/8*(2*Lsup-Lse)/0.0254</f>
        <v>69.745807952564746</v>
      </c>
      <c r="W49" s="289"/>
      <c r="X49" s="330"/>
      <c r="Y49" s="258" t="s">
        <v>292</v>
      </c>
      <c r="Z49" s="291">
        <f ca="1">S57*(Fyb*1000)/1</f>
        <v>667.69742092843944</v>
      </c>
      <c r="AA49" s="290" t="s">
        <v>293</v>
      </c>
      <c r="AB49" s="258" t="s">
        <v>294</v>
      </c>
      <c r="AC49" s="292">
        <f ca="1">IF(Loc="Upstream",S51*S50^3/12+I50*N53^3/12,D49*B53^3/12)</f>
        <v>2.1755252413593459E-4</v>
      </c>
      <c r="AD49" s="290" t="s">
        <v>295</v>
      </c>
      <c r="AE49" s="258" t="s">
        <v>296</v>
      </c>
      <c r="AF49" s="293">
        <f ca="1">MAX(MIN(4*SQRT(C53/H60),0.76),0.35)</f>
        <v>0.63481105427273843</v>
      </c>
      <c r="AG49" s="290" t="s">
        <v>297</v>
      </c>
      <c r="AH49" s="258" t="s">
        <v>298</v>
      </c>
      <c r="AI49" s="294">
        <f ca="1">S58*(Fyb*1000)/1</f>
        <v>229.35002610698308</v>
      </c>
      <c r="AJ49" s="290" t="s">
        <v>299</v>
      </c>
      <c r="AM49" s="947" t="s">
        <v>89</v>
      </c>
      <c r="AN49" s="258" t="s">
        <v>300</v>
      </c>
      <c r="AO49" s="942">
        <f ca="1">(S50*S51*(S51/2)^2+N53*I50*(I50/2+S51)^2+C53*AO55*(AO55/2+I50+S51)^2+B53*D49*(D49/2+AO55+I50+S51)^2)+(S50*S51^3/12+N53*I50^3/12+C53*AO55^3/12+B53*D49^3/12)-(S50*S51*(S51/2)+N53*I50*(I50/2+S51)+C53*AO55*(AO55/2+I50+S51)+B53*D49*(D49/2+AO55+I50+S51))^2/AO48</f>
        <v>2.4718832020221204E-4</v>
      </c>
      <c r="AP49" s="290"/>
    </row>
    <row r="50" spans="1:42" x14ac:dyDescent="0.2">
      <c r="A50" s="249"/>
      <c r="B50" s="268"/>
      <c r="C50" s="268"/>
      <c r="D50" s="270" t="s">
        <v>284</v>
      </c>
      <c r="E50" s="295"/>
      <c r="F50" s="272" t="s">
        <v>283</v>
      </c>
      <c r="G50" s="268"/>
      <c r="H50" s="268"/>
      <c r="I50" s="946">
        <f ca="1">OFFSET('Define Beam'!$K$11,DBrow*(H53-1),0)</f>
        <v>1.4199999999999999E-2</v>
      </c>
      <c r="J50" s="270" t="s">
        <v>284</v>
      </c>
      <c r="K50" s="297"/>
      <c r="L50" s="1055"/>
      <c r="M50" s="268"/>
      <c r="N50" s="268"/>
      <c r="O50" s="1044"/>
      <c r="P50" s="268"/>
      <c r="Q50" s="947" t="s">
        <v>87</v>
      </c>
      <c r="R50" s="286" t="s">
        <v>301</v>
      </c>
      <c r="S50" s="287">
        <f ca="1">(O49*I45+O58*I62)/S51</f>
        <v>0.59842685811736251</v>
      </c>
      <c r="T50" s="947" t="s">
        <v>228</v>
      </c>
      <c r="U50" s="258" t="s">
        <v>241</v>
      </c>
      <c r="V50" s="298">
        <f ca="1">V49*1/IF(Loc="Upstream",S57,S58)*0.001</f>
        <v>26.114301840339056</v>
      </c>
      <c r="W50" s="299">
        <f ca="1">S62/Sigb*GDF/IF(Loc="Upstream",S57,S58)*0.001</f>
        <v>50.21912822042394</v>
      </c>
      <c r="X50" s="330"/>
      <c r="Y50" s="258" t="s">
        <v>302</v>
      </c>
      <c r="Z50" s="300">
        <f ca="1">MIN(S61*(Fyb*1000)/1,1.6*Z49)</f>
        <v>298.65106452302024</v>
      </c>
      <c r="AA50" s="290" t="s">
        <v>303</v>
      </c>
      <c r="AB50" s="258" t="s">
        <v>304</v>
      </c>
      <c r="AC50" s="236">
        <f ca="1">D49/2+H60+I50/2+S51/2</f>
        <v>0.34179999999999999</v>
      </c>
      <c r="AD50" s="290" t="s">
        <v>305</v>
      </c>
      <c r="AE50" s="258" t="s">
        <v>921</v>
      </c>
      <c r="AF50" s="293">
        <f>0.38*SQRT(E/(Fyb))</f>
        <v>10.908052071749566</v>
      </c>
      <c r="AG50" s="290" t="s">
        <v>306</v>
      </c>
      <c r="AH50" s="258" t="s">
        <v>307</v>
      </c>
      <c r="AI50" s="301">
        <f ca="1">IF(Z55&gt;Z53,MIN(Z50/AI49-(Z50/AI49-1)*(Z55-Z53)/(Z54-Z53),Z50/AI49),Z50/AI49)</f>
        <v>1.3021627666338738</v>
      </c>
      <c r="AJ50" s="290" t="s">
        <v>308</v>
      </c>
      <c r="AM50" s="947" t="s">
        <v>91</v>
      </c>
      <c r="AN50" s="258" t="s">
        <v>202</v>
      </c>
      <c r="AO50" s="236">
        <f ca="1">D49+AO55+I50+S51</f>
        <v>0.36199866160424943</v>
      </c>
      <c r="AP50" s="290"/>
    </row>
    <row r="51" spans="1:42" ht="12.75" customHeight="1" x14ac:dyDescent="0.2">
      <c r="A51" s="249"/>
      <c r="B51" s="1045" t="s">
        <v>284</v>
      </c>
      <c r="C51" s="302"/>
      <c r="D51" s="302"/>
      <c r="E51" s="1047"/>
      <c r="F51" s="303"/>
      <c r="G51" s="268"/>
      <c r="H51" s="268"/>
      <c r="I51" s="268"/>
      <c r="J51" s="268"/>
      <c r="K51" s="1047"/>
      <c r="L51" s="1055"/>
      <c r="M51" s="302"/>
      <c r="N51" s="1045" t="s">
        <v>284</v>
      </c>
      <c r="O51" s="1044"/>
      <c r="P51" s="268"/>
      <c r="Q51" s="947" t="s">
        <v>88</v>
      </c>
      <c r="R51" s="286" t="s">
        <v>230</v>
      </c>
      <c r="S51" s="287">
        <f>AVERAGE(I45,I62)</f>
        <v>1.2E-2</v>
      </c>
      <c r="T51" s="947" t="s">
        <v>309</v>
      </c>
      <c r="U51" s="258" t="s">
        <v>242</v>
      </c>
      <c r="V51" s="298">
        <f ca="1">V49*1/IF(Loc="Upstream",S58,S57)*0.001</f>
        <v>76.025506881816284</v>
      </c>
      <c r="W51" s="299">
        <f ca="1">S62/Sigb*GDF/IF(Loc="Upstream",S58,S57)*0.001</f>
        <v>146.20090942745588</v>
      </c>
      <c r="X51" s="330"/>
      <c r="Y51" s="258" t="s">
        <v>310</v>
      </c>
      <c r="Z51" s="236">
        <f ca="1">IF(Loc="Upstream",S55-S51-I50,S55-D49)*2</f>
        <v>0.13270661777168941</v>
      </c>
      <c r="AA51" s="290" t="s">
        <v>311</v>
      </c>
      <c r="AB51" s="258" t="s">
        <v>312</v>
      </c>
      <c r="AC51" s="236">
        <f ca="1">Z57/SQRT(1*(AC50/S54+Z59/6*H60^2/AC50/S54))</f>
        <v>0.61276470522422255</v>
      </c>
      <c r="AD51" s="290" t="s">
        <v>313</v>
      </c>
      <c r="AE51" s="258" t="s">
        <v>922</v>
      </c>
      <c r="AF51" s="293">
        <f ca="1">0.95*SQRT(E*1000*AF49/AC54)</f>
        <v>30.727303448902397</v>
      </c>
      <c r="AG51" s="290" t="s">
        <v>314</v>
      </c>
      <c r="AH51" s="258" t="s">
        <v>315</v>
      </c>
      <c r="AI51" s="291">
        <f ca="1">AI50*AI49</f>
        <v>298.65106452302024</v>
      </c>
      <c r="AJ51" s="290" t="s">
        <v>316</v>
      </c>
      <c r="AM51" s="947" t="str">
        <f>IF(Loc&lt;&gt;"Upstream","CG to skinplate face","CG to back flange")</f>
        <v>CG to back flange</v>
      </c>
      <c r="AN51" s="258" t="s">
        <v>237</v>
      </c>
      <c r="AO51" s="236">
        <f ca="1">(S50*S51*(S51/2)+N53*I50*(I50/2+S51)+C53*AO55*(AO55/2+I50+S51)+B53*D49*(D49/2+AO55+I50+S51))/AO48</f>
        <v>9.2552914479063914E-2</v>
      </c>
      <c r="AP51" s="290"/>
    </row>
    <row r="52" spans="1:42" ht="12.75" customHeight="1" x14ac:dyDescent="0.2">
      <c r="A52" s="249"/>
      <c r="B52" s="1041"/>
      <c r="C52" s="269"/>
      <c r="D52" s="1050" t="s">
        <v>283</v>
      </c>
      <c r="E52" s="1048"/>
      <c r="F52" s="303"/>
      <c r="G52" s="268"/>
      <c r="H52" s="268"/>
      <c r="I52" s="268"/>
      <c r="J52" s="268"/>
      <c r="K52" s="1048"/>
      <c r="L52" s="1055"/>
      <c r="M52" s="268"/>
      <c r="N52" s="1041"/>
      <c r="O52" s="1044"/>
      <c r="P52" s="268"/>
      <c r="Q52" s="947" t="s">
        <v>89</v>
      </c>
      <c r="R52" s="258" t="s">
        <v>300</v>
      </c>
      <c r="S52" s="324">
        <f ca="1">(S50*S51*(S51/2)^2+N53*I50*(I50/2+S51)^2+C53*H60*(H60/2+I50+S51)^2+B53*D49*(D49/2+H60+I50+S51)^2)+(S50*S51^3/12+N53*I50^3/12+C53*H60^3/12+B53*D49^3/12)-(S50*S51*(S51/2)+N53*I50*(I50/2+S51)+C53*H60*(H60/2+I50+S51)+B53*D49*(D49/2+H60+I50+S51))^2/S48</f>
        <v>2.471904225658869E-4</v>
      </c>
      <c r="T52" s="947" t="s">
        <v>317</v>
      </c>
      <c r="U52" s="258" t="s">
        <v>318</v>
      </c>
      <c r="V52" s="287">
        <f ca="1">1/0.0254*V48*Lse/384/(E*1000)/S52*(8*Lsup^3-4*Lse^2*Lsup+Lse^3)</f>
        <v>2.1675192740279307E-3</v>
      </c>
      <c r="W52" s="305"/>
      <c r="X52" s="331"/>
      <c r="Y52" s="258" t="s">
        <v>319</v>
      </c>
      <c r="Z52" s="236">
        <f ca="1">IF(Loc="Upstream",S60-S51-I50,H60+I50+S51-S60)*2</f>
        <v>-2.9402900002343555E-2</v>
      </c>
      <c r="AA52" s="290" t="s">
        <v>320</v>
      </c>
      <c r="AB52" s="258" t="s">
        <v>321</v>
      </c>
      <c r="AC52" s="236">
        <f ca="1">1.1*AC51*SQRT(E/(Fyb))</f>
        <v>19.348621693546587</v>
      </c>
      <c r="AD52" s="290" t="s">
        <v>322</v>
      </c>
      <c r="AE52" s="258" t="s">
        <v>323</v>
      </c>
      <c r="AF52" s="293">
        <f ca="1">Z57/2/Z58</f>
        <v>11.420359887735925</v>
      </c>
      <c r="AG52" s="290" t="s">
        <v>324</v>
      </c>
      <c r="AH52" s="258" t="s">
        <v>315</v>
      </c>
      <c r="AI52" s="291">
        <f ca="1">(Fyb*1000)*S58/1</f>
        <v>229.35002610698308</v>
      </c>
      <c r="AJ52" s="290" t="s">
        <v>325</v>
      </c>
      <c r="AM52" s="947" t="str">
        <f>IF(Loc="Upstream","CG to skinplate face","CG to back flange")</f>
        <v>CG to skinplate face</v>
      </c>
      <c r="AN52" s="258" t="s">
        <v>238</v>
      </c>
      <c r="AO52" s="236">
        <f ca="1">D49+AO55+I50+S51-AO51</f>
        <v>0.26944574712518554</v>
      </c>
      <c r="AP52" s="290"/>
    </row>
    <row r="53" spans="1:42" ht="12.75" customHeight="1" x14ac:dyDescent="0.25">
      <c r="A53" s="249"/>
      <c r="B53" s="1043">
        <f ca="1">OFFSET('Define Beam'!$F$11,DBrow*(H53-1),0)</f>
        <v>0.14000000000000001</v>
      </c>
      <c r="C53" s="1043">
        <f ca="1">OFFSET('Define Beam'!$H$11,DBrow*(H53-1),0)</f>
        <v>8.0999999999999996E-3</v>
      </c>
      <c r="D53" s="1050"/>
      <c r="E53" s="1048"/>
      <c r="F53" s="303"/>
      <c r="G53" s="306"/>
      <c r="H53" s="307">
        <f>(ROW()-SPref+11)/SProw</f>
        <v>3</v>
      </c>
      <c r="I53" s="268"/>
      <c r="J53" s="268"/>
      <c r="K53" s="1048"/>
      <c r="L53" s="1055"/>
      <c r="M53" s="268"/>
      <c r="N53" s="1043">
        <f ca="1">OFFSET('Define Beam'!$J$11,DBrow*(H53-1),0)</f>
        <v>0.14000000000000001</v>
      </c>
      <c r="O53" s="1046" t="s">
        <v>326</v>
      </c>
      <c r="P53" s="268"/>
      <c r="Q53" s="947" t="s">
        <v>90</v>
      </c>
      <c r="R53" s="258" t="s">
        <v>266</v>
      </c>
      <c r="S53" s="324">
        <f ca="1">S51*S50^3/12+I50*N53^3/12+H60*C53^3/12+D49*B53^3/12</f>
        <v>2.2081383342140124E-4</v>
      </c>
      <c r="T53" s="947" t="s">
        <v>327</v>
      </c>
      <c r="U53" s="258"/>
      <c r="V53" s="308">
        <f ca="1">Lsup/V52</f>
        <v>1799.2919586604537</v>
      </c>
      <c r="W53" s="309">
        <v>800</v>
      </c>
      <c r="X53" s="332"/>
      <c r="Y53" s="258" t="s">
        <v>923</v>
      </c>
      <c r="Z53" s="293">
        <f ca="1">MIN(IF(Z52&gt;0,Z51/Z52/(0.54*Z50/Z49-0.09)^2,5.7),5.7)*SQRT(E/(Fyb))</f>
        <v>163.6207810762435</v>
      </c>
      <c r="AA53" s="290" t="s">
        <v>328</v>
      </c>
      <c r="AB53" s="258" t="s">
        <v>329</v>
      </c>
      <c r="AC53" s="310">
        <f ca="1">PI()^2*E*1000/(S49/AC51)^2*SQRT(1+0.078*IF(AC49/S53&gt;0.23,S59,0)/S57/AC50*(S49/AC51)^2)</f>
        <v>8482325142.5868387</v>
      </c>
      <c r="AD53" s="290" t="s">
        <v>330</v>
      </c>
      <c r="AE53" s="258" t="s">
        <v>331</v>
      </c>
      <c r="AF53" s="291">
        <f ca="1">IF(AF52&gt;AF51,0.9*E*1000*AF49*S57/AF52^2/1,Z56*Z49-(Z56*Z49-AC54*S57/1)*(AF52-AF50)/(AF51-AF50))</f>
        <v>299.56088845011288</v>
      </c>
      <c r="AG53" s="290" t="s">
        <v>908</v>
      </c>
      <c r="AH53" s="258" t="s">
        <v>315</v>
      </c>
      <c r="AI53" s="291">
        <f ca="1">IF(S58&lt;S57,IF(Z55&gt;Z54,AI52,AI51),Z61)</f>
        <v>298.65106452302024</v>
      </c>
      <c r="AJ53" s="290" t="s">
        <v>95</v>
      </c>
      <c r="AM53" s="947" t="str">
        <f>IF(Loc&lt;&gt;"Upstream","Section modulus at skinplate face","Section modulus at back flange")</f>
        <v>Section modulus at back flange</v>
      </c>
      <c r="AN53" s="258" t="s">
        <v>239</v>
      </c>
      <c r="AO53" s="311">
        <f ca="1">AO49/AO51</f>
        <v>2.6707783498068848E-3</v>
      </c>
      <c r="AP53" s="290"/>
    </row>
    <row r="54" spans="1:42" x14ac:dyDescent="0.2">
      <c r="A54" s="249"/>
      <c r="B54" s="1043"/>
      <c r="C54" s="1043"/>
      <c r="D54" s="1051"/>
      <c r="E54" s="1048"/>
      <c r="F54" s="303"/>
      <c r="G54" s="268"/>
      <c r="H54" s="268"/>
      <c r="I54" s="268"/>
      <c r="J54" s="268"/>
      <c r="K54" s="1048"/>
      <c r="L54" s="1055"/>
      <c r="M54" s="268"/>
      <c r="N54" s="1043"/>
      <c r="O54" s="1044"/>
      <c r="P54" s="268"/>
      <c r="Q54" s="947" t="s">
        <v>91</v>
      </c>
      <c r="R54" s="258" t="s">
        <v>202</v>
      </c>
      <c r="S54" s="287">
        <f ca="1">D49+H60+I50+S51</f>
        <v>0.36199999999999999</v>
      </c>
      <c r="T54" s="947" t="s">
        <v>332</v>
      </c>
      <c r="U54" s="258" t="s">
        <v>126</v>
      </c>
      <c r="V54" s="312">
        <f ca="1">DEGREES(V48*Lse/48/(E*1000)/S52*(3*Lsup^2-Lse^2)/0.0254)</f>
        <v>0.10173970532310309</v>
      </c>
      <c r="W54" s="313"/>
      <c r="X54" s="332"/>
      <c r="Y54" s="258" t="s">
        <v>924</v>
      </c>
      <c r="Z54" s="293">
        <f>5.7*SQRT(E/(Fyb))</f>
        <v>163.6207810762435</v>
      </c>
      <c r="AA54" s="290" t="s">
        <v>333</v>
      </c>
      <c r="AB54" s="258" t="s">
        <v>334</v>
      </c>
      <c r="AC54" s="310">
        <f ca="1">IF(S58/S57&lt;0.7,MAX((Fyb*1000)*S58/S57,0.5*(Fyb*1000)),0.7*(Fyb*1000))</f>
        <v>125000</v>
      </c>
      <c r="AD54" s="290" t="s">
        <v>335</v>
      </c>
      <c r="AE54" s="258" t="s">
        <v>329</v>
      </c>
      <c r="AF54" s="310">
        <f ca="1">IF(AF52&lt;AF51,(1-0.3*(AF52-AF50)/(AF51-AF50))*(Fyb*1000),0.9*E*1000*AF49/AF52^2)</f>
        <v>248061.3250486711</v>
      </c>
      <c r="AG54" s="290" t="s">
        <v>336</v>
      </c>
      <c r="AM54" s="947" t="str">
        <f>IF(Loc="Upstream","Section modulus at skinplate face","Section modulus at back flange")</f>
        <v>Section modulus at skinplate face</v>
      </c>
      <c r="AN54" s="258" t="s">
        <v>240</v>
      </c>
      <c r="AO54" s="311">
        <f ca="1">AO49/AO52</f>
        <v>9.1739551594172087E-4</v>
      </c>
      <c r="AP54" s="290"/>
    </row>
    <row r="55" spans="1:42" x14ac:dyDescent="0.2">
      <c r="A55" s="249"/>
      <c r="B55" s="1043"/>
      <c r="C55" s="1043"/>
      <c r="D55" s="314"/>
      <c r="E55" s="1048"/>
      <c r="F55" s="315"/>
      <c r="G55" s="316"/>
      <c r="H55" s="316"/>
      <c r="I55" s="316"/>
      <c r="J55" s="317"/>
      <c r="K55" s="1048"/>
      <c r="L55" s="318" t="s">
        <v>96</v>
      </c>
      <c r="M55" s="268"/>
      <c r="N55" s="1043"/>
      <c r="O55" s="1044"/>
      <c r="P55" s="268"/>
      <c r="Q55" s="947" t="str">
        <f>IF(Loc="Upstream","CG to skinplate face","CG to back flange")</f>
        <v>CG to skinplate face</v>
      </c>
      <c r="R55" s="258" t="s">
        <v>337</v>
      </c>
      <c r="S55" s="287">
        <f ca="1">IF(Loc="Upstream",(S50*S51*(S51/2)+N53*I50*(I50/2+S51)+C53*H60*(H60/2+I50+S51)+B53*D49*(D49/2+H60+I50+S51))/S48,D49+H60+I50+S51-S56)</f>
        <v>9.2553308885844704E-2</v>
      </c>
      <c r="T55" s="947" t="str">
        <f ca="1">IF(I50=0,"Weld size - skinplate to web","Weld size - skinplate to front flange")</f>
        <v>Weld size - skinplate to front flange</v>
      </c>
      <c r="U55" s="258"/>
      <c r="V55" s="287">
        <f ca="1">(ROUNDUP((V48*Lse/2*S51*(O58+O49)*(S56-S51/2)/2/S52/(GDF*0.3*Fyw*1000/SQRT(2)))*16,0)/16)*0.0254</f>
        <v>1.5874999999999999E-3</v>
      </c>
      <c r="W55" s="319"/>
      <c r="X55" s="305"/>
      <c r="Y55" s="258" t="s">
        <v>925</v>
      </c>
      <c r="Z55" s="293">
        <f ca="1">Z51/C53</f>
        <v>16.383533058233262</v>
      </c>
      <c r="AA55" s="290" t="s">
        <v>338</v>
      </c>
      <c r="AB55" s="258" t="s">
        <v>208</v>
      </c>
      <c r="AC55" s="236">
        <f ca="1">1.95*AC51*E*1000/AC54*SQRT(S59/S57/AC50)*SQRT(1+SQRT(1+6.76*(AC54/(E*1000)*S57*AC50/S59)^2))</f>
        <v>97.91149351856096</v>
      </c>
      <c r="AD55" s="290" t="s">
        <v>339</v>
      </c>
      <c r="AE55" s="258" t="s">
        <v>331</v>
      </c>
      <c r="AF55" s="291">
        <f ca="1">Z60*AF54*S57/1</f>
        <v>662.519627868356</v>
      </c>
      <c r="AG55" s="290" t="s">
        <v>340</v>
      </c>
      <c r="AM55" s="947" t="s">
        <v>341</v>
      </c>
      <c r="AN55" s="286" t="s">
        <v>342</v>
      </c>
      <c r="AO55" s="254">
        <f ca="1">MIN((H60-dweb)*V59/tap+dweb,H60)</f>
        <v>0.32159866160424944</v>
      </c>
      <c r="AP55" s="290"/>
    </row>
    <row r="56" spans="1:42" ht="12.75" customHeight="1" x14ac:dyDescent="0.2">
      <c r="A56" s="249"/>
      <c r="B56" s="1043"/>
      <c r="C56" s="1043"/>
      <c r="D56" s="1053" t="s">
        <v>284</v>
      </c>
      <c r="E56" s="1048"/>
      <c r="F56" s="303"/>
      <c r="G56" s="268"/>
      <c r="H56" s="268"/>
      <c r="I56" s="268"/>
      <c r="J56" s="268"/>
      <c r="K56" s="1048"/>
      <c r="L56" s="1055"/>
      <c r="M56" s="268"/>
      <c r="N56" s="1043"/>
      <c r="O56" s="1044"/>
      <c r="P56" s="268"/>
      <c r="Q56" s="947" t="str">
        <f>IF(Loc&lt;&gt;"Upstream","CG to skinplate face","CG to back flange")</f>
        <v>CG to back flange</v>
      </c>
      <c r="R56" s="258" t="s">
        <v>343</v>
      </c>
      <c r="S56" s="287">
        <f ca="1">IF(Loc&lt;&gt;"Upstream",(S50*S51*(S51/2)+N53*I50*(I50/2+S51)+C53*H60*(H60/2+I50+S51)+B53*D49*(D49/2+H60+I50+S51))/S48,D49+H60+I50+S51-S55)</f>
        <v>0.26944669111415531</v>
      </c>
      <c r="T56" s="947" t="s">
        <v>344</v>
      </c>
      <c r="U56" s="258"/>
      <c r="V56" s="320" t="str">
        <f ca="1">IF(I50=0,"NA",IF(OFFSET('Define Beam'!$D$11,(H53-1)*DBrow,0)="Fabricated Shape",ROUNDUP((V48*Lse/2*(S51*(O58+O49)+I50*N53)*(S56-(((O49+O58)*S51*S51/2+I50*N53*(I50/2+S51))/((O49+O58)*S51+I50*N53)))/2/S52/(GDF*0.3*Fyw*1000/SQRT(2)))*16,0)/16,"NA"))</f>
        <v>NA</v>
      </c>
      <c r="W56" s="321"/>
      <c r="X56" s="333"/>
      <c r="Y56" s="258" t="s">
        <v>345</v>
      </c>
      <c r="Z56" s="301">
        <f ca="1">IF(Z55&gt;Z53,Z50/Z49-(Z50/Z49-1)*(Z55-Z53)/(Z54-Z53),Z50/Z49)</f>
        <v>0.44728503534990921</v>
      </c>
      <c r="AA56" s="290" t="s">
        <v>346</v>
      </c>
      <c r="AB56" s="258" t="s">
        <v>347</v>
      </c>
      <c r="AC56" s="291">
        <f ca="1">MIN(IF(S49&gt;AC55,AC53*S57/1,Z56*Z49-(Z56*Z49-AC54*S57/1)*(S49-AC52)/(AC55-AC52)),Z56*Z49)</f>
        <v>290.11692331277203</v>
      </c>
      <c r="AD56" s="290" t="s">
        <v>348</v>
      </c>
      <c r="AE56" s="258" t="s">
        <v>331</v>
      </c>
      <c r="AF56" s="291">
        <f ca="1">IF(AF52&lt;AF50,Z61,IF(Z55&gt;Z54,AF55,AF53))</f>
        <v>299.56088845011288</v>
      </c>
      <c r="AG56" s="290" t="s">
        <v>95</v>
      </c>
      <c r="AN56" s="258"/>
      <c r="AP56" s="290"/>
    </row>
    <row r="57" spans="1:42" x14ac:dyDescent="0.2">
      <c r="A57" s="249"/>
      <c r="B57" s="1043"/>
      <c r="C57" s="1043"/>
      <c r="D57" s="1054"/>
      <c r="E57" s="1048"/>
      <c r="F57" s="303"/>
      <c r="G57" s="268"/>
      <c r="H57" s="268"/>
      <c r="I57" s="268"/>
      <c r="J57" s="268"/>
      <c r="K57" s="1048"/>
      <c r="L57" s="1055"/>
      <c r="M57" s="268"/>
      <c r="N57" s="1043"/>
      <c r="O57" s="1044"/>
      <c r="P57" s="268"/>
      <c r="Q57" s="947" t="str">
        <f>IF(Loc="Upstream","Section modulus at skinplate face","Section modulus at back flange")</f>
        <v>Section modulus at skinplate face</v>
      </c>
      <c r="R57" s="258" t="s">
        <v>349</v>
      </c>
      <c r="S57" s="334">
        <f ca="1">S52/S55</f>
        <v>2.6707896837137577E-3</v>
      </c>
      <c r="T57" s="947" t="s">
        <v>350</v>
      </c>
      <c r="U57" s="258"/>
      <c r="V57" s="320" t="str">
        <f ca="1">IF(OFFSET('Define Beam'!$D$11,(H53-1)*DBrow,0)="Fabricated Shape",ROUNDUP((V48*Lse/2*(D49*B53)*(S55-D49/2)/2/S52/(GDF*0.3*Fyw*1000/SQRT(2)))*16,0)/16,"NA")</f>
        <v>NA</v>
      </c>
      <c r="W57" s="321"/>
      <c r="X57" s="313"/>
      <c r="Y57" s="258" t="s">
        <v>351</v>
      </c>
      <c r="Z57" s="236">
        <f ca="1">IF(Loc="Upstream",S50,B53)</f>
        <v>0.59842685811736251</v>
      </c>
      <c r="AA57" s="290" t="s">
        <v>352</v>
      </c>
      <c r="AB57" s="258" t="s">
        <v>208</v>
      </c>
      <c r="AC57" s="236">
        <f ca="1">PI()*AC51*SQRT(E/(Fyb)/0.7)</f>
        <v>66.047776376811797</v>
      </c>
      <c r="AD57" s="290" t="s">
        <v>353</v>
      </c>
      <c r="AK57" s="255">
        <f ca="1">V54</f>
        <v>0.10173970532310309</v>
      </c>
      <c r="AM57" s="947"/>
      <c r="AO57" s="258"/>
      <c r="AP57" s="290"/>
    </row>
    <row r="58" spans="1:42" ht="12.75" customHeight="1" x14ac:dyDescent="0.2">
      <c r="A58" s="249"/>
      <c r="B58" s="1041" t="s">
        <v>283</v>
      </c>
      <c r="C58" s="322"/>
      <c r="D58" s="1054"/>
      <c r="E58" s="1048"/>
      <c r="F58" s="303"/>
      <c r="G58" s="268"/>
      <c r="H58" s="268"/>
      <c r="I58" s="268"/>
      <c r="J58" s="268"/>
      <c r="K58" s="1048"/>
      <c r="L58" s="1055"/>
      <c r="M58" s="268"/>
      <c r="N58" s="1041" t="s">
        <v>283</v>
      </c>
      <c r="O58" s="1043">
        <f ca="1">OFFSET('Beam Spacing'!$C$23,BSrow*(H53-1),0)*OFFSET('Beam Spacing'!$J$23,BSrow*(H53-1),0)/IF(H53=N,1,2)</f>
        <v>0.29338445430314863</v>
      </c>
      <c r="P58" s="268"/>
      <c r="Q58" s="947" t="str">
        <f>IF(Loc&lt;&gt;"Upstream","Section modulus at skinplate face","Section modulus at back flange")</f>
        <v>Section modulus at back flange</v>
      </c>
      <c r="R58" s="258" t="s">
        <v>354</v>
      </c>
      <c r="S58" s="334">
        <f ca="1">S52/S56</f>
        <v>9.174001044279323E-4</v>
      </c>
      <c r="T58" s="948" t="s">
        <v>355</v>
      </c>
      <c r="U58" s="258" t="s">
        <v>356</v>
      </c>
      <c r="V58" s="298">
        <f ca="1">V31*Lse/2/(S34+I33+D32+dweb)/C36/1000/0.0254</f>
        <v>26.542440586601209</v>
      </c>
      <c r="W58" s="299">
        <f>0.4*GDF*(Fyb)</f>
        <v>75.000000000000014</v>
      </c>
      <c r="Y58" s="258" t="s">
        <v>357</v>
      </c>
      <c r="Z58" s="236">
        <f ca="1">IF(Loc="Upstream",S51+I50,D49)</f>
        <v>2.6200000000000001E-2</v>
      </c>
      <c r="AA58" s="290" t="s">
        <v>358</v>
      </c>
      <c r="AB58" s="258" t="s">
        <v>329</v>
      </c>
      <c r="AC58" s="310">
        <f ca="1">IF(S49&gt;AC57,MIN(PI()^2*E*1000*(AC51/S49)^2,(Fyb*1000)),MIN(1-0.3*(S49-AC52)/(AC57-AC52),1)*(Fyb*1000))</f>
        <v>250000</v>
      </c>
      <c r="AD58" s="290" t="s">
        <v>359</v>
      </c>
    </row>
    <row r="59" spans="1:42" x14ac:dyDescent="0.2">
      <c r="A59" s="249"/>
      <c r="B59" s="1042"/>
      <c r="C59" s="323"/>
      <c r="D59" s="323"/>
      <c r="E59" s="1049"/>
      <c r="F59" s="303"/>
      <c r="G59" s="268"/>
      <c r="H59" s="268"/>
      <c r="I59" s="268"/>
      <c r="J59" s="268"/>
      <c r="K59" s="1049"/>
      <c r="L59" s="1055"/>
      <c r="M59" s="323"/>
      <c r="N59" s="1042"/>
      <c r="O59" s="1044"/>
      <c r="P59" s="268"/>
      <c r="Q59" s="947" t="s">
        <v>92</v>
      </c>
      <c r="R59" s="258" t="s">
        <v>264</v>
      </c>
      <c r="S59" s="324">
        <f ca="1">S50*S51^3/3+N53*I50^3/3+H60*C53^3/3+B53*D49^3/3</f>
        <v>6.6890455880893412E-7</v>
      </c>
      <c r="T59" s="948" t="s">
        <v>360</v>
      </c>
      <c r="U59" s="258"/>
      <c r="V59" s="287">
        <v>0.23099568199136353</v>
      </c>
      <c r="W59" s="249"/>
      <c r="Y59" s="258" t="s">
        <v>361</v>
      </c>
      <c r="Z59" s="293">
        <f ca="1">MIN(Z51*C53/Z57/Z58,10)</f>
        <v>6.8559119489509754E-2</v>
      </c>
      <c r="AA59" s="290" t="s">
        <v>362</v>
      </c>
      <c r="AB59" s="258" t="s">
        <v>347</v>
      </c>
      <c r="AC59" s="291">
        <f ca="1">Z60*AC58*S57/1</f>
        <v>667.69742092843944</v>
      </c>
      <c r="AD59" s="290" t="s">
        <v>363</v>
      </c>
    </row>
    <row r="60" spans="1:42" x14ac:dyDescent="0.2">
      <c r="A60" s="249"/>
      <c r="B60" s="268"/>
      <c r="C60" s="268"/>
      <c r="D60" s="268"/>
      <c r="E60" s="268"/>
      <c r="F60" s="325" t="s">
        <v>364</v>
      </c>
      <c r="G60" s="268"/>
      <c r="H60" s="946">
        <f ca="1">OFFSET('Define Beam'!$I$11,DBrow*(H53-1),0)</f>
        <v>0.3216</v>
      </c>
      <c r="I60" s="268"/>
      <c r="J60" s="326" t="s">
        <v>365</v>
      </c>
      <c r="K60" s="297"/>
      <c r="L60" s="1055"/>
      <c r="M60" s="268"/>
      <c r="N60" s="268"/>
      <c r="O60" s="1044"/>
      <c r="P60" s="268"/>
      <c r="Q60" s="947" t="s">
        <v>93</v>
      </c>
      <c r="R60" s="258" t="s">
        <v>366</v>
      </c>
      <c r="S60" s="287">
        <f ca="1">IF(IF(S50*S51&gt;S48/2,1,0)=1,S51-(S50*S51-S48/2)/(S50*S51)*S51,0)+IF(IF((N53*I50+S50*S51&gt;S48/2)*AND(S50*S51&lt;S48/2),1,0)=1,I50+S51-(N53*I50+S50*S51-S48/2)/(N53*I50)*I50,0)+IF(IF((C53*H60+N53*I50+S50*S51&gt;S48/2)*AND(N53*I50+S50*S51&lt;S48/2),1,0)=1,(H60+I50+S51)-((C53*H60+N53*I50+S50*S51)-S48/2)/(C53*H60)*H60,0)+IF(IF(C53*H60+N53*I50+S50*S51&lt;S48/2,1,0)=1,(D49+H60+I50+S51-S48/2)/(B53*D49)*D49,0)</f>
        <v>1.1498549998828222E-2</v>
      </c>
      <c r="T60" s="948" t="s">
        <v>367</v>
      </c>
      <c r="U60" s="258" t="s">
        <v>368</v>
      </c>
      <c r="V60" s="288">
        <f ca="1">IF(tap=0,0,IF(V59&lt;(Lsup-Lse)/2,V59*V48*Lse/2,V59*V48*Lse/2-V48/2*(V59-(Lsup-Lse)/2)^2)/1)</f>
        <v>0.38665772399233284</v>
      </c>
      <c r="W60" s="249"/>
      <c r="Y60" s="258" t="s">
        <v>369</v>
      </c>
      <c r="Z60" s="301">
        <f ca="1">MIN(1-Z59/(100+300*Z59)*(Z51/C53-5.7*SQRT(E/(Fyb))),1)</f>
        <v>1</v>
      </c>
      <c r="AA60" s="290" t="s">
        <v>370</v>
      </c>
      <c r="AB60" s="258" t="s">
        <v>347</v>
      </c>
      <c r="AC60" s="291">
        <f ca="1">IF(S49&lt;AC52,Z61,IF(Z55&gt;Z54,AC59,AC56))</f>
        <v>298.65106452302024</v>
      </c>
      <c r="AD60" s="290" t="s">
        <v>95</v>
      </c>
      <c r="AM60" s="947"/>
      <c r="AO60" s="258"/>
    </row>
    <row r="61" spans="1:42" x14ac:dyDescent="0.2">
      <c r="A61" s="249"/>
      <c r="B61" s="268"/>
      <c r="C61" s="268"/>
      <c r="D61" s="268"/>
      <c r="E61" s="268"/>
      <c r="F61" s="268"/>
      <c r="G61" s="268"/>
      <c r="H61" s="268"/>
      <c r="I61" s="268"/>
      <c r="J61" s="268"/>
      <c r="K61" s="268"/>
      <c r="L61" s="1055"/>
      <c r="M61" s="268"/>
      <c r="N61" s="268"/>
      <c r="O61" s="1044"/>
      <c r="P61" s="268"/>
      <c r="Q61" s="947" t="s">
        <v>94</v>
      </c>
      <c r="R61" s="258" t="s">
        <v>371</v>
      </c>
      <c r="S61" s="334">
        <f ca="1">S50*S51*ABS(S51/2-S60)*(1-IF(S50*S51&gt;S48/2,1,0))+IF(S50*S51&gt;S48/2,1,0)*S50/2*((S51-S60)^2+S60^2)+N53*I50*ABS(((I50+S51)+S51)/2-S60)*(1-IF((N53*I50+S50*S51&gt;S48/2)*AND(S50*S51&lt;S48/2),1,0))+IF((N53*I50+S50*S51&gt;S48/2)*AND(S50*S51&lt;S48/2),1,0)*N53/2*((I50+S51-S60)^2+(S60-S51)^2)+C53*H60*ABS((H60+I50+S51+I50+S51)/2-S60)*(1-IF((C53*H60+N53*I50+S50*S51&gt;S48/2)*AND(N53*I50+S50*S51&lt;S48/2),1,0))+IF((C53*H60+N53*I50+S50*S51&gt;S48/2)*AND(N53*I50+S50*S51&lt;S48/2),1,0)*C53/2*((H60+I50+S51-S60)^2+(S60-(I50+S51))^2)+B53*D49*ABS(((D49+H60+I50+S51)+(H60+I50+S51))/2-S60)*(1-IF((S48&gt;S48/2)*AND(C53*H60+N53*I50+S50*S51&lt;S48/2),1,0))+IF((S48&gt;S48/2)*AND(C53*H60+N53*I50+S50*S51&lt;S48/2),1,0)*B53/2*(((D49+H60+I50+S51)-S60)^2+(S60-(H60+I50+S51))^2)</f>
        <v>1.1946042580920808E-3</v>
      </c>
      <c r="T61" s="948" t="s">
        <v>372</v>
      </c>
      <c r="U61" s="258" t="s">
        <v>373</v>
      </c>
      <c r="V61" s="298">
        <f ca="1">IF(tap=0,0,V60*1/AO53)*0.001</f>
        <v>0.14477342308106206</v>
      </c>
      <c r="W61" s="299">
        <f ca="1">V50</f>
        <v>26.114301840339056</v>
      </c>
      <c r="Y61" s="258" t="s">
        <v>374</v>
      </c>
      <c r="Z61" s="291">
        <f ca="1">IF(Z55&gt;Z54,Z60,Z56)*Z49</f>
        <v>298.65106452302024</v>
      </c>
      <c r="AA61" s="290" t="s">
        <v>375</v>
      </c>
      <c r="AM61" s="947"/>
      <c r="AO61" s="258"/>
    </row>
    <row r="62" spans="1:42" ht="12.75" customHeight="1" x14ac:dyDescent="0.2">
      <c r="A62" s="249"/>
      <c r="B62" s="268"/>
      <c r="C62" s="268"/>
      <c r="D62" s="268"/>
      <c r="E62" s="268"/>
      <c r="F62" s="268"/>
      <c r="G62" s="268"/>
      <c r="H62" s="268"/>
      <c r="I62" s="273">
        <f>I45</f>
        <v>1.2E-2</v>
      </c>
      <c r="J62" s="949"/>
      <c r="K62" s="270" t="s">
        <v>282</v>
      </c>
      <c r="L62" s="1055"/>
      <c r="M62" s="272" t="s">
        <v>283</v>
      </c>
      <c r="N62" s="268"/>
      <c r="O62" s="1041" t="s">
        <v>283</v>
      </c>
      <c r="P62" s="268"/>
      <c r="Q62" s="947" t="s">
        <v>95</v>
      </c>
      <c r="R62" s="258" t="s">
        <v>273</v>
      </c>
      <c r="S62" s="288">
        <f ca="1">MIN(Z61,AC60,AF56,AI53)*1</f>
        <v>298.65106452302024</v>
      </c>
      <c r="T62" s="948" t="s">
        <v>376</v>
      </c>
      <c r="U62" s="258" t="s">
        <v>377</v>
      </c>
      <c r="V62" s="298">
        <f ca="1">IF(tap=0,0,V60*1/AO54)*0.001</f>
        <v>0.42147330924701837</v>
      </c>
      <c r="W62" s="299">
        <f ca="1">V51</f>
        <v>76.025506881816284</v>
      </c>
      <c r="AM62" s="947"/>
      <c r="AN62" s="258"/>
    </row>
    <row r="63" spans="1:42" x14ac:dyDescent="0.2">
      <c r="A63" s="249"/>
      <c r="B63" s="268"/>
      <c r="C63" s="268"/>
      <c r="D63" s="268"/>
      <c r="E63" s="268"/>
      <c r="F63" s="268"/>
      <c r="G63" s="268"/>
      <c r="H63" s="268"/>
      <c r="I63" s="268"/>
      <c r="J63" s="268"/>
      <c r="K63" s="268"/>
      <c r="L63" s="1094"/>
      <c r="M63" s="335"/>
      <c r="N63" s="328"/>
      <c r="O63" s="1093"/>
      <c r="P63" s="328"/>
      <c r="Q63" s="336"/>
      <c r="R63" s="337"/>
      <c r="S63" s="337"/>
      <c r="T63" s="336"/>
      <c r="U63" s="337"/>
      <c r="V63" s="337"/>
      <c r="W63" s="337"/>
      <c r="AM63" s="256"/>
    </row>
    <row r="64" spans="1:42" ht="12.75" customHeight="1" x14ac:dyDescent="0.2">
      <c r="A64" s="249"/>
      <c r="B64" s="268"/>
      <c r="C64" s="268"/>
      <c r="D64" s="268"/>
      <c r="E64" s="268"/>
      <c r="F64" s="268"/>
      <c r="G64" s="268"/>
      <c r="H64" s="268"/>
      <c r="I64" s="268"/>
      <c r="J64" s="268"/>
      <c r="K64" s="268"/>
      <c r="L64" s="1055"/>
      <c r="M64" s="268"/>
      <c r="N64" s="276"/>
      <c r="O64" s="1045" t="s">
        <v>284</v>
      </c>
      <c r="P64" s="276"/>
      <c r="Q64" s="277"/>
      <c r="R64" s="278"/>
      <c r="S64" s="278"/>
      <c r="T64" s="279"/>
      <c r="U64" s="278"/>
      <c r="V64" s="278"/>
      <c r="W64" s="278"/>
      <c r="AM64" s="252"/>
      <c r="AN64" s="253"/>
      <c r="AO64" s="253"/>
    </row>
    <row r="65" spans="1:42" ht="15" x14ac:dyDescent="0.25">
      <c r="A65" s="249"/>
      <c r="B65" s="268"/>
      <c r="C65" s="268"/>
      <c r="D65" s="268"/>
      <c r="E65" s="268"/>
      <c r="F65" s="268"/>
      <c r="G65" s="974"/>
      <c r="H65" s="268"/>
      <c r="I65" s="268"/>
      <c r="J65" s="269"/>
      <c r="K65" s="269"/>
      <c r="L65" s="1055"/>
      <c r="M65" s="268"/>
      <c r="N65" s="268"/>
      <c r="O65" s="1056"/>
      <c r="P65" s="268"/>
      <c r="Q65" s="972" t="s">
        <v>85</v>
      </c>
      <c r="R65" s="258" t="s">
        <v>151</v>
      </c>
      <c r="S65" s="329">
        <f ca="1">S67*S68+N70*I67+H77*C70+B70*D66</f>
        <v>1.3503536178121757E-2</v>
      </c>
      <c r="T65" s="972" t="s">
        <v>285</v>
      </c>
      <c r="U65" s="258" t="s">
        <v>117</v>
      </c>
      <c r="V65" s="280">
        <f ca="1">OFFSET(Stress!$AL$16,STrow*(H70-1),0)</f>
        <v>0.9881282005222437</v>
      </c>
      <c r="W65" s="281"/>
      <c r="Y65" s="282" t="s">
        <v>286</v>
      </c>
      <c r="Z65" s="283"/>
      <c r="AA65" s="284"/>
      <c r="AB65" s="282" t="s">
        <v>287</v>
      </c>
      <c r="AC65" s="283"/>
      <c r="AD65" s="284"/>
      <c r="AE65" s="282" t="s">
        <v>288</v>
      </c>
      <c r="AF65" s="283"/>
      <c r="AG65" s="284"/>
      <c r="AH65" s="282" t="s">
        <v>289</v>
      </c>
      <c r="AI65" s="283"/>
      <c r="AJ65" s="283"/>
      <c r="AM65" s="972" t="s">
        <v>85</v>
      </c>
      <c r="AN65" s="258" t="s">
        <v>151</v>
      </c>
      <c r="AO65" s="285">
        <f ca="1">S67*S68+N70*I67+AO72*C70+B70*D66</f>
        <v>1.3503525337116178E-2</v>
      </c>
    </row>
    <row r="66" spans="1:42" ht="12.75" customHeight="1" x14ac:dyDescent="0.2">
      <c r="A66" s="249"/>
      <c r="B66" s="268"/>
      <c r="C66" s="268"/>
      <c r="D66" s="1069">
        <f ca="1">OFFSET('Define Beam'!$G$11,DBrow*(H70-1),0)</f>
        <v>1.4199999999999999E-2</v>
      </c>
      <c r="E66" s="1069"/>
      <c r="F66" s="1069"/>
      <c r="G66" s="268"/>
      <c r="H66" s="268"/>
      <c r="I66" s="268"/>
      <c r="J66" s="269"/>
      <c r="K66" s="269"/>
      <c r="L66" s="1055"/>
      <c r="M66" s="268"/>
      <c r="N66" s="268"/>
      <c r="O66" s="1043">
        <f ca="1">OFFSET('Beam Spacing'!$C$20,BSrow*(H70-1),0)*OFFSET('Beam Spacing'!$J$20,BSrow*(H70-1),0)/IF(H70=1,1,2)</f>
        <v>0.29338445430314863</v>
      </c>
      <c r="P66" s="268"/>
      <c r="Q66" s="972" t="s">
        <v>86</v>
      </c>
      <c r="R66" s="286" t="s">
        <v>261</v>
      </c>
      <c r="S66" s="287">
        <f ca="1">MIN(OFFSET(Stiffeners!$D$13,VSrow*(H70-1),0),OFFSET(Stiffeners!$D$21,VSrow*(H70-1),0))</f>
        <v>0.3</v>
      </c>
      <c r="T66" s="972" t="s">
        <v>290</v>
      </c>
      <c r="U66" s="258" t="s">
        <v>291</v>
      </c>
      <c r="V66" s="288">
        <f ca="1">V65*Lse/8*(2*Lsup-Lse)/0.0254</f>
        <v>73.526074763269307</v>
      </c>
      <c r="W66" s="289"/>
      <c r="X66" s="330"/>
      <c r="Y66" s="258" t="s">
        <v>292</v>
      </c>
      <c r="Z66" s="291">
        <f ca="1">S74*(Fyb*1000)/1</f>
        <v>650.7059392483385</v>
      </c>
      <c r="AA66" s="290" t="s">
        <v>293</v>
      </c>
      <c r="AB66" s="258" t="s">
        <v>294</v>
      </c>
      <c r="AC66" s="292">
        <f ca="1">IF(Loc="Upstream",S68*S67^3/12+I67*N70^3/12,D66*B70^3/12)</f>
        <v>1.9522861613593059E-4</v>
      </c>
      <c r="AD66" s="290" t="s">
        <v>295</v>
      </c>
      <c r="AE66" s="258" t="s">
        <v>296</v>
      </c>
      <c r="AF66" s="293">
        <f ca="1">MAX(MIN(4*SQRT(C70/H77),0.76),0.35)</f>
        <v>0.63481105427273843</v>
      </c>
      <c r="AG66" s="290" t="s">
        <v>297</v>
      </c>
      <c r="AH66" s="258" t="s">
        <v>298</v>
      </c>
      <c r="AI66" s="294">
        <f ca="1">S75*(Fyb*1000)/1</f>
        <v>228.92360316021421</v>
      </c>
      <c r="AJ66" s="290" t="s">
        <v>299</v>
      </c>
      <c r="AM66" s="972" t="s">
        <v>89</v>
      </c>
      <c r="AN66" s="258" t="s">
        <v>300</v>
      </c>
      <c r="AO66" s="942">
        <f ca="1">(S67*S68*(S68/2)^2+N70*I67*(I67/2+S68)^2+C70*AO72*(AO72/2+I67+S68)^2+B70*D66*(D66/2+AO72+I67+S68)^2)+(S67*S68^3/12+N70*I67^3/12+C70*AO72^3/12+B70*D66^3/12)-(S67*S68*(S68/2)+N70*I67*(I67/2+S68)+C70*AO72*(AO72/2+I67+S68)+B70*D66*(D66/2+AO72+I67+S68))^2/AO65</f>
        <v>2.4521125895265176E-4</v>
      </c>
      <c r="AP66" s="290"/>
    </row>
    <row r="67" spans="1:42" x14ac:dyDescent="0.2">
      <c r="A67" s="249"/>
      <c r="B67" s="268"/>
      <c r="C67" s="268"/>
      <c r="D67" s="270" t="s">
        <v>284</v>
      </c>
      <c r="E67" s="295"/>
      <c r="F67" s="272" t="s">
        <v>283</v>
      </c>
      <c r="G67" s="268"/>
      <c r="H67" s="268"/>
      <c r="I67" s="971">
        <f ca="1">OFFSET('Define Beam'!$K$11,DBrow*(H70-1),0)</f>
        <v>1.4199999999999999E-2</v>
      </c>
      <c r="J67" s="270" t="s">
        <v>284</v>
      </c>
      <c r="K67" s="297"/>
      <c r="L67" s="1055"/>
      <c r="M67" s="268"/>
      <c r="N67" s="268"/>
      <c r="O67" s="1044"/>
      <c r="P67" s="268"/>
      <c r="Q67" s="972" t="s">
        <v>87</v>
      </c>
      <c r="R67" s="286" t="s">
        <v>301</v>
      </c>
      <c r="S67" s="287">
        <f ca="1">(O66*I62+O75*I79)/S68</f>
        <v>0.57688134817681314</v>
      </c>
      <c r="T67" s="972" t="s">
        <v>228</v>
      </c>
      <c r="U67" s="258" t="s">
        <v>241</v>
      </c>
      <c r="V67" s="298">
        <f ca="1">V66*1/IF(Loc="Upstream",S74,S75)*0.001</f>
        <v>28.248579860897991</v>
      </c>
      <c r="W67" s="299">
        <f ca="1">S79/Sigb*GDF/IF(Loc="Upstream",S74,S75)*0.001</f>
        <v>51.467862698587219</v>
      </c>
      <c r="X67" s="330"/>
      <c r="Y67" s="258" t="s">
        <v>302</v>
      </c>
      <c r="Z67" s="300">
        <f ca="1">MIN(S78*(Fyb*1000)/1,1.6*Z66)</f>
        <v>298.28822067791555</v>
      </c>
      <c r="AA67" s="290" t="s">
        <v>303</v>
      </c>
      <c r="AB67" s="258" t="s">
        <v>304</v>
      </c>
      <c r="AC67" s="236">
        <f ca="1">D66/2+H77+I67/2+S68/2</f>
        <v>0.34179999999999999</v>
      </c>
      <c r="AD67" s="290" t="s">
        <v>305</v>
      </c>
      <c r="AE67" s="258" t="s">
        <v>921</v>
      </c>
      <c r="AF67" s="293">
        <f>0.38*SQRT(E/(Fyb))</f>
        <v>10.908052071749566</v>
      </c>
      <c r="AG67" s="290" t="s">
        <v>306</v>
      </c>
      <c r="AH67" s="258" t="s">
        <v>307</v>
      </c>
      <c r="AI67" s="301">
        <f ca="1">IF(Z72&gt;Z70,MIN(Z67/AI66-(Z67/AI66-1)*(Z72-Z70)/(Z71-Z70),Z67/AI66),Z67/AI66)</f>
        <v>1.3030033450467573</v>
      </c>
      <c r="AJ67" s="290" t="s">
        <v>308</v>
      </c>
      <c r="AM67" s="972" t="s">
        <v>91</v>
      </c>
      <c r="AN67" s="258" t="s">
        <v>202</v>
      </c>
      <c r="AO67" s="236">
        <f ca="1">D66+AO72+I67+S68</f>
        <v>0.36199866160424943</v>
      </c>
      <c r="AP67" s="290"/>
    </row>
    <row r="68" spans="1:42" ht="12.75" customHeight="1" x14ac:dyDescent="0.2">
      <c r="A68" s="249"/>
      <c r="B68" s="1045" t="s">
        <v>284</v>
      </c>
      <c r="C68" s="302"/>
      <c r="D68" s="302"/>
      <c r="E68" s="1047"/>
      <c r="F68" s="303"/>
      <c r="G68" s="268"/>
      <c r="H68" s="268"/>
      <c r="I68" s="268"/>
      <c r="J68" s="268"/>
      <c r="K68" s="1047"/>
      <c r="L68" s="1055"/>
      <c r="M68" s="302"/>
      <c r="N68" s="1045" t="s">
        <v>284</v>
      </c>
      <c r="O68" s="1044"/>
      <c r="P68" s="268"/>
      <c r="Q68" s="972" t="s">
        <v>88</v>
      </c>
      <c r="R68" s="286" t="s">
        <v>230</v>
      </c>
      <c r="S68" s="287">
        <f>AVERAGE(I62,I79)</f>
        <v>1.2E-2</v>
      </c>
      <c r="T68" s="972" t="s">
        <v>309</v>
      </c>
      <c r="U68" s="258" t="s">
        <v>242</v>
      </c>
      <c r="V68" s="298">
        <f ca="1">V66*1/IF(Loc="Upstream",S75,S74)*0.001</f>
        <v>80.295427981503764</v>
      </c>
      <c r="W68" s="299">
        <f ca="1">S79/Sigb*GDF/IF(Loc="Upstream",S75,S74)*0.001</f>
        <v>146.29528574626767</v>
      </c>
      <c r="X68" s="330"/>
      <c r="Y68" s="258" t="s">
        <v>310</v>
      </c>
      <c r="Z68" s="236">
        <f ca="1">IF(Loc="Upstream",S72-S68-I67,S72-D66)*2</f>
        <v>0.13602101213901155</v>
      </c>
      <c r="AA68" s="290" t="s">
        <v>311</v>
      </c>
      <c r="AB68" s="258" t="s">
        <v>312</v>
      </c>
      <c r="AC68" s="236">
        <f ca="1">Z74/SQRT(1*(AC67/S71+Z76/6*H77^2/AC67/S71))</f>
        <v>0.59051597005736056</v>
      </c>
      <c r="AD68" s="290" t="s">
        <v>313</v>
      </c>
      <c r="AE68" s="258" t="s">
        <v>922</v>
      </c>
      <c r="AF68" s="293">
        <f ca="1">0.95*SQRT(E*1000*AF66/AC71)</f>
        <v>30.727303448902397</v>
      </c>
      <c r="AG68" s="290" t="s">
        <v>314</v>
      </c>
      <c r="AH68" s="258" t="s">
        <v>315</v>
      </c>
      <c r="AI68" s="291">
        <f ca="1">AI67*AI66</f>
        <v>298.28822067791555</v>
      </c>
      <c r="AJ68" s="290" t="s">
        <v>316</v>
      </c>
      <c r="AM68" s="972" t="str">
        <f>IF(Loc&lt;&gt;"Upstream","CG to skinplate face","CG to back flange")</f>
        <v>CG to back flange</v>
      </c>
      <c r="AN68" s="258" t="s">
        <v>237</v>
      </c>
      <c r="AO68" s="236">
        <f ca="1">(S67*S68*(S68/2)+N70*I67*(I67/2+S68)+C70*AO72*(AO72/2+I67+S68)+B70*D66*(D66/2+AO72+I67+S68))/AO65</f>
        <v>9.4210105441634079E-2</v>
      </c>
      <c r="AP68" s="290"/>
    </row>
    <row r="69" spans="1:42" ht="12.75" customHeight="1" x14ac:dyDescent="0.2">
      <c r="A69" s="249"/>
      <c r="B69" s="1041"/>
      <c r="C69" s="269"/>
      <c r="D69" s="1050" t="s">
        <v>283</v>
      </c>
      <c r="E69" s="1048"/>
      <c r="F69" s="303"/>
      <c r="G69" s="268"/>
      <c r="H69" s="268"/>
      <c r="I69" s="268"/>
      <c r="J69" s="268"/>
      <c r="K69" s="1048"/>
      <c r="L69" s="1055"/>
      <c r="M69" s="268"/>
      <c r="N69" s="1041"/>
      <c r="O69" s="1044"/>
      <c r="P69" s="268"/>
      <c r="Q69" s="972" t="s">
        <v>89</v>
      </c>
      <c r="R69" s="258" t="s">
        <v>300</v>
      </c>
      <c r="S69" s="324">
        <f ca="1">(S67*S68*(S68/2)^2+N70*I67*(I67/2+S68)^2+C70*H77*(H77/2+I67+S68)^2+B70*D66*(D66/2+H77+I67+S68)^2)+(S67*S68^3/12+N70*I67^3/12+C70*H77^3/12+B70*D66^3/12)-(S67*S68*(S68/2)+N70*I67*(I67/2+S68)+C70*H77*(H77/2+I67+S68)+B70*D66*(D66/2+H77+I67+S68))^2/S65</f>
        <v>2.4521334335607619E-4</v>
      </c>
      <c r="T69" s="972" t="s">
        <v>317</v>
      </c>
      <c r="U69" s="258" t="s">
        <v>318</v>
      </c>
      <c r="V69" s="287">
        <f ca="1">1/0.0254*V65*Lse/384/(E*1000)/S69*(8*Lsup^3-4*Lse^2*Lsup+Lse^3)</f>
        <v>2.3034234352116182E-3</v>
      </c>
      <c r="W69" s="305"/>
      <c r="X69" s="331"/>
      <c r="Y69" s="258" t="s">
        <v>319</v>
      </c>
      <c r="Z69" s="236">
        <f ca="1">IF(Loc="Upstream",S77-S68-I67,H77+I67+S68-S77)*2</f>
        <v>-2.8992177540843378E-2</v>
      </c>
      <c r="AA69" s="290" t="s">
        <v>320</v>
      </c>
      <c r="AB69" s="258" t="s">
        <v>321</v>
      </c>
      <c r="AC69" s="236">
        <f ca="1">1.1*AC68*SQRT(E/(Fyb))</f>
        <v>18.646096962220888</v>
      </c>
      <c r="AD69" s="290" t="s">
        <v>322</v>
      </c>
      <c r="AE69" s="258" t="s">
        <v>323</v>
      </c>
      <c r="AF69" s="293">
        <f ca="1">Z74/2/Z75</f>
        <v>11.009186033908648</v>
      </c>
      <c r="AG69" s="290" t="s">
        <v>324</v>
      </c>
      <c r="AH69" s="258" t="s">
        <v>315</v>
      </c>
      <c r="AI69" s="291">
        <f ca="1">(Fyb*1000)*S75/1</f>
        <v>228.92360316021421</v>
      </c>
      <c r="AJ69" s="290" t="s">
        <v>325</v>
      </c>
      <c r="AM69" s="972" t="str">
        <f>IF(Loc="Upstream","CG to skinplate face","CG to back flange")</f>
        <v>CG to skinplate face</v>
      </c>
      <c r="AN69" s="258" t="s">
        <v>238</v>
      </c>
      <c r="AO69" s="236">
        <f ca="1">D66+AO72+I67+S68-AO68</f>
        <v>0.26778855616261532</v>
      </c>
      <c r="AP69" s="290"/>
    </row>
    <row r="70" spans="1:42" ht="12.75" customHeight="1" x14ac:dyDescent="0.25">
      <c r="A70" s="249"/>
      <c r="B70" s="1043">
        <f ca="1">OFFSET('Define Beam'!$F$11,DBrow*(H70-1),0)</f>
        <v>0.14000000000000001</v>
      </c>
      <c r="C70" s="1043">
        <f ca="1">OFFSET('Define Beam'!$H$11,DBrow*(H70-1),0)</f>
        <v>8.0999999999999996E-3</v>
      </c>
      <c r="D70" s="1050"/>
      <c r="E70" s="1048"/>
      <c r="F70" s="303"/>
      <c r="G70" s="306"/>
      <c r="H70" s="307">
        <f>(ROW()-SPref+11)/SProw</f>
        <v>4</v>
      </c>
      <c r="I70" s="268"/>
      <c r="J70" s="268"/>
      <c r="K70" s="1048"/>
      <c r="L70" s="1055"/>
      <c r="M70" s="268"/>
      <c r="N70" s="1043">
        <f ca="1">OFFSET('Define Beam'!$J$11,DBrow*(H70-1),0)</f>
        <v>0.14000000000000001</v>
      </c>
      <c r="O70" s="1046" t="s">
        <v>326</v>
      </c>
      <c r="P70" s="268"/>
      <c r="Q70" s="972" t="s">
        <v>90</v>
      </c>
      <c r="R70" s="258" t="s">
        <v>266</v>
      </c>
      <c r="S70" s="324">
        <f ca="1">S68*S67^3/12+I67*N70^3/12+H77*C70^3/12+D66*B70^3/12</f>
        <v>1.9848992542139724E-4</v>
      </c>
      <c r="T70" s="972" t="s">
        <v>327</v>
      </c>
      <c r="U70" s="258"/>
      <c r="V70" s="308">
        <f ca="1">Lsup/V69</f>
        <v>1693.1320313851465</v>
      </c>
      <c r="W70" s="309">
        <v>800</v>
      </c>
      <c r="X70" s="332"/>
      <c r="Y70" s="258" t="s">
        <v>923</v>
      </c>
      <c r="Z70" s="293">
        <f ca="1">MIN(IF(Z69&gt;0,Z68/Z69/(0.54*Z67/Z66-0.09)^2,5.7),5.7)*SQRT(E/(Fyb))</f>
        <v>163.6207810762435</v>
      </c>
      <c r="AA70" s="290" t="s">
        <v>328</v>
      </c>
      <c r="AB70" s="258" t="s">
        <v>329</v>
      </c>
      <c r="AC70" s="310">
        <f ca="1">PI()^2*E*1000/(S66/AC68)^2*SQRT(1+0.078*IF(AC66/S70&gt;0.23,S76,0)/S74/AC67*(S66/AC68)^2)</f>
        <v>7877546522.6334705</v>
      </c>
      <c r="AD70" s="290" t="s">
        <v>330</v>
      </c>
      <c r="AE70" s="258" t="s">
        <v>331</v>
      </c>
      <c r="AF70" s="291">
        <f ca="1">IF(AF69&gt;AF68,0.9*E*1000*AF66*S74/AF69^2/1,Z73*Z66-(Z73*Z66-AC71*S74/1)*(AF69-AF67)/(AF68-AF67))</f>
        <v>298.42632706971051</v>
      </c>
      <c r="AG70" s="290" t="s">
        <v>908</v>
      </c>
      <c r="AH70" s="258" t="s">
        <v>315</v>
      </c>
      <c r="AI70" s="291">
        <f ca="1">IF(S75&lt;S74,IF(Z72&gt;Z71,AI69,AI68),Z78)</f>
        <v>298.28822067791555</v>
      </c>
      <c r="AJ70" s="290" t="s">
        <v>95</v>
      </c>
      <c r="AM70" s="972" t="str">
        <f>IF(Loc&lt;&gt;"Upstream","Section modulus at skinplate face","Section modulus at back flange")</f>
        <v>Section modulus at back flange</v>
      </c>
      <c r="AN70" s="258" t="s">
        <v>239</v>
      </c>
      <c r="AO70" s="311">
        <f ca="1">AO66/AO68</f>
        <v>2.6028127004333662E-3</v>
      </c>
      <c r="AP70" s="290"/>
    </row>
    <row r="71" spans="1:42" x14ac:dyDescent="0.2">
      <c r="A71" s="249"/>
      <c r="B71" s="1043"/>
      <c r="C71" s="1043"/>
      <c r="D71" s="1051"/>
      <c r="E71" s="1048"/>
      <c r="F71" s="303"/>
      <c r="G71" s="268"/>
      <c r="H71" s="268"/>
      <c r="I71" s="268"/>
      <c r="J71" s="268"/>
      <c r="K71" s="1048"/>
      <c r="L71" s="1055"/>
      <c r="M71" s="268"/>
      <c r="N71" s="1043"/>
      <c r="O71" s="1044"/>
      <c r="P71" s="268"/>
      <c r="Q71" s="972" t="s">
        <v>91</v>
      </c>
      <c r="R71" s="258" t="s">
        <v>202</v>
      </c>
      <c r="S71" s="287">
        <f ca="1">D66+H77+I67+S68</f>
        <v>0.36199999999999999</v>
      </c>
      <c r="T71" s="972" t="s">
        <v>332</v>
      </c>
      <c r="U71" s="258" t="s">
        <v>126</v>
      </c>
      <c r="V71" s="312">
        <f ca="1">DEGREES(V65*Lse/48/(E*1000)/S69*(3*Lsup^2-Lse^2)/0.0254)</f>
        <v>0.10811881783051684</v>
      </c>
      <c r="W71" s="313"/>
      <c r="X71" s="332"/>
      <c r="Y71" s="258" t="s">
        <v>924</v>
      </c>
      <c r="Z71" s="293">
        <f>5.7*SQRT(E/(Fyb))</f>
        <v>163.6207810762435</v>
      </c>
      <c r="AA71" s="290" t="s">
        <v>333</v>
      </c>
      <c r="AB71" s="258" t="s">
        <v>334</v>
      </c>
      <c r="AC71" s="310">
        <f ca="1">IF(S75/S74&lt;0.7,MAX((Fyb*1000)*S75/S74,0.5*(Fyb*1000)),0.7*(Fyb*1000))</f>
        <v>125000</v>
      </c>
      <c r="AD71" s="290" t="s">
        <v>335</v>
      </c>
      <c r="AE71" s="258" t="s">
        <v>329</v>
      </c>
      <c r="AF71" s="310">
        <f ca="1">IF(AF69&lt;AF68,(1-0.3*(AF69-AF67)/(AF68-AF67))*(Fyb*1000),0.9*E*1000*AF66/AF69^2)</f>
        <v>249617.28891684199</v>
      </c>
      <c r="AG71" s="290" t="s">
        <v>336</v>
      </c>
      <c r="AM71" s="972" t="str">
        <f>IF(Loc="Upstream","Section modulus at skinplate face","Section modulus at back flange")</f>
        <v>Section modulus at skinplate face</v>
      </c>
      <c r="AN71" s="258" t="s">
        <v>240</v>
      </c>
      <c r="AO71" s="311">
        <f ca="1">AO66/AO69</f>
        <v>9.1568983554228718E-4</v>
      </c>
      <c r="AP71" s="290"/>
    </row>
    <row r="72" spans="1:42" x14ac:dyDescent="0.2">
      <c r="A72" s="249"/>
      <c r="B72" s="1043"/>
      <c r="C72" s="1043"/>
      <c r="D72" s="314"/>
      <c r="E72" s="1048"/>
      <c r="F72" s="315"/>
      <c r="G72" s="316"/>
      <c r="H72" s="316"/>
      <c r="I72" s="316"/>
      <c r="J72" s="317"/>
      <c r="K72" s="1048"/>
      <c r="L72" s="318" t="s">
        <v>96</v>
      </c>
      <c r="M72" s="268"/>
      <c r="N72" s="1043"/>
      <c r="O72" s="1044"/>
      <c r="P72" s="268"/>
      <c r="Q72" s="972" t="str">
        <f>IF(Loc="Upstream","CG to skinplate face","CG to back flange")</f>
        <v>CG to skinplate face</v>
      </c>
      <c r="R72" s="258" t="s">
        <v>337</v>
      </c>
      <c r="S72" s="287">
        <f ca="1">IF(Loc="Upstream",(S67*S68*(S68/2)+N70*I67*(I67/2+S68)+C70*H77*(H77/2+I67+S68)+B70*D66*(D66/2+H77+I67+S68))/S65,D66+H77+I67+S68-S73)</f>
        <v>9.4210506069505776E-2</v>
      </c>
      <c r="T72" s="972" t="str">
        <f ca="1">IF(I67=0,"Weld size - skinplate to web","Weld size - skinplate to front flange")</f>
        <v>Weld size - skinplate to front flange</v>
      </c>
      <c r="U72" s="258"/>
      <c r="V72" s="287">
        <f ca="1">(ROUNDUP((V65*Lse/2*S68*(O75+O66)*(S73-S68/2)/2/S69/(GDF*0.3*Fyw*1000/SQRT(2)))*16,0)/16)*0.0254</f>
        <v>1.5874999999999999E-3</v>
      </c>
      <c r="W72" s="319"/>
      <c r="X72" s="305"/>
      <c r="Y72" s="258" t="s">
        <v>925</v>
      </c>
      <c r="Z72" s="293">
        <f ca="1">Z68/C70</f>
        <v>16.792717548026118</v>
      </c>
      <c r="AA72" s="290" t="s">
        <v>338</v>
      </c>
      <c r="AB72" s="258" t="s">
        <v>208</v>
      </c>
      <c r="AC72" s="236">
        <f ca="1">1.95*AC68*E*1000/AC71*SQRT(S76/S74/AC67)*SQRT(1+SQRT(1+6.76*(AC71/(E*1000)*S74*AC67/S76)^2))</f>
        <v>94.49706232460963</v>
      </c>
      <c r="AD72" s="290" t="s">
        <v>339</v>
      </c>
      <c r="AE72" s="258" t="s">
        <v>331</v>
      </c>
      <c r="AF72" s="291">
        <f ca="1">Z77*AF71*S74/1</f>
        <v>649.70980974903023</v>
      </c>
      <c r="AG72" s="290" t="s">
        <v>340</v>
      </c>
      <c r="AM72" s="972" t="s">
        <v>341</v>
      </c>
      <c r="AN72" s="286" t="s">
        <v>342</v>
      </c>
      <c r="AO72" s="254">
        <f ca="1">MIN((H77-dweb)*V76/tap+dweb,H77)</f>
        <v>0.32159866160424944</v>
      </c>
      <c r="AP72" s="290"/>
    </row>
    <row r="73" spans="1:42" ht="12.75" customHeight="1" x14ac:dyDescent="0.2">
      <c r="A73" s="249"/>
      <c r="B73" s="1043"/>
      <c r="C73" s="1043"/>
      <c r="D73" s="1053" t="s">
        <v>284</v>
      </c>
      <c r="E73" s="1048"/>
      <c r="F73" s="303"/>
      <c r="G73" s="268"/>
      <c r="H73" s="268"/>
      <c r="I73" s="268"/>
      <c r="J73" s="268"/>
      <c r="K73" s="1048"/>
      <c r="L73" s="1055"/>
      <c r="M73" s="268"/>
      <c r="N73" s="1043"/>
      <c r="O73" s="1044"/>
      <c r="P73" s="268"/>
      <c r="Q73" s="972" t="str">
        <f>IF(Loc&lt;&gt;"Upstream","CG to skinplate face","CG to back flange")</f>
        <v>CG to back flange</v>
      </c>
      <c r="R73" s="258" t="s">
        <v>343</v>
      </c>
      <c r="S73" s="287">
        <f ca="1">IF(Loc&lt;&gt;"Upstream",(S67*S68*(S68/2)+N70*I67*(I67/2+S68)+C70*H77*(H77/2+I67+S68)+B70*D66*(D66/2+H77+I67+S68))/S65,D66+H77+I67+S68-S72)</f>
        <v>0.26778949393049423</v>
      </c>
      <c r="T73" s="972" t="s">
        <v>344</v>
      </c>
      <c r="U73" s="258"/>
      <c r="V73" s="320" t="str">
        <f ca="1">IF(I67=0,"NA",IF(OFFSET('Define Beam'!$D$11,(H70-1)*DBrow,0)="Fabricated Shape",ROUNDUP((V65*Lse/2*(S68*(O75+O66)+I67*N70)*(S73-(((O66+O75)*S68*S68/2+I67*N70*(I67/2+S68))/((O66+O75)*S68+I67*N70)))/2/S69/(GDF*0.3*Fyw*1000/SQRT(2)))*16,0)/16,"NA"))</f>
        <v>NA</v>
      </c>
      <c r="W73" s="321"/>
      <c r="X73" s="333"/>
      <c r="Y73" s="258" t="s">
        <v>345</v>
      </c>
      <c r="Z73" s="301">
        <f ca="1">IF(Z72&gt;Z70,Z67/Z66-(Z67/Z66-1)*(Z72-Z70)/(Z71-Z70),Z67/Z66)</f>
        <v>0.45840709710208349</v>
      </c>
      <c r="AA73" s="290" t="s">
        <v>346</v>
      </c>
      <c r="AB73" s="258" t="s">
        <v>347</v>
      </c>
      <c r="AC73" s="291">
        <f ca="1">MIN(IF(S66&gt;AC72,AC70*S74/1,Z73*Z66-(Z73*Z66-AC71*S74/1)*(S66-AC69)/(AC72-AC69)),Z73*Z66)</f>
        <v>291.74206129742669</v>
      </c>
      <c r="AD73" s="290" t="s">
        <v>348</v>
      </c>
      <c r="AE73" s="258" t="s">
        <v>331</v>
      </c>
      <c r="AF73" s="291">
        <f ca="1">IF(AF69&lt;AF67,Z78,IF(Z72&gt;Z71,AF72,AF70))</f>
        <v>298.42632706971051</v>
      </c>
      <c r="AG73" s="290" t="s">
        <v>95</v>
      </c>
      <c r="AN73" s="258"/>
      <c r="AP73" s="290"/>
    </row>
    <row r="74" spans="1:42" x14ac:dyDescent="0.2">
      <c r="A74" s="249"/>
      <c r="B74" s="1043"/>
      <c r="C74" s="1043"/>
      <c r="D74" s="1054"/>
      <c r="E74" s="1048"/>
      <c r="F74" s="303"/>
      <c r="G74" s="268"/>
      <c r="H74" s="268"/>
      <c r="I74" s="268"/>
      <c r="J74" s="268"/>
      <c r="K74" s="1048"/>
      <c r="L74" s="1055"/>
      <c r="M74" s="268"/>
      <c r="N74" s="1043"/>
      <c r="O74" s="1044"/>
      <c r="P74" s="268"/>
      <c r="Q74" s="972" t="str">
        <f>IF(Loc="Upstream","Section modulus at skinplate face","Section modulus at back flange")</f>
        <v>Section modulus at skinplate face</v>
      </c>
      <c r="R74" s="258" t="s">
        <v>349</v>
      </c>
      <c r="S74" s="334">
        <f ca="1">S69/S72</f>
        <v>2.6028237569933541E-3</v>
      </c>
      <c r="T74" s="972" t="s">
        <v>350</v>
      </c>
      <c r="U74" s="258"/>
      <c r="V74" s="320" t="str">
        <f ca="1">IF(OFFSET('Define Beam'!$D$11,(H70-1)*DBrow,0)="Fabricated Shape",ROUNDUP((V65*Lse/2*(D66*B70)*(S72-D66/2)/2/S69/(GDF*0.3*Fyw*1000/SQRT(2)))*16,0)/16,"NA")</f>
        <v>NA</v>
      </c>
      <c r="W74" s="321"/>
      <c r="X74" s="313"/>
      <c r="Y74" s="258" t="s">
        <v>351</v>
      </c>
      <c r="Z74" s="236">
        <f ca="1">IF(Loc="Upstream",S67,B70)</f>
        <v>0.57688134817681314</v>
      </c>
      <c r="AA74" s="290" t="s">
        <v>352</v>
      </c>
      <c r="AB74" s="258" t="s">
        <v>208</v>
      </c>
      <c r="AC74" s="236">
        <f ca="1">PI()*AC68*SQRT(E/(Fyb)/0.7)</f>
        <v>63.649662594409627</v>
      </c>
      <c r="AD74" s="290" t="s">
        <v>353</v>
      </c>
      <c r="AK74" s="255">
        <f ca="1">V71</f>
        <v>0.10811881783051684</v>
      </c>
      <c r="AM74" s="972"/>
      <c r="AO74" s="258"/>
      <c r="AP74" s="290"/>
    </row>
    <row r="75" spans="1:42" ht="12.75" customHeight="1" x14ac:dyDescent="0.2">
      <c r="A75" s="249"/>
      <c r="B75" s="1041" t="s">
        <v>283</v>
      </c>
      <c r="C75" s="322"/>
      <c r="D75" s="1054"/>
      <c r="E75" s="1048"/>
      <c r="F75" s="303"/>
      <c r="G75" s="268"/>
      <c r="H75" s="268"/>
      <c r="I75" s="268"/>
      <c r="J75" s="268"/>
      <c r="K75" s="1048"/>
      <c r="L75" s="1055"/>
      <c r="M75" s="268"/>
      <c r="N75" s="1041" t="s">
        <v>283</v>
      </c>
      <c r="O75" s="1043">
        <f ca="1">OFFSET('Beam Spacing'!$C$23,BSrow*(H70-1),0)*OFFSET('Beam Spacing'!$J$23,BSrow*(H70-1),0)/IF(H70=N,1,2)</f>
        <v>0.2834968938736645</v>
      </c>
      <c r="P75" s="268"/>
      <c r="Q75" s="972" t="str">
        <f>IF(Loc&lt;&gt;"Upstream","Section modulus at skinplate face","Section modulus at back flange")</f>
        <v>Section modulus at back flange</v>
      </c>
      <c r="R75" s="258" t="s">
        <v>354</v>
      </c>
      <c r="S75" s="334">
        <f ca="1">S69/S73</f>
        <v>9.1569441264085681E-4</v>
      </c>
      <c r="T75" s="973" t="s">
        <v>355</v>
      </c>
      <c r="U75" s="258" t="s">
        <v>356</v>
      </c>
      <c r="V75" s="298">
        <f ca="1">V48*Lse/2/(S51+I50+D49+dweb)/C53/1000/0.0254</f>
        <v>28.238861256692612</v>
      </c>
      <c r="W75" s="299">
        <f>0.4*GDF*(Fyb)</f>
        <v>75.000000000000014</v>
      </c>
      <c r="Y75" s="258" t="s">
        <v>357</v>
      </c>
      <c r="Z75" s="236">
        <f ca="1">IF(Loc="Upstream",S68+I67,D66)</f>
        <v>2.6200000000000001E-2</v>
      </c>
      <c r="AA75" s="290" t="s">
        <v>358</v>
      </c>
      <c r="AB75" s="258" t="s">
        <v>329</v>
      </c>
      <c r="AC75" s="310">
        <f ca="1">IF(S66&gt;AC74,MIN(PI()^2*E*1000*(AC68/S66)^2,(Fyb*1000)),MIN(1-0.3*(S66-AC69)/(AC74-AC69),1)*(Fyb*1000))</f>
        <v>250000</v>
      </c>
      <c r="AD75" s="290" t="s">
        <v>359</v>
      </c>
    </row>
    <row r="76" spans="1:42" x14ac:dyDescent="0.2">
      <c r="A76" s="249"/>
      <c r="B76" s="1042"/>
      <c r="C76" s="323"/>
      <c r="D76" s="323"/>
      <c r="E76" s="1049"/>
      <c r="F76" s="303"/>
      <c r="G76" s="268"/>
      <c r="H76" s="268"/>
      <c r="I76" s="268"/>
      <c r="J76" s="268"/>
      <c r="K76" s="1049"/>
      <c r="L76" s="1055"/>
      <c r="M76" s="323"/>
      <c r="N76" s="1042"/>
      <c r="O76" s="1044"/>
      <c r="P76" s="268"/>
      <c r="Q76" s="972" t="s">
        <v>92</v>
      </c>
      <c r="R76" s="258" t="s">
        <v>264</v>
      </c>
      <c r="S76" s="324">
        <f ca="1">S67*S68^3/3+N70*I67^3/3+H77*C70^3/3+B70*D66^3/3</f>
        <v>6.5649434508317769E-7</v>
      </c>
      <c r="T76" s="973" t="s">
        <v>360</v>
      </c>
      <c r="U76" s="258"/>
      <c r="V76" s="287">
        <v>0.23099568199136353</v>
      </c>
      <c r="W76" s="249"/>
      <c r="Y76" s="258" t="s">
        <v>361</v>
      </c>
      <c r="Z76" s="293">
        <f ca="1">MIN(Z68*C70/Z74/Z75,10)</f>
        <v>7.2895921802521732E-2</v>
      </c>
      <c r="AA76" s="290" t="s">
        <v>362</v>
      </c>
      <c r="AB76" s="258" t="s">
        <v>347</v>
      </c>
      <c r="AC76" s="291">
        <f ca="1">Z77*AC75*S74/1</f>
        <v>650.7059392483385</v>
      </c>
      <c r="AD76" s="290" t="s">
        <v>363</v>
      </c>
    </row>
    <row r="77" spans="1:42" x14ac:dyDescent="0.2">
      <c r="A77" s="249"/>
      <c r="B77" s="268"/>
      <c r="C77" s="268"/>
      <c r="D77" s="268"/>
      <c r="E77" s="268"/>
      <c r="F77" s="325" t="s">
        <v>364</v>
      </c>
      <c r="G77" s="268"/>
      <c r="H77" s="971">
        <f ca="1">OFFSET('Define Beam'!$I$11,DBrow*(H70-1),0)</f>
        <v>0.3216</v>
      </c>
      <c r="I77" s="268"/>
      <c r="J77" s="326" t="s">
        <v>365</v>
      </c>
      <c r="K77" s="297"/>
      <c r="L77" s="1055"/>
      <c r="M77" s="268"/>
      <c r="N77" s="268"/>
      <c r="O77" s="1044"/>
      <c r="P77" s="268"/>
      <c r="Q77" s="972" t="s">
        <v>93</v>
      </c>
      <c r="R77" s="258" t="s">
        <v>366</v>
      </c>
      <c r="S77" s="287">
        <f ca="1">IF(IF(S67*S68&gt;S65/2,1,0)=1,S68-(S67*S68-S65/2)/(S67*S68)*S68,0)+IF(IF((N70*I67+S67*S68&gt;S65/2)*AND(S67*S68&lt;S65/2),1,0)=1,I67+S68-(N70*I67+S67*S68-S65/2)/(N70*I67)*I67,0)+IF(IF((C70*H77+N70*I67+S67*S68&gt;S65/2)*AND(N70*I67+S67*S68&lt;S65/2),1,0)=1,(H77+I67+S68)-((C70*H77+N70*I67+S67*S68)-S65/2)/(C70*H77)*H77,0)+IF(IF(C70*H77+N70*I67+S67*S68&lt;S65/2,1,0)=1,(D66+H77+I67+S68-S65/2)/(B70*D66)*D66,0)</f>
        <v>1.170391122957831E-2</v>
      </c>
      <c r="T77" s="973" t="s">
        <v>367</v>
      </c>
      <c r="U77" s="258" t="s">
        <v>368</v>
      </c>
      <c r="V77" s="288">
        <f ca="1">IF(tap=0,0,IF(V76&lt;(Lsup-Lse)/2,V76*V65*Lse/2,V76*V65*Lse/2-V65/2*(V76-(Lsup-Lse)/2)^2)/1)</f>
        <v>0.40761481666957139</v>
      </c>
      <c r="W77" s="249"/>
      <c r="Y77" s="258" t="s">
        <v>369</v>
      </c>
      <c r="Z77" s="301">
        <f ca="1">MIN(1-Z76/(100+300*Z76)*(Z68/C70-5.7*SQRT(E/(Fyb))),1)</f>
        <v>1</v>
      </c>
      <c r="AA77" s="290" t="s">
        <v>370</v>
      </c>
      <c r="AB77" s="258" t="s">
        <v>347</v>
      </c>
      <c r="AC77" s="291">
        <f ca="1">IF(S66&lt;AC69,Z78,IF(Z72&gt;Z71,AC76,AC73))</f>
        <v>298.28822067791555</v>
      </c>
      <c r="AD77" s="290" t="s">
        <v>95</v>
      </c>
      <c r="AM77" s="972"/>
      <c r="AO77" s="258"/>
    </row>
    <row r="78" spans="1:42" x14ac:dyDescent="0.2">
      <c r="A78" s="249"/>
      <c r="B78" s="268"/>
      <c r="C78" s="268"/>
      <c r="D78" s="268"/>
      <c r="E78" s="268"/>
      <c r="F78" s="268"/>
      <c r="G78" s="268"/>
      <c r="H78" s="268"/>
      <c r="I78" s="268"/>
      <c r="J78" s="268"/>
      <c r="K78" s="268"/>
      <c r="L78" s="1055"/>
      <c r="M78" s="268"/>
      <c r="N78" s="268"/>
      <c r="O78" s="1044"/>
      <c r="P78" s="268"/>
      <c r="Q78" s="972" t="s">
        <v>94</v>
      </c>
      <c r="R78" s="258" t="s">
        <v>371</v>
      </c>
      <c r="S78" s="334">
        <f ca="1">S67*S68*ABS(S68/2-S77)*(1-IF(S67*S68&gt;S65/2,1,0))+IF(S67*S68&gt;S65/2,1,0)*S67/2*((S68-S77)^2+S77^2)+N70*I67*ABS(((I67+S68)+S68)/2-S77)*(1-IF((N70*I67+S67*S68&gt;S65/2)*AND(S67*S68&lt;S65/2),1,0))+IF((N70*I67+S67*S68&gt;S65/2)*AND(S67*S68&lt;S65/2),1,0)*N70/2*((I67+S68-S77)^2+(S77-S68)^2)+C70*H77*ABS((H77+I67+S68+I67+S68)/2-S77)*(1-IF((C70*H77+N70*I67+S67*S68&gt;S65/2)*AND(N70*I67+S67*S68&lt;S65/2),1,0))+IF((C70*H77+N70*I67+S67*S68&gt;S65/2)*AND(N70*I67+S67*S68&lt;S65/2),1,0)*C70/2*((H77+I67+S68-S77)^2+(S77-(I67+S68))^2)+B70*D66*ABS(((D66+H77+I67+S68)+(H77+I67+S68))/2-S77)*(1-IF((S65&gt;S65/2)*AND(C70*H77+N70*I67+S67*S68&lt;S65/2),1,0))+IF((S65&gt;S65/2)*AND(C70*H77+N70*I67+S67*S68&lt;S65/2),1,0)*B70/2*(((D66+H77+I67+S68)-S77)^2+(S77-(H77+I67+S68))^2)</f>
        <v>1.1931528827116623E-3</v>
      </c>
      <c r="T78" s="973" t="s">
        <v>372</v>
      </c>
      <c r="U78" s="258" t="s">
        <v>373</v>
      </c>
      <c r="V78" s="298">
        <f ca="1">IF(tap=0,0,V77*1/AO70)*0.001</f>
        <v>0.15660551241420631</v>
      </c>
      <c r="W78" s="299">
        <f ca="1">V67</f>
        <v>28.248579860897991</v>
      </c>
      <c r="Y78" s="258" t="s">
        <v>374</v>
      </c>
      <c r="Z78" s="291">
        <f ca="1">IF(Z72&gt;Z71,Z77,Z73)*Z66</f>
        <v>298.28822067791555</v>
      </c>
      <c r="AA78" s="290" t="s">
        <v>375</v>
      </c>
      <c r="AM78" s="972"/>
      <c r="AO78" s="258"/>
    </row>
    <row r="79" spans="1:42" ht="12.75" customHeight="1" x14ac:dyDescent="0.2">
      <c r="A79" s="249"/>
      <c r="B79" s="268"/>
      <c r="C79" s="268"/>
      <c r="D79" s="268"/>
      <c r="E79" s="268"/>
      <c r="F79" s="268"/>
      <c r="G79" s="268"/>
      <c r="H79" s="268"/>
      <c r="I79" s="273">
        <f>I62</f>
        <v>1.2E-2</v>
      </c>
      <c r="J79" s="974"/>
      <c r="K79" s="270" t="s">
        <v>282</v>
      </c>
      <c r="L79" s="1055"/>
      <c r="M79" s="272" t="s">
        <v>283</v>
      </c>
      <c r="N79" s="268"/>
      <c r="O79" s="1041" t="s">
        <v>283</v>
      </c>
      <c r="P79" s="268"/>
      <c r="Q79" s="972" t="s">
        <v>95</v>
      </c>
      <c r="R79" s="258" t="s">
        <v>273</v>
      </c>
      <c r="S79" s="288">
        <f ca="1">MIN(Z78,AC77,AF73,AI70)*1</f>
        <v>298.28822067791555</v>
      </c>
      <c r="T79" s="973" t="s">
        <v>376</v>
      </c>
      <c r="U79" s="258" t="s">
        <v>377</v>
      </c>
      <c r="V79" s="298">
        <f ca="1">IF(tap=0,0,V77*1/AO71)*0.001</f>
        <v>0.4451450707959152</v>
      </c>
      <c r="W79" s="299">
        <f ca="1">V68</f>
        <v>80.295427981503764</v>
      </c>
      <c r="AM79" s="972"/>
      <c r="AN79" s="258"/>
    </row>
    <row r="80" spans="1:42" x14ac:dyDescent="0.2">
      <c r="A80" s="249"/>
      <c r="B80" s="268"/>
      <c r="C80" s="268"/>
      <c r="D80" s="268"/>
      <c r="E80" s="268"/>
      <c r="F80" s="268"/>
      <c r="G80" s="268"/>
      <c r="H80" s="268"/>
      <c r="I80" s="268"/>
      <c r="J80" s="268"/>
      <c r="K80" s="268"/>
      <c r="L80" s="1094"/>
      <c r="M80" s="335"/>
      <c r="N80" s="328"/>
      <c r="O80" s="1093"/>
      <c r="P80" s="328"/>
      <c r="Q80" s="336"/>
      <c r="R80" s="337"/>
      <c r="S80" s="337"/>
      <c r="T80" s="336"/>
      <c r="U80" s="337"/>
      <c r="V80" s="337"/>
      <c r="W80" s="337"/>
      <c r="AM80" s="256"/>
    </row>
    <row r="81" spans="1:42" ht="12.75" customHeight="1" x14ac:dyDescent="0.2">
      <c r="A81" s="249"/>
      <c r="B81" s="268"/>
      <c r="C81" s="268"/>
      <c r="D81" s="268"/>
      <c r="E81" s="268"/>
      <c r="F81" s="268"/>
      <c r="G81" s="268"/>
      <c r="H81" s="268"/>
      <c r="I81" s="268"/>
      <c r="J81" s="268"/>
      <c r="K81" s="268"/>
      <c r="L81" s="1055"/>
      <c r="M81" s="268"/>
      <c r="N81" s="276"/>
      <c r="O81" s="1045" t="s">
        <v>284</v>
      </c>
      <c r="P81" s="276"/>
      <c r="Q81" s="277"/>
      <c r="R81" s="278"/>
      <c r="S81" s="278"/>
      <c r="T81" s="279"/>
      <c r="U81" s="278"/>
      <c r="V81" s="278"/>
      <c r="W81" s="278"/>
      <c r="AM81" s="252"/>
      <c r="AN81" s="253"/>
      <c r="AO81" s="253"/>
    </row>
    <row r="82" spans="1:42" ht="15" x14ac:dyDescent="0.25">
      <c r="A82" s="249"/>
      <c r="B82" s="268"/>
      <c r="C82" s="268"/>
      <c r="D82" s="268"/>
      <c r="E82" s="268"/>
      <c r="F82" s="268"/>
      <c r="G82" s="987"/>
      <c r="H82" s="268"/>
      <c r="I82" s="268"/>
      <c r="J82" s="269"/>
      <c r="K82" s="269"/>
      <c r="L82" s="1055"/>
      <c r="M82" s="268"/>
      <c r="N82" s="268"/>
      <c r="O82" s="1056"/>
      <c r="P82" s="268"/>
      <c r="Q82" s="985" t="s">
        <v>85</v>
      </c>
      <c r="R82" s="258" t="s">
        <v>151</v>
      </c>
      <c r="S82" s="329">
        <f ca="1">S84*S85+N87*I84+H94*C87+B87*D83</f>
        <v>1.2689436279085526E-2</v>
      </c>
      <c r="T82" s="985" t="s">
        <v>285</v>
      </c>
      <c r="U82" s="258" t="s">
        <v>117</v>
      </c>
      <c r="V82" s="280">
        <f ca="1">OFFSET(Stress!$AL$16,STrow*(H87-1),0)</f>
        <v>0.93866304640116471</v>
      </c>
      <c r="W82" s="281"/>
      <c r="Y82" s="282" t="s">
        <v>286</v>
      </c>
      <c r="Z82" s="283"/>
      <c r="AA82" s="284"/>
      <c r="AB82" s="282" t="s">
        <v>287</v>
      </c>
      <c r="AC82" s="283"/>
      <c r="AD82" s="284"/>
      <c r="AE82" s="282" t="s">
        <v>288</v>
      </c>
      <c r="AF82" s="283"/>
      <c r="AG82" s="284"/>
      <c r="AH82" s="282" t="s">
        <v>289</v>
      </c>
      <c r="AI82" s="283"/>
      <c r="AJ82" s="283"/>
      <c r="AM82" s="985" t="s">
        <v>85</v>
      </c>
      <c r="AN82" s="258" t="s">
        <v>151</v>
      </c>
      <c r="AO82" s="285">
        <f ca="1">S84*S85+N87*I84+AO89*C87+B87*D83</f>
        <v>1.2689425438079946E-2</v>
      </c>
    </row>
    <row r="83" spans="1:42" ht="12.75" customHeight="1" x14ac:dyDescent="0.2">
      <c r="A83" s="249"/>
      <c r="B83" s="268"/>
      <c r="C83" s="268"/>
      <c r="D83" s="1069">
        <f ca="1">OFFSET('Define Beam'!$G$11,DBrow*(H87-1),0)</f>
        <v>1.4199999999999999E-2</v>
      </c>
      <c r="E83" s="1069"/>
      <c r="F83" s="1069"/>
      <c r="G83" s="268"/>
      <c r="H83" s="268"/>
      <c r="I83" s="268"/>
      <c r="J83" s="269"/>
      <c r="K83" s="269"/>
      <c r="L83" s="1055"/>
      <c r="M83" s="268"/>
      <c r="N83" s="268"/>
      <c r="O83" s="1043">
        <f ca="1">OFFSET('Beam Spacing'!$C$20,BSrow*(H87-1),0)*OFFSET('Beam Spacing'!$J$20,BSrow*(H87-1),0)/IF(H87=1,1,2)</f>
        <v>0.2834968938736645</v>
      </c>
      <c r="P83" s="268"/>
      <c r="Q83" s="985" t="s">
        <v>86</v>
      </c>
      <c r="R83" s="286" t="s">
        <v>261</v>
      </c>
      <c r="S83" s="287">
        <f ca="1">MIN(OFFSET(Stiffeners!$D$13,VSrow*(H87-1),0),OFFSET(Stiffeners!$D$21,VSrow*(H87-1),0))</f>
        <v>0.3</v>
      </c>
      <c r="T83" s="985" t="s">
        <v>290</v>
      </c>
      <c r="U83" s="258" t="s">
        <v>291</v>
      </c>
      <c r="V83" s="288">
        <f ca="1">V82*Lse/8*(2*Lsup-Lse)/0.0254</f>
        <v>69.845399909377988</v>
      </c>
      <c r="W83" s="289"/>
      <c r="X83" s="330"/>
      <c r="Y83" s="258" t="s">
        <v>292</v>
      </c>
      <c r="Z83" s="291">
        <f ca="1">S91*(Fyb*1000)/1</f>
        <v>596.93418606275725</v>
      </c>
      <c r="AA83" s="290" t="s">
        <v>293</v>
      </c>
      <c r="AB83" s="258" t="s">
        <v>294</v>
      </c>
      <c r="AC83" s="292">
        <f ca="1">IF(Loc="Upstream",S85*S84^3/12+I84*N87^3/12,D83*B87^3/12)</f>
        <v>1.3515014678763633E-4</v>
      </c>
      <c r="AD83" s="290" t="s">
        <v>295</v>
      </c>
      <c r="AE83" s="258" t="s">
        <v>296</v>
      </c>
      <c r="AF83" s="293">
        <f ca="1">MAX(MIN(4*SQRT(C87/H94),0.76),0.35)</f>
        <v>0.63481105427273843</v>
      </c>
      <c r="AG83" s="290" t="s">
        <v>297</v>
      </c>
      <c r="AH83" s="258" t="s">
        <v>298</v>
      </c>
      <c r="AI83" s="294">
        <f ca="1">S92*(Fyb*1000)/1</f>
        <v>227.42754267881506</v>
      </c>
      <c r="AJ83" s="290" t="s">
        <v>299</v>
      </c>
      <c r="AM83" s="985" t="s">
        <v>89</v>
      </c>
      <c r="AN83" s="258" t="s">
        <v>300</v>
      </c>
      <c r="AO83" s="942">
        <f ca="1">(S84*S85*(S85/2)^2+N87*I84*(I84/2+S85)^2+C87*AO89*(AO89/2+I84+S85)^2+B87*D83*(D83/2+AO89+I84+S85)^2)+(S84*S85^3/12+N87*I84^3/12+C87*AO89^3/12+B87*D83^3/12)-(S84*S85*(S85/2)+N87*I84*(I84/2+S85)+C87*AO89*(AO89/2+I84+S85)+B87*D83*(D83/2+AO89+I84+S85))^2/AO82</f>
        <v>2.3846056330152109E-4</v>
      </c>
      <c r="AP83" s="290"/>
    </row>
    <row r="84" spans="1:42" x14ac:dyDescent="0.2">
      <c r="A84" s="249"/>
      <c r="B84" s="268"/>
      <c r="C84" s="268"/>
      <c r="D84" s="270" t="s">
        <v>284</v>
      </c>
      <c r="E84" s="295"/>
      <c r="F84" s="272" t="s">
        <v>283</v>
      </c>
      <c r="G84" s="268"/>
      <c r="H84" s="268"/>
      <c r="I84" s="984">
        <f ca="1">OFFSET('Define Beam'!$K$11,DBrow*(H87-1),0)</f>
        <v>1.4199999999999999E-2</v>
      </c>
      <c r="J84" s="270" t="s">
        <v>284</v>
      </c>
      <c r="K84" s="297"/>
      <c r="L84" s="1055"/>
      <c r="M84" s="268"/>
      <c r="N84" s="268"/>
      <c r="O84" s="1044"/>
      <c r="P84" s="268"/>
      <c r="Q84" s="985" t="s">
        <v>87</v>
      </c>
      <c r="R84" s="286" t="s">
        <v>301</v>
      </c>
      <c r="S84" s="287">
        <f ca="1">(O83*I79+O92*I96)/S85</f>
        <v>0.50903968992379378</v>
      </c>
      <c r="T84" s="985" t="s">
        <v>228</v>
      </c>
      <c r="U84" s="258" t="s">
        <v>241</v>
      </c>
      <c r="V84" s="298">
        <f ca="1">V83*1/IF(Loc="Upstream",S91,S92)*0.001</f>
        <v>29.251717165866488</v>
      </c>
      <c r="W84" s="299">
        <f ca="1">S96/Sigb*GDF/IF(Loc="Upstream",S91,S92)*0.001</f>
        <v>55.85803198912815</v>
      </c>
      <c r="X84" s="330"/>
      <c r="Y84" s="258" t="s">
        <v>302</v>
      </c>
      <c r="Z84" s="300">
        <f ca="1">MIN(S95*(Fyb*1000)/1,1.6*Z83)</f>
        <v>296.9800533174992</v>
      </c>
      <c r="AA84" s="290" t="s">
        <v>303</v>
      </c>
      <c r="AB84" s="258" t="s">
        <v>304</v>
      </c>
      <c r="AC84" s="236">
        <f ca="1">D83/2+H94+I84/2+S85/2</f>
        <v>0.34179999999999999</v>
      </c>
      <c r="AD84" s="290" t="s">
        <v>305</v>
      </c>
      <c r="AE84" s="258" t="s">
        <v>921</v>
      </c>
      <c r="AF84" s="293">
        <f>0.38*SQRT(E/(Fyb))</f>
        <v>10.908052071749566</v>
      </c>
      <c r="AG84" s="290" t="s">
        <v>306</v>
      </c>
      <c r="AH84" s="258" t="s">
        <v>307</v>
      </c>
      <c r="AI84" s="301">
        <f ca="1">IF(Z89&gt;Z87,MIN(Z84/AI83-(Z84/AI83-1)*(Z89-Z87)/(Z88-Z87),Z84/AI83),Z84/AI83)</f>
        <v>1.3058227241056277</v>
      </c>
      <c r="AJ84" s="290" t="s">
        <v>308</v>
      </c>
      <c r="AM84" s="985" t="s">
        <v>91</v>
      </c>
      <c r="AN84" s="258" t="s">
        <v>202</v>
      </c>
      <c r="AO84" s="236">
        <f ca="1">D83+AO89+I84+S85</f>
        <v>0.36199866160424943</v>
      </c>
      <c r="AP84" s="290"/>
    </row>
    <row r="85" spans="1:42" ht="12.75" customHeight="1" x14ac:dyDescent="0.2">
      <c r="A85" s="249"/>
      <c r="B85" s="1045" t="s">
        <v>284</v>
      </c>
      <c r="C85" s="302"/>
      <c r="D85" s="302"/>
      <c r="E85" s="1047"/>
      <c r="F85" s="303"/>
      <c r="G85" s="268"/>
      <c r="H85" s="268"/>
      <c r="I85" s="268"/>
      <c r="J85" s="268"/>
      <c r="K85" s="1047"/>
      <c r="L85" s="1055"/>
      <c r="M85" s="302"/>
      <c r="N85" s="1045" t="s">
        <v>284</v>
      </c>
      <c r="O85" s="1044"/>
      <c r="P85" s="268"/>
      <c r="Q85" s="985" t="s">
        <v>88</v>
      </c>
      <c r="R85" s="286" t="s">
        <v>230</v>
      </c>
      <c r="S85" s="287">
        <f>AVERAGE(I79,I96)</f>
        <v>1.2E-2</v>
      </c>
      <c r="T85" s="985" t="s">
        <v>309</v>
      </c>
      <c r="U85" s="258" t="s">
        <v>242</v>
      </c>
      <c r="V85" s="298">
        <f ca="1">V83*1/IF(Loc="Upstream",S92,S91)*0.001</f>
        <v>76.777639909711013</v>
      </c>
      <c r="W85" s="299">
        <f ca="1">S96/Sigb*GDF/IF(Loc="Upstream",S92,S91)*0.001</f>
        <v>146.61183279629054</v>
      </c>
      <c r="X85" s="330"/>
      <c r="Y85" s="258" t="s">
        <v>310</v>
      </c>
      <c r="Z85" s="236">
        <f ca="1">IF(Loc="Upstream",S89-S85-I84,S89-D83)*2</f>
        <v>0.14733942889224097</v>
      </c>
      <c r="AA85" s="290" t="s">
        <v>311</v>
      </c>
      <c r="AB85" s="258" t="s">
        <v>312</v>
      </c>
      <c r="AC85" s="236">
        <f ca="1">Z91/SQRT(1*(AC84/S88+Z93/6*H94^2/AC84/S88))</f>
        <v>0.52044108009458578</v>
      </c>
      <c r="AD85" s="290" t="s">
        <v>313</v>
      </c>
      <c r="AE85" s="258" t="s">
        <v>922</v>
      </c>
      <c r="AF85" s="293">
        <f ca="1">0.95*SQRT(E*1000*AF83/AC88)</f>
        <v>30.727303448902397</v>
      </c>
      <c r="AG85" s="290" t="s">
        <v>314</v>
      </c>
      <c r="AH85" s="258" t="s">
        <v>315</v>
      </c>
      <c r="AI85" s="291">
        <f ca="1">AI84*AI83</f>
        <v>296.9800533174992</v>
      </c>
      <c r="AJ85" s="290" t="s">
        <v>316</v>
      </c>
      <c r="AM85" s="985" t="str">
        <f>IF(Loc&lt;&gt;"Upstream","CG to skinplate face","CG to back flange")</f>
        <v>CG to back flange</v>
      </c>
      <c r="AN85" s="258" t="s">
        <v>237</v>
      </c>
      <c r="AO85" s="236">
        <f ca="1">(S84*S85*(S85/2)+N87*I84*(I84/2+S85)+C87*AO89*(AO89/2+I84+S85)+B87*D83*(D83/2+AO89+I84+S85))/AO82</f>
        <v>9.9869292950511224E-2</v>
      </c>
      <c r="AP85" s="290"/>
    </row>
    <row r="86" spans="1:42" ht="12.75" customHeight="1" x14ac:dyDescent="0.2">
      <c r="A86" s="249"/>
      <c r="B86" s="1041"/>
      <c r="C86" s="269"/>
      <c r="D86" s="1050" t="s">
        <v>283</v>
      </c>
      <c r="E86" s="1048"/>
      <c r="F86" s="303"/>
      <c r="G86" s="268"/>
      <c r="H86" s="268"/>
      <c r="I86" s="268"/>
      <c r="J86" s="268"/>
      <c r="K86" s="1048"/>
      <c r="L86" s="1055"/>
      <c r="M86" s="268"/>
      <c r="N86" s="1041"/>
      <c r="O86" s="1044"/>
      <c r="P86" s="268"/>
      <c r="Q86" s="985" t="s">
        <v>89</v>
      </c>
      <c r="R86" s="258" t="s">
        <v>300</v>
      </c>
      <c r="S86" s="324">
        <f ca="1">(S84*S85*(S85/2)^2+N87*I84*(I84/2+S85)^2+C87*H94*(H94/2+I84+S85)^2+B87*D83*(D83/2+H94+I84+S85)^2)+(S84*S85^3/12+N87*I84^3/12+C87*H94^3/12+B87*D83^3/12)-(S84*S85*(S85/2)+N87*I84*(I84/2+S85)+C87*H94*(H94/2+I84+S85)+B87*D83*(D83/2+H94+I84+S85))^2/S82</f>
        <v>2.3846258682085967E-4</v>
      </c>
      <c r="T86" s="985" t="s">
        <v>317</v>
      </c>
      <c r="U86" s="258" t="s">
        <v>318</v>
      </c>
      <c r="V86" s="287">
        <f ca="1">1/0.0254*V82*Lse/384/(E*1000)/S86*(8*Lsup^3-4*Lse^2*Lsup+Lse^3)</f>
        <v>2.2500597754130432E-3</v>
      </c>
      <c r="W86" s="305"/>
      <c r="X86" s="331"/>
      <c r="Y86" s="258" t="s">
        <v>319</v>
      </c>
      <c r="Z86" s="236">
        <f ca="1">IF(Loc="Upstream",S94-S85-I84,H94+I84+S85-S94)*2</f>
        <v>-2.502511627918232E-2</v>
      </c>
      <c r="AA86" s="290" t="s">
        <v>320</v>
      </c>
      <c r="AB86" s="258" t="s">
        <v>321</v>
      </c>
      <c r="AC86" s="236">
        <f ca="1">1.1*AC85*SQRT(E/(Fyb))</f>
        <v>16.433416426695423</v>
      </c>
      <c r="AD86" s="290" t="s">
        <v>322</v>
      </c>
      <c r="AE86" s="258" t="s">
        <v>323</v>
      </c>
      <c r="AF86" s="293">
        <f ca="1">Z91/2/Z92</f>
        <v>9.7144978993090412</v>
      </c>
      <c r="AG86" s="290" t="s">
        <v>324</v>
      </c>
      <c r="AH86" s="258" t="s">
        <v>315</v>
      </c>
      <c r="AI86" s="291">
        <f ca="1">(Fyb*1000)*S92/1</f>
        <v>227.42754267881506</v>
      </c>
      <c r="AJ86" s="290" t="s">
        <v>325</v>
      </c>
      <c r="AM86" s="985" t="str">
        <f>IF(Loc="Upstream","CG to skinplate face","CG to back flange")</f>
        <v>CG to skinplate face</v>
      </c>
      <c r="AN86" s="258" t="s">
        <v>238</v>
      </c>
      <c r="AO86" s="236">
        <f ca="1">D83+AO89+I84+S85-AO85</f>
        <v>0.2621293686537382</v>
      </c>
      <c r="AP86" s="290"/>
    </row>
    <row r="87" spans="1:42" ht="12.75" customHeight="1" x14ac:dyDescent="0.25">
      <c r="A87" s="249"/>
      <c r="B87" s="1043">
        <f ca="1">OFFSET('Define Beam'!$F$11,DBrow*(H87-1),0)</f>
        <v>0.14000000000000001</v>
      </c>
      <c r="C87" s="1043">
        <f ca="1">OFFSET('Define Beam'!$H$11,DBrow*(H87-1),0)</f>
        <v>8.0999999999999996E-3</v>
      </c>
      <c r="D87" s="1050"/>
      <c r="E87" s="1048"/>
      <c r="F87" s="303"/>
      <c r="G87" s="306"/>
      <c r="H87" s="307">
        <f>(ROW()-SPref+11)/SProw</f>
        <v>5</v>
      </c>
      <c r="I87" s="268"/>
      <c r="J87" s="268"/>
      <c r="K87" s="1048"/>
      <c r="L87" s="1055"/>
      <c r="M87" s="268"/>
      <c r="N87" s="1043">
        <f ca="1">OFFSET('Define Beam'!$J$11,DBrow*(H87-1),0)</f>
        <v>0.14000000000000001</v>
      </c>
      <c r="O87" s="1046" t="s">
        <v>326</v>
      </c>
      <c r="P87" s="268"/>
      <c r="Q87" s="985" t="s">
        <v>90</v>
      </c>
      <c r="R87" s="258" t="s">
        <v>266</v>
      </c>
      <c r="S87" s="324">
        <f ca="1">S85*S84^3/12+I84*N87^3/12+H94*C87^3/12+D83*B87^3/12</f>
        <v>1.3841145607310299E-4</v>
      </c>
      <c r="T87" s="985" t="s">
        <v>327</v>
      </c>
      <c r="U87" s="258"/>
      <c r="V87" s="308">
        <f ca="1">Lsup/V86</f>
        <v>1733.2872853495981</v>
      </c>
      <c r="W87" s="309">
        <v>800</v>
      </c>
      <c r="X87" s="332"/>
      <c r="Y87" s="258" t="s">
        <v>923</v>
      </c>
      <c r="Z87" s="293">
        <f ca="1">MIN(IF(Z86&gt;0,Z85/Z86/(0.54*Z84/Z83-0.09)^2,5.7),5.7)*SQRT(E/(Fyb))</f>
        <v>163.6207810762435</v>
      </c>
      <c r="AA87" s="290" t="s">
        <v>328</v>
      </c>
      <c r="AB87" s="258" t="s">
        <v>329</v>
      </c>
      <c r="AC87" s="310">
        <f ca="1">PI()^2*E*1000/(S83/AC85)^2*SQRT(1+0.078*IF(AC83/S87&gt;0.23,S93,0)/S91/AC84*(S83/AC85)^2)</f>
        <v>6118878827.595686</v>
      </c>
      <c r="AD87" s="290" t="s">
        <v>330</v>
      </c>
      <c r="AE87" s="258" t="s">
        <v>331</v>
      </c>
      <c r="AF87" s="291">
        <f ca="1">IF(AF86&gt;AF85,0.9*E*1000*AF83*S91/AF86^2/1,Z90*Z83-(Z90*Z83-AC88*S91/1)*(AF86-AF84)/(AF85-AF84))</f>
        <v>296.89050087067312</v>
      </c>
      <c r="AG87" s="290" t="s">
        <v>908</v>
      </c>
      <c r="AH87" s="258" t="s">
        <v>315</v>
      </c>
      <c r="AI87" s="291">
        <f ca="1">IF(S92&lt;S91,IF(Z89&gt;Z88,AI86,AI85),Z95)</f>
        <v>296.9800533174992</v>
      </c>
      <c r="AJ87" s="290" t="s">
        <v>95</v>
      </c>
      <c r="AM87" s="985" t="str">
        <f>IF(Loc&lt;&gt;"Upstream","Section modulus at skinplate face","Section modulus at back flange")</f>
        <v>Section modulus at back flange</v>
      </c>
      <c r="AN87" s="258" t="s">
        <v>239</v>
      </c>
      <c r="AO87" s="311">
        <f ca="1">AO83/AO85</f>
        <v>2.3877265599515835E-3</v>
      </c>
      <c r="AP87" s="290"/>
    </row>
    <row r="88" spans="1:42" x14ac:dyDescent="0.2">
      <c r="A88" s="249"/>
      <c r="B88" s="1043"/>
      <c r="C88" s="1043"/>
      <c r="D88" s="1051"/>
      <c r="E88" s="1048"/>
      <c r="F88" s="303"/>
      <c r="G88" s="268"/>
      <c r="H88" s="268"/>
      <c r="I88" s="268"/>
      <c r="J88" s="268"/>
      <c r="K88" s="1048"/>
      <c r="L88" s="1055"/>
      <c r="M88" s="268"/>
      <c r="N88" s="1043"/>
      <c r="O88" s="1044"/>
      <c r="P88" s="268"/>
      <c r="Q88" s="985" t="s">
        <v>91</v>
      </c>
      <c r="R88" s="258" t="s">
        <v>202</v>
      </c>
      <c r="S88" s="287">
        <f ca="1">D83+H94+I84+S85</f>
        <v>0.36199999999999999</v>
      </c>
      <c r="T88" s="985" t="s">
        <v>332</v>
      </c>
      <c r="U88" s="258" t="s">
        <v>126</v>
      </c>
      <c r="V88" s="312">
        <f ca="1">DEGREES(V82*Lse/48/(E*1000)/S86*(3*Lsup^2-Lse^2)/0.0254)</f>
        <v>0.10561401748667482</v>
      </c>
      <c r="W88" s="313"/>
      <c r="X88" s="332"/>
      <c r="Y88" s="258" t="s">
        <v>924</v>
      </c>
      <c r="Z88" s="293">
        <f>5.7*SQRT(E/(Fyb))</f>
        <v>163.6207810762435</v>
      </c>
      <c r="AA88" s="290" t="s">
        <v>333</v>
      </c>
      <c r="AB88" s="258" t="s">
        <v>334</v>
      </c>
      <c r="AC88" s="310">
        <f ca="1">IF(S92/S91&lt;0.7,MAX((Fyb*1000)*S92/S91,0.5*(Fyb*1000)),0.7*(Fyb*1000))</f>
        <v>125000</v>
      </c>
      <c r="AD88" s="290" t="s">
        <v>335</v>
      </c>
      <c r="AE88" s="258" t="s">
        <v>329</v>
      </c>
      <c r="AF88" s="310">
        <f ca="1">IF(AF86&lt;AF85,(1-0.3*(AF86-AF84)/(AF85-AF84))*(Fyb*1000),0.9*E*1000*AF83/AF86^2)</f>
        <v>254516.64703320892</v>
      </c>
      <c r="AG88" s="290" t="s">
        <v>336</v>
      </c>
      <c r="AM88" s="985" t="str">
        <f>IF(Loc="Upstream","Section modulus at skinplate face","Section modulus at back flange")</f>
        <v>Section modulus at skinplate face</v>
      </c>
      <c r="AN88" s="258" t="s">
        <v>240</v>
      </c>
      <c r="AO88" s="311">
        <f ca="1">AO83/AO86</f>
        <v>9.0970563323836248E-4</v>
      </c>
      <c r="AP88" s="290"/>
    </row>
    <row r="89" spans="1:42" x14ac:dyDescent="0.2">
      <c r="A89" s="249"/>
      <c r="B89" s="1043"/>
      <c r="C89" s="1043"/>
      <c r="D89" s="314"/>
      <c r="E89" s="1048"/>
      <c r="F89" s="315"/>
      <c r="G89" s="316"/>
      <c r="H89" s="316"/>
      <c r="I89" s="316"/>
      <c r="J89" s="317"/>
      <c r="K89" s="1048"/>
      <c r="L89" s="318" t="s">
        <v>96</v>
      </c>
      <c r="M89" s="268"/>
      <c r="N89" s="1043"/>
      <c r="O89" s="1044"/>
      <c r="P89" s="268"/>
      <c r="Q89" s="985" t="str">
        <f>IF(Loc="Upstream","CG to skinplate face","CG to back flange")</f>
        <v>CG to skinplate face</v>
      </c>
      <c r="R89" s="258" t="s">
        <v>337</v>
      </c>
      <c r="S89" s="287">
        <f ca="1">IF(Loc="Upstream",(S84*S85*(S85/2)+N87*I84*(I84/2+S85)+C87*H94*(H94/2+I84+S85)+B87*D83*(D83/2+H94+I84+S85))/S82,D83+H94+I84+S85-S90)</f>
        <v>9.9869714446120486E-2</v>
      </c>
      <c r="T89" s="985" t="str">
        <f ca="1">IF(I84=0,"Weld size - skinplate to web","Weld size - skinplate to front flange")</f>
        <v>Weld size - skinplate to front flange</v>
      </c>
      <c r="U89" s="258"/>
      <c r="V89" s="287">
        <f ca="1">(ROUNDUP((V82*Lse/2*S85*(O92+O83)*(S90-S85/2)/2/S86/(GDF*0.3*Fyw*1000/SQRT(2)))*16,0)/16)*0.0254</f>
        <v>1.5874999999999999E-3</v>
      </c>
      <c r="W89" s="319"/>
      <c r="X89" s="305"/>
      <c r="Y89" s="258" t="s">
        <v>925</v>
      </c>
      <c r="Z89" s="293">
        <f ca="1">Z85/C87</f>
        <v>18.190052949659378</v>
      </c>
      <c r="AA89" s="290" t="s">
        <v>338</v>
      </c>
      <c r="AB89" s="258" t="s">
        <v>208</v>
      </c>
      <c r="AC89" s="236">
        <f ca="1">1.95*AC85*E*1000/AC88*SQRT(S93/S91/AC84)*SQRT(1+SQRT(1+6.76*(AC88/(E*1000)*S91*AC84/S93)^2))</f>
        <v>83.728032290114115</v>
      </c>
      <c r="AD89" s="290" t="s">
        <v>339</v>
      </c>
      <c r="AE89" s="258" t="s">
        <v>331</v>
      </c>
      <c r="AF89" s="291">
        <f ca="1">Z94*AF88*S91/1</f>
        <v>607.71875014476257</v>
      </c>
      <c r="AG89" s="290" t="s">
        <v>340</v>
      </c>
      <c r="AM89" s="985" t="s">
        <v>341</v>
      </c>
      <c r="AN89" s="286" t="s">
        <v>342</v>
      </c>
      <c r="AO89" s="254">
        <f ca="1">MIN((H94-dweb)*V93/tap+dweb,H94)</f>
        <v>0.32159866160424944</v>
      </c>
      <c r="AP89" s="290"/>
    </row>
    <row r="90" spans="1:42" ht="12.75" customHeight="1" x14ac:dyDescent="0.2">
      <c r="A90" s="249"/>
      <c r="B90" s="1043"/>
      <c r="C90" s="1043"/>
      <c r="D90" s="1053" t="s">
        <v>284</v>
      </c>
      <c r="E90" s="1048"/>
      <c r="F90" s="303"/>
      <c r="G90" s="268"/>
      <c r="H90" s="268"/>
      <c r="I90" s="268"/>
      <c r="J90" s="268"/>
      <c r="K90" s="1048"/>
      <c r="L90" s="1055"/>
      <c r="M90" s="268"/>
      <c r="N90" s="1043"/>
      <c r="O90" s="1044"/>
      <c r="P90" s="268"/>
      <c r="Q90" s="985" t="str">
        <f>IF(Loc&lt;&gt;"Upstream","CG to skinplate face","CG to back flange")</f>
        <v>CG to back flange</v>
      </c>
      <c r="R90" s="258" t="s">
        <v>343</v>
      </c>
      <c r="S90" s="287">
        <f ca="1">IF(Loc&lt;&gt;"Upstream",(S84*S85*(S85/2)+N87*I84*(I84/2+S85)+C87*H94*(H94/2+I84+S85)+B87*D83*(D83/2+H94+I84+S85))/S82,D83+H94+I84+S85-S89)</f>
        <v>0.26213028555387952</v>
      </c>
      <c r="T90" s="985" t="s">
        <v>344</v>
      </c>
      <c r="U90" s="258"/>
      <c r="V90" s="320" t="str">
        <f ca="1">IF(I84=0,"NA",IF(OFFSET('Define Beam'!$D$11,(H87-1)*DBrow,0)="Fabricated Shape",ROUNDUP((V82*Lse/2*(S85*(O92+O83)+I84*N87)*(S90-(((O83+O92)*S85*S85/2+I84*N87*(I84/2+S85))/((O83+O92)*S85+I84*N87)))/2/S86/(GDF*0.3*Fyw*1000/SQRT(2)))*16,0)/16,"NA"))</f>
        <v>NA</v>
      </c>
      <c r="W90" s="321"/>
      <c r="X90" s="333"/>
      <c r="Y90" s="258" t="s">
        <v>345</v>
      </c>
      <c r="Z90" s="301">
        <f ca="1">IF(Z89&gt;Z87,Z84/Z83-(Z84/Z83-1)*(Z89-Z87)/(Z88-Z87),Z84/Z83)</f>
        <v>0.49750887158316798</v>
      </c>
      <c r="AA90" s="290" t="s">
        <v>346</v>
      </c>
      <c r="AB90" s="258" t="s">
        <v>347</v>
      </c>
      <c r="AC90" s="291">
        <f ca="1">MIN(IF(S83&gt;AC89,AC87*S91/1,Z90*Z83-(Z90*Z83-AC88*S91/1)*(S83-AC86)/(AC89-AC86)),Z90*Z83)</f>
        <v>296.62354588166301</v>
      </c>
      <c r="AD90" s="290" t="s">
        <v>348</v>
      </c>
      <c r="AE90" s="258" t="s">
        <v>331</v>
      </c>
      <c r="AF90" s="291">
        <f ca="1">IF(AF86&lt;AF84,Z95,IF(Z89&gt;Z88,AF89,AF87))</f>
        <v>296.9800533174992</v>
      </c>
      <c r="AG90" s="290" t="s">
        <v>95</v>
      </c>
      <c r="AN90" s="258"/>
      <c r="AP90" s="290"/>
    </row>
    <row r="91" spans="1:42" x14ac:dyDescent="0.2">
      <c r="A91" s="249"/>
      <c r="B91" s="1043"/>
      <c r="C91" s="1043"/>
      <c r="D91" s="1054"/>
      <c r="E91" s="1048"/>
      <c r="F91" s="303"/>
      <c r="G91" s="268"/>
      <c r="H91" s="268"/>
      <c r="I91" s="268"/>
      <c r="J91" s="268"/>
      <c r="K91" s="1048"/>
      <c r="L91" s="1055"/>
      <c r="M91" s="268"/>
      <c r="N91" s="1043"/>
      <c r="O91" s="1044"/>
      <c r="P91" s="268"/>
      <c r="Q91" s="985" t="str">
        <f>IF(Loc="Upstream","Section modulus at skinplate face","Section modulus at back flange")</f>
        <v>Section modulus at skinplate face</v>
      </c>
      <c r="R91" s="258" t="s">
        <v>349</v>
      </c>
      <c r="S91" s="334">
        <f ca="1">S86/S89</f>
        <v>2.387736744251029E-3</v>
      </c>
      <c r="T91" s="985" t="s">
        <v>350</v>
      </c>
      <c r="U91" s="258"/>
      <c r="V91" s="320" t="str">
        <f ca="1">IF(OFFSET('Define Beam'!$D$11,(H87-1)*DBrow,0)="Fabricated Shape",ROUNDUP((V82*Lse/2*(D83*B87)*(S89-D83/2)/2/S86/(GDF*0.3*Fyw*1000/SQRT(2)))*16,0)/16,"NA")</f>
        <v>NA</v>
      </c>
      <c r="W91" s="321"/>
      <c r="X91" s="313"/>
      <c r="Y91" s="258" t="s">
        <v>351</v>
      </c>
      <c r="Z91" s="236">
        <f ca="1">IF(Loc="Upstream",S84,B87)</f>
        <v>0.50903968992379378</v>
      </c>
      <c r="AA91" s="290" t="s">
        <v>352</v>
      </c>
      <c r="AB91" s="258" t="s">
        <v>208</v>
      </c>
      <c r="AC91" s="236">
        <f ca="1">PI()*AC85*SQRT(E/(Fyb)/0.7)</f>
        <v>56.096533926208252</v>
      </c>
      <c r="AD91" s="290" t="s">
        <v>353</v>
      </c>
      <c r="AK91" s="255">
        <f ca="1">V88</f>
        <v>0.10561401748667482</v>
      </c>
      <c r="AM91" s="985"/>
      <c r="AO91" s="258"/>
      <c r="AP91" s="290"/>
    </row>
    <row r="92" spans="1:42" ht="12.75" customHeight="1" x14ac:dyDescent="0.2">
      <c r="A92" s="249"/>
      <c r="B92" s="1041" t="s">
        <v>283</v>
      </c>
      <c r="C92" s="322"/>
      <c r="D92" s="1054"/>
      <c r="E92" s="1048"/>
      <c r="F92" s="303"/>
      <c r="G92" s="268"/>
      <c r="H92" s="268"/>
      <c r="I92" s="268"/>
      <c r="J92" s="268"/>
      <c r="K92" s="1048"/>
      <c r="L92" s="1055"/>
      <c r="M92" s="268"/>
      <c r="N92" s="1041" t="s">
        <v>283</v>
      </c>
      <c r="O92" s="1043">
        <f ca="1">OFFSET('Beam Spacing'!$C$23,BSrow*(H87-1),0)*OFFSET('Beam Spacing'!$J$23,BSrow*(H87-1),0)/IF(H87=N,1,2)</f>
        <v>0.22554279605012925</v>
      </c>
      <c r="P92" s="268"/>
      <c r="Q92" s="985" t="str">
        <f>IF(Loc&lt;&gt;"Upstream","Section modulus at skinplate face","Section modulus at back flange")</f>
        <v>Section modulus at back flange</v>
      </c>
      <c r="R92" s="258" t="s">
        <v>354</v>
      </c>
      <c r="S92" s="334">
        <f ca="1">S86/S90</f>
        <v>9.0971017071526028E-4</v>
      </c>
      <c r="T92" s="986" t="s">
        <v>355</v>
      </c>
      <c r="U92" s="258" t="s">
        <v>356</v>
      </c>
      <c r="V92" s="298">
        <f ca="1">V65*Lse/2/(S68+I67+D66+dweb)/C70/1000/0.0254</f>
        <v>29.769425359604266</v>
      </c>
      <c r="W92" s="299">
        <f>0.4*GDF*(Fyb)</f>
        <v>75.000000000000014</v>
      </c>
      <c r="Y92" s="258" t="s">
        <v>357</v>
      </c>
      <c r="Z92" s="236">
        <f ca="1">IF(Loc="Upstream",S85+I84,D83)</f>
        <v>2.6200000000000001E-2</v>
      </c>
      <c r="AA92" s="290" t="s">
        <v>358</v>
      </c>
      <c r="AB92" s="258" t="s">
        <v>329</v>
      </c>
      <c r="AC92" s="310">
        <f ca="1">IF(S83&gt;AC91,MIN(PI()^2*E*1000*(AC85/S83)^2,(Fyb*1000)),MIN(1-0.3*(S83-AC86)/(AC91-AC86),1)*(Fyb*1000))</f>
        <v>250000</v>
      </c>
      <c r="AD92" s="290" t="s">
        <v>359</v>
      </c>
    </row>
    <row r="93" spans="1:42" x14ac:dyDescent="0.2">
      <c r="A93" s="249"/>
      <c r="B93" s="1042"/>
      <c r="C93" s="323"/>
      <c r="D93" s="323"/>
      <c r="E93" s="1049"/>
      <c r="F93" s="303"/>
      <c r="G93" s="268"/>
      <c r="H93" s="268"/>
      <c r="I93" s="268"/>
      <c r="J93" s="268"/>
      <c r="K93" s="1049"/>
      <c r="L93" s="1055"/>
      <c r="M93" s="323"/>
      <c r="N93" s="1042"/>
      <c r="O93" s="1044"/>
      <c r="P93" s="268"/>
      <c r="Q93" s="985" t="s">
        <v>92</v>
      </c>
      <c r="R93" s="258" t="s">
        <v>264</v>
      </c>
      <c r="S93" s="324">
        <f ca="1">S84*S85^3/3+N87*I84^3/3+H94*C87^3/3+B87*D83^3/3</f>
        <v>6.1741754992943859E-7</v>
      </c>
      <c r="T93" s="986" t="s">
        <v>360</v>
      </c>
      <c r="U93" s="258"/>
      <c r="V93" s="287">
        <v>0.23099568199136353</v>
      </c>
      <c r="W93" s="249"/>
      <c r="Y93" s="258" t="s">
        <v>361</v>
      </c>
      <c r="Z93" s="293">
        <f ca="1">MIN(Z85*C87/Z91/Z92,10)</f>
        <v>8.9485169284703764E-2</v>
      </c>
      <c r="AA93" s="290" t="s">
        <v>362</v>
      </c>
      <c r="AB93" s="258" t="s">
        <v>347</v>
      </c>
      <c r="AC93" s="291">
        <f ca="1">Z94*AC92*S91/1</f>
        <v>596.93418606275725</v>
      </c>
      <c r="AD93" s="290" t="s">
        <v>363</v>
      </c>
    </row>
    <row r="94" spans="1:42" x14ac:dyDescent="0.2">
      <c r="A94" s="249"/>
      <c r="B94" s="268"/>
      <c r="C94" s="268"/>
      <c r="D94" s="268"/>
      <c r="E94" s="268"/>
      <c r="F94" s="325" t="s">
        <v>364</v>
      </c>
      <c r="G94" s="268"/>
      <c r="H94" s="984">
        <f ca="1">OFFSET('Define Beam'!$I$11,DBrow*(H87-1),0)</f>
        <v>0.3216</v>
      </c>
      <c r="I94" s="268"/>
      <c r="J94" s="326" t="s">
        <v>365</v>
      </c>
      <c r="K94" s="297"/>
      <c r="L94" s="1055"/>
      <c r="M94" s="268"/>
      <c r="N94" s="268"/>
      <c r="O94" s="1044"/>
      <c r="P94" s="268"/>
      <c r="Q94" s="985" t="s">
        <v>93</v>
      </c>
      <c r="R94" s="258" t="s">
        <v>366</v>
      </c>
      <c r="S94" s="287">
        <f ca="1">IF(IF(S84*S85&gt;S82/2,1,0)=1,S85-(S84*S85-S82/2)/(S84*S85)*S85,0)+IF(IF((N87*I84+S84*S85&gt;S82/2)*AND(S84*S85&lt;S82/2),1,0)=1,I84+S85-(N87*I84+S84*S85-S82/2)/(N87*I84)*I84,0)+IF(IF((C87*H94+N87*I84+S84*S85&gt;S82/2)*AND(N87*I84+S84*S85&lt;S82/2),1,0)=1,(H94+I84+S85)-((C87*H94+N87*I84+S84*S85)-S82/2)/(C87*H94)*H94,0)+IF(IF(C87*H94+N87*I84+S84*S85&lt;S82/2,1,0)=1,(D83+H94+I84+S85-S82/2)/(B87*D83)*D83,0)</f>
        <v>1.368744186040884E-2</v>
      </c>
      <c r="T94" s="986" t="s">
        <v>367</v>
      </c>
      <c r="U94" s="258" t="s">
        <v>368</v>
      </c>
      <c r="V94" s="288">
        <f ca="1">IF(tap=0,0,IF(V93&lt;(Lsup-Lse)/2,V93*V82*Lse/2,V93*V82*Lse/2-V82/2*(V93-(Lsup-Lse)/2)^2)/1)</f>
        <v>0.38720984318744694</v>
      </c>
      <c r="W94" s="249"/>
      <c r="Y94" s="258" t="s">
        <v>369</v>
      </c>
      <c r="Z94" s="301">
        <f ca="1">MIN(1-Z93/(100+300*Z93)*(Z85/C87-5.7*SQRT(E/(Fyb))),1)</f>
        <v>1</v>
      </c>
      <c r="AA94" s="290" t="s">
        <v>370</v>
      </c>
      <c r="AB94" s="258" t="s">
        <v>347</v>
      </c>
      <c r="AC94" s="291">
        <f ca="1">IF(S83&lt;AC86,Z95,IF(Z89&gt;Z88,AC93,AC90))</f>
        <v>296.9800533174992</v>
      </c>
      <c r="AD94" s="290" t="s">
        <v>95</v>
      </c>
      <c r="AM94" s="985"/>
      <c r="AO94" s="258"/>
    </row>
    <row r="95" spans="1:42" x14ac:dyDescent="0.2">
      <c r="A95" s="249"/>
      <c r="B95" s="268"/>
      <c r="C95" s="268"/>
      <c r="D95" s="268"/>
      <c r="E95" s="268"/>
      <c r="F95" s="268"/>
      <c r="G95" s="268"/>
      <c r="H95" s="268"/>
      <c r="I95" s="268"/>
      <c r="J95" s="268"/>
      <c r="K95" s="268"/>
      <c r="L95" s="1055"/>
      <c r="M95" s="268"/>
      <c r="N95" s="268"/>
      <c r="O95" s="1044"/>
      <c r="P95" s="268"/>
      <c r="Q95" s="985" t="s">
        <v>94</v>
      </c>
      <c r="R95" s="258" t="s">
        <v>371</v>
      </c>
      <c r="S95" s="334">
        <f ca="1">S84*S85*ABS(S85/2-S94)*(1-IF(S84*S85&gt;S82/2,1,0))+IF(S84*S85&gt;S82/2,1,0)*S84/2*((S85-S94)^2+S94^2)+N87*I84*ABS(((I84+S85)+S85)/2-S94)*(1-IF((N87*I84+S84*S85&gt;S82/2)*AND(S84*S85&lt;S82/2),1,0))+IF((N87*I84+S84*S85&gt;S82/2)*AND(S84*S85&lt;S82/2),1,0)*N87/2*((I84+S85-S94)^2+(S94-S85)^2)+C87*H94*ABS((H94+I84+S85+I84+S85)/2-S94)*(1-IF((C87*H94+N87*I84+S84*S85&gt;S82/2)*AND(N87*I84+S84*S85&lt;S82/2),1,0))+IF((C87*H94+N87*I84+S84*S85&gt;S82/2)*AND(N87*I84+S84*S85&lt;S82/2),1,0)*C87/2*((H94+I84+S85-S94)^2+(S94-(I84+S85))^2)+B87*D83*ABS(((D83+H94+I84+S85)+(H94+I84+S85))/2-S94)*(1-IF((S82&gt;S82/2)*AND(C87*H94+N87*I84+S84*S85&lt;S82/2),1,0))+IF((S82&gt;S82/2)*AND(C87*H94+N87*I84+S84*S85&lt;S82/2),1,0)*B87/2*(((D83+H94+I84+S85)-S94)^2+(S94-(H94+I84+S85))^2)</f>
        <v>1.1879202132699968E-3</v>
      </c>
      <c r="T95" s="986" t="s">
        <v>372</v>
      </c>
      <c r="U95" s="258" t="s">
        <v>373</v>
      </c>
      <c r="V95" s="298">
        <f ca="1">IF(tap=0,0,V94*1/AO87)*0.001</f>
        <v>0.16216674458540115</v>
      </c>
      <c r="W95" s="299">
        <f ca="1">V84</f>
        <v>29.251717165866488</v>
      </c>
      <c r="Y95" s="258" t="s">
        <v>374</v>
      </c>
      <c r="Z95" s="291">
        <f ca="1">IF(Z89&gt;Z88,Z94,Z90)*Z83</f>
        <v>296.9800533174992</v>
      </c>
      <c r="AA95" s="290" t="s">
        <v>375</v>
      </c>
      <c r="AM95" s="985"/>
      <c r="AO95" s="258"/>
    </row>
    <row r="96" spans="1:42" ht="12.75" customHeight="1" x14ac:dyDescent="0.2">
      <c r="A96" s="249"/>
      <c r="B96" s="268"/>
      <c r="C96" s="268"/>
      <c r="D96" s="268"/>
      <c r="E96" s="268"/>
      <c r="F96" s="268"/>
      <c r="G96" s="268"/>
      <c r="H96" s="268"/>
      <c r="I96" s="273">
        <f>I79</f>
        <v>1.2E-2</v>
      </c>
      <c r="J96" s="987"/>
      <c r="K96" s="270" t="s">
        <v>282</v>
      </c>
      <c r="L96" s="1055"/>
      <c r="M96" s="272" t="s">
        <v>283</v>
      </c>
      <c r="N96" s="268"/>
      <c r="O96" s="1041" t="s">
        <v>283</v>
      </c>
      <c r="P96" s="268"/>
      <c r="Q96" s="985" t="s">
        <v>95</v>
      </c>
      <c r="R96" s="258" t="s">
        <v>273</v>
      </c>
      <c r="S96" s="288">
        <f ca="1">MIN(Z95,AC94,AF90,AI87)*1</f>
        <v>296.9800533174992</v>
      </c>
      <c r="T96" s="986" t="s">
        <v>376</v>
      </c>
      <c r="U96" s="258" t="s">
        <v>377</v>
      </c>
      <c r="V96" s="298">
        <f ca="1">IF(tap=0,0,V94*1/AO88)*0.001</f>
        <v>0.42564300916666925</v>
      </c>
      <c r="W96" s="299">
        <f ca="1">V85</f>
        <v>76.777639909711013</v>
      </c>
      <c r="AM96" s="985"/>
      <c r="AN96" s="258"/>
    </row>
    <row r="97" spans="1:39" x14ac:dyDescent="0.2">
      <c r="A97" s="249"/>
      <c r="B97" s="268"/>
      <c r="C97" s="268"/>
      <c r="D97" s="268"/>
      <c r="E97" s="268"/>
      <c r="F97" s="268"/>
      <c r="G97" s="268"/>
      <c r="H97" s="268"/>
      <c r="I97" s="268"/>
      <c r="J97" s="268"/>
      <c r="K97" s="268"/>
      <c r="L97" s="1094"/>
      <c r="M97" s="335"/>
      <c r="N97" s="328"/>
      <c r="O97" s="1093"/>
      <c r="P97" s="328"/>
      <c r="Q97" s="336"/>
      <c r="R97" s="337"/>
      <c r="S97" s="337"/>
      <c r="T97" s="336"/>
      <c r="U97" s="337"/>
      <c r="V97" s="337"/>
      <c r="W97" s="337"/>
      <c r="AM97" s="256"/>
    </row>
  </sheetData>
  <sheetProtection algorithmName="SHA-512" hashValue="FjLMP2UNvcesN0stCPQgme1C9KRM0idZOjaHVJkswwXorMQmSjqHthIWVZgxBA3CNilCd6GqMLXJXv2PFqew0A==" saltValue="c9y83nHTI4QC5QNrS2r7Bg==" spinCount="100000" sheet="1" objects="1" scenarios="1" selectLockedCells="1"/>
  <mergeCells count="112">
    <mergeCell ref="N92:N93"/>
    <mergeCell ref="O92:O95"/>
    <mergeCell ref="O96:O97"/>
    <mergeCell ref="L81:L88"/>
    <mergeCell ref="O81:O82"/>
    <mergeCell ref="D83:F83"/>
    <mergeCell ref="O83:O86"/>
    <mergeCell ref="B85:B86"/>
    <mergeCell ref="E85:E93"/>
    <mergeCell ref="K85:K93"/>
    <mergeCell ref="N85:N86"/>
    <mergeCell ref="D86:D88"/>
    <mergeCell ref="B87:B91"/>
    <mergeCell ref="C87:C91"/>
    <mergeCell ref="N87:N91"/>
    <mergeCell ref="O87:O91"/>
    <mergeCell ref="D90:D92"/>
    <mergeCell ref="L90:L97"/>
    <mergeCell ref="B92:B93"/>
    <mergeCell ref="O79:O80"/>
    <mergeCell ref="L64:L71"/>
    <mergeCell ref="O64:O65"/>
    <mergeCell ref="D66:F66"/>
    <mergeCell ref="O66:O69"/>
    <mergeCell ref="O70:O74"/>
    <mergeCell ref="O75:O78"/>
    <mergeCell ref="B68:B69"/>
    <mergeCell ref="E68:E76"/>
    <mergeCell ref="K68:K76"/>
    <mergeCell ref="N68:N69"/>
    <mergeCell ref="D69:D71"/>
    <mergeCell ref="B70:B74"/>
    <mergeCell ref="C70:C74"/>
    <mergeCell ref="N70:N74"/>
    <mergeCell ref="D73:D75"/>
    <mergeCell ref="L73:L80"/>
    <mergeCell ref="B75:B76"/>
    <mergeCell ref="N75:N76"/>
    <mergeCell ref="N51:N52"/>
    <mergeCell ref="D52:D54"/>
    <mergeCell ref="B53:B57"/>
    <mergeCell ref="C53:C57"/>
    <mergeCell ref="N53:N57"/>
    <mergeCell ref="D56:D58"/>
    <mergeCell ref="L56:L63"/>
    <mergeCell ref="B58:B59"/>
    <mergeCell ref="N58:N59"/>
    <mergeCell ref="L47:L54"/>
    <mergeCell ref="D49:F49"/>
    <mergeCell ref="B51:B52"/>
    <mergeCell ref="E51:E59"/>
    <mergeCell ref="K51:K59"/>
    <mergeCell ref="O47:O48"/>
    <mergeCell ref="O49:O52"/>
    <mergeCell ref="O53:O57"/>
    <mergeCell ref="O58:O61"/>
    <mergeCell ref="O62:O63"/>
    <mergeCell ref="O32:O35"/>
    <mergeCell ref="O28:O29"/>
    <mergeCell ref="O30:O31"/>
    <mergeCell ref="B34:B35"/>
    <mergeCell ref="E34:E42"/>
    <mergeCell ref="O36:O40"/>
    <mergeCell ref="D39:D41"/>
    <mergeCell ref="L39:L46"/>
    <mergeCell ref="B41:B42"/>
    <mergeCell ref="N41:N42"/>
    <mergeCell ref="O41:O44"/>
    <mergeCell ref="O45:O46"/>
    <mergeCell ref="K34:K42"/>
    <mergeCell ref="N34:N35"/>
    <mergeCell ref="D35:D37"/>
    <mergeCell ref="B36:B40"/>
    <mergeCell ref="N36:N40"/>
    <mergeCell ref="L30:L37"/>
    <mergeCell ref="C36:C40"/>
    <mergeCell ref="D32:F32"/>
    <mergeCell ref="A2:W2"/>
    <mergeCell ref="A4:G4"/>
    <mergeCell ref="I4:K4"/>
    <mergeCell ref="T4:T5"/>
    <mergeCell ref="U4:W5"/>
    <mergeCell ref="A5:G5"/>
    <mergeCell ref="I5:K5"/>
    <mergeCell ref="Q10:S11"/>
    <mergeCell ref="T10:W11"/>
    <mergeCell ref="K11:M11"/>
    <mergeCell ref="U6:W6"/>
    <mergeCell ref="D15:F15"/>
    <mergeCell ref="O13:O14"/>
    <mergeCell ref="A6:G6"/>
    <mergeCell ref="I6:K6"/>
    <mergeCell ref="A7:G7"/>
    <mergeCell ref="I7:K7"/>
    <mergeCell ref="A8:G8"/>
    <mergeCell ref="I8:K8"/>
    <mergeCell ref="L13:L20"/>
    <mergeCell ref="N19:N23"/>
    <mergeCell ref="B24:B25"/>
    <mergeCell ref="O24:O27"/>
    <mergeCell ref="O15:O18"/>
    <mergeCell ref="N17:N18"/>
    <mergeCell ref="O19:O23"/>
    <mergeCell ref="B17:B18"/>
    <mergeCell ref="E17:E25"/>
    <mergeCell ref="K17:K25"/>
    <mergeCell ref="D18:D20"/>
    <mergeCell ref="B19:B23"/>
    <mergeCell ref="C19:C23"/>
    <mergeCell ref="D22:D24"/>
    <mergeCell ref="L22:L29"/>
    <mergeCell ref="N24:N25"/>
  </mergeCells>
  <conditionalFormatting sqref="V19:W19">
    <cfRule type="cellIs" dxfId="404" priority="549" operator="lessThan">
      <formula>$W19</formula>
    </cfRule>
    <cfRule type="cellIs" dxfId="403" priority="550" operator="greaterThanOrEqual">
      <formula>$W19</formula>
    </cfRule>
  </conditionalFormatting>
  <conditionalFormatting sqref="V24:W24">
    <cfRule type="cellIs" dxfId="402" priority="543" operator="greaterThan">
      <formula>$W24</formula>
    </cfRule>
    <cfRule type="cellIs" dxfId="401" priority="544" operator="lessThanOrEqual">
      <formula>$W24</formula>
    </cfRule>
  </conditionalFormatting>
  <conditionalFormatting sqref="V17:W17">
    <cfRule type="cellIs" dxfId="400" priority="539" operator="greaterThan">
      <formula>$W17</formula>
    </cfRule>
    <cfRule type="cellIs" dxfId="399" priority="540" operator="lessThanOrEqual">
      <formula>$W17</formula>
    </cfRule>
  </conditionalFormatting>
  <conditionalFormatting sqref="V16:W16">
    <cfRule type="cellIs" dxfId="398" priority="541" operator="greaterThan">
      <formula>$W16</formula>
    </cfRule>
    <cfRule type="cellIs" dxfId="397" priority="542" operator="lessThanOrEqual">
      <formula>$W16</formula>
    </cfRule>
  </conditionalFormatting>
  <conditionalFormatting sqref="V44:W44">
    <cfRule type="cellIs" dxfId="396" priority="473" operator="greaterThan">
      <formula>$W44</formula>
    </cfRule>
    <cfRule type="cellIs" dxfId="395" priority="474" operator="lessThanOrEqual">
      <formula>$W44</formula>
    </cfRule>
  </conditionalFormatting>
  <conditionalFormatting sqref="V34:W34">
    <cfRule type="cellIs" dxfId="394" priority="475" operator="greaterThan">
      <formula>$W34</formula>
    </cfRule>
    <cfRule type="cellIs" dxfId="393" priority="476" operator="lessThanOrEqual">
      <formula>$W34</formula>
    </cfRule>
  </conditionalFormatting>
  <conditionalFormatting sqref="V45:W45">
    <cfRule type="cellIs" dxfId="392" priority="471" operator="greaterThan">
      <formula>$W45</formula>
    </cfRule>
    <cfRule type="cellIs" dxfId="391" priority="472" operator="lessThanOrEqual">
      <formula>$W45</formula>
    </cfRule>
  </conditionalFormatting>
  <conditionalFormatting sqref="X32:X37">
    <cfRule type="expression" dxfId="390" priority="548" stopIfTrue="1">
      <formula>#REF!="Web is slender"</formula>
    </cfRule>
  </conditionalFormatting>
  <conditionalFormatting sqref="X38:X40">
    <cfRule type="expression" dxfId="389" priority="547" stopIfTrue="1">
      <formula>#REF!="Web is slender"</formula>
    </cfRule>
  </conditionalFormatting>
  <conditionalFormatting sqref="X38:X40">
    <cfRule type="expression" dxfId="388" priority="546" stopIfTrue="1">
      <formula>#REF!="Web is slender"</formula>
    </cfRule>
  </conditionalFormatting>
  <conditionalFormatting sqref="X38:X40">
    <cfRule type="expression" dxfId="387" priority="545" stopIfTrue="1">
      <formula>#REF!="Web is slender"</formula>
    </cfRule>
  </conditionalFormatting>
  <conditionalFormatting sqref="V28:W28">
    <cfRule type="cellIs" dxfId="386" priority="535" operator="greaterThan">
      <formula>$W28</formula>
    </cfRule>
    <cfRule type="cellIs" dxfId="385" priority="536" operator="lessThanOrEqual">
      <formula>$W28</formula>
    </cfRule>
  </conditionalFormatting>
  <conditionalFormatting sqref="V27:W27">
    <cfRule type="cellIs" dxfId="384" priority="537" operator="greaterThan">
      <formula>$W27</formula>
    </cfRule>
    <cfRule type="cellIs" dxfId="383" priority="538" operator="lessThanOrEqual">
      <formula>$W27</formula>
    </cfRule>
  </conditionalFormatting>
  <conditionalFormatting sqref="V36:W36">
    <cfRule type="cellIs" dxfId="382" priority="481" operator="lessThan">
      <formula>$W36</formula>
    </cfRule>
    <cfRule type="cellIs" dxfId="381" priority="482" operator="greaterThanOrEqual">
      <formula>$W36</formula>
    </cfRule>
  </conditionalFormatting>
  <conditionalFormatting sqref="W41">
    <cfRule type="cellIs" dxfId="380" priority="479" operator="greaterThan">
      <formula>$W41</formula>
    </cfRule>
    <cfRule type="cellIs" dxfId="379" priority="480" operator="lessThanOrEqual">
      <formula>$W41</formula>
    </cfRule>
  </conditionalFormatting>
  <conditionalFormatting sqref="V33:W33">
    <cfRule type="cellIs" dxfId="378" priority="477" operator="greaterThan">
      <formula>$W33</formula>
    </cfRule>
    <cfRule type="cellIs" dxfId="377" priority="478" operator="lessThanOrEqual">
      <formula>$W33</formula>
    </cfRule>
  </conditionalFormatting>
  <conditionalFormatting sqref="V41">
    <cfRule type="cellIs" dxfId="376" priority="61" operator="greaterThan">
      <formula>$W41</formula>
    </cfRule>
    <cfRule type="cellIs" dxfId="375" priority="62" operator="lessThanOrEqual">
      <formula>$W41</formula>
    </cfRule>
  </conditionalFormatting>
  <conditionalFormatting sqref="V61:W61">
    <cfRule type="cellIs" dxfId="374" priority="41" operator="greaterThan">
      <formula>$W61</formula>
    </cfRule>
    <cfRule type="cellIs" dxfId="373" priority="42" operator="lessThanOrEqual">
      <formula>$W61</formula>
    </cfRule>
  </conditionalFormatting>
  <conditionalFormatting sqref="V51:W51">
    <cfRule type="cellIs" dxfId="372" priority="43" operator="greaterThan">
      <formula>$W51</formula>
    </cfRule>
    <cfRule type="cellIs" dxfId="371" priority="44" operator="lessThanOrEqual">
      <formula>$W51</formula>
    </cfRule>
  </conditionalFormatting>
  <conditionalFormatting sqref="V62:W62">
    <cfRule type="cellIs" dxfId="370" priority="39" operator="greaterThan">
      <formula>$W62</formula>
    </cfRule>
    <cfRule type="cellIs" dxfId="369" priority="40" operator="lessThanOrEqual">
      <formula>$W62</formula>
    </cfRule>
  </conditionalFormatting>
  <conditionalFormatting sqref="X49:X54">
    <cfRule type="expression" dxfId="368" priority="54" stopIfTrue="1">
      <formula>#REF!="Web is slender"</formula>
    </cfRule>
  </conditionalFormatting>
  <conditionalFormatting sqref="X55:X57">
    <cfRule type="expression" dxfId="367" priority="53" stopIfTrue="1">
      <formula>#REF!="Web is slender"</formula>
    </cfRule>
  </conditionalFormatting>
  <conditionalFormatting sqref="X55:X57">
    <cfRule type="expression" dxfId="366" priority="52" stopIfTrue="1">
      <formula>#REF!="Web is slender"</formula>
    </cfRule>
  </conditionalFormatting>
  <conditionalFormatting sqref="X55:X57">
    <cfRule type="expression" dxfId="365" priority="51" stopIfTrue="1">
      <formula>#REF!="Web is slender"</formula>
    </cfRule>
  </conditionalFormatting>
  <conditionalFormatting sqref="V53:W53">
    <cfRule type="cellIs" dxfId="364" priority="49" operator="lessThan">
      <formula>$W53</formula>
    </cfRule>
    <cfRule type="cellIs" dxfId="363" priority="50" operator="greaterThanOrEqual">
      <formula>$W53</formula>
    </cfRule>
  </conditionalFormatting>
  <conditionalFormatting sqref="W58">
    <cfRule type="cellIs" dxfId="362" priority="47" operator="greaterThan">
      <formula>$W58</formula>
    </cfRule>
    <cfRule type="cellIs" dxfId="361" priority="48" operator="lessThanOrEqual">
      <formula>$W58</formula>
    </cfRule>
  </conditionalFormatting>
  <conditionalFormatting sqref="V50:W50">
    <cfRule type="cellIs" dxfId="360" priority="45" operator="greaterThan">
      <formula>$W50</formula>
    </cfRule>
    <cfRule type="cellIs" dxfId="359" priority="46" operator="lessThanOrEqual">
      <formula>$W50</formula>
    </cfRule>
  </conditionalFormatting>
  <conditionalFormatting sqref="V58">
    <cfRule type="cellIs" dxfId="358" priority="37" operator="greaterThan">
      <formula>$W58</formula>
    </cfRule>
    <cfRule type="cellIs" dxfId="357" priority="38" operator="lessThanOrEqual">
      <formula>$W58</formula>
    </cfRule>
  </conditionalFormatting>
  <conditionalFormatting sqref="V78:W78">
    <cfRule type="cellIs" dxfId="356" priority="23" operator="greaterThan">
      <formula>$W78</formula>
    </cfRule>
    <cfRule type="cellIs" dxfId="355" priority="24" operator="lessThanOrEqual">
      <formula>$W78</formula>
    </cfRule>
  </conditionalFormatting>
  <conditionalFormatting sqref="V68:W68">
    <cfRule type="cellIs" dxfId="354" priority="25" operator="greaterThan">
      <formula>$W68</formula>
    </cfRule>
    <cfRule type="cellIs" dxfId="353" priority="26" operator="lessThanOrEqual">
      <formula>$W68</formula>
    </cfRule>
  </conditionalFormatting>
  <conditionalFormatting sqref="V79:W79">
    <cfRule type="cellIs" dxfId="352" priority="21" operator="greaterThan">
      <formula>$W79</formula>
    </cfRule>
    <cfRule type="cellIs" dxfId="351" priority="22" operator="lessThanOrEqual">
      <formula>$W79</formula>
    </cfRule>
  </conditionalFormatting>
  <conditionalFormatting sqref="X66:X71">
    <cfRule type="expression" dxfId="350" priority="36" stopIfTrue="1">
      <formula>#REF!="Web is slender"</formula>
    </cfRule>
  </conditionalFormatting>
  <conditionalFormatting sqref="X72:X74">
    <cfRule type="expression" dxfId="349" priority="35" stopIfTrue="1">
      <formula>#REF!="Web is slender"</formula>
    </cfRule>
  </conditionalFormatting>
  <conditionalFormatting sqref="X72:X74">
    <cfRule type="expression" dxfId="348" priority="34" stopIfTrue="1">
      <formula>#REF!="Web is slender"</formula>
    </cfRule>
  </conditionalFormatting>
  <conditionalFormatting sqref="X72:X74">
    <cfRule type="expression" dxfId="347" priority="33" stopIfTrue="1">
      <formula>#REF!="Web is slender"</formula>
    </cfRule>
  </conditionalFormatting>
  <conditionalFormatting sqref="V70:W70">
    <cfRule type="cellIs" dxfId="346" priority="31" operator="lessThan">
      <formula>$W70</formula>
    </cfRule>
    <cfRule type="cellIs" dxfId="345" priority="32" operator="greaterThanOrEqual">
      <formula>$W70</formula>
    </cfRule>
  </conditionalFormatting>
  <conditionalFormatting sqref="W75">
    <cfRule type="cellIs" dxfId="344" priority="29" operator="greaterThan">
      <formula>$W75</formula>
    </cfRule>
    <cfRule type="cellIs" dxfId="343" priority="30" operator="lessThanOrEqual">
      <formula>$W75</formula>
    </cfRule>
  </conditionalFormatting>
  <conditionalFormatting sqref="V67:W67">
    <cfRule type="cellIs" dxfId="342" priority="27" operator="greaterThan">
      <formula>$W67</formula>
    </cfRule>
    <cfRule type="cellIs" dxfId="341" priority="28" operator="lessThanOrEqual">
      <formula>$W67</formula>
    </cfRule>
  </conditionalFormatting>
  <conditionalFormatting sqref="V75">
    <cfRule type="cellIs" dxfId="340" priority="19" operator="greaterThan">
      <formula>$W75</formula>
    </cfRule>
    <cfRule type="cellIs" dxfId="339" priority="20" operator="lessThanOrEqual">
      <formula>$W75</formula>
    </cfRule>
  </conditionalFormatting>
  <conditionalFormatting sqref="V95:W95">
    <cfRule type="cellIs" dxfId="338" priority="5" operator="greaterThan">
      <formula>$W95</formula>
    </cfRule>
    <cfRule type="cellIs" dxfId="337" priority="6" operator="lessThanOrEqual">
      <formula>$W95</formula>
    </cfRule>
  </conditionalFormatting>
  <conditionalFormatting sqref="V85:W85">
    <cfRule type="cellIs" dxfId="336" priority="7" operator="greaterThan">
      <formula>$W85</formula>
    </cfRule>
    <cfRule type="cellIs" dxfId="335" priority="8" operator="lessThanOrEqual">
      <formula>$W85</formula>
    </cfRule>
  </conditionalFormatting>
  <conditionalFormatting sqref="V96:W96">
    <cfRule type="cellIs" dxfId="334" priority="3" operator="greaterThan">
      <formula>$W96</formula>
    </cfRule>
    <cfRule type="cellIs" dxfId="333" priority="4" operator="lessThanOrEqual">
      <formula>$W96</formula>
    </cfRule>
  </conditionalFormatting>
  <conditionalFormatting sqref="X83:X88">
    <cfRule type="expression" dxfId="332" priority="18" stopIfTrue="1">
      <formula>#REF!="Web is slender"</formula>
    </cfRule>
  </conditionalFormatting>
  <conditionalFormatting sqref="X89:X91">
    <cfRule type="expression" dxfId="331" priority="17" stopIfTrue="1">
      <formula>#REF!="Web is slender"</formula>
    </cfRule>
  </conditionalFormatting>
  <conditionalFormatting sqref="X89:X91">
    <cfRule type="expression" dxfId="330" priority="16" stopIfTrue="1">
      <formula>#REF!="Web is slender"</formula>
    </cfRule>
  </conditionalFormatting>
  <conditionalFormatting sqref="X89:X91">
    <cfRule type="expression" dxfId="329" priority="15" stopIfTrue="1">
      <formula>#REF!="Web is slender"</formula>
    </cfRule>
  </conditionalFormatting>
  <conditionalFormatting sqref="V87:W87">
    <cfRule type="cellIs" dxfId="328" priority="13" operator="lessThan">
      <formula>$W87</formula>
    </cfRule>
    <cfRule type="cellIs" dxfId="327" priority="14" operator="greaterThanOrEqual">
      <formula>$W87</formula>
    </cfRule>
  </conditionalFormatting>
  <conditionalFormatting sqref="W92">
    <cfRule type="cellIs" dxfId="326" priority="11" operator="greaterThan">
      <formula>$W92</formula>
    </cfRule>
    <cfRule type="cellIs" dxfId="325" priority="12" operator="lessThanOrEqual">
      <formula>$W92</formula>
    </cfRule>
  </conditionalFormatting>
  <conditionalFormatting sqref="V84:W84">
    <cfRule type="cellIs" dxfId="324" priority="9" operator="greaterThan">
      <formula>$W84</formula>
    </cfRule>
    <cfRule type="cellIs" dxfId="323" priority="10" operator="lessThanOrEqual">
      <formula>$W84</formula>
    </cfRule>
  </conditionalFormatting>
  <conditionalFormatting sqref="V92">
    <cfRule type="cellIs" dxfId="322" priority="1" operator="greaterThan">
      <formula>$W92</formula>
    </cfRule>
    <cfRule type="cellIs" dxfId="321" priority="2" operator="lessThanOrEqual">
      <formula>$W92</formula>
    </cfRule>
  </conditionalFormatting>
  <dataValidations count="9">
    <dataValidation type="decimal" allowBlank="1" showInputMessage="1" showErrorMessage="1" errorTitle="Taper Length" error="Must not be greater than half of the support span nor less than 0" sqref="S7">
      <formula1>0</formula1>
      <formula2>Lsup/2</formula2>
    </dataValidation>
    <dataValidation type="decimal" allowBlank="1" showInputMessage="1" showErrorMessage="1" errorTitle="Bending Safety Factor" error="Value between 1 and 5 required.  Normally AISC value of 1.67 should be used" sqref="I8:K8">
      <formula1>1</formula1>
      <formula2>5</formula2>
    </dataValidation>
    <dataValidation type="decimal" allowBlank="1" showInputMessage="1" showErrorMessage="1" errorTitle="Gate Design Factor" error="Value between 0.1 and 1.5 required" sqref="I7:K7">
      <formula1>0.1</formula1>
      <formula2>1.5</formula2>
    </dataValidation>
    <dataValidation type="list" allowBlank="1" showInputMessage="1" showErrorMessage="1" sqref="U4">
      <formula1>GateType</formula1>
    </dataValidation>
    <dataValidation type="list" allowBlank="1" showInputMessage="1" showErrorMessage="1" sqref="I4">
      <formula1>"Upstream,Downstream"</formula1>
    </dataValidation>
    <dataValidation type="decimal" allowBlank="1" showInputMessage="1" showErrorMessage="1" error="Value between 1 and 200 required.  Typically equal to or less than the web depth plus front flange thickness" sqref="S8">
      <formula1>0.0254*1</formula1>
      <formula2>0.0254*200</formula2>
    </dataValidation>
    <dataValidation type="decimal" allowBlank="1" showInputMessage="1" showErrorMessage="1" errorTitle="Skinplate Thickness" error="Value between 0.1 and 2 required" sqref="I13 I45 I28 I62 I79 I96">
      <formula1>0.0254*0.1</formula1>
      <formula2>0.0254*2</formula2>
    </dataValidation>
    <dataValidation type="decimal" allowBlank="1" showInputMessage="1" showErrorMessage="1" errorTitle="Seal Span" error="Span must not be greater than the support span nor less than 12" sqref="I6:K6">
      <formula1>0.0254*12</formula1>
      <formula2>Lsup</formula2>
    </dataValidation>
    <dataValidation type="list" allowBlank="1" showInputMessage="1" showErrorMessage="1" sqref="U6:W6">
      <formula1>"Elliptical Contact,Line Contact"</formula1>
    </dataValidation>
  </dataValidations>
  <pageMargins left="0.7" right="0.7" top="0.75" bottom="0.75" header="0.3" footer="0.3"/>
  <pageSetup paperSize="9" scale="37" orientation="portrait" blackAndWhite="1" r:id="rId1"/>
  <headerFooter>
    <oddHeader>&amp;L
Summary&amp;C
&amp;R
Lower Likhu Hydropower Project (28.1 MW)</oddHeader>
    <oddFooter>Page &amp;P of &amp;N</oddFooter>
  </headerFooter>
  <rowBreaks count="10" manualBreakCount="10">
    <brk id="63" max="16383" man="1"/>
    <brk id="114" max="16383" man="1"/>
    <brk id="165" max="16383" man="1"/>
    <brk id="216" max="16383" man="1"/>
    <brk id="267" max="16383" man="1"/>
    <brk id="318" max="16383" man="1"/>
    <brk id="369" max="16383" man="1"/>
    <brk id="420" max="16383" man="1"/>
    <brk id="471" max="16383" man="1"/>
    <brk id="522"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ress">
    <pageSetUpPr fitToPage="1"/>
  </sheetPr>
  <dimension ref="A1:AR71"/>
  <sheetViews>
    <sheetView showGridLines="0" topLeftCell="A37" zoomScale="75" zoomScaleNormal="75" zoomScaleSheetLayoutView="73" zoomScalePageLayoutView="70" workbookViewId="0">
      <selection activeCell="A52" sqref="A52:XFD63"/>
    </sheetView>
  </sheetViews>
  <sheetFormatPr defaultRowHeight="14.25" x14ac:dyDescent="0.2"/>
  <cols>
    <col min="1" max="1" width="4.28515625" style="197" customWidth="1"/>
    <col min="2" max="3" width="3.28515625" style="197" customWidth="1"/>
    <col min="4" max="5" width="9.140625" style="197"/>
    <col min="6" max="6" width="11.7109375" style="197" bestFit="1" customWidth="1"/>
    <col min="7" max="7" width="9.140625" style="197"/>
    <col min="8" max="8" width="9.28515625" style="197" bestFit="1" customWidth="1"/>
    <col min="9" max="10" width="3.28515625" style="197" customWidth="1"/>
    <col min="11" max="11" width="6.42578125" style="197" customWidth="1"/>
    <col min="12" max="12" width="16.7109375" style="197" customWidth="1"/>
    <col min="13" max="13" width="19" style="197" customWidth="1"/>
    <col min="14" max="14" width="2.7109375" style="197" customWidth="1"/>
    <col min="15" max="15" width="15.42578125" style="197" bestFit="1" customWidth="1"/>
    <col min="16" max="16" width="21.140625" style="197" customWidth="1"/>
    <col min="17" max="17" width="16.5703125" style="197" customWidth="1"/>
    <col min="18" max="18" width="2.7109375" style="197" customWidth="1"/>
    <col min="19" max="19" width="17.5703125" style="197" bestFit="1" customWidth="1"/>
    <col min="20" max="20" width="17.28515625" style="197" customWidth="1"/>
    <col min="21" max="21" width="2.7109375" style="197" customWidth="1"/>
    <col min="22" max="22" width="17.5703125" style="197" bestFit="1" customWidth="1"/>
    <col min="23" max="23" width="9.28515625" style="197" bestFit="1" customWidth="1"/>
    <col min="24" max="24" width="9.140625" style="197" customWidth="1"/>
    <col min="25" max="26" width="16.5703125" style="197" hidden="1" customWidth="1"/>
    <col min="27" max="27" width="5.7109375" style="197" hidden="1" customWidth="1"/>
    <col min="28" max="28" width="7.85546875" style="197" hidden="1" customWidth="1"/>
    <col min="29" max="36" width="14.7109375" style="197" hidden="1" customWidth="1"/>
    <col min="37" max="38" width="15.7109375" style="197" hidden="1" customWidth="1"/>
    <col min="39" max="39" width="13" style="197" hidden="1" customWidth="1"/>
    <col min="40" max="40" width="10.5703125" style="197" hidden="1" customWidth="1"/>
    <col min="41" max="41" width="12.7109375" style="197" hidden="1" customWidth="1"/>
    <col min="42" max="42" width="9.140625" style="197" customWidth="1"/>
    <col min="43" max="43" width="9.140625" style="197"/>
    <col min="44" max="44" width="10.28515625" style="197" bestFit="1" customWidth="1"/>
    <col min="45" max="16384" width="9.140625" style="197"/>
  </cols>
  <sheetData>
    <row r="1" spans="1:44" s="609" customFormat="1" ht="15" x14ac:dyDescent="0.2">
      <c r="A1" s="912" t="s">
        <v>416</v>
      </c>
      <c r="B1" s="913"/>
      <c r="C1" s="913"/>
      <c r="D1" s="913"/>
      <c r="E1" s="913"/>
      <c r="F1" s="913"/>
      <c r="G1" s="913"/>
      <c r="H1" s="913"/>
      <c r="I1" s="913"/>
      <c r="J1" s="913"/>
      <c r="K1" s="913"/>
      <c r="L1" s="913"/>
      <c r="M1" s="913"/>
      <c r="N1" s="913"/>
      <c r="O1" s="913"/>
      <c r="P1" s="913"/>
      <c r="Q1" s="913"/>
      <c r="R1" s="913"/>
      <c r="S1" s="913"/>
      <c r="T1" s="913"/>
      <c r="U1" s="913"/>
      <c r="V1" s="913"/>
      <c r="W1" s="914"/>
      <c r="AK1" s="1104" t="s">
        <v>417</v>
      </c>
      <c r="AL1" s="1105"/>
      <c r="AM1" s="1105"/>
      <c r="AN1" s="1105"/>
    </row>
    <row r="2" spans="1:44" s="609" customFormat="1" ht="15" x14ac:dyDescent="0.2">
      <c r="A2" s="912" t="str">
        <f>GType</f>
        <v>Fixed Wheel (cantilevered)</v>
      </c>
      <c r="B2" s="913"/>
      <c r="C2" s="913"/>
      <c r="D2" s="913"/>
      <c r="E2" s="913"/>
      <c r="F2" s="913"/>
      <c r="G2" s="913"/>
      <c r="H2" s="913"/>
      <c r="I2" s="913"/>
      <c r="J2" s="913"/>
      <c r="K2" s="913"/>
      <c r="L2" s="913"/>
      <c r="M2" s="913"/>
      <c r="N2" s="913"/>
      <c r="O2" s="913"/>
      <c r="P2" s="913"/>
      <c r="Q2" s="913"/>
      <c r="R2" s="913"/>
      <c r="S2" s="913"/>
      <c r="T2" s="913"/>
      <c r="U2" s="913"/>
      <c r="V2" s="913"/>
      <c r="W2" s="914"/>
      <c r="AK2" s="1105"/>
      <c r="AL2" s="1105"/>
      <c r="AM2" s="1105"/>
      <c r="AN2" s="1105"/>
    </row>
    <row r="3" spans="1:44" ht="56.25" hidden="1" customHeight="1" x14ac:dyDescent="0.2">
      <c r="A3" s="1070" t="s">
        <v>418</v>
      </c>
      <c r="B3" s="1106"/>
      <c r="C3" s="1106"/>
      <c r="D3" s="1106"/>
      <c r="E3" s="1106"/>
      <c r="F3" s="1106"/>
      <c r="G3" s="1106"/>
      <c r="H3" s="1106"/>
      <c r="I3" s="1106"/>
      <c r="J3" s="1106"/>
      <c r="K3" s="1106"/>
      <c r="L3" s="1106"/>
      <c r="M3" s="1106"/>
      <c r="N3" s="1106"/>
      <c r="O3" s="1106"/>
      <c r="P3" s="1106"/>
      <c r="Q3" s="1106"/>
      <c r="R3" s="1106"/>
      <c r="S3" s="1106"/>
      <c r="T3" s="1106"/>
      <c r="U3" s="1106"/>
      <c r="V3" s="1106"/>
      <c r="W3" s="1106"/>
      <c r="AK3" s="1105"/>
      <c r="AL3" s="1105"/>
      <c r="AM3" s="1105"/>
      <c r="AN3" s="1105"/>
    </row>
    <row r="4" spans="1:44" ht="12.75" customHeight="1" x14ac:dyDescent="0.2">
      <c r="O4" s="338"/>
      <c r="P4" s="339"/>
    </row>
    <row r="5" spans="1:44" ht="12.75" customHeight="1" x14ac:dyDescent="0.2">
      <c r="AC5" s="340">
        <v>2</v>
      </c>
      <c r="AD5" s="374" t="s">
        <v>419</v>
      </c>
    </row>
    <row r="6" spans="1:44" ht="12.75" customHeight="1" x14ac:dyDescent="0.25">
      <c r="L6" s="1107" t="s">
        <v>420</v>
      </c>
      <c r="M6" s="1108"/>
      <c r="N6" s="1108"/>
      <c r="O6" s="1109"/>
      <c r="P6" s="1107" t="s">
        <v>421</v>
      </c>
      <c r="Q6" s="1108"/>
      <c r="R6" s="1108"/>
      <c r="S6" s="1109"/>
      <c r="T6" s="1029" t="s">
        <v>909</v>
      </c>
      <c r="U6" s="1110"/>
      <c r="V6" s="1111"/>
      <c r="W6" s="1115" t="s">
        <v>422</v>
      </c>
      <c r="Y6" s="1117" t="s">
        <v>421</v>
      </c>
      <c r="Z6" s="1103"/>
      <c r="AC6" s="341">
        <v>0.3</v>
      </c>
      <c r="AD6" s="374" t="s">
        <v>97</v>
      </c>
      <c r="AH6" s="259">
        <v>16</v>
      </c>
      <c r="AI6" s="260" t="s">
        <v>16</v>
      </c>
      <c r="AK6" s="375" t="s">
        <v>423</v>
      </c>
      <c r="AL6" s="375" t="s">
        <v>424</v>
      </c>
      <c r="AM6" s="375" t="s">
        <v>425</v>
      </c>
      <c r="AN6" s="375" t="s">
        <v>426</v>
      </c>
      <c r="AO6" s="375" t="s">
        <v>427</v>
      </c>
      <c r="AR6" s="342"/>
    </row>
    <row r="7" spans="1:44" ht="15" x14ac:dyDescent="0.25">
      <c r="L7" s="894" t="s">
        <v>428</v>
      </c>
      <c r="M7" s="1107" t="s">
        <v>429</v>
      </c>
      <c r="N7" s="1118"/>
      <c r="O7" s="1119"/>
      <c r="P7" s="894" t="s">
        <v>428</v>
      </c>
      <c r="Q7" s="1107" t="s">
        <v>429</v>
      </c>
      <c r="R7" s="1118"/>
      <c r="S7" s="1119"/>
      <c r="T7" s="1112"/>
      <c r="U7" s="1113"/>
      <c r="V7" s="1114"/>
      <c r="W7" s="1116"/>
      <c r="Y7" s="377" t="s">
        <v>430</v>
      </c>
      <c r="Z7" s="377" t="s">
        <v>431</v>
      </c>
      <c r="AH7" s="259">
        <v>12</v>
      </c>
      <c r="AI7" s="260" t="s">
        <v>17</v>
      </c>
      <c r="AK7" s="378" t="s">
        <v>432</v>
      </c>
      <c r="AL7" s="378" t="s">
        <v>432</v>
      </c>
      <c r="AM7" s="378" t="s">
        <v>428</v>
      </c>
      <c r="AN7" s="378" t="s">
        <v>433</v>
      </c>
      <c r="AO7" s="378" t="s">
        <v>434</v>
      </c>
    </row>
    <row r="8" spans="1:44" x14ac:dyDescent="0.2">
      <c r="B8" s="343"/>
      <c r="C8" s="343"/>
      <c r="D8" s="343"/>
      <c r="E8" s="343"/>
      <c r="F8" s="343"/>
      <c r="G8" s="343"/>
      <c r="H8" s="343"/>
      <c r="I8" s="343"/>
      <c r="J8" s="343"/>
      <c r="L8" s="339"/>
      <c r="O8" s="344"/>
      <c r="P8" s="339"/>
    </row>
    <row r="9" spans="1:44" x14ac:dyDescent="0.2">
      <c r="B9" s="345"/>
      <c r="C9" s="1095" t="s">
        <v>435</v>
      </c>
      <c r="D9" s="379" t="s">
        <v>436</v>
      </c>
      <c r="E9" s="380" t="s">
        <v>926</v>
      </c>
      <c r="F9" s="381" t="s">
        <v>437</v>
      </c>
      <c r="G9" s="345"/>
      <c r="H9" s="345"/>
      <c r="I9" s="1095" t="s">
        <v>435</v>
      </c>
      <c r="J9" s="345"/>
      <c r="AC9" s="1098" t="s">
        <v>438</v>
      </c>
      <c r="AD9" s="1099"/>
      <c r="AE9" s="1099"/>
      <c r="AF9" s="1100"/>
    </row>
    <row r="10" spans="1:44" ht="15" x14ac:dyDescent="0.25">
      <c r="C10" s="1096"/>
      <c r="D10" s="382" t="s">
        <v>439</v>
      </c>
      <c r="I10" s="1096"/>
      <c r="AB10" s="383" t="s">
        <v>440</v>
      </c>
      <c r="AC10" s="384" t="s">
        <v>441</v>
      </c>
      <c r="AD10" s="384" t="s">
        <v>442</v>
      </c>
      <c r="AE10" s="384" t="s">
        <v>443</v>
      </c>
      <c r="AF10" s="384" t="s">
        <v>444</v>
      </c>
      <c r="AK10" s="385">
        <f ca="1">SUM(AL:AL)</f>
        <v>4.4958473545574726</v>
      </c>
      <c r="AQ10" s="346"/>
      <c r="AR10" s="346"/>
    </row>
    <row r="11" spans="1:44" x14ac:dyDescent="0.2">
      <c r="C11" s="1096"/>
      <c r="D11" s="386"/>
      <c r="G11" s="262" t="s">
        <v>445</v>
      </c>
      <c r="H11" s="347">
        <f>AB12</f>
        <v>1.1014995937778591</v>
      </c>
      <c r="I11" s="1096"/>
      <c r="K11" s="262" t="s">
        <v>446</v>
      </c>
      <c r="L11" s="348">
        <f ca="1">(IF('Beam Spacing'!C20&gt;0,AL16/2*(Lse/2*(Lsup-Lse/2)-Stiffeners!D14^2),0))/0.0254</f>
        <v>55.527839003648403</v>
      </c>
      <c r="M11" s="349">
        <f ca="1">L11/IF(Loc="Upstream",SecProp!$S$23,SecProp!$S$24)*0.001</f>
        <v>20.962582965149775</v>
      </c>
      <c r="N11" s="387" t="s">
        <v>447</v>
      </c>
      <c r="O11" s="350">
        <f ca="1">O12</f>
        <v>50.614476198214369</v>
      </c>
      <c r="P11" s="348">
        <f ca="1">Z11</f>
        <v>9.5806291673923398E-3</v>
      </c>
      <c r="Q11" s="349">
        <f ca="1">P11/SecProp!I13^2*6*0.001/0.0254</f>
        <v>15.716255195853579</v>
      </c>
      <c r="R11" s="387" t="s">
        <v>447</v>
      </c>
      <c r="S11" s="350">
        <f>S12</f>
        <v>168.41317365269461</v>
      </c>
      <c r="T11" s="349"/>
      <c r="U11" s="387"/>
      <c r="V11" s="350"/>
      <c r="W11" s="351">
        <f ca="1">M11/O11+Q11/S11</f>
        <v>0.50748143869227158</v>
      </c>
      <c r="Z11" s="352">
        <f ca="1">AD13+AF13</f>
        <v>9.5806291673923398E-3</v>
      </c>
      <c r="AB11" s="388"/>
      <c r="AC11" s="389" t="s">
        <v>448</v>
      </c>
      <c r="AD11" s="389" t="s">
        <v>446</v>
      </c>
      <c r="AE11" s="389" t="s">
        <v>448</v>
      </c>
      <c r="AF11" s="389" t="s">
        <v>446</v>
      </c>
    </row>
    <row r="12" spans="1:44" x14ac:dyDescent="0.2">
      <c r="C12" s="1096"/>
      <c r="F12" s="390" t="s">
        <v>449</v>
      </c>
      <c r="I12" s="1096"/>
      <c r="K12" s="262" t="s">
        <v>450</v>
      </c>
      <c r="L12" s="348">
        <f ca="1">IF('Beam Spacing'!C20&gt;0,L14,0)</f>
        <v>55.860341033610375</v>
      </c>
      <c r="M12" s="349">
        <f ca="1">IF('Beam Spacing'!C20&gt;0,M14,0)</f>
        <v>21.088107414042888</v>
      </c>
      <c r="N12" s="387" t="s">
        <v>447</v>
      </c>
      <c r="O12" s="350">
        <f ca="1">O14</f>
        <v>50.614476198214369</v>
      </c>
      <c r="P12" s="348">
        <v>0</v>
      </c>
      <c r="Q12" s="349">
        <v>0</v>
      </c>
      <c r="R12" s="387" t="s">
        <v>447</v>
      </c>
      <c r="S12" s="353">
        <f>3/2/Sigb*GDF*(Fys)</f>
        <v>168.41317365269461</v>
      </c>
      <c r="T12" s="349">
        <f ca="1">SQRT((M12-$AC$6*Q12)^2+Q12^2+(M12-$AC$6*Q12)*Q12)</f>
        <v>21.088107414042888</v>
      </c>
      <c r="U12" s="387" t="s">
        <v>447</v>
      </c>
      <c r="V12" s="353">
        <f>Fys*GDF/1.33</f>
        <v>140.97744360902254</v>
      </c>
      <c r="W12" s="351">
        <f ca="1">T12/V12</f>
        <v>0.14958497525694422</v>
      </c>
      <c r="Y12" s="352">
        <v>0</v>
      </c>
      <c r="Z12" s="352">
        <v>0</v>
      </c>
      <c r="AB12" s="354">
        <f>MIN(IF('Beam Spacing'!C20&gt;0,Stiffeners!D13/'Beam Spacing'!C20,0),4.9999)</f>
        <v>1.1014995937778591</v>
      </c>
      <c r="AC12" s="355">
        <f ca="1">ROUND(FORECAST(AB12,OFFSET(CCCFA,MATCH(AB12,CCCF,1)-1,0,2),OFFSET(CCCF,MATCH(AB12,CCCF,1)-1,0,2)),5)</f>
        <v>1.6299999999999999E-3</v>
      </c>
      <c r="AD12" s="355">
        <f ca="1">ROUND(FORECAST(AB12,OFFSET(CCCFB,MATCH(AB12,CCCF,1)-1,0,2),OFFSET(CCCF,MATCH(AB12,CCCF,1)-1,0,2)),5)</f>
        <v>2.64E-3</v>
      </c>
      <c r="AE12" s="355">
        <f ca="1">ROUND(FORECAST(AB12,OFFSET(CCCFD,MATCH(AB12,CCCF,1)-1,0,2),OFFSET(CCCF,MATCH(AB12,CCCF,1)-1,0,2)),5)</f>
        <v>9.5E-4</v>
      </c>
      <c r="AF12" s="355">
        <f ca="1">ROUND(FORECAST(AB12,OFFSET(CCCFH,MATCH(AB12,CCCF,1)-1,0,2),OFFSET(CCCF,MATCH(AB12,CCCF,1)-1,0,2)),5)</f>
        <v>2.2300000000000002E-3</v>
      </c>
    </row>
    <row r="13" spans="1:44" x14ac:dyDescent="0.2">
      <c r="B13" s="356"/>
      <c r="C13" s="1096"/>
      <c r="D13" s="357"/>
      <c r="E13" s="380" t="s">
        <v>927</v>
      </c>
      <c r="F13" s="345"/>
      <c r="G13" s="345"/>
      <c r="H13" s="356"/>
      <c r="I13" s="1096"/>
      <c r="J13" s="357"/>
      <c r="K13" s="262" t="s">
        <v>451</v>
      </c>
      <c r="L13" s="348">
        <f ca="1">IF('Beam Spacing'!C20&gt;0,L14,0)</f>
        <v>55.860341033610375</v>
      </c>
      <c r="M13" s="349">
        <f ca="1">IF('Beam Spacing'!C20&gt;0,M14,0)</f>
        <v>21.088107414042888</v>
      </c>
      <c r="N13" s="387" t="s">
        <v>447</v>
      </c>
      <c r="O13" s="350">
        <f ca="1">O14</f>
        <v>50.614476198214369</v>
      </c>
      <c r="P13" s="348">
        <f ca="1">IF(AB12&lt;2*$AC$5,Z13,Y13)</f>
        <v>3.2180801153472291E-3</v>
      </c>
      <c r="Q13" s="349">
        <f ca="1">P13/SecProp!I13^2*6*0.001/0.0254</f>
        <v>5.2790028138898117</v>
      </c>
      <c r="R13" s="387" t="s">
        <v>447</v>
      </c>
      <c r="S13" s="353">
        <f>S12</f>
        <v>168.41317365269461</v>
      </c>
      <c r="T13" s="349">
        <f ca="1">SQRT((M13-$AC$6*Q13)^2+Q13^2+(M13-$AC$6*Q13)*Q13)</f>
        <v>22.610916910149893</v>
      </c>
      <c r="U13" s="387" t="s">
        <v>447</v>
      </c>
      <c r="V13" s="353">
        <f>Fys*GDF/1.33</f>
        <v>140.97744360902254</v>
      </c>
      <c r="W13" s="351">
        <f ca="1">T13/V13</f>
        <v>0.1603867706159966</v>
      </c>
      <c r="Y13" s="358">
        <f ca="1">(IF('Beam Spacing'!C20&gt;0,('Beam Spacing'!C20-SecProp!N19/2)^2*('Beam Spacing'!G18/2+('Beam Spacing'!G21-'Beam Spacing'!G18)/6/'Beam Spacing'!C20*('Beam Spacing'!C20-SecProp!N19/2)),0))*0.0254</f>
        <v>2.4601550175111501E-2</v>
      </c>
      <c r="Z13" s="352">
        <f ca="1">IF('Beam Spacing'!C20&gt;0,(1-'Define Beam'!J11/2/'Beam Spacing'!C20)^2*Stress!Z14,0)</f>
        <v>3.2180801153472291E-3</v>
      </c>
      <c r="AB13" s="391"/>
      <c r="AC13" s="392">
        <f ca="1">AC12*'Beam Spacing'!$G$18*'Beam Spacing'!$C$20^2</f>
        <v>5.6388330974938882E-3</v>
      </c>
      <c r="AD13" s="392">
        <f ca="1">AD12*'Beam Spacing'!$G$18*'Beam Spacing'!$C$20^2</f>
        <v>9.1328339738551319E-3</v>
      </c>
      <c r="AE13" s="392">
        <f ca="1">AE12*('Beam Spacing'!$G$21-'Beam Spacing'!$G$18)*'Beam Spacing'!$C$20^2</f>
        <v>1.9076476854724123E-4</v>
      </c>
      <c r="AF13" s="392">
        <f ca="1">AF12*('Beam Spacing'!$G$21-'Beam Spacing'!$G$18)*'Beam Spacing'!$C$20^2</f>
        <v>4.4779519353720852E-4</v>
      </c>
    </row>
    <row r="14" spans="1:44" x14ac:dyDescent="0.2">
      <c r="C14" s="1096"/>
      <c r="I14" s="1096"/>
      <c r="K14" s="262" t="s">
        <v>448</v>
      </c>
      <c r="L14" s="348">
        <f ca="1">(AL16/8*(Stiffeners!D13*(4*Stiffeners!D14-Stiffeners!D13)+Lse*(2*Lsup-Lse)-4*Stiffeners!D14^2))/0.0254</f>
        <v>55.860341033610375</v>
      </c>
      <c r="M14" s="349">
        <f ca="1">L14/IF(Loc="Upstream",SecProp!$S$23,SecProp!$S$24)*0.001</f>
        <v>21.088107414042888</v>
      </c>
      <c r="N14" s="387" t="s">
        <v>447</v>
      </c>
      <c r="O14" s="350">
        <f ca="1">SecProp!W16</f>
        <v>50.614476198214369</v>
      </c>
      <c r="P14" s="348">
        <f ca="1">IF(AB12&lt;2*$AC$5,Z14,Y14)</f>
        <v>5.8295978660411292E-3</v>
      </c>
      <c r="Q14" s="349">
        <f ca="1">P14/(SecProp!I16+SecProp!I13)^2*6*0.001/0.0254</f>
        <v>2.0061044840874067</v>
      </c>
      <c r="R14" s="387" t="s">
        <v>447</v>
      </c>
      <c r="S14" s="353">
        <f>3/2/Sigb*GDF*MIN((Fyb),(Fys))</f>
        <v>168.41317365269461</v>
      </c>
      <c r="T14" s="349">
        <f ca="1">SQRT((M14-$AC$6*Q14)^2+Q14^2+(M14-$AC$6*Q14)*Q14)</f>
        <v>21.559442772315606</v>
      </c>
      <c r="U14" s="387" t="s">
        <v>447</v>
      </c>
      <c r="V14" s="353">
        <f>MIN(Fyb,Fys)*GDF/1.33</f>
        <v>140.97744360902254</v>
      </c>
      <c r="W14" s="351">
        <f ca="1">T14/V14</f>
        <v>0.15292831406495871</v>
      </c>
      <c r="Y14" s="352">
        <f>'Beam Spacing'!I21*0.0254</f>
        <v>4.478454104778553E-2</v>
      </c>
      <c r="Z14" s="352">
        <f ca="1">AC13+AE13</f>
        <v>5.8295978660411292E-3</v>
      </c>
      <c r="AK14" s="359">
        <f>0.0254*(('Beam Spacing'!G18+'Beam Spacing'!G21)*'Beam Spacing'!C20/2)</f>
        <v>0.33198888116932052</v>
      </c>
    </row>
    <row r="15" spans="1:44" x14ac:dyDescent="0.2">
      <c r="C15" s="1097"/>
      <c r="F15" s="390" t="s">
        <v>452</v>
      </c>
      <c r="I15" s="1097"/>
      <c r="L15" s="360"/>
      <c r="P15" s="360"/>
      <c r="Y15" s="393"/>
      <c r="Z15" s="249"/>
      <c r="AB15" s="342"/>
      <c r="AO15" s="361">
        <f ca="1">P14</f>
        <v>5.8295978660411292E-3</v>
      </c>
    </row>
    <row r="16" spans="1:44" ht="15" x14ac:dyDescent="0.2">
      <c r="B16" s="214"/>
      <c r="C16" s="214"/>
      <c r="D16" s="214"/>
      <c r="E16" s="214"/>
      <c r="F16" s="376">
        <f>(ROW()-STref+12)/STrow</f>
        <v>1</v>
      </c>
      <c r="G16" s="214"/>
      <c r="H16" s="214"/>
      <c r="I16" s="214"/>
      <c r="J16" s="214"/>
      <c r="L16" s="362">
        <f ca="1">AL16/0.0254</f>
        <v>29.555735996619248</v>
      </c>
      <c r="M16" s="237" t="s">
        <v>488</v>
      </c>
      <c r="N16" s="363"/>
      <c r="O16" s="363"/>
      <c r="P16" s="339"/>
      <c r="Q16" s="363"/>
      <c r="R16" s="363"/>
      <c r="S16" s="362">
        <f ca="1">AN16</f>
        <v>53.200324793914646</v>
      </c>
      <c r="T16" s="237" t="s">
        <v>453</v>
      </c>
      <c r="U16" s="363"/>
      <c r="V16" s="364"/>
      <c r="W16" s="363"/>
      <c r="Y16" s="342"/>
      <c r="AK16" s="376">
        <f>F16</f>
        <v>1</v>
      </c>
      <c r="AL16" s="365">
        <f ca="1">OFFSET(AK18,-4,0)+AK18</f>
        <v>0.75071569431412888</v>
      </c>
      <c r="AM16" s="361">
        <f ca="1">(OFFSET(AO16,-1,0)+AO17)/2</f>
        <v>6.2084540885783378E-3</v>
      </c>
      <c r="AN16" s="366">
        <f ca="1">AL16*Lse/2/0.0254</f>
        <v>53.200324793914646</v>
      </c>
    </row>
    <row r="17" spans="2:41" ht="12.75" customHeight="1" x14ac:dyDescent="0.2">
      <c r="B17" s="356"/>
      <c r="C17" s="1095" t="s">
        <v>435</v>
      </c>
      <c r="D17" s="357"/>
      <c r="E17" s="345"/>
      <c r="F17" s="381" t="s">
        <v>454</v>
      </c>
      <c r="G17" s="345"/>
      <c r="H17" s="356"/>
      <c r="I17" s="1095" t="s">
        <v>435</v>
      </c>
      <c r="J17" s="357"/>
      <c r="L17" s="360"/>
      <c r="M17" s="363"/>
      <c r="N17" s="363"/>
      <c r="O17" s="363"/>
      <c r="Q17" s="363"/>
      <c r="R17" s="363"/>
      <c r="S17" s="360"/>
      <c r="T17" s="363"/>
      <c r="U17" s="363"/>
      <c r="V17" s="363"/>
      <c r="W17" s="363"/>
      <c r="AO17" s="361">
        <f ca="1">P24</f>
        <v>6.5873103111155455E-3</v>
      </c>
    </row>
    <row r="18" spans="2:41" x14ac:dyDescent="0.2">
      <c r="C18" s="1096"/>
      <c r="I18" s="1096"/>
      <c r="L18" s="360"/>
      <c r="P18" s="360"/>
      <c r="AK18" s="359">
        <f ca="1">(OFFSET($AM$16,F16*STrow,0)-AM16)/OFFSET('Beam Spacing'!$C$23,(F16-1)*BSrow,0)+(OFFSET('Beam Spacing'!$C$23,(F16-1)*BSrow,0)/6*(2*OFFSET('Beam Spacing'!$G$21,(F16-1)*BSrow,0)+OFFSET('Beam Spacing'!$G$24,(F16-1)*BSrow,0)))*0.0254</f>
        <v>0.41872681314480831</v>
      </c>
    </row>
    <row r="19" spans="2:41" x14ac:dyDescent="0.2">
      <c r="B19" s="367"/>
      <c r="C19" s="1096"/>
      <c r="D19" s="368"/>
      <c r="E19" s="394" t="s">
        <v>928</v>
      </c>
      <c r="F19" s="369"/>
      <c r="G19" s="369"/>
      <c r="H19" s="367"/>
      <c r="I19" s="1096"/>
      <c r="J19" s="368"/>
      <c r="K19" s="262" t="s">
        <v>446</v>
      </c>
      <c r="L19" s="348">
        <f ca="1">1/0.0254*(AL16+OFFSET(AL16,$F$16*STrow,0))/4*(Lse/2*(Lsup-Lse/2)-OFFSET(Stiffeners!$D$22,(F16-1)*VSrow,0)^2)</f>
        <v>60.346762640531317</v>
      </c>
      <c r="M19" s="349">
        <f ca="1">(L19*2/(IF(Loc="Upstream",OFFSET(SecProp!$S$23,SProw*F16,0)+OFFSET(SecProp!$S$23,SProw*(F16-1),0),OFFSET(SecProp!$S$24,SProw*F16,0)+OFFSET(SecProp!$S$24,SProw*(F16-1),0))))*0.001</f>
        <v>22.347829277408472</v>
      </c>
      <c r="N19" s="387" t="s">
        <v>447</v>
      </c>
      <c r="O19" s="350">
        <f ca="1">O20</f>
        <v>49.711909020171191</v>
      </c>
      <c r="P19" s="348">
        <f ca="1">Z19</f>
        <v>1.0170689876991525E-2</v>
      </c>
      <c r="Q19" s="349">
        <f ca="1">P19/OFFSET(SecProp!$I$28,SProw*(F16-1),0)^2*6*0.001/0.0254</f>
        <v>16.684202554119956</v>
      </c>
      <c r="R19" s="387" t="s">
        <v>447</v>
      </c>
      <c r="S19" s="353">
        <f>S20</f>
        <v>168.41317365269461</v>
      </c>
      <c r="T19" s="349"/>
      <c r="U19" s="387"/>
      <c r="V19" s="350"/>
      <c r="W19" s="351">
        <f ca="1">M19/O19+Q19/S19</f>
        <v>0.54861388023585522</v>
      </c>
      <c r="Y19" s="358"/>
      <c r="Z19" s="358">
        <f ca="1">AE23+AI23</f>
        <v>1.0170689876991525E-2</v>
      </c>
      <c r="AC19" s="1101" t="s">
        <v>455</v>
      </c>
      <c r="AD19" s="1102"/>
      <c r="AE19" s="1102"/>
      <c r="AF19" s="1102"/>
      <c r="AG19" s="1102"/>
      <c r="AH19" s="1102"/>
      <c r="AI19" s="1103"/>
    </row>
    <row r="20" spans="2:41" x14ac:dyDescent="0.2">
      <c r="C20" s="1096"/>
      <c r="F20" s="395" t="s">
        <v>456</v>
      </c>
      <c r="I20" s="1096"/>
      <c r="K20" s="262" t="s">
        <v>450</v>
      </c>
      <c r="L20" s="348">
        <f ca="1">(L24+L22)/2</f>
        <v>60.70812050065426</v>
      </c>
      <c r="M20" s="349">
        <f ca="1">(M22+M24)/2</f>
        <v>22.455599357862638</v>
      </c>
      <c r="N20" s="387" t="s">
        <v>447</v>
      </c>
      <c r="O20" s="350">
        <f ca="1">(O22+O24)/2</f>
        <v>49.711909020171191</v>
      </c>
      <c r="P20" s="348">
        <f ca="1">IF(AB22&lt;$AC$5,Z20,Y20)</f>
        <v>2.0157212973517277E-3</v>
      </c>
      <c r="Q20" s="349">
        <f ca="1">P20/OFFSET(SecProp!$I$28,SProw*(F16-1),0)^2*6*0.001/0.0254</f>
        <v>3.3066294247895796</v>
      </c>
      <c r="R20" s="387" t="s">
        <v>447</v>
      </c>
      <c r="S20" s="353">
        <f>3/2/Sigb*GDF*Fys</f>
        <v>168.41317365269461</v>
      </c>
      <c r="T20" s="349">
        <f ca="1">SQRT((M20-$AC$6*Q20)^2+Q20^2+(M20-$AC$6*Q20)*Q20)</f>
        <v>23.293616750020107</v>
      </c>
      <c r="U20" s="387" t="s">
        <v>447</v>
      </c>
      <c r="V20" s="353">
        <f>Fys*GDF/1.33</f>
        <v>140.97744360902254</v>
      </c>
      <c r="W20" s="351">
        <f t="shared" ref="W20:W24" ca="1" si="0">T20/V20</f>
        <v>0.16522938814680929</v>
      </c>
      <c r="Y20" s="358">
        <f ca="1">(ABS((Y22+Y24)/2-((OFFSET('Beam Spacing'!$G$21,BSrow*(F16-1),0)+OFFSET('Beam Spacing'!$G$24,BSrow*(F16-1),0))*OFFSET('Beam Spacing'!$C$23,BSrow*(F16-1),0)^2/16)*0.0254))</f>
        <v>1.7151501563099927</v>
      </c>
      <c r="Z20" s="358">
        <f ca="1">AD23+AH23</f>
        <v>2.0157212973517277E-3</v>
      </c>
      <c r="AB20" s="383" t="s">
        <v>440</v>
      </c>
      <c r="AC20" s="384" t="s">
        <v>441</v>
      </c>
      <c r="AD20" s="384" t="s">
        <v>441</v>
      </c>
      <c r="AE20" s="384" t="s">
        <v>442</v>
      </c>
      <c r="AF20" s="384" t="s">
        <v>457</v>
      </c>
      <c r="AG20" s="384" t="s">
        <v>457</v>
      </c>
      <c r="AH20" s="384" t="s">
        <v>457</v>
      </c>
      <c r="AI20" s="384" t="s">
        <v>458</v>
      </c>
    </row>
    <row r="21" spans="2:41" x14ac:dyDescent="0.2">
      <c r="C21" s="1096"/>
      <c r="D21" s="386" t="s">
        <v>436</v>
      </c>
      <c r="I21" s="1096"/>
      <c r="K21" s="262" t="s">
        <v>451</v>
      </c>
      <c r="L21" s="348">
        <f ca="1">L22</f>
        <v>65.555899967698153</v>
      </c>
      <c r="M21" s="349">
        <f ca="1">0.001*L21/IF(Loc="Upstream",OFFSET(SecProp!$S$23,SProw*F16,0),OFFSET(SecProp!$S$24,SProw*F16,0))</f>
        <v>23.823091301682393</v>
      </c>
      <c r="N21" s="387" t="s">
        <v>447</v>
      </c>
      <c r="O21" s="350">
        <f ca="1">OFFSET(SecProp!$W$33,SProw*(F16-1),0)</f>
        <v>48.809341842128021</v>
      </c>
      <c r="P21" s="348">
        <f ca="1">IF(AB22&lt;$AC$5,Z21,Y21)</f>
        <v>3.5261724919181214E-3</v>
      </c>
      <c r="Q21" s="349">
        <f ca="1">P21/OFFSET(SecProp!$I$28,SProw*(F16-1),0)^2*6*0.001/0.0254</f>
        <v>5.7844036940914068</v>
      </c>
      <c r="R21" s="387" t="s">
        <v>447</v>
      </c>
      <c r="S21" s="353">
        <f>S20</f>
        <v>168.41317365269461</v>
      </c>
      <c r="T21" s="349">
        <f ca="1">SQRT((M21-$AC$6*Q21)^2+Q21^2+(M21-$AC$6*Q21)*Q21)</f>
        <v>25.477313392827732</v>
      </c>
      <c r="U21" s="387" t="s">
        <v>447</v>
      </c>
      <c r="V21" s="353">
        <f>V20</f>
        <v>140.97744360902254</v>
      </c>
      <c r="W21" s="351">
        <f t="shared" ca="1" si="0"/>
        <v>0.18071907633312473</v>
      </c>
      <c r="Y21" s="358">
        <f ca="1">(Y22-Y24)*(OFFSET('Beam Spacing'!$C$20,BSrow*F16,0)-OFFSET(SecProp!$N$19,SProw*F16,0)/2)/OFFSET('Beam Spacing'!$C$20,BSrow*F16,0)+Y24-0.0254*OFFSET('Beam Spacing'!$G$18,BSrow*F16,0)*(OFFSET('Beam Spacing'!$C$20,BSrow*F16,0)-OFFSET(SecProp!$N$19,SProw*F16,0)/2)/2*(OFFSET('Beam Spacing'!$C$20,BSrow*F16,0)-(OFFSET('Beam Spacing'!$C$20,BSrow*F16,0)-OFFSET(SecProp!$N$19,SProw*F16,0)/2))-0.0254*(OFFSET('Beam Spacing'!$G$21,BSrow*F16,0)-OFFSET('Beam Spacing'!$G$18,BSrow*F16,0))*(OFFSET('Beam Spacing'!$C$20,BSrow*F16,0)-OFFSET(SecProp!$N$19,SProw*F16,0)/2)/6*(OFFSET('Beam Spacing'!$C$20,BSrow*F16,0)-(OFFSET('Beam Spacing'!$C$20,BSrow*F16,0)-OFFSET(SecProp!$N$19,SProw*F16,0)/2)^2/OFFSET('Beam Spacing'!$C$20,BSrow*F16,0))</f>
        <v>1.7716609282258351</v>
      </c>
      <c r="Z21" s="358">
        <f ca="1">(1-OFFSET('Define Beam'!$J$11,DBrow*F16,0)/OFFSET('Beam Spacing'!$C$23,BSrow*(F16-1),0))^2*(Z20+Z22)-Z20</f>
        <v>3.5261724919181214E-3</v>
      </c>
      <c r="AB21" s="388"/>
      <c r="AC21" s="389" t="s">
        <v>459</v>
      </c>
      <c r="AD21" s="389" t="s">
        <v>450</v>
      </c>
      <c r="AE21" s="389" t="s">
        <v>446</v>
      </c>
      <c r="AF21" s="389" t="s">
        <v>448</v>
      </c>
      <c r="AG21" s="389" t="s">
        <v>460</v>
      </c>
      <c r="AH21" s="389" t="s">
        <v>450</v>
      </c>
      <c r="AI21" s="389" t="s">
        <v>446</v>
      </c>
    </row>
    <row r="22" spans="2:41" x14ac:dyDescent="0.2">
      <c r="C22" s="1096"/>
      <c r="D22" s="382" t="s">
        <v>439</v>
      </c>
      <c r="F22" s="396" t="s">
        <v>461</v>
      </c>
      <c r="G22" s="262" t="s">
        <v>445</v>
      </c>
      <c r="H22" s="347">
        <f ca="1">AB22</f>
        <v>0.47003251222150522</v>
      </c>
      <c r="I22" s="1096"/>
      <c r="K22" s="262" t="s">
        <v>448</v>
      </c>
      <c r="L22" s="348">
        <f ca="1">(OFFSET(AL27,1,0)/8*(OFFSET(Stiffeners!$D$13,VSrow*F16,0)*(4*OFFSET(Stiffeners!$D$14,VSrow*F16,0)-OFFSET(Stiffeners!$D$13,VSrow*F16,0))+Lse*(2*Lsup-Lse)-4*OFFSET(Stiffeners!$D$14,VSrow*F16,0)^2))/0.0254</f>
        <v>65.555899967698153</v>
      </c>
      <c r="M22" s="349">
        <f ca="1">0.001*L22/IF(Loc="Upstream",OFFSET(SecProp!$S$23,SProw*F16,0),OFFSET(SecProp!$S$24,SProw*F16,0))</f>
        <v>23.823091301682393</v>
      </c>
      <c r="N22" s="387" t="s">
        <v>447</v>
      </c>
      <c r="O22" s="350">
        <f ca="1">O21</f>
        <v>48.809341842128021</v>
      </c>
      <c r="P22" s="348">
        <f ca="1">IF(AB22&lt;$AC$5,Z22,Y22)</f>
        <v>7.0780453882892686E-3</v>
      </c>
      <c r="Q22" s="349">
        <f ca="1">P22/(OFFSET(SecProp!$I$16,SProw*F16,0)+OFFSET(SecProp!$I$28,SProw*(F16-1),0))^2*6*0.001/0.0254</f>
        <v>2.4357252281046295</v>
      </c>
      <c r="R22" s="387" t="s">
        <v>447</v>
      </c>
      <c r="S22" s="353">
        <f>3/2/Sigb*GDF*MIN(Fyb,Fys)</f>
        <v>168.41317365269461</v>
      </c>
      <c r="T22" s="349">
        <f ca="1">SQRT((M22-$AC$6*Q22)^2+Q22^2+(M22-$AC$6*Q22)*Q22)</f>
        <v>24.401581082009141</v>
      </c>
      <c r="U22" s="387" t="s">
        <v>447</v>
      </c>
      <c r="V22" s="353">
        <f>MIN(Fyb,Fys)*GDF/1.33</f>
        <v>140.97744360902254</v>
      </c>
      <c r="W22" s="351">
        <f t="shared" ca="1" si="0"/>
        <v>0.17308854847505153</v>
      </c>
      <c r="Y22" s="358">
        <f ca="1">OFFSET('Beam Spacing'!$I$18,BSrow*(F16+1),0)</f>
        <v>1.8029716201012984</v>
      </c>
      <c r="Z22" s="358">
        <f ca="1">AC23+AF23</f>
        <v>7.0780453882892686E-3</v>
      </c>
      <c r="AB22" s="354">
        <f ca="1">MIN(OFFSET(Stiffeners!$D$21,VSrow*(F16-1),0)/OFFSET('Beam Spacing'!$C$23,BSrow*(F16-1),0),4.9999)</f>
        <v>0.47003251222150522</v>
      </c>
      <c r="AC22" s="355">
        <f ca="1">ROUND(FORECAST(AB22,OFFSET(CCCCA,MATCH(AB22,CCCC,1)-1,0,2),OFFSET(CCCC,MATCH(AB22,CCCC,1)-1,0,2)),5)</f>
        <v>3.2000000000000003E-4</v>
      </c>
      <c r="AD22" s="355">
        <f ca="1">ROUND(FORECAST(AB22,OFFSET(CCCCB,MATCH(AB22,CCCC,1)-1,0,2),OFFSET(CCCC,MATCH(AB22,CCCC,1)-1,0,2)),5)</f>
        <v>9.0000000000000006E-5</v>
      </c>
      <c r="AE22" s="355">
        <f ca="1">ROUND(FORECAST(AB22,OFFSET(CCCCC,MATCH(AB22,CCCC,1)-1,0,2),OFFSET(CCCC,MATCH(AB22,CCCC,1)-1,0,2)),5)</f>
        <v>4.6999999999999999E-4</v>
      </c>
      <c r="AF22" s="355">
        <f ca="1">ROUND(FORECAST(AB22,OFFSET(CCCCE,MATCH(AB22,CCCC,1)-1,0,2),OFFSET(CCCC,MATCH(AB22,CCCC,1)-1,0,2)),5)</f>
        <v>2.5000000000000001E-4</v>
      </c>
      <c r="AG22" s="355">
        <f ca="1">ROUND(FORECAST(AB22,OFFSET(CCCCF,MATCH(AB22,CCCC,1)-1,0,2),OFFSET(CCCC,MATCH(AB22,CCCC,1)-1,0,2)),5)</f>
        <v>6.0000000000000002E-5</v>
      </c>
      <c r="AH22" s="355">
        <f ca="1">ROUND(FORECAST(AB22,OFFSET(CCCCG,MATCH(AB22,CCCC,1)-1,0,2),OFFSET(CCCC,MATCH(AB22,CCCC,1)-1,0,2)),5)</f>
        <v>8.0000000000000007E-5</v>
      </c>
      <c r="AI22" s="355">
        <f ca="1">ROUND(FORECAST(AB22,OFFSET(CCCCH,MATCH(AB22,CCCC,1)-1,0,2),OFFSET(CCCC,MATCH(AB22,CCCC,1)-1,0,2)),5)</f>
        <v>2.7999999999999998E-4</v>
      </c>
    </row>
    <row r="23" spans="2:41" x14ac:dyDescent="0.2">
      <c r="C23" s="1096"/>
      <c r="D23" s="386" t="s">
        <v>436</v>
      </c>
      <c r="I23" s="1096"/>
      <c r="K23" s="262" t="s">
        <v>462</v>
      </c>
      <c r="L23" s="348">
        <f ca="1">L24</f>
        <v>55.860341033610368</v>
      </c>
      <c r="M23" s="349">
        <f ca="1">0.001*L23/IF(Loc="Upstream",OFFSET(SecProp!$S$23,SProw*(F16-1),0),OFFSET(SecProp!$S$24,SProw*(F16-1),0))</f>
        <v>21.088107414042888</v>
      </c>
      <c r="N23" s="387" t="s">
        <v>447</v>
      </c>
      <c r="O23" s="350">
        <f ca="1">O24</f>
        <v>50.614476198214369</v>
      </c>
      <c r="P23" s="348">
        <f ca="1">IF(AB22&lt;$AC$5,Z23,Y23)</f>
        <v>3.2271103133535276E-3</v>
      </c>
      <c r="Q23" s="349">
        <f ca="1">P23/OFFSET(SecProp!$I$28,SProw*(F16-1),0)^2*6*0.001/0.0254</f>
        <v>5.2938161308292777</v>
      </c>
      <c r="R23" s="387" t="s">
        <v>447</v>
      </c>
      <c r="S23" s="353">
        <f>S20</f>
        <v>168.41317365269461</v>
      </c>
      <c r="T23" s="349">
        <f ca="1">SQRT((M23-$AC$6*Q23)^2+Q23^2+(M23-$AC$6*Q23)*Q23)</f>
        <v>22.616415411696238</v>
      </c>
      <c r="U23" s="387" t="s">
        <v>447</v>
      </c>
      <c r="V23" s="353">
        <f>V20</f>
        <v>140.97744360902254</v>
      </c>
      <c r="W23" s="351">
        <f t="shared" ca="1" si="0"/>
        <v>0.16042577332029867</v>
      </c>
      <c r="Y23" s="358">
        <f ca="1">(Y22-Y24)*OFFSET(SecProp!$N$19,SProw*(F16-1),0)/2/OFFSET('Beam Spacing'!$C$23,BSrow*(F16-1),0)+Y24-0.0254*OFFSET('Beam Spacing'!$G$21,BSrow*(F16-1),0)*OFFSET(SecProp!$N$19,SProw*(F16-1),0)/4*(OFFSET('Beam Spacing'!$C$23,BSrow*(F16-1),0)-OFFSET(SecProp!$N$19,SProw*(F16-1),0)/2)-0.0254*(OFFSET('Beam Spacing'!$G$24,BSrow*(F16-1),0)-OFFSET('Beam Spacing'!$G$21,BSrow*(F16-1),0))*OFFSET(SecProp!$N$19,SProw*(F16-1),0)/12*(OFFSET('Beam Spacing'!$C$23,BSrow*(F16-1),0)-(OFFSET(SecProp!$N$19,SProw*(F16-1),0)/2)^2/OFFSET('Beam Spacing'!$C$23,BSrow*(F16-1),0))</f>
        <v>1.7414239062493289</v>
      </c>
      <c r="Z23" s="358">
        <f ca="1">(1-OFFSET('Define Beam'!$J$11,DBrow*(F16-1),0)/OFFSET('Beam Spacing'!$C$23,BSrow*(F16-1),0))^2*(Z24+Z20)-Z20</f>
        <v>3.2271103133535276E-3</v>
      </c>
      <c r="AB23" s="391"/>
      <c r="AC23" s="392">
        <f ca="1">AC22*OFFSET('Beam Spacing'!$G$18,BSrow*F16,0)*OFFSET('Beam Spacing'!$C$20,BSrow*F16,0)^2</f>
        <v>6.4323413393764751E-3</v>
      </c>
      <c r="AD23" s="392">
        <f ca="1">AD22*OFFSET('Beam Spacing'!$G$18,BSrow*F16,0)*OFFSET('Beam Spacing'!$C$20,BSrow*F16,0)^2</f>
        <v>1.8090960016996335E-3</v>
      </c>
      <c r="AE23" s="392">
        <f ca="1">AE22*OFFSET('Beam Spacing'!$G$18,BSrow*F16,0)*OFFSET('Beam Spacing'!$C$20,BSrow*F16,0)^2</f>
        <v>9.4475013422091955E-3</v>
      </c>
      <c r="AF23" s="392">
        <f ca="1">AF22*(OFFSET('Beam Spacing'!$G$21,BSrow*F16,0)-OFFSET('Beam Spacing'!$G$18,BSrow*F16,0))*OFFSET('Beam Spacing'!$C$20,BSrow*F16,0)^2</f>
        <v>6.4570404891279394E-4</v>
      </c>
      <c r="AG23" s="392">
        <f ca="1">AG22*(OFFSET('Beam Spacing'!$G$21,BSrow*F16,0)-OFFSET('Beam Spacing'!$G$18,BSrow*F16,0))*OFFSET('Beam Spacing'!$C$20,BSrow*F16,0)^2</f>
        <v>1.5496897173907054E-4</v>
      </c>
      <c r="AH23" s="392">
        <f ca="1">AH22*(OFFSET('Beam Spacing'!$G$21,BSrow*F16,0)-OFFSET('Beam Spacing'!$G$18,BSrow*F16,0))*OFFSET('Beam Spacing'!$C$20,BSrow*F16,0)^2</f>
        <v>2.0662529565209406E-4</v>
      </c>
      <c r="AI23" s="392">
        <f ca="1">AI22*(OFFSET('Beam Spacing'!$G$21,BSrow*F16,0)-OFFSET('Beam Spacing'!$G$18,BSrow*F16,0))*OFFSET('Beam Spacing'!$C$20,BSrow*F16,0)^2</f>
        <v>7.2318853478232914E-4</v>
      </c>
    </row>
    <row r="24" spans="2:41" x14ac:dyDescent="0.2">
      <c r="C24" s="1096"/>
      <c r="F24" s="390" t="s">
        <v>449</v>
      </c>
      <c r="I24" s="1096"/>
      <c r="K24" s="262" t="s">
        <v>460</v>
      </c>
      <c r="L24" s="348">
        <f ca="1">1/0.0254*AL16/8*(OFFSET(Stiffeners!$D$21,VSrow*(F16-1),0)*(4*OFFSET(Stiffeners!$D$22,VSrow*(F16-1),0)-OFFSET(Stiffeners!$D$21,VSrow*(F16-1),0))+Lse*(2*Lsup-Lse)-4*OFFSET(Stiffeners!$D$22,VSrow*(F16-1),0)^2)</f>
        <v>55.860341033610368</v>
      </c>
      <c r="M24" s="349">
        <f ca="1">0.001*L24/IF(Loc="Upstream",OFFSET(SecProp!$S$23,SProw*(F16-1),0),OFFSET(SecProp!$S$24,SProw*(F16-1),0))</f>
        <v>21.088107414042888</v>
      </c>
      <c r="N24" s="387" t="s">
        <v>447</v>
      </c>
      <c r="O24" s="350">
        <f ca="1">OFFSET(SecProp!$W$16,SProw*(F16-1),0)</f>
        <v>50.614476198214369</v>
      </c>
      <c r="P24" s="348">
        <f ca="1">IF(AB22&lt;$AC$5,Z24,Y24)</f>
        <v>6.5873103111155455E-3</v>
      </c>
      <c r="Q24" s="349">
        <f ca="1">P24/(OFFSET(SecProp!$I$16,SProw*(F16-1),0)+OFFSET(SecProp!$I$28,SProw*(F16-1),0))^2*6*0.001/0.0254</f>
        <v>2.2668515147818042</v>
      </c>
      <c r="R24" s="387" t="s">
        <v>447</v>
      </c>
      <c r="S24" s="353">
        <f>S22</f>
        <v>168.41317365269461</v>
      </c>
      <c r="T24" s="349">
        <f ca="1">SQRT((M24-$AC$6*Q24)^2+Q24^2+(M24-$AC$6*Q24)*Q24)</f>
        <v>21.630747191776031</v>
      </c>
      <c r="U24" s="387" t="s">
        <v>447</v>
      </c>
      <c r="V24" s="353">
        <f>V22</f>
        <v>140.97744360902254</v>
      </c>
      <c r="W24" s="351">
        <f t="shared" ca="1" si="0"/>
        <v>0.15343410008033131</v>
      </c>
      <c r="Y24" s="358">
        <f ca="1">OFFSET('Beam Spacing'!$I$21,BSrow*(F16-1),0)</f>
        <v>1.7631709073931312</v>
      </c>
      <c r="Z24" s="358">
        <f ca="1">AC23+AG23</f>
        <v>6.5873103111155455E-3</v>
      </c>
    </row>
    <row r="25" spans="2:41" x14ac:dyDescent="0.2">
      <c r="B25" s="356"/>
      <c r="C25" s="1096"/>
      <c r="D25" s="357"/>
      <c r="E25" s="380" t="s">
        <v>927</v>
      </c>
      <c r="F25" s="345"/>
      <c r="G25" s="345"/>
      <c r="H25" s="356"/>
      <c r="I25" s="1096"/>
      <c r="J25" s="357"/>
    </row>
    <row r="26" spans="2:41" x14ac:dyDescent="0.2">
      <c r="C26" s="1096"/>
      <c r="I26" s="1096"/>
      <c r="L26" s="360"/>
      <c r="M26" s="363"/>
      <c r="N26" s="363"/>
      <c r="O26" s="363"/>
      <c r="P26" s="360"/>
      <c r="Q26" s="363"/>
      <c r="R26" s="363"/>
      <c r="S26" s="363"/>
      <c r="T26" s="363"/>
      <c r="U26" s="363"/>
      <c r="V26" s="363"/>
      <c r="W26" s="363"/>
      <c r="AK26" s="359">
        <f ca="1">(AM16-OFFSET($AM$16,F16*STrow,0))/OFFSET('Beam Spacing'!$C$23,(F16-1)*BSrow,0)+(OFFSET('Beam Spacing'!$C$23,(F16-1)*BSrow,0)/6*(OFFSET('Beam Spacing'!$G$21,(F16-1)*BSrow,0)+2*OFFSET('Beam Spacing'!$G$24,(F16-1)*BSrow,0)))*0.0254</f>
        <v>0.43260995383077333</v>
      </c>
    </row>
    <row r="27" spans="2:41" x14ac:dyDescent="0.2">
      <c r="C27" s="1097"/>
      <c r="F27" s="390" t="s">
        <v>452</v>
      </c>
      <c r="I27" s="1097"/>
      <c r="L27" s="360"/>
      <c r="M27" s="363"/>
      <c r="N27" s="363"/>
      <c r="O27" s="363"/>
      <c r="P27" s="360"/>
      <c r="Q27" s="363"/>
      <c r="R27" s="363"/>
      <c r="S27" s="363"/>
      <c r="T27" s="363"/>
      <c r="U27" s="363"/>
      <c r="V27" s="363"/>
      <c r="W27" s="363"/>
      <c r="AO27" s="361">
        <f ca="1">P22</f>
        <v>7.0780453882892686E-3</v>
      </c>
    </row>
    <row r="28" spans="2:41" ht="15" x14ac:dyDescent="0.2">
      <c r="B28" s="214"/>
      <c r="C28" s="214"/>
      <c r="D28" s="214"/>
      <c r="E28" s="214"/>
      <c r="F28" s="376">
        <f>(ROW()-STref+12)/STrow</f>
        <v>2</v>
      </c>
      <c r="G28" s="214"/>
      <c r="H28" s="214"/>
      <c r="I28" s="214"/>
      <c r="J28" s="214"/>
      <c r="L28" s="362">
        <f ca="1">AL28/0.0254</f>
        <v>34.685661358570457</v>
      </c>
      <c r="M28" s="237" t="s">
        <v>488</v>
      </c>
      <c r="N28" s="363"/>
      <c r="O28" s="363"/>
      <c r="P28" s="339"/>
      <c r="Q28" s="363"/>
      <c r="R28" s="363"/>
      <c r="S28" s="362">
        <f ca="1">AN28</f>
        <v>62.434190445426829</v>
      </c>
      <c r="T28" s="237" t="s">
        <v>453</v>
      </c>
      <c r="U28" s="363"/>
      <c r="V28" s="364"/>
      <c r="W28" s="363"/>
      <c r="Y28" s="342"/>
      <c r="AK28" s="376">
        <f>F28</f>
        <v>2</v>
      </c>
      <c r="AL28" s="365">
        <f ca="1">OFFSET(AK30,-4,0)+AK30</f>
        <v>0.88101579850768963</v>
      </c>
      <c r="AM28" s="361">
        <f ca="1">(OFFSET(AO28,-1,0)+AO29)/2</f>
        <v>7.244931933812827E-3</v>
      </c>
      <c r="AN28" s="366">
        <f ca="1">AL28*Lse/2/0.0254</f>
        <v>62.434190445426829</v>
      </c>
    </row>
    <row r="29" spans="2:41" ht="12.75" customHeight="1" x14ac:dyDescent="0.2">
      <c r="B29" s="356"/>
      <c r="C29" s="1095" t="s">
        <v>435</v>
      </c>
      <c r="D29" s="357"/>
      <c r="E29" s="345"/>
      <c r="F29" s="381" t="s">
        <v>454</v>
      </c>
      <c r="G29" s="345"/>
      <c r="H29" s="356"/>
      <c r="I29" s="1095" t="s">
        <v>435</v>
      </c>
      <c r="J29" s="357"/>
      <c r="L29" s="360"/>
      <c r="M29" s="363"/>
      <c r="N29" s="363"/>
      <c r="O29" s="363"/>
      <c r="Q29" s="363"/>
      <c r="R29" s="363"/>
      <c r="S29" s="360"/>
      <c r="T29" s="363"/>
      <c r="U29" s="363"/>
      <c r="V29" s="363"/>
      <c r="W29" s="363"/>
      <c r="AO29" s="361">
        <f ca="1">P36</f>
        <v>7.4118184793363845E-3</v>
      </c>
    </row>
    <row r="30" spans="2:41" x14ac:dyDescent="0.2">
      <c r="C30" s="1096"/>
      <c r="I30" s="1096"/>
      <c r="L30" s="360"/>
      <c r="P30" s="360"/>
      <c r="AK30" s="359">
        <f ca="1">(OFFSET($AM$16,F28*STrow,0)-AM28)/OFFSET('Beam Spacing'!$C$23,(F28-1)*BSrow,0)+(OFFSET('Beam Spacing'!$C$23,(F28-1)*BSrow,0)/6*(2*OFFSET('Beam Spacing'!$G$21,(F28-1)*BSrow,0)+OFFSET('Beam Spacing'!$G$24,(F28-1)*BSrow,0)))*0.0254</f>
        <v>0.4484058446769163</v>
      </c>
    </row>
    <row r="31" spans="2:41" x14ac:dyDescent="0.2">
      <c r="B31" s="367"/>
      <c r="C31" s="1096"/>
      <c r="D31" s="368"/>
      <c r="E31" s="394" t="s">
        <v>928</v>
      </c>
      <c r="F31" s="369"/>
      <c r="G31" s="369"/>
      <c r="H31" s="367"/>
      <c r="I31" s="1096"/>
      <c r="J31" s="368"/>
      <c r="K31" s="948" t="s">
        <v>446</v>
      </c>
      <c r="L31" s="348">
        <f ca="1">1/0.0254*(AL28+OFFSET(AL28,$F$16*STrow,0))/4*(Lse/2*(Lsup-Lse/2)-OFFSET(Stiffeners!$D$22,(F28-1)*VSrow,0)^2)</f>
        <v>67.248170305606862</v>
      </c>
      <c r="M31" s="349">
        <f ca="1">(L31*2/(IF(Loc="Upstream",OFFSET(SecProp!$S$23,SProw*F28,0)+OFFSET(SecProp!$S$23,SProw*(F28-1),0),OFFSET(SecProp!$S$24,SProw*F28,0)+OFFSET(SecProp!$S$24,SProw*(F28-1),0))))*0.001</f>
        <v>24.803064769318105</v>
      </c>
      <c r="N31" s="387" t="s">
        <v>447</v>
      </c>
      <c r="O31" s="350">
        <f ca="1">O32</f>
        <v>49.51423503127598</v>
      </c>
      <c r="P31" s="348">
        <f ca="1">Z31</f>
        <v>1.1246403653137206E-2</v>
      </c>
      <c r="Q31" s="349">
        <f ca="1">P31/OFFSET(SecProp!$I$28,SProw*(F28-1),0)^2*6*0.001/0.0254</f>
        <v>18.448824890316942</v>
      </c>
      <c r="R31" s="387" t="s">
        <v>447</v>
      </c>
      <c r="S31" s="353">
        <f>S32</f>
        <v>168.41317365269461</v>
      </c>
      <c r="T31" s="349"/>
      <c r="U31" s="387"/>
      <c r="V31" s="350"/>
      <c r="W31" s="351">
        <f ca="1">M31/O31+Q31/S31</f>
        <v>0.61047298294738406</v>
      </c>
      <c r="Y31" s="358"/>
      <c r="Z31" s="358">
        <f ca="1">AE35+AI35</f>
        <v>1.1246403653137206E-2</v>
      </c>
      <c r="AC31" s="1101" t="s">
        <v>455</v>
      </c>
      <c r="AD31" s="1102"/>
      <c r="AE31" s="1102"/>
      <c r="AF31" s="1102"/>
      <c r="AG31" s="1102"/>
      <c r="AH31" s="1102"/>
      <c r="AI31" s="1103"/>
    </row>
    <row r="32" spans="2:41" x14ac:dyDescent="0.2">
      <c r="C32" s="1096"/>
      <c r="F32" s="395" t="s">
        <v>456</v>
      </c>
      <c r="I32" s="1096"/>
      <c r="K32" s="948" t="s">
        <v>450</v>
      </c>
      <c r="L32" s="348">
        <f ca="1">(L36+L34)/2</f>
        <v>67.650853960131457</v>
      </c>
      <c r="M32" s="349">
        <f ca="1">(M34+M36)/2</f>
        <v>24.968696571010724</v>
      </c>
      <c r="N32" s="387" t="s">
        <v>447</v>
      </c>
      <c r="O32" s="350">
        <f ca="1">(O34+O36)/2</f>
        <v>49.51423503127598</v>
      </c>
      <c r="P32" s="348">
        <f ca="1">IF(AB34&lt;$AC$5,Z32,Y32)</f>
        <v>2.275454194522554E-3</v>
      </c>
      <c r="Q32" s="349">
        <f ca="1">P32/OFFSET(SecProp!$I$28,SProw*(F28-1),0)^2*6*0.001/0.0254</f>
        <v>3.7327004503322736</v>
      </c>
      <c r="R32" s="387" t="s">
        <v>447</v>
      </c>
      <c r="S32" s="353">
        <f>3/2/Sigb*GDF*Fys</f>
        <v>168.41317365269461</v>
      </c>
      <c r="T32" s="349">
        <f ca="1">SQRT((M32-$AC$6*Q32)^2+Q32^2+(M32-$AC$6*Q32)*Q32)</f>
        <v>25.917623078209562</v>
      </c>
      <c r="U32" s="387" t="s">
        <v>447</v>
      </c>
      <c r="V32" s="353">
        <f>Fys*GDF/1.33</f>
        <v>140.97744360902254</v>
      </c>
      <c r="W32" s="351">
        <f t="shared" ref="W32:W36" ca="1" si="1">T32/V32</f>
        <v>0.18384233970143318</v>
      </c>
      <c r="Y32" s="358">
        <f ca="1">(ABS((Y34+Y36)/2-((OFFSET('Beam Spacing'!$G$21,BSrow*(F28-1),0)+OFFSET('Beam Spacing'!$G$24,BSrow*(F28-1),0))*OFFSET('Beam Spacing'!$C$23,BSrow*(F28-1),0)^2/16)*0.0254))</f>
        <v>1.7516244784846184</v>
      </c>
      <c r="Z32" s="358">
        <f ca="1">AD35+AH35</f>
        <v>2.275454194522554E-3</v>
      </c>
      <c r="AB32" s="383" t="s">
        <v>440</v>
      </c>
      <c r="AC32" s="384" t="s">
        <v>441</v>
      </c>
      <c r="AD32" s="384" t="s">
        <v>441</v>
      </c>
      <c r="AE32" s="384" t="s">
        <v>442</v>
      </c>
      <c r="AF32" s="384" t="s">
        <v>457</v>
      </c>
      <c r="AG32" s="384" t="s">
        <v>457</v>
      </c>
      <c r="AH32" s="384" t="s">
        <v>457</v>
      </c>
      <c r="AI32" s="384" t="s">
        <v>458</v>
      </c>
    </row>
    <row r="33" spans="2:41" x14ac:dyDescent="0.2">
      <c r="C33" s="1096"/>
      <c r="D33" s="386" t="s">
        <v>436</v>
      </c>
      <c r="I33" s="1096"/>
      <c r="K33" s="948" t="s">
        <v>451</v>
      </c>
      <c r="L33" s="348">
        <f ca="1">L34</f>
        <v>69.745807952564746</v>
      </c>
      <c r="M33" s="349">
        <f ca="1">0.001*L33/IF(Loc="Upstream",OFFSET(SecProp!$S$23,SProw*F28,0),OFFSET(SecProp!$S$24,SProw*F28,0))</f>
        <v>26.114301840339053</v>
      </c>
      <c r="N33" s="387" t="s">
        <v>447</v>
      </c>
      <c r="O33" s="350">
        <f ca="1">OFFSET(SecProp!$W$33,SProw*(F28-1),0)</f>
        <v>50.21912822042394</v>
      </c>
      <c r="P33" s="348">
        <f ca="1">IF(AB34&lt;$AC$5,Z33,Y33)</f>
        <v>3.7436082894465117E-3</v>
      </c>
      <c r="Q33" s="349">
        <f ca="1">P33/OFFSET(SecProp!$I$28,SProw*(F28-1),0)^2*6*0.001/0.0254</f>
        <v>6.1410897136589755</v>
      </c>
      <c r="R33" s="387" t="s">
        <v>447</v>
      </c>
      <c r="S33" s="353">
        <f>S32</f>
        <v>168.41317365269461</v>
      </c>
      <c r="T33" s="349">
        <f ca="1">SQRT((M33-$AC$6*Q33)^2+Q33^2+(M33-$AC$6*Q33)*Q33)</f>
        <v>27.854947948991516</v>
      </c>
      <c r="U33" s="387" t="s">
        <v>447</v>
      </c>
      <c r="V33" s="353">
        <f>V32</f>
        <v>140.97744360902254</v>
      </c>
      <c r="W33" s="351">
        <f t="shared" ca="1" si="1"/>
        <v>0.1975844307848465</v>
      </c>
      <c r="Y33" s="358">
        <f ca="1">(Y34-Y36)*(OFFSET('Beam Spacing'!$C$20,BSrow*F28,0)-OFFSET(SecProp!$N$19,SProw*F28,0)/2)/OFFSET('Beam Spacing'!$C$20,BSrow*F28,0)+Y36-0.0254*OFFSET('Beam Spacing'!$G$18,BSrow*F28,0)*(OFFSET('Beam Spacing'!$C$20,BSrow*F28,0)-OFFSET(SecProp!$N$19,SProw*F28,0)/2)/2*(OFFSET('Beam Spacing'!$C$20,BSrow*F28,0)-(OFFSET('Beam Spacing'!$C$20,BSrow*F28,0)-OFFSET(SecProp!$N$19,SProw*F28,0)/2))-0.0254*(OFFSET('Beam Spacing'!$G$21,BSrow*F28,0)-OFFSET('Beam Spacing'!$G$18,BSrow*F28,0))*(OFFSET('Beam Spacing'!$C$20,BSrow*F28,0)-OFFSET(SecProp!$N$19,SProw*F28,0)/2)/6*(OFFSET('Beam Spacing'!$C$20,BSrow*F28,0)-(OFFSET('Beam Spacing'!$C$20,BSrow*F28,0)-OFFSET(SecProp!$N$19,SProw*F28,0)/2)^2/OFFSET('Beam Spacing'!$C$20,BSrow*F28,0))</f>
        <v>1.8063410991828852</v>
      </c>
      <c r="Z33" s="358">
        <f ca="1">(1-OFFSET('Define Beam'!$J$11,DBrow*F28,0)/OFFSET('Beam Spacing'!$C$23,BSrow*(F28-1),0))^2*(Z32+Z34)-Z32</f>
        <v>3.7436082894465117E-3</v>
      </c>
      <c r="AB33" s="388"/>
      <c r="AC33" s="389" t="s">
        <v>459</v>
      </c>
      <c r="AD33" s="389" t="s">
        <v>450</v>
      </c>
      <c r="AE33" s="389" t="s">
        <v>446</v>
      </c>
      <c r="AF33" s="389" t="s">
        <v>448</v>
      </c>
      <c r="AG33" s="389" t="s">
        <v>460</v>
      </c>
      <c r="AH33" s="389" t="s">
        <v>450</v>
      </c>
      <c r="AI33" s="389" t="s">
        <v>446</v>
      </c>
    </row>
    <row r="34" spans="2:41" x14ac:dyDescent="0.2">
      <c r="C34" s="1096"/>
      <c r="D34" s="382" t="s">
        <v>439</v>
      </c>
      <c r="F34" s="396" t="s">
        <v>461</v>
      </c>
      <c r="G34" s="948" t="s">
        <v>445</v>
      </c>
      <c r="H34" s="347">
        <f ca="1">AB34</f>
        <v>0.49173491332489472</v>
      </c>
      <c r="I34" s="1096"/>
      <c r="K34" s="948" t="s">
        <v>448</v>
      </c>
      <c r="L34" s="348">
        <f ca="1">(OFFSET(AL39,1,0)/8*(OFFSET(Stiffeners!$D$13,VSrow*F28,0)*(4*OFFSET(Stiffeners!$D$14,VSrow*F28,0)-OFFSET(Stiffeners!$D$13,VSrow*F28,0))+Lse*(2*Lsup-Lse)-4*OFFSET(Stiffeners!$D$14,VSrow*F28,0)^2))/0.0254</f>
        <v>69.745807952564746</v>
      </c>
      <c r="M34" s="349">
        <f ca="1">0.001*L34/IF(Loc="Upstream",OFFSET(SecProp!$S$23,SProw*F28,0),OFFSET(SecProp!$S$24,SProw*F28,0))</f>
        <v>26.114301840339053</v>
      </c>
      <c r="N34" s="387" t="s">
        <v>447</v>
      </c>
      <c r="O34" s="350">
        <f ca="1">O33</f>
        <v>50.21912822042394</v>
      </c>
      <c r="P34" s="348">
        <f ca="1">IF(AB34&lt;$AC$5,Z34,Y34)</f>
        <v>7.8626521132078558E-3</v>
      </c>
      <c r="Q34" s="349">
        <f ca="1">P34/(OFFSET(SecProp!$I$16,SProw*F28,0)+OFFSET(SecProp!$I$28,SProw*(F28-1),0))^2*6*0.001/0.0254</f>
        <v>2.7057272257163816</v>
      </c>
      <c r="R34" s="387" t="s">
        <v>447</v>
      </c>
      <c r="S34" s="353">
        <f>3/2/Sigb*GDF*MIN(Fyb,Fys)</f>
        <v>168.41317365269461</v>
      </c>
      <c r="T34" s="349">
        <f ca="1">SQRT((M34-$AC$6*Q34)^2+Q34^2+(M34-$AC$6*Q34)*Q34)</f>
        <v>26.758243400008798</v>
      </c>
      <c r="U34" s="387" t="s">
        <v>447</v>
      </c>
      <c r="V34" s="353">
        <f>MIN(Fyb,Fys)*GDF/1.33</f>
        <v>140.97744360902254</v>
      </c>
      <c r="W34" s="351">
        <f t="shared" ca="1" si="1"/>
        <v>0.18980513985072908</v>
      </c>
      <c r="Y34" s="358">
        <f ca="1">OFFSET('Beam Spacing'!$I$18,BSrow*(F28+1),0)</f>
        <v>1.8390430910699527</v>
      </c>
      <c r="Z34" s="358">
        <f ca="1">AC35+AF35</f>
        <v>7.8626521132078558E-3</v>
      </c>
      <c r="AB34" s="354">
        <f ca="1">MIN(OFFSET(Stiffeners!$D$21,VSrow*(F28-1),0)/OFFSET('Beam Spacing'!$C$23,BSrow*(F28-1),0),4.9999)</f>
        <v>0.49173491332489472</v>
      </c>
      <c r="AC34" s="355">
        <f ca="1">ROUND(FORECAST(AB34,OFFSET(CCCCA,MATCH(AB34,CCCC,1)-1,0,2),OFFSET(CCCC,MATCH(AB34,CCCC,1)-1,0,2)),5)</f>
        <v>3.5E-4</v>
      </c>
      <c r="AD34" s="355">
        <f ca="1">ROUND(FORECAST(AB34,OFFSET(CCCCB,MATCH(AB34,CCCC,1)-1,0,2),OFFSET(CCCC,MATCH(AB34,CCCC,1)-1,0,2)),5)</f>
        <v>1E-4</v>
      </c>
      <c r="AE34" s="355">
        <f ca="1">ROUND(FORECAST(AB34,OFFSET(CCCCC,MATCH(AB34,CCCC,1)-1,0,2),OFFSET(CCCC,MATCH(AB34,CCCC,1)-1,0,2)),5)</f>
        <v>5.1000000000000004E-4</v>
      </c>
      <c r="AF34" s="355">
        <f ca="1">ROUND(FORECAST(AB34,OFFSET(CCCCE,MATCH(AB34,CCCC,1)-1,0,2),OFFSET(CCCC,MATCH(AB34,CCCC,1)-1,0,2)),5)</f>
        <v>2.7E-4</v>
      </c>
      <c r="AG34" s="355">
        <f ca="1">ROUND(FORECAST(AB34,OFFSET(CCCCF,MATCH(AB34,CCCC,1)-1,0,2),OFFSET(CCCC,MATCH(AB34,CCCC,1)-1,0,2)),5)</f>
        <v>6.9999999999999994E-5</v>
      </c>
      <c r="AH34" s="355">
        <f ca="1">ROUND(FORECAST(AB34,OFFSET(CCCCG,MATCH(AB34,CCCC,1)-1,0,2),OFFSET(CCCC,MATCH(AB34,CCCC,1)-1,0,2)),5)</f>
        <v>9.0000000000000006E-5</v>
      </c>
      <c r="AI34" s="355">
        <f ca="1">ROUND(FORECAST(AB34,OFFSET(CCCCH,MATCH(AB34,CCCC,1)-1,0,2),OFFSET(CCCC,MATCH(AB34,CCCC,1)-1,0,2)),5)</f>
        <v>2.9999999999999997E-4</v>
      </c>
    </row>
    <row r="35" spans="2:41" x14ac:dyDescent="0.2">
      <c r="C35" s="1096"/>
      <c r="D35" s="386" t="s">
        <v>436</v>
      </c>
      <c r="I35" s="1096"/>
      <c r="K35" s="948" t="s">
        <v>462</v>
      </c>
      <c r="L35" s="348">
        <f ca="1">L36</f>
        <v>65.555899967698153</v>
      </c>
      <c r="M35" s="349">
        <f ca="1">0.001*L35/IF(Loc="Upstream",OFFSET(SecProp!$S$23,SProw*(F28-1),0),OFFSET(SecProp!$S$24,SProw*(F28-1),0))</f>
        <v>23.823091301682393</v>
      </c>
      <c r="N35" s="387" t="s">
        <v>447</v>
      </c>
      <c r="O35" s="350">
        <f ca="1">O36</f>
        <v>48.809341842128021</v>
      </c>
      <c r="P35" s="348">
        <f ca="1">IF(AB34&lt;$AC$5,Z35,Y35)</f>
        <v>3.4759453029104478E-3</v>
      </c>
      <c r="Q35" s="349">
        <f ca="1">P35/OFFSET(SecProp!$I$28,SProw*(F28-1),0)^2*6*0.001/0.0254</f>
        <v>5.7020100113360366</v>
      </c>
      <c r="R35" s="387" t="s">
        <v>447</v>
      </c>
      <c r="S35" s="353">
        <f>S32</f>
        <v>168.41317365269461</v>
      </c>
      <c r="T35" s="349">
        <f ca="1">SQRT((M35-$AC$6*Q35)^2+Q35^2+(M35-$AC$6*Q35)*Q35)</f>
        <v>25.447213728881376</v>
      </c>
      <c r="U35" s="387" t="s">
        <v>447</v>
      </c>
      <c r="V35" s="353">
        <f>V32</f>
        <v>140.97744360902254</v>
      </c>
      <c r="W35" s="351">
        <f t="shared" ca="1" si="1"/>
        <v>0.18050556938353191</v>
      </c>
      <c r="Y35" s="358">
        <f ca="1">(Y34-Y36)*OFFSET(SecProp!$N$19,SProw*(F28-1),0)/2/OFFSET('Beam Spacing'!$C$23,BSrow*(F28-1),0)+Y36-0.0254*OFFSET('Beam Spacing'!$G$21,BSrow*(F28-1),0)*OFFSET(SecProp!$N$19,SProw*(F28-1),0)/4*(OFFSET('Beam Spacing'!$C$23,BSrow*(F28-1),0)-OFFSET(SecProp!$N$19,SProw*(F28-1),0)/2)-0.0254*(OFFSET('Beam Spacing'!$G$24,BSrow*(F28-1),0)-OFFSET('Beam Spacing'!$G$21,BSrow*(F28-1),0))*OFFSET(SecProp!$N$19,SProw*(F28-1),0)/12*(OFFSET('Beam Spacing'!$C$23,BSrow*(F28-1),0)-(OFFSET(SecProp!$N$19,SProw*(F28-1),0)/2)^2/OFFSET('Beam Spacing'!$C$23,BSrow*(F28-1),0))</f>
        <v>1.7792940273356033</v>
      </c>
      <c r="Z35" s="358">
        <f ca="1">(1-OFFSET('Define Beam'!$J$11,DBrow*(F28-1),0)/OFFSET('Beam Spacing'!$C$23,BSrow*(F28-1),0))^2*(Z36+Z32)-Z32</f>
        <v>3.4759453029104478E-3</v>
      </c>
      <c r="AB35" s="391"/>
      <c r="AC35" s="392">
        <f ca="1">AC34*OFFSET('Beam Spacing'!$G$18,BSrow*F28,0)*OFFSET('Beam Spacing'!$C$20,BSrow*F28,0)^2</f>
        <v>7.2540267074813689E-3</v>
      </c>
      <c r="AD35" s="392">
        <f ca="1">AD34*OFFSET('Beam Spacing'!$G$18,BSrow*F28,0)*OFFSET('Beam Spacing'!$C$20,BSrow*F28,0)^2</f>
        <v>2.0725790592803915E-3</v>
      </c>
      <c r="AE35" s="392">
        <f ca="1">AE34*OFFSET('Beam Spacing'!$G$18,BSrow*F28,0)*OFFSET('Beam Spacing'!$C$20,BSrow*F28,0)^2</f>
        <v>1.0570153202329997E-2</v>
      </c>
      <c r="AF35" s="392">
        <f ca="1">AF34*(OFFSET('Beam Spacing'!$G$21,BSrow*F28,0)-OFFSET('Beam Spacing'!$G$18,BSrow*F28,0))*OFFSET('Beam Spacing'!$C$20,BSrow*F28,0)^2</f>
        <v>6.0862540572648757E-4</v>
      </c>
      <c r="AG35" s="392">
        <f ca="1">AG34*(OFFSET('Beam Spacing'!$G$21,BSrow*F28,0)-OFFSET('Beam Spacing'!$G$18,BSrow*F28,0))*OFFSET('Beam Spacing'!$C$20,BSrow*F28,0)^2</f>
        <v>1.5779177185501527E-4</v>
      </c>
      <c r="AH35" s="392">
        <f ca="1">AH34*(OFFSET('Beam Spacing'!$G$21,BSrow*F28,0)-OFFSET('Beam Spacing'!$G$18,BSrow*F28,0))*OFFSET('Beam Spacing'!$C$20,BSrow*F28,0)^2</f>
        <v>2.0287513524216251E-4</v>
      </c>
      <c r="AI35" s="392">
        <f ca="1">AI34*(OFFSET('Beam Spacing'!$G$21,BSrow*F28,0)-OFFSET('Beam Spacing'!$G$18,BSrow*F28,0))*OFFSET('Beam Spacing'!$C$20,BSrow*F28,0)^2</f>
        <v>6.7625045080720828E-4</v>
      </c>
    </row>
    <row r="36" spans="2:41" x14ac:dyDescent="0.2">
      <c r="C36" s="1096"/>
      <c r="F36" s="390" t="s">
        <v>449</v>
      </c>
      <c r="I36" s="1096"/>
      <c r="K36" s="948" t="s">
        <v>460</v>
      </c>
      <c r="L36" s="348">
        <f ca="1">1/0.0254*AL28/8*(OFFSET(Stiffeners!$D$21,VSrow*(F28-1),0)*(4*OFFSET(Stiffeners!$D$22,VSrow*(F28-1),0)-OFFSET(Stiffeners!$D$21,VSrow*(F28-1),0))+Lse*(2*Lsup-Lse)-4*OFFSET(Stiffeners!$D$22,VSrow*(F28-1),0)^2)</f>
        <v>65.555899967698153</v>
      </c>
      <c r="M36" s="349">
        <f ca="1">0.001*L36/IF(Loc="Upstream",OFFSET(SecProp!$S$23,SProw*(F28-1),0),OFFSET(SecProp!$S$24,SProw*(F28-1),0))</f>
        <v>23.823091301682393</v>
      </c>
      <c r="N36" s="387" t="s">
        <v>447</v>
      </c>
      <c r="O36" s="350">
        <f ca="1">OFFSET(SecProp!$W$16,SProw*(F28-1),0)</f>
        <v>48.809341842128021</v>
      </c>
      <c r="P36" s="348">
        <f ca="1">IF(AB34&lt;$AC$5,Z36,Y36)</f>
        <v>7.4118184793363845E-3</v>
      </c>
      <c r="Q36" s="349">
        <f ca="1">P36/(OFFSET(SecProp!$I$16,SProw*(F28-1),0)+OFFSET(SecProp!$I$28,SProw*(F28-1),0))^2*6*0.001/0.0254</f>
        <v>2.5505845563128111</v>
      </c>
      <c r="R36" s="387" t="s">
        <v>447</v>
      </c>
      <c r="S36" s="353">
        <f>S34</f>
        <v>168.41317365269461</v>
      </c>
      <c r="T36" s="349">
        <f ca="1">SQRT((M36-$AC$6*Q36)^2+Q36^2+(M36-$AC$6*Q36)*Q36)</f>
        <v>24.433258749473183</v>
      </c>
      <c r="U36" s="387" t="s">
        <v>447</v>
      </c>
      <c r="V36" s="353">
        <f>V34</f>
        <v>140.97744360902254</v>
      </c>
      <c r="W36" s="351">
        <f t="shared" ca="1" si="1"/>
        <v>0.17331324872959647</v>
      </c>
      <c r="Y36" s="358">
        <f ca="1">OFFSET('Beam Spacing'!$I$21,BSrow*(F28-1),0)</f>
        <v>1.8029716201012984</v>
      </c>
      <c r="Z36" s="358">
        <f ca="1">AC35+AG35</f>
        <v>7.4118184793363845E-3</v>
      </c>
    </row>
    <row r="37" spans="2:41" x14ac:dyDescent="0.2">
      <c r="B37" s="356"/>
      <c r="C37" s="1096"/>
      <c r="D37" s="357"/>
      <c r="E37" s="380" t="s">
        <v>927</v>
      </c>
      <c r="F37" s="345"/>
      <c r="G37" s="345"/>
      <c r="H37" s="356"/>
      <c r="I37" s="1096"/>
      <c r="J37" s="357"/>
    </row>
    <row r="38" spans="2:41" x14ac:dyDescent="0.2">
      <c r="C38" s="1096"/>
      <c r="I38" s="1096"/>
      <c r="L38" s="360"/>
      <c r="M38" s="363"/>
      <c r="N38" s="363"/>
      <c r="O38" s="363"/>
      <c r="P38" s="360"/>
      <c r="Q38" s="363"/>
      <c r="R38" s="363"/>
      <c r="S38" s="363"/>
      <c r="T38" s="363"/>
      <c r="U38" s="363"/>
      <c r="V38" s="363"/>
      <c r="W38" s="363"/>
      <c r="AK38" s="359">
        <f ca="1">(AM28-OFFSET($AM$16,F28*STrow,0))/OFFSET('Beam Spacing'!$C$23,(F28-1)*BSrow,0)+(OFFSET('Beam Spacing'!$C$23,(F28-1)*BSrow,0)/6*(OFFSET('Beam Spacing'!$G$21,(F28-1)*BSrow,0)+2*OFFSET('Beam Spacing'!$G$24,(F28-1)*BSrow,0)))*0.0254</f>
        <v>0.46140703685630002</v>
      </c>
    </row>
    <row r="39" spans="2:41" x14ac:dyDescent="0.2">
      <c r="C39" s="1097"/>
      <c r="F39" s="390" t="s">
        <v>452</v>
      </c>
      <c r="I39" s="1097"/>
      <c r="L39" s="360"/>
      <c r="M39" s="363"/>
      <c r="N39" s="363"/>
      <c r="O39" s="363"/>
      <c r="P39" s="360"/>
      <c r="Q39" s="363"/>
      <c r="R39" s="363"/>
      <c r="S39" s="363"/>
      <c r="T39" s="363"/>
      <c r="U39" s="363"/>
      <c r="V39" s="363"/>
      <c r="W39" s="363"/>
      <c r="AO39" s="361">
        <f ca="1">P34</f>
        <v>7.8626521132078558E-3</v>
      </c>
    </row>
    <row r="40" spans="2:41" ht="15" x14ac:dyDescent="0.2">
      <c r="B40" s="214"/>
      <c r="C40" s="214"/>
      <c r="D40" s="214"/>
      <c r="E40" s="214"/>
      <c r="F40" s="376">
        <f>(ROW()-STref+12)/STrow</f>
        <v>3</v>
      </c>
      <c r="G40" s="214"/>
      <c r="H40" s="214"/>
      <c r="I40" s="214"/>
      <c r="J40" s="214"/>
      <c r="L40" s="362">
        <f ca="1">AL40/0.0254</f>
        <v>36.902543890245902</v>
      </c>
      <c r="M40" s="237" t="s">
        <v>488</v>
      </c>
      <c r="N40" s="363"/>
      <c r="O40" s="363"/>
      <c r="P40" s="339"/>
      <c r="Q40" s="363"/>
      <c r="R40" s="363"/>
      <c r="S40" s="362">
        <f ca="1">AN40</f>
        <v>66.424579002442627</v>
      </c>
      <c r="T40" s="237" t="s">
        <v>453</v>
      </c>
      <c r="U40" s="363"/>
      <c r="V40" s="364"/>
      <c r="W40" s="363"/>
      <c r="Y40" s="342"/>
      <c r="AK40" s="376">
        <f>F40</f>
        <v>3</v>
      </c>
      <c r="AL40" s="365">
        <f ca="1">OFFSET(AK42,-4,0)+AK42</f>
        <v>0.93732461481224594</v>
      </c>
      <c r="AM40" s="361">
        <f ca="1">(OFFSET(AO40,-1,0)+AO41)/2</f>
        <v>8.0503396441028267E-3</v>
      </c>
      <c r="AN40" s="366">
        <f ca="1">AL40*Lse/2/0.0254</f>
        <v>66.424579002442627</v>
      </c>
    </row>
    <row r="41" spans="2:41" ht="12.75" customHeight="1" x14ac:dyDescent="0.2">
      <c r="B41" s="356"/>
      <c r="C41" s="1095" t="s">
        <v>435</v>
      </c>
      <c r="D41" s="357"/>
      <c r="E41" s="345"/>
      <c r="F41" s="381" t="s">
        <v>454</v>
      </c>
      <c r="G41" s="345"/>
      <c r="H41" s="356"/>
      <c r="I41" s="1095" t="s">
        <v>435</v>
      </c>
      <c r="J41" s="357"/>
      <c r="L41" s="360"/>
      <c r="M41" s="363"/>
      <c r="N41" s="363"/>
      <c r="O41" s="363"/>
      <c r="Q41" s="363"/>
      <c r="R41" s="363"/>
      <c r="S41" s="360"/>
      <c r="T41" s="363"/>
      <c r="U41" s="363"/>
      <c r="V41" s="363"/>
      <c r="W41" s="363"/>
      <c r="AO41" s="361">
        <f ca="1">P48</f>
        <v>8.2380271749977977E-3</v>
      </c>
    </row>
    <row r="42" spans="2:41" x14ac:dyDescent="0.2">
      <c r="C42" s="1096"/>
      <c r="I42" s="1096"/>
      <c r="L42" s="360"/>
      <c r="P42" s="360"/>
      <c r="AK42" s="359">
        <f ca="1">(OFFSET($AM$16,F40*STrow,0)-AM40)/OFFSET('Beam Spacing'!$C$23,(F40-1)*BSrow,0)+(OFFSET('Beam Spacing'!$C$23,(F40-1)*BSrow,0)/6*(2*OFFSET('Beam Spacing'!$G$21,(F40-1)*BSrow,0)+OFFSET('Beam Spacing'!$G$24,(F40-1)*BSrow,0)))*0.0254</f>
        <v>0.47591757795594591</v>
      </c>
    </row>
    <row r="43" spans="2:41" x14ac:dyDescent="0.2">
      <c r="B43" s="367"/>
      <c r="C43" s="1096"/>
      <c r="D43" s="368"/>
      <c r="E43" s="394" t="s">
        <v>928</v>
      </c>
      <c r="F43" s="369"/>
      <c r="G43" s="369"/>
      <c r="H43" s="367"/>
      <c r="I43" s="1096"/>
      <c r="J43" s="368"/>
      <c r="K43" s="973" t="s">
        <v>446</v>
      </c>
      <c r="L43" s="348">
        <f ca="1">1/0.0254*(AL40+OFFSET(AL40,$F$16*STrow,0))/4*(Lse/2*(Lsup-Lse/2)-OFFSET(Stiffeners!$D$22,(F40-1)*VSrow,0)^2)</f>
        <v>71.209536945072273</v>
      </c>
      <c r="M43" s="349">
        <f ca="1">(L43*2/(IF(Loc="Upstream",OFFSET(SecProp!$S$23,SProw*F40,0)+OFFSET(SecProp!$S$23,SProw*(F40-1),0),OFFSET(SecProp!$S$24,SProw*F40,0)+OFFSET(SecProp!$S$24,SProw*(F40-1),0))))*0.001</f>
        <v>27.00597521820794</v>
      </c>
      <c r="N43" s="387" t="s">
        <v>447</v>
      </c>
      <c r="O43" s="350">
        <f ca="1">O44</f>
        <v>50.843495459505576</v>
      </c>
      <c r="P43" s="348">
        <f ca="1">Z43</f>
        <v>1.2332769365415714E-2</v>
      </c>
      <c r="Q43" s="349">
        <f ca="1">P43/OFFSET(SecProp!$I$28,SProw*(F40-1),0)^2*6*0.001/0.0254</f>
        <v>20.230920875025777</v>
      </c>
      <c r="R43" s="387" t="s">
        <v>447</v>
      </c>
      <c r="S43" s="353">
        <f>S44</f>
        <v>168.41317365269461</v>
      </c>
      <c r="T43" s="349"/>
      <c r="U43" s="387"/>
      <c r="V43" s="350"/>
      <c r="W43" s="351">
        <f ca="1">M43/O43+Q43/S43</f>
        <v>0.65128561431890375</v>
      </c>
      <c r="Y43" s="358"/>
      <c r="Z43" s="358">
        <f ca="1">AE47+AI47</f>
        <v>1.2332769365415714E-2</v>
      </c>
      <c r="AC43" s="1101" t="s">
        <v>455</v>
      </c>
      <c r="AD43" s="1102"/>
      <c r="AE43" s="1102"/>
      <c r="AF43" s="1102"/>
      <c r="AG43" s="1102"/>
      <c r="AH43" s="1102"/>
      <c r="AI43" s="1103"/>
    </row>
    <row r="44" spans="2:41" x14ac:dyDescent="0.2">
      <c r="C44" s="1096"/>
      <c r="F44" s="395" t="s">
        <v>456</v>
      </c>
      <c r="I44" s="1096"/>
      <c r="K44" s="973" t="s">
        <v>450</v>
      </c>
      <c r="L44" s="348">
        <f ca="1">(L48+L46)/2</f>
        <v>71.635941357917034</v>
      </c>
      <c r="M44" s="349">
        <f ca="1">(M46+M48)/2</f>
        <v>27.181440850618522</v>
      </c>
      <c r="N44" s="387" t="s">
        <v>447</v>
      </c>
      <c r="O44" s="350">
        <f ca="1">(O46+O48)/2</f>
        <v>50.843495459505576</v>
      </c>
      <c r="P44" s="348">
        <f ca="1">IF(AB46&lt;$AC$5,Z44,Y44)</f>
        <v>2.5387104047059589E-3</v>
      </c>
      <c r="Q44" s="349">
        <f ca="1">P44/OFFSET(SecProp!$I$28,SProw*(F40-1),0)^2*6*0.001/0.0254</f>
        <v>4.1645511888221112</v>
      </c>
      <c r="R44" s="387" t="s">
        <v>447</v>
      </c>
      <c r="S44" s="353">
        <f>3/2/Sigb*GDF*Fys</f>
        <v>168.41317365269461</v>
      </c>
      <c r="T44" s="349">
        <f ca="1">SQRT((M44-$AC$6*Q44)^2+Q44^2+(M44-$AC$6*Q44)*Q44)</f>
        <v>28.245556851590344</v>
      </c>
      <c r="U44" s="387" t="s">
        <v>447</v>
      </c>
      <c r="V44" s="353">
        <f>Fys*GDF/1.33</f>
        <v>140.97744360902254</v>
      </c>
      <c r="W44" s="351">
        <f t="shared" ref="W44:W48" ca="1" si="2">T44/V44</f>
        <v>0.20035514993394751</v>
      </c>
      <c r="Y44" s="358">
        <f ca="1">(ABS((Y46+Y48)/2-((OFFSET('Beam Spacing'!$G$21,BSrow*(F40-1),0)+OFFSET('Beam Spacing'!$G$24,BSrow*(F40-1),0))*OFFSET('Beam Spacing'!$C$23,BSrow*(F40-1),0)^2/16)*0.0254))</f>
        <v>1.7843486669296567</v>
      </c>
      <c r="Z44" s="358">
        <f ca="1">AD47+AH47</f>
        <v>2.5387104047059589E-3</v>
      </c>
      <c r="AB44" s="383" t="s">
        <v>440</v>
      </c>
      <c r="AC44" s="384" t="s">
        <v>441</v>
      </c>
      <c r="AD44" s="384" t="s">
        <v>441</v>
      </c>
      <c r="AE44" s="384" t="s">
        <v>442</v>
      </c>
      <c r="AF44" s="384" t="s">
        <v>457</v>
      </c>
      <c r="AG44" s="384" t="s">
        <v>457</v>
      </c>
      <c r="AH44" s="384" t="s">
        <v>457</v>
      </c>
      <c r="AI44" s="384" t="s">
        <v>458</v>
      </c>
    </row>
    <row r="45" spans="2:41" x14ac:dyDescent="0.2">
      <c r="C45" s="1096"/>
      <c r="D45" s="386" t="s">
        <v>436</v>
      </c>
      <c r="I45" s="1096"/>
      <c r="K45" s="973" t="s">
        <v>451</v>
      </c>
      <c r="L45" s="348">
        <f ca="1">L46</f>
        <v>73.526074763269307</v>
      </c>
      <c r="M45" s="349">
        <f ca="1">0.001*L45/IF(Loc="Upstream",OFFSET(SecProp!$S$23,SProw*F40,0),OFFSET(SecProp!$S$24,SProw*F40,0))</f>
        <v>28.248579860897991</v>
      </c>
      <c r="N45" s="387" t="s">
        <v>447</v>
      </c>
      <c r="O45" s="350">
        <f ca="1">OFFSET(SecProp!$W$33,SProw*(F40-1),0)</f>
        <v>51.467862698587219</v>
      </c>
      <c r="P45" s="348">
        <f ca="1">IF(AB46&lt;$AC$5,Z45,Y45)</f>
        <v>3.9529921482508168E-3</v>
      </c>
      <c r="Q45" s="349">
        <f ca="1">P45/OFFSET(SecProp!$I$28,SProw*(F40-1),0)^2*6*0.001/0.0254</f>
        <v>6.4845671723274556</v>
      </c>
      <c r="R45" s="387" t="s">
        <v>447</v>
      </c>
      <c r="S45" s="353">
        <f>S44</f>
        <v>168.41317365269461</v>
      </c>
      <c r="T45" s="349">
        <f ca="1">SQRT((M45-$AC$6*Q45)^2+Q45^2+(M45-$AC$6*Q45)*Q45)</f>
        <v>30.074463962399875</v>
      </c>
      <c r="U45" s="387" t="s">
        <v>447</v>
      </c>
      <c r="V45" s="353">
        <f>V44</f>
        <v>140.97744360902254</v>
      </c>
      <c r="W45" s="351">
        <f t="shared" ca="1" si="2"/>
        <v>0.21332819770662315</v>
      </c>
      <c r="Y45" s="358">
        <f ca="1">(Y46-Y48)*(OFFSET('Beam Spacing'!$C$20,BSrow*F40,0)-OFFSET(SecProp!$N$19,SProw*F40,0)/2)/OFFSET('Beam Spacing'!$C$20,BSrow*F40,0)+Y48-0.0254*OFFSET('Beam Spacing'!$G$18,BSrow*F40,0)*(OFFSET('Beam Spacing'!$C$20,BSrow*F40,0)-OFFSET(SecProp!$N$19,SProw*F40,0)/2)/2*(OFFSET('Beam Spacing'!$C$20,BSrow*F40,0)-(OFFSET('Beam Spacing'!$C$20,BSrow*F40,0)-OFFSET(SecProp!$N$19,SProw*F40,0)/2))-0.0254*(OFFSET('Beam Spacing'!$G$21,BSrow*F40,0)-OFFSET('Beam Spacing'!$G$18,BSrow*F40,0))*(OFFSET('Beam Spacing'!$C$20,BSrow*F40,0)-OFFSET(SecProp!$N$19,SProw*F40,0)/2)/6*(OFFSET('Beam Spacing'!$C$20,BSrow*F40,0)-(OFFSET('Beam Spacing'!$C$20,BSrow*F40,0)-OFFSET(SecProp!$N$19,SProw*F40,0)/2)^2/OFFSET('Beam Spacing'!$C$20,BSrow*F40,0))</f>
        <v>1.8371473153130331</v>
      </c>
      <c r="Z45" s="358">
        <f ca="1">(1-OFFSET('Define Beam'!$J$11,DBrow*F40,0)/OFFSET('Beam Spacing'!$C$23,BSrow*(F40-1),0))^2*(Z44+Z46)-Z44</f>
        <v>3.9529921482508168E-3</v>
      </c>
      <c r="AB45" s="388"/>
      <c r="AC45" s="389" t="s">
        <v>459</v>
      </c>
      <c r="AD45" s="389" t="s">
        <v>450</v>
      </c>
      <c r="AE45" s="389" t="s">
        <v>446</v>
      </c>
      <c r="AF45" s="389" t="s">
        <v>448</v>
      </c>
      <c r="AG45" s="389" t="s">
        <v>460</v>
      </c>
      <c r="AH45" s="389" t="s">
        <v>450</v>
      </c>
      <c r="AI45" s="389" t="s">
        <v>446</v>
      </c>
    </row>
    <row r="46" spans="2:41" x14ac:dyDescent="0.2">
      <c r="C46" s="1096"/>
      <c r="D46" s="382" t="s">
        <v>439</v>
      </c>
      <c r="F46" s="396" t="s">
        <v>461</v>
      </c>
      <c r="G46" s="973" t="s">
        <v>445</v>
      </c>
      <c r="H46" s="347">
        <f ca="1">AB46</f>
        <v>0.5112745334659341</v>
      </c>
      <c r="I46" s="1096"/>
      <c r="K46" s="973" t="s">
        <v>448</v>
      </c>
      <c r="L46" s="348">
        <f ca="1">(OFFSET(AL51,1,0)/8*(OFFSET(Stiffeners!$D$13,VSrow*F40,0)*(4*OFFSET(Stiffeners!$D$14,VSrow*F40,0)-OFFSET(Stiffeners!$D$13,VSrow*F40,0))+Lse*(2*Lsup-Lse)-4*OFFSET(Stiffeners!$D$14,VSrow*F40,0)^2))/0.0254</f>
        <v>73.526074763269307</v>
      </c>
      <c r="M46" s="349">
        <f ca="1">0.001*L46/IF(Loc="Upstream",OFFSET(SecProp!$S$23,SProw*F40,0),OFFSET(SecProp!$S$24,SProw*F40,0))</f>
        <v>28.248579860897991</v>
      </c>
      <c r="N46" s="387" t="s">
        <v>447</v>
      </c>
      <c r="O46" s="350">
        <f ca="1">O45</f>
        <v>51.467862698587219</v>
      </c>
      <c r="P46" s="348">
        <f ca="1">IF(AB46&lt;$AC$5,Z46,Y46)</f>
        <v>8.6589402761308928E-3</v>
      </c>
      <c r="Q46" s="349">
        <f ca="1">P46/(OFFSET(SecProp!$I$16,SProw*F40,0)+OFFSET(SecProp!$I$28,SProw*(F40-1),0))^2*6*0.001/0.0254</f>
        <v>2.9797490863958469</v>
      </c>
      <c r="R46" s="387" t="s">
        <v>447</v>
      </c>
      <c r="S46" s="353">
        <f>3/2/Sigb*GDF*MIN(Fyb,Fys)</f>
        <v>168.41317365269461</v>
      </c>
      <c r="T46" s="349">
        <f ca="1">SQRT((M46-$AC$6*Q46)^2+Q46^2+(M46-$AC$6*Q46)*Q46)</f>
        <v>28.959731884439996</v>
      </c>
      <c r="U46" s="387" t="s">
        <v>447</v>
      </c>
      <c r="V46" s="353">
        <f>MIN(Fyb,Fys)*GDF/1.33</f>
        <v>140.97744360902254</v>
      </c>
      <c r="W46" s="351">
        <f t="shared" ca="1" si="2"/>
        <v>0.20542103150029439</v>
      </c>
      <c r="Y46" s="358">
        <f ca="1">OFFSET('Beam Spacing'!$I$18,BSrow*(F40+1),0)</f>
        <v>1.8710003209723309</v>
      </c>
      <c r="Z46" s="358">
        <f ca="1">AC47+AF47</f>
        <v>8.6589402761308928E-3</v>
      </c>
      <c r="AB46" s="354">
        <f ca="1">MIN(OFFSET(Stiffeners!$D$21,VSrow*(F40-1),0)/OFFSET('Beam Spacing'!$C$23,BSrow*(F40-1),0),4.9999)</f>
        <v>0.5112745334659341</v>
      </c>
      <c r="AC46" s="355">
        <f ca="1">ROUND(FORECAST(AB46,OFFSET(CCCCA,MATCH(AB46,CCCC,1)-1,0,2),OFFSET(CCCC,MATCH(AB46,CCCC,1)-1,0,2)),5)</f>
        <v>3.8000000000000002E-4</v>
      </c>
      <c r="AD46" s="355">
        <f ca="1">ROUND(FORECAST(AB46,OFFSET(CCCCB,MATCH(AB46,CCCC,1)-1,0,2),OFFSET(CCCC,MATCH(AB46,CCCC,1)-1,0,2)),5)</f>
        <v>1.1E-4</v>
      </c>
      <c r="AE46" s="355">
        <f ca="1">ROUND(FORECAST(AB46,OFFSET(CCCCC,MATCH(AB46,CCCC,1)-1,0,2),OFFSET(CCCC,MATCH(AB46,CCCC,1)-1,0,2)),5)</f>
        <v>5.5000000000000003E-4</v>
      </c>
      <c r="AF46" s="355">
        <f ca="1">ROUND(FORECAST(AB46,OFFSET(CCCCE,MATCH(AB46,CCCC,1)-1,0,2),OFFSET(CCCC,MATCH(AB46,CCCC,1)-1,0,2)),5)</f>
        <v>2.9E-4</v>
      </c>
      <c r="AG46" s="355">
        <f ca="1">ROUND(FORECAST(AB46,OFFSET(CCCCF,MATCH(AB46,CCCC,1)-1,0,2),OFFSET(CCCC,MATCH(AB46,CCCC,1)-1,0,2)),5)</f>
        <v>8.0000000000000007E-5</v>
      </c>
      <c r="AH46" s="355">
        <f ca="1">ROUND(FORECAST(AB46,OFFSET(CCCCG,MATCH(AB46,CCCC,1)-1,0,2),OFFSET(CCCC,MATCH(AB46,CCCC,1)-1,0,2)),5)</f>
        <v>1E-4</v>
      </c>
      <c r="AI46" s="355">
        <f ca="1">ROUND(FORECAST(AB46,OFFSET(CCCCH,MATCH(AB46,CCCC,1)-1,0,2),OFFSET(CCCC,MATCH(AB46,CCCC,1)-1,0,2)),5)</f>
        <v>3.2000000000000003E-4</v>
      </c>
    </row>
    <row r="47" spans="2:41" x14ac:dyDescent="0.2">
      <c r="C47" s="1096"/>
      <c r="D47" s="386" t="s">
        <v>436</v>
      </c>
      <c r="I47" s="1096"/>
      <c r="K47" s="973" t="s">
        <v>462</v>
      </c>
      <c r="L47" s="348">
        <f ca="1">L48</f>
        <v>69.745807952564746</v>
      </c>
      <c r="M47" s="349">
        <f ca="1">0.001*L47/IF(Loc="Upstream",OFFSET(SecProp!$S$23,SProw*(F40-1),0),OFFSET(SecProp!$S$24,SProw*(F40-1),0))</f>
        <v>26.114301840339053</v>
      </c>
      <c r="N47" s="387" t="s">
        <v>447</v>
      </c>
      <c r="O47" s="350">
        <f ca="1">O48</f>
        <v>50.21912822042394</v>
      </c>
      <c r="P47" s="348">
        <f ca="1">IF(AB46&lt;$AC$5,Z47,Y47)</f>
        <v>3.7089728685750505E-3</v>
      </c>
      <c r="Q47" s="349">
        <f ca="1">P47/OFFSET(SecProp!$I$28,SProw*(F40-1),0)^2*6*0.001/0.0254</f>
        <v>6.0842730783711456</v>
      </c>
      <c r="R47" s="387" t="s">
        <v>447</v>
      </c>
      <c r="S47" s="353">
        <f>S44</f>
        <v>168.41317365269461</v>
      </c>
      <c r="T47" s="349">
        <f ca="1">SQRT((M47-$AC$6*Q47)^2+Q47^2+(M47-$AC$6*Q47)*Q47)</f>
        <v>27.834437256611107</v>
      </c>
      <c r="U47" s="387" t="s">
        <v>447</v>
      </c>
      <c r="V47" s="353">
        <f>V44</f>
        <v>140.97744360902254</v>
      </c>
      <c r="W47" s="351">
        <f t="shared" ca="1" si="2"/>
        <v>0.19743894160689479</v>
      </c>
      <c r="Y47" s="358">
        <f ca="1">(Y46-Y48)*OFFSET(SecProp!$N$19,SProw*(F40-1),0)/2/OFFSET('Beam Spacing'!$C$23,BSrow*(F40-1),0)+Y48-0.0254*OFFSET('Beam Spacing'!$G$21,BSrow*(F40-1),0)*OFFSET(SecProp!$N$19,SProw*(F40-1),0)/4*(OFFSET('Beam Spacing'!$C$23,BSrow*(F40-1),0)-OFFSET(SecProp!$N$19,SProw*(F40-1),0)/2)-0.0254*(OFFSET('Beam Spacing'!$G$24,BSrow*(F40-1),0)-OFFSET('Beam Spacing'!$G$21,BSrow*(F40-1),0))*OFFSET(SecProp!$N$19,SProw*(F40-1),0)/12*(OFFSET('Beam Spacing'!$C$23,BSrow*(F40-1),0)-(OFFSET(SecProp!$N$19,SProw*(F40-1),0)/2)^2/OFFSET('Beam Spacing'!$C$23,BSrow*(F40-1),0))</f>
        <v>1.8134936978719012</v>
      </c>
      <c r="Z47" s="358">
        <f ca="1">(1-OFFSET('Define Beam'!$J$11,DBrow*(F40-1),0)/OFFSET('Beam Spacing'!$C$23,BSrow*(F40-1),0))^2*(Z48+Z44)-Z44</f>
        <v>3.7089728685750505E-3</v>
      </c>
      <c r="AB47" s="391"/>
      <c r="AC47" s="392">
        <f ca="1">AC46*OFFSET('Beam Spacing'!$G$18,BSrow*F40,0)*OFFSET('Beam Spacing'!$C$20,BSrow*F40,0)^2</f>
        <v>8.0776793269470952E-3</v>
      </c>
      <c r="AD47" s="392">
        <f ca="1">AD46*OFFSET('Beam Spacing'!$G$18,BSrow*F40,0)*OFFSET('Beam Spacing'!$C$20,BSrow*F40,0)^2</f>
        <v>2.3382755946425803E-3</v>
      </c>
      <c r="AE47" s="392">
        <f ca="1">AE46*OFFSET('Beam Spacing'!$G$18,BSrow*F40,0)*OFFSET('Beam Spacing'!$C$20,BSrow*F40,0)^2</f>
        <v>1.1691377973212902E-2</v>
      </c>
      <c r="AF47" s="392">
        <f ca="1">AF46*(OFFSET('Beam Spacing'!$G$21,BSrow*F40,0)-OFFSET('Beam Spacing'!$G$18,BSrow*F40,0))*OFFSET('Beam Spacing'!$C$20,BSrow*F40,0)^2</f>
        <v>5.8126094918379753E-4</v>
      </c>
      <c r="AG47" s="392">
        <f ca="1">AG46*(OFFSET('Beam Spacing'!$G$21,BSrow*F40,0)-OFFSET('Beam Spacing'!$G$18,BSrow*F40,0))*OFFSET('Beam Spacing'!$C$20,BSrow*F40,0)^2</f>
        <v>1.6034784805070274E-4</v>
      </c>
      <c r="AH47" s="392">
        <f ca="1">AH46*(OFFSET('Beam Spacing'!$G$21,BSrow*F40,0)-OFFSET('Beam Spacing'!$G$18,BSrow*F40,0))*OFFSET('Beam Spacing'!$C$20,BSrow*F40,0)^2</f>
        <v>2.0043481006337845E-4</v>
      </c>
      <c r="AI47" s="392">
        <f ca="1">AI46*(OFFSET('Beam Spacing'!$G$21,BSrow*F40,0)-OFFSET('Beam Spacing'!$G$18,BSrow*F40,0))*OFFSET('Beam Spacing'!$C$20,BSrow*F40,0)^2</f>
        <v>6.4139139220281097E-4</v>
      </c>
    </row>
    <row r="48" spans="2:41" x14ac:dyDescent="0.2">
      <c r="C48" s="1096"/>
      <c r="F48" s="390" t="s">
        <v>449</v>
      </c>
      <c r="I48" s="1096"/>
      <c r="K48" s="973" t="s">
        <v>460</v>
      </c>
      <c r="L48" s="348">
        <f ca="1">1/0.0254*AL40/8*(OFFSET(Stiffeners!$D$21,VSrow*(F40-1),0)*(4*OFFSET(Stiffeners!$D$22,VSrow*(F40-1),0)-OFFSET(Stiffeners!$D$21,VSrow*(F40-1),0))+Lse*(2*Lsup-Lse)-4*OFFSET(Stiffeners!$D$22,VSrow*(F40-1),0)^2)</f>
        <v>69.745807952564746</v>
      </c>
      <c r="M48" s="349">
        <f ca="1">0.001*L48/IF(Loc="Upstream",OFFSET(SecProp!$S$23,SProw*(F40-1),0),OFFSET(SecProp!$S$24,SProw*(F40-1),0))</f>
        <v>26.114301840339053</v>
      </c>
      <c r="N48" s="387" t="s">
        <v>447</v>
      </c>
      <c r="O48" s="350">
        <f ca="1">OFFSET(SecProp!$W$16,SProw*(F40-1),0)</f>
        <v>50.21912822042394</v>
      </c>
      <c r="P48" s="348">
        <f ca="1">IF(AB46&lt;$AC$5,Z48,Y48)</f>
        <v>8.2380271749977977E-3</v>
      </c>
      <c r="Q48" s="349">
        <f ca="1">P48/(OFFSET(SecProp!$I$16,SProw*(F40-1),0)+OFFSET(SecProp!$I$28,SProw*(F40-1),0))^2*6*0.001/0.0254</f>
        <v>2.8349027901336199</v>
      </c>
      <c r="R48" s="387" t="s">
        <v>447</v>
      </c>
      <c r="S48" s="353">
        <f>S46</f>
        <v>168.41317365269461</v>
      </c>
      <c r="T48" s="349">
        <f ca="1">SQRT((M48-$AC$6*Q48)^2+Q48^2+(M48-$AC$6*Q48)*Q48)</f>
        <v>26.793998130056554</v>
      </c>
      <c r="U48" s="387" t="s">
        <v>447</v>
      </c>
      <c r="V48" s="353">
        <f>V46</f>
        <v>140.97744360902254</v>
      </c>
      <c r="W48" s="351">
        <f t="shared" ca="1" si="2"/>
        <v>0.19005876006920117</v>
      </c>
      <c r="Y48" s="358">
        <f ca="1">OFFSET('Beam Spacing'!$I$21,BSrow*(F40-1),0)</f>
        <v>1.8390430910699527</v>
      </c>
      <c r="Z48" s="358">
        <f ca="1">AC47+AG47</f>
        <v>8.2380271749977977E-3</v>
      </c>
    </row>
    <row r="49" spans="2:41" x14ac:dyDescent="0.2">
      <c r="B49" s="356"/>
      <c r="C49" s="1096"/>
      <c r="D49" s="357"/>
      <c r="E49" s="380" t="s">
        <v>927</v>
      </c>
      <c r="F49" s="345"/>
      <c r="G49" s="345"/>
      <c r="H49" s="356"/>
      <c r="I49" s="1096"/>
      <c r="J49" s="357"/>
    </row>
    <row r="50" spans="2:41" x14ac:dyDescent="0.2">
      <c r="C50" s="1096"/>
      <c r="I50" s="1096"/>
      <c r="L50" s="360"/>
      <c r="M50" s="363"/>
      <c r="N50" s="363"/>
      <c r="O50" s="363"/>
      <c r="P50" s="360"/>
      <c r="Q50" s="363"/>
      <c r="R50" s="363"/>
      <c r="S50" s="363"/>
      <c r="T50" s="363"/>
      <c r="U50" s="363"/>
      <c r="V50" s="363"/>
      <c r="W50" s="363"/>
      <c r="AK50" s="359">
        <f ca="1">(AM40-OFFSET($AM$16,F40*STrow,0))/OFFSET('Beam Spacing'!$C$23,(F40-1)*BSrow,0)+(OFFSET('Beam Spacing'!$C$23,(F40-1)*BSrow,0)/6*(OFFSET('Beam Spacing'!$G$21,(F40-1)*BSrow,0)+2*OFFSET('Beam Spacing'!$G$24,(F40-1)*BSrow,0)))*0.0254</f>
        <v>0.48763775778055551</v>
      </c>
    </row>
    <row r="51" spans="2:41" x14ac:dyDescent="0.2">
      <c r="C51" s="1097"/>
      <c r="F51" s="390" t="s">
        <v>452</v>
      </c>
      <c r="I51" s="1097"/>
      <c r="L51" s="360"/>
      <c r="M51" s="363"/>
      <c r="N51" s="363"/>
      <c r="O51" s="363"/>
      <c r="P51" s="360"/>
      <c r="Q51" s="363"/>
      <c r="R51" s="363"/>
      <c r="S51" s="363"/>
      <c r="T51" s="363"/>
      <c r="U51" s="363"/>
      <c r="V51" s="363"/>
      <c r="W51" s="363"/>
      <c r="AO51" s="361">
        <f ca="1">P46</f>
        <v>8.6589402761308928E-3</v>
      </c>
    </row>
    <row r="52" spans="2:41" ht="15" x14ac:dyDescent="0.2">
      <c r="B52" s="214"/>
      <c r="C52" s="214"/>
      <c r="D52" s="214"/>
      <c r="E52" s="214"/>
      <c r="F52" s="376">
        <f>(ROW()-STref+12)/STrow</f>
        <v>4</v>
      </c>
      <c r="G52" s="214"/>
      <c r="H52" s="214"/>
      <c r="I52" s="214"/>
      <c r="J52" s="214"/>
      <c r="L52" s="362">
        <f ca="1">AL52/0.0254</f>
        <v>38.902685059930853</v>
      </c>
      <c r="M52" s="237" t="s">
        <v>488</v>
      </c>
      <c r="N52" s="363"/>
      <c r="O52" s="363"/>
      <c r="P52" s="339"/>
      <c r="Q52" s="363"/>
      <c r="R52" s="363"/>
      <c r="S52" s="362">
        <f ca="1">AN52</f>
        <v>70.024833107875537</v>
      </c>
      <c r="T52" s="237" t="s">
        <v>453</v>
      </c>
      <c r="U52" s="363"/>
      <c r="V52" s="364"/>
      <c r="W52" s="363"/>
      <c r="Y52" s="342"/>
      <c r="AK52" s="376">
        <f>F52</f>
        <v>4</v>
      </c>
      <c r="AL52" s="365">
        <f ca="1">OFFSET(AK54,-4,0)+AK54</f>
        <v>0.9881282005222437</v>
      </c>
      <c r="AM52" s="361">
        <f ca="1">(OFFSET(AO52,-1,0)+AO53)/2</f>
        <v>8.8543578949331573E-3</v>
      </c>
      <c r="AN52" s="366">
        <f ca="1">AL52*Lse/2/0.0254</f>
        <v>70.024833107875537</v>
      </c>
    </row>
    <row r="53" spans="2:41" ht="12.75" customHeight="1" x14ac:dyDescent="0.2">
      <c r="B53" s="356"/>
      <c r="C53" s="1095" t="s">
        <v>435</v>
      </c>
      <c r="D53" s="357"/>
      <c r="E53" s="345"/>
      <c r="F53" s="381" t="s">
        <v>454</v>
      </c>
      <c r="G53" s="345"/>
      <c r="H53" s="356"/>
      <c r="I53" s="1095" t="s">
        <v>435</v>
      </c>
      <c r="J53" s="357"/>
      <c r="L53" s="360"/>
      <c r="M53" s="363"/>
      <c r="N53" s="363"/>
      <c r="O53" s="363"/>
      <c r="Q53" s="363"/>
      <c r="R53" s="363"/>
      <c r="S53" s="360"/>
      <c r="T53" s="363"/>
      <c r="U53" s="363"/>
      <c r="V53" s="363"/>
      <c r="W53" s="363"/>
      <c r="AO53" s="361">
        <f ca="1">P60</f>
        <v>9.0497755137354217E-3</v>
      </c>
    </row>
    <row r="54" spans="2:41" x14ac:dyDescent="0.2">
      <c r="C54" s="1096"/>
      <c r="I54" s="1096"/>
      <c r="L54" s="360"/>
      <c r="P54" s="360"/>
      <c r="AK54" s="359">
        <f ca="1">(OFFSET($AM$16,F52*STrow,0)-AM52)/OFFSET('Beam Spacing'!$C$23,(F52-1)*BSrow,0)+(OFFSET('Beam Spacing'!$C$23,(F52-1)*BSrow,0)/6*(2*OFFSET('Beam Spacing'!$G$21,(F52-1)*BSrow,0)+OFFSET('Beam Spacing'!$G$24,(F52-1)*BSrow,0)))*0.0254</f>
        <v>0.50049044274168819</v>
      </c>
    </row>
    <row r="55" spans="2:41" x14ac:dyDescent="0.2">
      <c r="B55" s="367"/>
      <c r="C55" s="1096"/>
      <c r="D55" s="368"/>
      <c r="E55" s="394" t="s">
        <v>928</v>
      </c>
      <c r="F55" s="369"/>
      <c r="G55" s="369"/>
      <c r="H55" s="367"/>
      <c r="I55" s="1096"/>
      <c r="J55" s="368"/>
      <c r="K55" s="986" t="s">
        <v>446</v>
      </c>
      <c r="L55" s="348">
        <f ca="1">1/0.0254*(AL52+OFFSET(AL52,$F$16*STrow,0))/4*(Lse/2*(Lsup-Lse/2)-OFFSET(Stiffeners!$D$22,(F52-1)*VSrow,0)^2)</f>
        <v>71.259036518845534</v>
      </c>
      <c r="M55" s="349">
        <f ca="1">(L55*2/(IF(Loc="Upstream",OFFSET(SecProp!$S$23,SProw*F52,0)+OFFSET(SecProp!$S$23,SProw*(F52-1),0),OFFSET(SecProp!$S$24,SProw*F52,0)+OFFSET(SecProp!$S$24,SProw*(F52-1),0))))*0.001</f>
        <v>28.557528358218395</v>
      </c>
      <c r="N55" s="387" t="s">
        <v>447</v>
      </c>
      <c r="O55" s="350">
        <f ca="1">O56</f>
        <v>53.662947343857681</v>
      </c>
      <c r="P55" s="348">
        <f ca="1">Z55</f>
        <v>1.3212137616284723E-2</v>
      </c>
      <c r="Q55" s="349">
        <f ca="1">P55/OFFSET(SecProp!$I$28,SProw*(F52-1),0)^2*6*0.001/0.0254</f>
        <v>21.673454094955257</v>
      </c>
      <c r="R55" s="387" t="s">
        <v>447</v>
      </c>
      <c r="S55" s="353">
        <f>S56</f>
        <v>168.41317365269461</v>
      </c>
      <c r="T55" s="349"/>
      <c r="U55" s="387"/>
      <c r="V55" s="350"/>
      <c r="W55" s="351">
        <f ca="1">M55/O55+Q55/S55</f>
        <v>0.66085689292506622</v>
      </c>
      <c r="Y55" s="358"/>
      <c r="Z55" s="358">
        <f ca="1">AE59+AI59</f>
        <v>1.3212137616284723E-2</v>
      </c>
      <c r="AC55" s="1101" t="s">
        <v>455</v>
      </c>
      <c r="AD55" s="1102"/>
      <c r="AE55" s="1102"/>
      <c r="AF55" s="1102"/>
      <c r="AG55" s="1102"/>
      <c r="AH55" s="1102"/>
      <c r="AI55" s="1103"/>
    </row>
    <row r="56" spans="2:41" x14ac:dyDescent="0.2">
      <c r="C56" s="1096"/>
      <c r="F56" s="395" t="s">
        <v>456</v>
      </c>
      <c r="I56" s="1096"/>
      <c r="K56" s="986" t="s">
        <v>450</v>
      </c>
      <c r="L56" s="348">
        <f ca="1">(L60+L58)/2</f>
        <v>71.685737336323655</v>
      </c>
      <c r="M56" s="349">
        <f ca="1">(M58+M60)/2</f>
        <v>28.750148513382243</v>
      </c>
      <c r="N56" s="387" t="s">
        <v>447</v>
      </c>
      <c r="O56" s="350">
        <f ca="1">(O58+O60)/2</f>
        <v>53.662947343857681</v>
      </c>
      <c r="P56" s="348">
        <f ca="1">IF(AB58&lt;$AC$5,Z56,Y56)</f>
        <v>2.7871503474740976E-3</v>
      </c>
      <c r="Q56" s="349">
        <f ca="1">P56/OFFSET(SecProp!$I$28,SProw*(F52-1),0)^2*6*0.001/0.0254</f>
        <v>4.5720970266963548</v>
      </c>
      <c r="R56" s="387" t="s">
        <v>447</v>
      </c>
      <c r="S56" s="353">
        <f>3/2/Sigb*GDF*Fys</f>
        <v>168.41317365269461</v>
      </c>
      <c r="T56" s="349">
        <f ca="1">SQRT((M56-$AC$6*Q56)^2+Q56^2+(M56-$AC$6*Q56)*Q56)</f>
        <v>29.927656828101092</v>
      </c>
      <c r="U56" s="387" t="s">
        <v>447</v>
      </c>
      <c r="V56" s="353">
        <f>Fys*GDF/1.33</f>
        <v>140.97744360902254</v>
      </c>
      <c r="W56" s="351">
        <f t="shared" ref="W56:W60" ca="1" si="3">T56/V56</f>
        <v>0.21228684576733042</v>
      </c>
      <c r="Y56" s="358">
        <f ca="1">(ABS((Y58+Y60)/2-((OFFSET('Beam Spacing'!$G$21,BSrow*(F52-1),0)+OFFSET('Beam Spacing'!$G$24,BSrow*(F52-1),0))*OFFSET('Beam Spacing'!$C$23,BSrow*(F52-1),0)^2/16)*0.0254))</f>
        <v>1.8133437064976468</v>
      </c>
      <c r="Z56" s="358">
        <f ca="1">AD59+AH59</f>
        <v>2.7871503474740976E-3</v>
      </c>
      <c r="AB56" s="383" t="s">
        <v>440</v>
      </c>
      <c r="AC56" s="384" t="s">
        <v>441</v>
      </c>
      <c r="AD56" s="384" t="s">
        <v>441</v>
      </c>
      <c r="AE56" s="384" t="s">
        <v>442</v>
      </c>
      <c r="AF56" s="384" t="s">
        <v>457</v>
      </c>
      <c r="AG56" s="384" t="s">
        <v>457</v>
      </c>
      <c r="AH56" s="384" t="s">
        <v>457</v>
      </c>
      <c r="AI56" s="384" t="s">
        <v>458</v>
      </c>
    </row>
    <row r="57" spans="2:41" x14ac:dyDescent="0.2">
      <c r="C57" s="1096"/>
      <c r="D57" s="386" t="s">
        <v>436</v>
      </c>
      <c r="I57" s="1096"/>
      <c r="K57" s="986" t="s">
        <v>451</v>
      </c>
      <c r="L57" s="348">
        <f ca="1">L58</f>
        <v>69.845399909377988</v>
      </c>
      <c r="M57" s="349">
        <f ca="1">0.001*L57/IF(Loc="Upstream",OFFSET(SecProp!$S$23,SProw*F52,0),OFFSET(SecProp!$S$24,SProw*F52,0))</f>
        <v>29.251717165866491</v>
      </c>
      <c r="N57" s="387" t="s">
        <v>447</v>
      </c>
      <c r="O57" s="350">
        <f ca="1">OFFSET(SecProp!$W$33,SProw*(F52-1),0)</f>
        <v>55.85803198912815</v>
      </c>
      <c r="P57" s="348">
        <f ca="1">IF(AB58&lt;$AC$5,Z57,Y57)</f>
        <v>4.161770589055651E-3</v>
      </c>
      <c r="Q57" s="349">
        <f ca="1">P57/OFFSET(SecProp!$I$28,SProw*(F52-1),0)^2*6*0.001/0.0254</f>
        <v>6.8270514912330231</v>
      </c>
      <c r="R57" s="387" t="s">
        <v>447</v>
      </c>
      <c r="S57" s="353">
        <f>S56</f>
        <v>168.41317365269461</v>
      </c>
      <c r="T57" s="349">
        <f ca="1">SQRT((M57-$AC$6*Q57)^2+Q57^2+(M57-$AC$6*Q57)*Q57)</f>
        <v>31.182767167166368</v>
      </c>
      <c r="U57" s="387" t="s">
        <v>447</v>
      </c>
      <c r="V57" s="353">
        <f>V56</f>
        <v>140.97744360902254</v>
      </c>
      <c r="W57" s="351">
        <f t="shared" ca="1" si="3"/>
        <v>0.22118976177243346</v>
      </c>
      <c r="Y57" s="358">
        <f ca="1">(Y58-Y60)*(OFFSET('Beam Spacing'!$C$20,BSrow*F52,0)-OFFSET(SecProp!$N$19,SProw*F52,0)/2)/OFFSET('Beam Spacing'!$C$20,BSrow*F52,0)+Y60-0.0254*OFFSET('Beam Spacing'!$G$18,BSrow*F52,0)*(OFFSET('Beam Spacing'!$C$20,BSrow*F52,0)-OFFSET(SecProp!$N$19,SProw*F52,0)/2)/2*(OFFSET('Beam Spacing'!$C$20,BSrow*F52,0)-(OFFSET('Beam Spacing'!$C$20,BSrow*F52,0)-OFFSET(SecProp!$N$19,SProw*F52,0)/2))-0.0254*(OFFSET('Beam Spacing'!$G$21,BSrow*F52,0)-OFFSET('Beam Spacing'!$G$18,BSrow*F52,0))*(OFFSET('Beam Spacing'!$C$20,BSrow*F52,0)-OFFSET(SecProp!$N$19,SProw*F52,0)/2)/6*(OFFSET('Beam Spacing'!$C$20,BSrow*F52,0)-(OFFSET('Beam Spacing'!$C$20,BSrow*F52,0)-OFFSET(SecProp!$N$19,SProw*F52,0)/2)^2/OFFSET('Beam Spacing'!$C$20,BSrow*F52,0))</f>
        <v>1.8644433665926254</v>
      </c>
      <c r="Z57" s="358">
        <f ca="1">(1-OFFSET('Define Beam'!$J$11,DBrow*F52,0)/OFFSET('Beam Spacing'!$C$23,BSrow*(F52-1),0))^2*(Z56+Z58)-Z56</f>
        <v>4.161770589055651E-3</v>
      </c>
      <c r="AB57" s="388"/>
      <c r="AC57" s="389" t="s">
        <v>459</v>
      </c>
      <c r="AD57" s="389" t="s">
        <v>450</v>
      </c>
      <c r="AE57" s="389" t="s">
        <v>446</v>
      </c>
      <c r="AF57" s="389" t="s">
        <v>448</v>
      </c>
      <c r="AG57" s="389" t="s">
        <v>460</v>
      </c>
      <c r="AH57" s="389" t="s">
        <v>450</v>
      </c>
      <c r="AI57" s="389" t="s">
        <v>446</v>
      </c>
    </row>
    <row r="58" spans="2:41" x14ac:dyDescent="0.2">
      <c r="C58" s="1096"/>
      <c r="D58" s="382" t="s">
        <v>439</v>
      </c>
      <c r="F58" s="396" t="s">
        <v>461</v>
      </c>
      <c r="G58" s="986" t="s">
        <v>445</v>
      </c>
      <c r="H58" s="347">
        <f ca="1">AB58</f>
        <v>0.5291063261766985</v>
      </c>
      <c r="I58" s="1096"/>
      <c r="K58" s="986" t="s">
        <v>448</v>
      </c>
      <c r="L58" s="348">
        <f ca="1">(OFFSET(AL63,1,0)/8*(OFFSET(Stiffeners!$D$13,VSrow*F52,0)*(4*OFFSET(Stiffeners!$D$14,VSrow*F52,0)-OFFSET(Stiffeners!$D$13,VSrow*F52,0))+Lse*(2*Lsup-Lse)-4*OFFSET(Stiffeners!$D$14,VSrow*F52,0)^2))/0.0254</f>
        <v>69.845399909377988</v>
      </c>
      <c r="M58" s="349">
        <f ca="1">0.001*L58/IF(Loc="Upstream",OFFSET(SecProp!$S$23,SProw*F52,0),OFFSET(SecProp!$S$24,SProw*F52,0))</f>
        <v>29.251717165866491</v>
      </c>
      <c r="N58" s="387" t="s">
        <v>447</v>
      </c>
      <c r="O58" s="350">
        <f ca="1">O57</f>
        <v>55.85803198912815</v>
      </c>
      <c r="P58" s="348">
        <f ca="1">IF(AB58&lt;$AC$5,Z58,Y58)</f>
        <v>9.4655230802229949E-3</v>
      </c>
      <c r="Q58" s="349">
        <f ca="1">P58/(OFFSET(SecProp!$I$16,SProw*F52,0)+OFFSET(SecProp!$I$28,SProw*(F52-1),0))^2*6*0.001/0.0254</f>
        <v>3.257313580081207</v>
      </c>
      <c r="R58" s="387" t="s">
        <v>447</v>
      </c>
      <c r="S58" s="353">
        <f>3/2/Sigb*GDF*MIN(Fyb,Fys)</f>
        <v>168.41317365269461</v>
      </c>
      <c r="T58" s="349">
        <f ca="1">SQRT((M58-$AC$6*Q58)^2+Q58^2+(M58-$AC$6*Q58)*Q58)</f>
        <v>30.035940735516714</v>
      </c>
      <c r="U58" s="387" t="s">
        <v>447</v>
      </c>
      <c r="V58" s="353">
        <f>MIN(Fyb,Fys)*GDF/1.33</f>
        <v>140.97744360902254</v>
      </c>
      <c r="W58" s="351">
        <f t="shared" ca="1" si="3"/>
        <v>0.21305493961726524</v>
      </c>
      <c r="Y58" s="358">
        <f ca="1">OFFSET('Beam Spacing'!$I$18,BSrow*(F52+1),0)</f>
        <v>1.8993477152330376</v>
      </c>
      <c r="Z58" s="358">
        <f ca="1">AC59+AF59</f>
        <v>9.4655230802229949E-3</v>
      </c>
      <c r="AB58" s="354">
        <f ca="1">MIN(OFFSET(Stiffeners!$D$21,VSrow*(F52-1),0)/OFFSET('Beam Spacing'!$C$23,BSrow*(F52-1),0),4.9999)</f>
        <v>0.5291063261766985</v>
      </c>
      <c r="AC58" s="355">
        <f ca="1">ROUND(FORECAST(AB58,OFFSET(CCCCA,MATCH(AB58,CCCC,1)-1,0,2),OFFSET(CCCC,MATCH(AB58,CCCC,1)-1,0,2)),5)</f>
        <v>4.0999999999999999E-4</v>
      </c>
      <c r="AD58" s="355">
        <f ca="1">ROUND(FORECAST(AB58,OFFSET(CCCCB,MATCH(AB58,CCCC,1)-1,0,2),OFFSET(CCCC,MATCH(AB58,CCCC,1)-1,0,2)),5)</f>
        <v>1.2E-4</v>
      </c>
      <c r="AE58" s="355">
        <f ca="1">ROUND(FORECAST(AB58,OFFSET(CCCCC,MATCH(AB58,CCCC,1)-1,0,2),OFFSET(CCCC,MATCH(AB58,CCCC,1)-1,0,2)),5)</f>
        <v>5.8E-4</v>
      </c>
      <c r="AF58" s="355">
        <f ca="1">ROUND(FORECAST(AB58,OFFSET(CCCCE,MATCH(AB58,CCCC,1)-1,0,2),OFFSET(CCCC,MATCH(AB58,CCCC,1)-1,0,2)),5)</f>
        <v>3.1E-4</v>
      </c>
      <c r="AG58" s="355">
        <f ca="1">ROUND(FORECAST(AB58,OFFSET(CCCCF,MATCH(AB58,CCCC,1)-1,0,2),OFFSET(CCCC,MATCH(AB58,CCCC,1)-1,0,2)),5)</f>
        <v>8.0000000000000007E-5</v>
      </c>
      <c r="AH58" s="355">
        <f ca="1">ROUND(FORECAST(AB58,OFFSET(CCCCG,MATCH(AB58,CCCC,1)-1,0,2),OFFSET(CCCC,MATCH(AB58,CCCC,1)-1,0,2)),5)</f>
        <v>1E-4</v>
      </c>
      <c r="AI58" s="355">
        <f ca="1">ROUND(FORECAST(AB58,OFFSET(CCCCH,MATCH(AB58,CCCC,1)-1,0,2),OFFSET(CCCC,MATCH(AB58,CCCC,1)-1,0,2)),5)</f>
        <v>3.4000000000000002E-4</v>
      </c>
    </row>
    <row r="59" spans="2:41" x14ac:dyDescent="0.2">
      <c r="C59" s="1096"/>
      <c r="D59" s="386" t="s">
        <v>436</v>
      </c>
      <c r="I59" s="1096"/>
      <c r="K59" s="986" t="s">
        <v>462</v>
      </c>
      <c r="L59" s="348">
        <f ca="1">L60</f>
        <v>73.526074763269307</v>
      </c>
      <c r="M59" s="349">
        <f ca="1">0.001*L59/IF(Loc="Upstream",OFFSET(SecProp!$S$23,SProw*(F52-1),0),OFFSET(SecProp!$S$24,SProw*(F52-1),0))</f>
        <v>28.248579860897991</v>
      </c>
      <c r="N59" s="387" t="s">
        <v>447</v>
      </c>
      <c r="O59" s="350">
        <f ca="1">O60</f>
        <v>51.467862698587219</v>
      </c>
      <c r="P59" s="348">
        <f ca="1">IF(AB58&lt;$AC$5,Z59,Y59)</f>
        <v>3.9259855592721727E-3</v>
      </c>
      <c r="Q59" s="349">
        <f ca="1">P59/OFFSET(SecProp!$I$28,SProw*(F52-1),0)^2*6*0.001/0.0254</f>
        <v>6.4402650250527769</v>
      </c>
      <c r="R59" s="387" t="s">
        <v>447</v>
      </c>
      <c r="S59" s="353">
        <f>S56</f>
        <v>168.41317365269461</v>
      </c>
      <c r="T59" s="349">
        <f ca="1">SQRT((M59-$AC$6*Q59)^2+Q59^2+(M59-$AC$6*Q59)*Q59)</f>
        <v>30.058616755435661</v>
      </c>
      <c r="U59" s="387" t="s">
        <v>447</v>
      </c>
      <c r="V59" s="353">
        <f>V56</f>
        <v>140.97744360902254</v>
      </c>
      <c r="W59" s="351">
        <f t="shared" ca="1" si="3"/>
        <v>0.21321578818522363</v>
      </c>
      <c r="Y59" s="358">
        <f ca="1">(Y58-Y60)*OFFSET(SecProp!$N$19,SProw*(F52-1),0)/2/OFFSET('Beam Spacing'!$C$23,BSrow*(F52-1),0)+Y60-0.0254*OFFSET('Beam Spacing'!$G$21,BSrow*(F52-1),0)*OFFSET(SecProp!$N$19,SProw*(F52-1),0)/4*(OFFSET('Beam Spacing'!$C$23,BSrow*(F52-1),0)-OFFSET(SecProp!$N$19,SProw*(F52-1),0)/2)-0.0254*(OFFSET('Beam Spacing'!$G$24,BSrow*(F52-1),0)-OFFSET('Beam Spacing'!$G$21,BSrow*(F52-1),0))*OFFSET(SecProp!$N$19,SProw*(F52-1),0)/12*(OFFSET('Beam Spacing'!$C$23,BSrow*(F52-1),0)-(OFFSET(SecProp!$N$19,SProw*(F52-1),0)/2)^2/OFFSET('Beam Spacing'!$C$23,BSrow*(F52-1),0))</f>
        <v>1.8437190255792764</v>
      </c>
      <c r="Z59" s="358">
        <f ca="1">(1-OFFSET('Define Beam'!$J$11,DBrow*(F52-1),0)/OFFSET('Beam Spacing'!$C$23,BSrow*(F52-1),0))^2*(Z60+Z56)-Z56</f>
        <v>3.9259855592721727E-3</v>
      </c>
      <c r="AB59" s="391"/>
      <c r="AC59" s="392">
        <f ca="1">AC58*OFFSET('Beam Spacing'!$G$18,BSrow*F52,0)*OFFSET('Beam Spacing'!$C$20,BSrow*F52,0)^2</f>
        <v>8.9051676645223524E-3</v>
      </c>
      <c r="AD59" s="392">
        <f ca="1">AD58*OFFSET('Beam Spacing'!$G$18,BSrow*F52,0)*OFFSET('Beam Spacing'!$C$20,BSrow*F52,0)^2</f>
        <v>2.6063905359577613E-3</v>
      </c>
      <c r="AE59" s="392">
        <f ca="1">AE58*OFFSET('Beam Spacing'!$G$18,BSrow*F52,0)*OFFSET('Beam Spacing'!$C$20,BSrow*F52,0)^2</f>
        <v>1.2597554257129181E-2</v>
      </c>
      <c r="AF59" s="392">
        <f ca="1">AF58*(OFFSET('Beam Spacing'!$G$21,BSrow*F52,0)-OFFSET('Beam Spacing'!$G$18,BSrow*F52,0))*OFFSET('Beam Spacing'!$C$20,BSrow*F52,0)^2</f>
        <v>5.6035541570064189E-4</v>
      </c>
      <c r="AG59" s="392">
        <f ca="1">AG58*(OFFSET('Beam Spacing'!$G$21,BSrow*F52,0)-OFFSET('Beam Spacing'!$G$18,BSrow*F52,0))*OFFSET('Beam Spacing'!$C$20,BSrow*F52,0)^2</f>
        <v>1.4460784921306889E-4</v>
      </c>
      <c r="AH59" s="392">
        <f ca="1">AH58*(OFFSET('Beam Spacing'!$G$21,BSrow*F52,0)-OFFSET('Beam Spacing'!$G$18,BSrow*F52,0))*OFFSET('Beam Spacing'!$C$20,BSrow*F52,0)^2</f>
        <v>1.8075981151633607E-4</v>
      </c>
      <c r="AI59" s="392">
        <f ca="1">AI58*(OFFSET('Beam Spacing'!$G$21,BSrow*F52,0)-OFFSET('Beam Spacing'!$G$18,BSrow*F52,0))*OFFSET('Beam Spacing'!$C$20,BSrow*F52,0)^2</f>
        <v>6.145833591555428E-4</v>
      </c>
    </row>
    <row r="60" spans="2:41" x14ac:dyDescent="0.2">
      <c r="C60" s="1096"/>
      <c r="F60" s="390" t="s">
        <v>449</v>
      </c>
      <c r="I60" s="1096"/>
      <c r="K60" s="986" t="s">
        <v>460</v>
      </c>
      <c r="L60" s="348">
        <f ca="1">1/0.0254*AL52/8*(OFFSET(Stiffeners!$D$21,VSrow*(F52-1),0)*(4*OFFSET(Stiffeners!$D$22,VSrow*(F52-1),0)-OFFSET(Stiffeners!$D$21,VSrow*(F52-1),0))+Lse*(2*Lsup-Lse)-4*OFFSET(Stiffeners!$D$22,VSrow*(F52-1),0)^2)</f>
        <v>73.526074763269307</v>
      </c>
      <c r="M60" s="349">
        <f ca="1">0.001*L60/IF(Loc="Upstream",OFFSET(SecProp!$S$23,SProw*(F52-1),0),OFFSET(SecProp!$S$24,SProw*(F52-1),0))</f>
        <v>28.248579860897991</v>
      </c>
      <c r="N60" s="387" t="s">
        <v>447</v>
      </c>
      <c r="O60" s="350">
        <f ca="1">OFFSET(SecProp!$W$16,SProw*(F52-1),0)</f>
        <v>51.467862698587219</v>
      </c>
      <c r="P60" s="348">
        <f ca="1">IF(AB58&lt;$AC$5,Z60,Y60)</f>
        <v>9.0497755137354217E-3</v>
      </c>
      <c r="Q60" s="349">
        <f ca="1">P60/(OFFSET(SecProp!$I$16,SProw*(F52-1),0)+OFFSET(SecProp!$I$28,SProw*(F52-1),0))^2*6*0.001/0.0254</f>
        <v>3.1142448682172894</v>
      </c>
      <c r="R60" s="387" t="s">
        <v>447</v>
      </c>
      <c r="S60" s="353">
        <f>S58</f>
        <v>168.41317365269461</v>
      </c>
      <c r="T60" s="349">
        <f ca="1">SQRT((M60-$AC$6*Q60)^2+Q60^2+(M60-$AC$6*Q60)*Q60)</f>
        <v>28.997125612246549</v>
      </c>
      <c r="U60" s="387" t="s">
        <v>447</v>
      </c>
      <c r="V60" s="353">
        <f>V58</f>
        <v>140.97744360902254</v>
      </c>
      <c r="W60" s="351">
        <f t="shared" ca="1" si="3"/>
        <v>0.20568627767620221</v>
      </c>
      <c r="Y60" s="358">
        <f ca="1">OFFSET('Beam Spacing'!$I$21,BSrow*(F52-1),0)</f>
        <v>1.8710003209723309</v>
      </c>
      <c r="Z60" s="358">
        <f ca="1">AC59+AG59</f>
        <v>9.0497755137354217E-3</v>
      </c>
    </row>
    <row r="61" spans="2:41" x14ac:dyDescent="0.2">
      <c r="B61" s="356"/>
      <c r="C61" s="1096"/>
      <c r="D61" s="357"/>
      <c r="E61" s="380" t="s">
        <v>927</v>
      </c>
      <c r="F61" s="345"/>
      <c r="G61" s="345"/>
      <c r="H61" s="356"/>
      <c r="I61" s="1096"/>
      <c r="J61" s="357"/>
    </row>
    <row r="62" spans="2:41" x14ac:dyDescent="0.2">
      <c r="C62" s="1096"/>
      <c r="I62" s="1096"/>
      <c r="L62" s="360"/>
      <c r="M62" s="363"/>
      <c r="N62" s="363"/>
      <c r="O62" s="363"/>
      <c r="P62" s="360"/>
      <c r="Q62" s="363"/>
      <c r="R62" s="363"/>
      <c r="S62" s="363"/>
      <c r="T62" s="363"/>
      <c r="U62" s="363"/>
      <c r="V62" s="363"/>
      <c r="W62" s="363"/>
      <c r="AK62" s="359">
        <f ca="1">(AM52-OFFSET($AM$16,F52*STrow,0))/OFFSET('Beam Spacing'!$C$23,(F52-1)*BSrow,0)+(OFFSET('Beam Spacing'!$C$23,(F52-1)*BSrow,0)/6*(OFFSET('Beam Spacing'!$G$21,(F52-1)*BSrow,0)+2*OFFSET('Beam Spacing'!$G$24,(F52-1)*BSrow,0)))*0.0254</f>
        <v>0.51299948476414958</v>
      </c>
    </row>
    <row r="63" spans="2:41" x14ac:dyDescent="0.2">
      <c r="C63" s="1097"/>
      <c r="F63" s="390" t="s">
        <v>452</v>
      </c>
      <c r="I63" s="1097"/>
      <c r="L63" s="360"/>
      <c r="M63" s="363"/>
      <c r="N63" s="363"/>
      <c r="O63" s="363"/>
      <c r="P63" s="360"/>
      <c r="Q63" s="363"/>
      <c r="R63" s="363"/>
      <c r="S63" s="363"/>
      <c r="T63" s="363"/>
      <c r="U63" s="363"/>
      <c r="V63" s="363"/>
      <c r="W63" s="363"/>
      <c r="AO63" s="361">
        <f ca="1">P58</f>
        <v>9.4655230802229949E-3</v>
      </c>
    </row>
    <row r="64" spans="2:41" ht="15" x14ac:dyDescent="0.2">
      <c r="B64" s="214"/>
      <c r="C64" s="214"/>
      <c r="D64" s="214"/>
      <c r="E64" s="214"/>
      <c r="F64" s="376">
        <f>(ROW()-STref+12)/STrow</f>
        <v>5</v>
      </c>
      <c r="G64" s="214"/>
      <c r="H64" s="214"/>
      <c r="I64" s="214"/>
      <c r="J64" s="214"/>
      <c r="L64" s="362">
        <f ca="1">AL64/0.0254</f>
        <v>36.955238047289953</v>
      </c>
      <c r="M64" s="237" t="s">
        <v>488</v>
      </c>
      <c r="N64" s="363"/>
      <c r="O64" s="363"/>
      <c r="P64" s="370"/>
      <c r="Q64" s="363"/>
      <c r="R64" s="363"/>
      <c r="S64" s="362">
        <f ca="1">AN64</f>
        <v>66.519428485121907</v>
      </c>
      <c r="T64" s="237" t="s">
        <v>453</v>
      </c>
      <c r="AK64" s="376">
        <f>F64</f>
        <v>5</v>
      </c>
      <c r="AL64" s="365">
        <f ca="1">OFFSET(AK66,-4,0)+AK66</f>
        <v>0.93866304640116471</v>
      </c>
      <c r="AM64" s="361">
        <f ca="1">(OFFSET(AO64,-1,0)+AO65)/2</f>
        <v>9.1341660133260061E-3</v>
      </c>
      <c r="AN64" s="366">
        <f ca="1">AL64*Lse/2/0.0254</f>
        <v>66.519428485121907</v>
      </c>
    </row>
    <row r="65" spans="2:41" ht="12.75" customHeight="1" x14ac:dyDescent="0.2">
      <c r="B65" s="356"/>
      <c r="C65" s="1095" t="s">
        <v>435</v>
      </c>
      <c r="D65" s="357"/>
      <c r="E65" s="345"/>
      <c r="F65" s="381" t="s">
        <v>454</v>
      </c>
      <c r="G65" s="345"/>
      <c r="H65" s="356"/>
      <c r="I65" s="1095" t="s">
        <v>435</v>
      </c>
      <c r="J65" s="357"/>
      <c r="L65" s="360"/>
      <c r="P65" s="370"/>
      <c r="S65" s="360"/>
      <c r="AC65" s="1098" t="s">
        <v>438</v>
      </c>
      <c r="AD65" s="1099"/>
      <c r="AE65" s="1099"/>
      <c r="AF65" s="1100"/>
      <c r="AO65" s="361">
        <f ca="1">P69</f>
        <v>8.8028089464290173E-3</v>
      </c>
    </row>
    <row r="66" spans="2:41" x14ac:dyDescent="0.2">
      <c r="C66" s="1096"/>
      <c r="I66" s="1096"/>
      <c r="K66" s="262" t="s">
        <v>446</v>
      </c>
      <c r="L66" s="348">
        <f ca="1">(IF(OFFSET('Beam Spacing'!$C$23,BSrow*(F64-1),0)&gt;0,AL64/2*(Lse/2*(Lsup-Lse/2)-OFFSET(Stiffeners!$D$22,(F64-1)*VSrow,0)^2),0))/0.0254</f>
        <v>69.42965348134598</v>
      </c>
      <c r="M66" s="349">
        <f ca="1">0.001*L66/IF(Loc="Upstream",OFFSET(SecProp!$S$23,SProw*(F64-1),0),OFFSET(SecProp!$S$24,SProw*(F64-1),0))</f>
        <v>29.077599801783954</v>
      </c>
      <c r="N66" s="387" t="s">
        <v>447</v>
      </c>
      <c r="O66" s="350">
        <f ca="1">O67</f>
        <v>55.85803198912815</v>
      </c>
      <c r="P66" s="348">
        <f ca="1">Z66</f>
        <v>1.434603287751663E-2</v>
      </c>
      <c r="Q66" s="349">
        <f ca="1">P66/OFFSET(SecProp!$I$28,SProw*(F64-1),0)^2*6*0.001/0.0254</f>
        <v>23.533518499863241</v>
      </c>
      <c r="R66" s="387" t="s">
        <v>447</v>
      </c>
      <c r="S66" s="350">
        <f>S67</f>
        <v>168.41317365269461</v>
      </c>
      <c r="T66" s="371"/>
      <c r="U66" s="397"/>
      <c r="V66" s="372"/>
      <c r="W66" s="351">
        <f ca="1">M66/O66+Q66/S66</f>
        <v>0.66029935732659428</v>
      </c>
      <c r="Z66" s="352">
        <f ca="1">AD69+AF69</f>
        <v>1.434603287751663E-2</v>
      </c>
      <c r="AB66" s="383" t="s">
        <v>440</v>
      </c>
      <c r="AC66" s="384" t="s">
        <v>441</v>
      </c>
      <c r="AD66" s="384" t="s">
        <v>442</v>
      </c>
      <c r="AE66" s="384" t="s">
        <v>463</v>
      </c>
      <c r="AF66" s="384" t="s">
        <v>464</v>
      </c>
      <c r="AK66" s="359">
        <f ca="1">((OFFSET('Beam Spacing'!$G$18,BSrow*F64,0)+OFFSET('Beam Spacing'!$G$21,BSrow*F64,0))*OFFSET('Beam Spacing'!$C$20,BSrow*F64,0)/2)*0.0254</f>
        <v>0.42566356163701519</v>
      </c>
    </row>
    <row r="67" spans="2:41" x14ac:dyDescent="0.2">
      <c r="B67" s="367"/>
      <c r="C67" s="1096"/>
      <c r="D67" s="368"/>
      <c r="E67" s="394" t="s">
        <v>928</v>
      </c>
      <c r="F67" s="369"/>
      <c r="G67" s="369"/>
      <c r="H67" s="367"/>
      <c r="I67" s="1096"/>
      <c r="J67" s="368"/>
      <c r="K67" s="262" t="s">
        <v>450</v>
      </c>
      <c r="L67" s="348">
        <f ca="1">(IF(OFFSET('Beam Spacing'!$C$23,BSrow*(F64-1),0)&gt;0,L69,0))</f>
        <v>69.845399909377988</v>
      </c>
      <c r="M67" s="349">
        <f ca="1">IF(OFFSET('Beam Spacing'!$C$23,BSrow*(F64-1),0)&gt;0,M69,0)</f>
        <v>29.251717165866488</v>
      </c>
      <c r="N67" s="387" t="s">
        <v>447</v>
      </c>
      <c r="O67" s="350">
        <f ca="1">OFFSET(SecProp!$W$16,SProw*(F64-1),0)</f>
        <v>55.85803198912815</v>
      </c>
      <c r="P67" s="348">
        <v>0</v>
      </c>
      <c r="Q67" s="349">
        <v>0</v>
      </c>
      <c r="R67" s="387" t="s">
        <v>447</v>
      </c>
      <c r="S67" s="353">
        <f>3/2/Sigb*GDF*Fys</f>
        <v>168.41317365269461</v>
      </c>
      <c r="T67" s="349">
        <f ca="1">SQRT((M67-$AC$6*Q67)^2+Q67^2+(M67-$AC$6*Q67)*Q67)</f>
        <v>29.251717165866488</v>
      </c>
      <c r="U67" s="387" t="s">
        <v>447</v>
      </c>
      <c r="V67" s="353">
        <f>Fys*GDF/1.33</f>
        <v>140.97744360902254</v>
      </c>
      <c r="W67" s="351">
        <f ca="1">T67/V67</f>
        <v>0.20749218042987963</v>
      </c>
      <c r="Y67" s="352">
        <v>0</v>
      </c>
      <c r="Z67" s="352">
        <v>0</v>
      </c>
      <c r="AB67" s="388"/>
      <c r="AC67" s="389" t="s">
        <v>448</v>
      </c>
      <c r="AD67" s="389" t="s">
        <v>446</v>
      </c>
      <c r="AE67" s="389" t="s">
        <v>448</v>
      </c>
      <c r="AF67" s="389" t="s">
        <v>446</v>
      </c>
    </row>
    <row r="68" spans="2:41" x14ac:dyDescent="0.2">
      <c r="C68" s="1096"/>
      <c r="F68" s="395" t="s">
        <v>456</v>
      </c>
      <c r="I68" s="1096"/>
      <c r="K68" s="262" t="s">
        <v>462</v>
      </c>
      <c r="L68" s="348">
        <f ca="1">IF(OFFSET('Beam Spacing'!$C$23,BSrow*(F64-1),0)&gt;0,L69,0)</f>
        <v>69.845399909377988</v>
      </c>
      <c r="M68" s="349">
        <f ca="1">IF(OFFSET('Beam Spacing'!$C$23,BSrow*(F64-1),0)&gt;0,M69,0)</f>
        <v>29.251717165866488</v>
      </c>
      <c r="N68" s="387" t="s">
        <v>447</v>
      </c>
      <c r="O68" s="350">
        <f ca="1">O67</f>
        <v>55.85803198912815</v>
      </c>
      <c r="P68" s="348">
        <f ca="1">IF(AB68&lt;2*$AC$5,Z68,Y68)</f>
        <v>0</v>
      </c>
      <c r="Q68" s="349">
        <f ca="1">P68/OFFSET(SecProp!$I$28,SProw*(F64-1),0)^2*6*0.001/0.0254</f>
        <v>0</v>
      </c>
      <c r="R68" s="387" t="s">
        <v>447</v>
      </c>
      <c r="S68" s="353">
        <f>S67</f>
        <v>168.41317365269461</v>
      </c>
      <c r="T68" s="349">
        <f ca="1">SQRT((M68-$AC$6*Q68)^2+Q68^2+(M68-$AC$6*Q68)*Q68)</f>
        <v>29.251717165866488</v>
      </c>
      <c r="U68" s="387" t="s">
        <v>447</v>
      </c>
      <c r="V68" s="353">
        <f>Fys*GDF/1.33</f>
        <v>140.97744360902254</v>
      </c>
      <c r="W68" s="351">
        <f ca="1">T68/V68</f>
        <v>0.20749218042987963</v>
      </c>
      <c r="Y68" s="352">
        <f ca="1">(IF(OFFSET('Beam Spacing'!$C$23,BSrow*(F64-1),0)&gt;0,(OFFSET(SecProp!$O$24,SProw*(F64-1),0)-OFFSET(SecProp!$N$19,SProw*(F64-1),0)/2)^2/2*(OFFSET('Beam Spacing'!$G$21,BSrow*(F64-1),0)+(OFFSET('Beam Spacing'!$G$24,BSrow*(F64-1),0)-OFFSET('Beam Spacing'!$G$21,BSrow*(F64-1),0))*(1-(OFFSET(SecProp!$O$24,SProw*(F64-1),0)-OFFSET(SecProp!$N$19,SProw*(F64-1),0)/2)/3/OFFSET('Beam Spacing'!$C$23,BSrow*(F64-1),0))),0))*0.0254</f>
        <v>2.3015653707147133E-2</v>
      </c>
      <c r="Z68" s="352">
        <f ca="1">IF(OFFSET('Beam Spacing'!$C$23,BSrow*(F64-1),0)&gt;0,(1-OFFSET('Define Beam'!$J$11,DBrow*(F64-1),0)/2/OFFSET('Beam Spacing'!$C$23,BSrow*(F64-1),0))^2*Stress!Z129,0)</f>
        <v>0</v>
      </c>
      <c r="AB68" s="354">
        <f ca="1">IF(OFFSET('Beam Spacing'!$C$23,BSrow*(F64-1),0)&gt;0,MIN(OFFSET(Stiffeners!$D$21,VSrow*(F64-1),0)/OFFSET('Beam Spacing'!$C$23,BSrow*(F64-1),0),4.9999),0)</f>
        <v>1.330124505210629</v>
      </c>
      <c r="AC68" s="355">
        <f ca="1">ROUND(FORECAST(AB68,OFFSET(CCCFA,MATCH(AB68,CCCF,1)-1,0,2),OFFSET(CCCF,MATCH(AB68,CCCF,1)-1,0,2)),5)</f>
        <v>2.33E-3</v>
      </c>
      <c r="AD68" s="355">
        <f ca="1">ROUND(FORECAST(AB68,OFFSET(CCCFB,MATCH(AB68,CCCF,1)-1,0,2),OFFSET(CCCF,MATCH(AB68,CCCF,1)-1,0,2)),5)</f>
        <v>3.7599999999999999E-3</v>
      </c>
      <c r="AE68" s="355">
        <f ca="1">ROUND(FORECAST(AB68,OFFSET(CCCFG,MATCH(AB68,CCCF,1)-1,0,2),OFFSET(CCCF,MATCH(AB68,CCCF,1)-1,0,2)),5)</f>
        <v>1.1299999999999999E-3</v>
      </c>
      <c r="AF68" s="355">
        <f ca="1">ROUND(FORECAST(AB68,OFFSET(CCCFH,MATCH(AB68,CCCF,1)-1,0,2),OFFSET(CCCF,MATCH(AB68,CCCF,1)-1,0,2)),5)</f>
        <v>3.0599999999999998E-3</v>
      </c>
    </row>
    <row r="69" spans="2:41" x14ac:dyDescent="0.2">
      <c r="C69" s="1096"/>
      <c r="D69" s="386"/>
      <c r="G69" s="262" t="s">
        <v>445</v>
      </c>
      <c r="H69" s="347">
        <f ca="1">AB68</f>
        <v>1.330124505210629</v>
      </c>
      <c r="I69" s="1096"/>
      <c r="K69" s="262" t="s">
        <v>460</v>
      </c>
      <c r="L69" s="348">
        <f ca="1">(AL64/8*(OFFSET(Stiffeners!$D$21,VSrow*(F64-1),0)*(4*OFFSET(Stiffeners!$D$22,VSrow*(F64-1),0)-OFFSET(Stiffeners!$D$21,VSrow*(F64-1),0))+Lse*(2*Lsup-Lse)-4*OFFSET(Stiffeners!$D$22,VSrow*(F64-1),0)^2))/0.0254</f>
        <v>69.845399909377988</v>
      </c>
      <c r="M69" s="349">
        <f ca="1">L69/IF(Loc="Upstream",OFFSET(SecProp!$S$23,SProw*(F64-1),0),OFFSET(SecProp!$S$24,SProw*(F64-1),0))*0.001</f>
        <v>29.251717165866488</v>
      </c>
      <c r="N69" s="387" t="s">
        <v>447</v>
      </c>
      <c r="O69" s="350">
        <f ca="1">O67</f>
        <v>55.85803198912815</v>
      </c>
      <c r="P69" s="348">
        <f ca="1">IF(AB68&lt;2*$AC$5,Z69,Y69)</f>
        <v>8.8028089464290173E-3</v>
      </c>
      <c r="Q69" s="349">
        <f ca="1">(P69/(OFFSET(SecProp!$I$16,SProw*(F64-1),0)+OFFSET(SecProp!$I$28,SProw*(F64-1),0))^2*6)*0.001/0.0254</f>
        <v>3.0292577474110458</v>
      </c>
      <c r="R69" s="387" t="s">
        <v>447</v>
      </c>
      <c r="S69" s="353">
        <f>3/2/Sigb*GDF*MIN(Fyb,Fys)</f>
        <v>168.41317365269461</v>
      </c>
      <c r="T69" s="349">
        <f ca="1">SQRT((M69-$AC$6*Q69)^2+Q69^2+(M69-$AC$6*Q69)*Q69)</f>
        <v>29.97259934451726</v>
      </c>
      <c r="U69" s="387" t="s">
        <v>447</v>
      </c>
      <c r="V69" s="353">
        <f>MIN(Fyb,Fys)*GDF/1.33</f>
        <v>140.97744360902254</v>
      </c>
      <c r="W69" s="351">
        <f ca="1">T69/V69</f>
        <v>0.21260563801710911</v>
      </c>
      <c r="Y69" s="352">
        <f ca="1">OFFSET('Beam Spacing'!$I$21,BSrow*(F64-1),0)</f>
        <v>1.8993477152330376</v>
      </c>
      <c r="Z69" s="352">
        <f ca="1">AC69+AE69</f>
        <v>8.8028089464290173E-3</v>
      </c>
      <c r="AB69" s="391"/>
      <c r="AC69" s="392">
        <f ca="1">AC68*OFFSET('Beam Spacing'!$G$18,BSrow*F64,0)*OFFSET('Beam Spacing'!$C$20,BSrow*F64,0)^2</f>
        <v>8.674278813966008E-3</v>
      </c>
      <c r="AD69" s="392">
        <f ca="1">AD68*OFFSET('Beam Spacing'!$G$18,BSrow*F64,0)*OFFSET('Beam Spacing'!$C$20,BSrow*F64,0)^2</f>
        <v>1.3997977828546006E-2</v>
      </c>
      <c r="AE69" s="392">
        <f ca="1">AE68*(OFFSET('Beam Spacing'!$G$21,BSrow*F64,0)-OFFSET('Beam Spacing'!$G$18,BSrow*F64,0))*OFFSET('Beam Spacing'!$C$20,BSrow*F64,0)^2</f>
        <v>1.285301324630086E-4</v>
      </c>
      <c r="AF69" s="392">
        <f ca="1">AF68*(OFFSET('Beam Spacing'!$G$21,BSrow*F64,0)-OFFSET('Beam Spacing'!$G$18,BSrow*F64,0))*OFFSET('Beam Spacing'!$C$20,BSrow*F64,0)^2</f>
        <v>3.4805504897062508E-4</v>
      </c>
    </row>
    <row r="70" spans="2:41" x14ac:dyDescent="0.2">
      <c r="C70" s="1096"/>
      <c r="D70" s="382" t="s">
        <v>439</v>
      </c>
      <c r="I70" s="1096"/>
      <c r="L70" s="339"/>
      <c r="P70" s="339"/>
      <c r="T70" s="373"/>
      <c r="U70" s="373"/>
      <c r="V70" s="373"/>
    </row>
    <row r="71" spans="2:41" x14ac:dyDescent="0.2">
      <c r="B71" s="369"/>
      <c r="C71" s="1097"/>
      <c r="D71" s="398" t="s">
        <v>436</v>
      </c>
      <c r="E71" s="394" t="s">
        <v>929</v>
      </c>
      <c r="F71" s="390" t="s">
        <v>465</v>
      </c>
      <c r="G71" s="369"/>
      <c r="H71" s="369"/>
      <c r="I71" s="1097"/>
      <c r="J71" s="369"/>
      <c r="M71" s="344"/>
      <c r="P71" s="339"/>
    </row>
  </sheetData>
  <sheetProtection algorithmName="SHA-512" hashValue="cL1wEKo/AV56KckeHos2kiZn/cRdoYN7vay5Kdw3ZRWLGwyLlyzzGgzT8vSz62mbZz06FjSD1u+5MpxTYU7WPg==" saltValue="j3tcFo2NtY1xSSJxtNshkA==" spinCount="100000" sheet="1" objects="1" scenarios="1" selectLockedCells="1"/>
  <mergeCells count="27">
    <mergeCell ref="C9:C15"/>
    <mergeCell ref="I9:I15"/>
    <mergeCell ref="AC9:AF9"/>
    <mergeCell ref="C17:C27"/>
    <mergeCell ref="C41:C51"/>
    <mergeCell ref="I41:I51"/>
    <mergeCell ref="AC43:AI43"/>
    <mergeCell ref="I17:I27"/>
    <mergeCell ref="AC19:AI19"/>
    <mergeCell ref="AK1:AN3"/>
    <mergeCell ref="A3:W3"/>
    <mergeCell ref="L6:O6"/>
    <mergeCell ref="P6:S6"/>
    <mergeCell ref="T6:V7"/>
    <mergeCell ref="W6:W7"/>
    <mergeCell ref="Y6:Z6"/>
    <mergeCell ref="M7:O7"/>
    <mergeCell ref="Q7:S7"/>
    <mergeCell ref="C65:C71"/>
    <mergeCell ref="I65:I71"/>
    <mergeCell ref="AC65:AF65"/>
    <mergeCell ref="C29:C39"/>
    <mergeCell ref="I29:I39"/>
    <mergeCell ref="AC31:AI31"/>
    <mergeCell ref="C53:C63"/>
    <mergeCell ref="I53:I63"/>
    <mergeCell ref="AC55:AI55"/>
  </mergeCells>
  <conditionalFormatting sqref="W11">
    <cfRule type="cellIs" dxfId="320" priority="727" operator="lessThanOrEqual">
      <formula>1</formula>
    </cfRule>
    <cfRule type="cellIs" dxfId="319" priority="728" operator="greaterThan">
      <formula>1</formula>
    </cfRule>
  </conditionalFormatting>
  <conditionalFormatting sqref="W12">
    <cfRule type="cellIs" dxfId="318" priority="725" operator="lessThanOrEqual">
      <formula>1</formula>
    </cfRule>
    <cfRule type="cellIs" dxfId="317" priority="726" operator="greaterThan">
      <formula>1</formula>
    </cfRule>
  </conditionalFormatting>
  <conditionalFormatting sqref="W13">
    <cfRule type="cellIs" dxfId="316" priority="723" operator="lessThanOrEqual">
      <formula>1</formula>
    </cfRule>
    <cfRule type="cellIs" dxfId="315" priority="724" operator="greaterThan">
      <formula>1</formula>
    </cfRule>
  </conditionalFormatting>
  <conditionalFormatting sqref="W14">
    <cfRule type="cellIs" dxfId="314" priority="721" operator="lessThanOrEqual">
      <formula>1</formula>
    </cfRule>
    <cfRule type="cellIs" dxfId="313" priority="722" operator="greaterThan">
      <formula>1</formula>
    </cfRule>
  </conditionalFormatting>
  <conditionalFormatting sqref="M11">
    <cfRule type="cellIs" dxfId="312" priority="720" operator="greaterThan">
      <formula>O11</formula>
    </cfRule>
  </conditionalFormatting>
  <conditionalFormatting sqref="M12">
    <cfRule type="cellIs" dxfId="311" priority="719" operator="greaterThan">
      <formula>O12</formula>
    </cfRule>
  </conditionalFormatting>
  <conditionalFormatting sqref="M13">
    <cfRule type="cellIs" dxfId="310" priority="718" operator="greaterThan">
      <formula>O13</formula>
    </cfRule>
  </conditionalFormatting>
  <conditionalFormatting sqref="M14">
    <cfRule type="cellIs" dxfId="309" priority="717" operator="greaterThan">
      <formula>O14</formula>
    </cfRule>
  </conditionalFormatting>
  <conditionalFormatting sqref="Q14">
    <cfRule type="cellIs" dxfId="308" priority="716" operator="greaterThan">
      <formula>S14</formula>
    </cfRule>
  </conditionalFormatting>
  <conditionalFormatting sqref="Q13">
    <cfRule type="cellIs" dxfId="307" priority="715" operator="greaterThan">
      <formula>S13</formula>
    </cfRule>
  </conditionalFormatting>
  <conditionalFormatting sqref="Q12">
    <cfRule type="cellIs" dxfId="306" priority="714" operator="greaterThan">
      <formula>S12</formula>
    </cfRule>
  </conditionalFormatting>
  <conditionalFormatting sqref="Q11">
    <cfRule type="cellIs" dxfId="305" priority="713" operator="greaterThan">
      <formula>S11</formula>
    </cfRule>
  </conditionalFormatting>
  <conditionalFormatting sqref="M24">
    <cfRule type="cellIs" dxfId="304" priority="712" operator="greaterThan">
      <formula>O24</formula>
    </cfRule>
  </conditionalFormatting>
  <conditionalFormatting sqref="M23">
    <cfRule type="cellIs" dxfId="303" priority="711" operator="greaterThan">
      <formula>O23</formula>
    </cfRule>
  </conditionalFormatting>
  <conditionalFormatting sqref="M20">
    <cfRule type="cellIs" dxfId="302" priority="710" operator="greaterThan">
      <formula>O20</formula>
    </cfRule>
  </conditionalFormatting>
  <conditionalFormatting sqref="M21">
    <cfRule type="cellIs" dxfId="301" priority="709" operator="greaterThan">
      <formula>O21</formula>
    </cfRule>
  </conditionalFormatting>
  <conditionalFormatting sqref="M22">
    <cfRule type="cellIs" dxfId="300" priority="708" operator="greaterThan">
      <formula>O22</formula>
    </cfRule>
  </conditionalFormatting>
  <conditionalFormatting sqref="Q19">
    <cfRule type="cellIs" dxfId="299" priority="707" operator="greaterThan">
      <formula>S19</formula>
    </cfRule>
  </conditionalFormatting>
  <conditionalFormatting sqref="Q24">
    <cfRule type="cellIs" dxfId="298" priority="706" operator="greaterThan">
      <formula>S24</formula>
    </cfRule>
  </conditionalFormatting>
  <conditionalFormatting sqref="Q23">
    <cfRule type="cellIs" dxfId="297" priority="705" operator="greaterThan">
      <formula>S23</formula>
    </cfRule>
  </conditionalFormatting>
  <conditionalFormatting sqref="Q20">
    <cfRule type="cellIs" dxfId="296" priority="704" operator="greaterThan">
      <formula>S20</formula>
    </cfRule>
  </conditionalFormatting>
  <conditionalFormatting sqref="Q21">
    <cfRule type="cellIs" dxfId="295" priority="703" operator="greaterThan">
      <formula>S21</formula>
    </cfRule>
  </conditionalFormatting>
  <conditionalFormatting sqref="Q22">
    <cfRule type="cellIs" dxfId="294" priority="702" operator="greaterThan">
      <formula>S22</formula>
    </cfRule>
  </conditionalFormatting>
  <conditionalFormatting sqref="W24">
    <cfRule type="cellIs" dxfId="293" priority="700" operator="lessThanOrEqual">
      <formula>1</formula>
    </cfRule>
    <cfRule type="cellIs" dxfId="292" priority="701" operator="greaterThan">
      <formula>1</formula>
    </cfRule>
  </conditionalFormatting>
  <conditionalFormatting sqref="W23">
    <cfRule type="cellIs" dxfId="291" priority="698" operator="lessThanOrEqual">
      <formula>1</formula>
    </cfRule>
    <cfRule type="cellIs" dxfId="290" priority="699" operator="greaterThan">
      <formula>1</formula>
    </cfRule>
  </conditionalFormatting>
  <conditionalFormatting sqref="W20">
    <cfRule type="cellIs" dxfId="289" priority="696" operator="lessThanOrEqual">
      <formula>1</formula>
    </cfRule>
    <cfRule type="cellIs" dxfId="288" priority="697" operator="greaterThan">
      <formula>1</formula>
    </cfRule>
  </conditionalFormatting>
  <conditionalFormatting sqref="W21">
    <cfRule type="cellIs" dxfId="287" priority="694" operator="lessThanOrEqual">
      <formula>1</formula>
    </cfRule>
    <cfRule type="cellIs" dxfId="286" priority="695" operator="greaterThan">
      <formula>1</formula>
    </cfRule>
  </conditionalFormatting>
  <conditionalFormatting sqref="W22">
    <cfRule type="cellIs" dxfId="285" priority="692" operator="lessThanOrEqual">
      <formula>1</formula>
    </cfRule>
    <cfRule type="cellIs" dxfId="284" priority="693" operator="greaterThan">
      <formula>1</formula>
    </cfRule>
  </conditionalFormatting>
  <conditionalFormatting sqref="W69">
    <cfRule type="cellIs" dxfId="283" priority="690" operator="lessThanOrEqual">
      <formula>1</formula>
    </cfRule>
    <cfRule type="cellIs" dxfId="282" priority="691" operator="greaterThan">
      <formula>1</formula>
    </cfRule>
  </conditionalFormatting>
  <conditionalFormatting sqref="W68">
    <cfRule type="cellIs" dxfId="281" priority="688" operator="lessThanOrEqual">
      <formula>1</formula>
    </cfRule>
    <cfRule type="cellIs" dxfId="280" priority="689" operator="greaterThan">
      <formula>1</formula>
    </cfRule>
  </conditionalFormatting>
  <conditionalFormatting sqref="W67">
    <cfRule type="cellIs" dxfId="279" priority="686" operator="lessThanOrEqual">
      <formula>1</formula>
    </cfRule>
    <cfRule type="cellIs" dxfId="278" priority="687" operator="greaterThan">
      <formula>1</formula>
    </cfRule>
  </conditionalFormatting>
  <conditionalFormatting sqref="M66">
    <cfRule type="cellIs" dxfId="277" priority="685" operator="greaterThan">
      <formula>O66</formula>
    </cfRule>
  </conditionalFormatting>
  <conditionalFormatting sqref="M69">
    <cfRule type="cellIs" dxfId="276" priority="684" operator="greaterThan">
      <formula>O69</formula>
    </cfRule>
  </conditionalFormatting>
  <conditionalFormatting sqref="M68">
    <cfRule type="cellIs" dxfId="275" priority="683" operator="greaterThan">
      <formula>O68</formula>
    </cfRule>
  </conditionalFormatting>
  <conditionalFormatting sqref="M67">
    <cfRule type="cellIs" dxfId="274" priority="682" operator="greaterThan">
      <formula>O67</formula>
    </cfRule>
  </conditionalFormatting>
  <conditionalFormatting sqref="Q66">
    <cfRule type="cellIs" dxfId="273" priority="681" operator="greaterThan">
      <formula>S66</formula>
    </cfRule>
  </conditionalFormatting>
  <conditionalFormatting sqref="Q69">
    <cfRule type="cellIs" dxfId="272" priority="680" operator="greaterThan">
      <formula>S69</formula>
    </cfRule>
  </conditionalFormatting>
  <conditionalFormatting sqref="Q68">
    <cfRule type="cellIs" dxfId="271" priority="679" operator="greaterThan">
      <formula>S68</formula>
    </cfRule>
  </conditionalFormatting>
  <conditionalFormatting sqref="Q67">
    <cfRule type="cellIs" dxfId="270" priority="678" operator="greaterThan">
      <formula>S67</formula>
    </cfRule>
  </conditionalFormatting>
  <conditionalFormatting sqref="M19">
    <cfRule type="cellIs" dxfId="269" priority="677" operator="greaterThan">
      <formula>O19</formula>
    </cfRule>
  </conditionalFormatting>
  <conditionalFormatting sqref="W66">
    <cfRule type="cellIs" dxfId="268" priority="673" operator="lessThanOrEqual">
      <formula>1</formula>
    </cfRule>
    <cfRule type="cellIs" dxfId="267" priority="674" operator="greaterThan">
      <formula>1</formula>
    </cfRule>
  </conditionalFormatting>
  <conditionalFormatting sqref="W19">
    <cfRule type="cellIs" dxfId="266" priority="675" operator="lessThanOrEqual">
      <formula>1</formula>
    </cfRule>
    <cfRule type="cellIs" dxfId="265" priority="676" operator="greaterThan">
      <formula>1</formula>
    </cfRule>
  </conditionalFormatting>
  <conditionalFormatting sqref="M36">
    <cfRule type="cellIs" dxfId="264" priority="72" operator="greaterThan">
      <formula>O36</formula>
    </cfRule>
  </conditionalFormatting>
  <conditionalFormatting sqref="M35">
    <cfRule type="cellIs" dxfId="263" priority="71" operator="greaterThan">
      <formula>O35</formula>
    </cfRule>
  </conditionalFormatting>
  <conditionalFormatting sqref="M32">
    <cfRule type="cellIs" dxfId="262" priority="70" operator="greaterThan">
      <formula>O32</formula>
    </cfRule>
  </conditionalFormatting>
  <conditionalFormatting sqref="M33">
    <cfRule type="cellIs" dxfId="261" priority="69" operator="greaterThan">
      <formula>O33</formula>
    </cfRule>
  </conditionalFormatting>
  <conditionalFormatting sqref="M34">
    <cfRule type="cellIs" dxfId="260" priority="68" operator="greaterThan">
      <formula>O34</formula>
    </cfRule>
  </conditionalFormatting>
  <conditionalFormatting sqref="Q31">
    <cfRule type="cellIs" dxfId="259" priority="67" operator="greaterThan">
      <formula>S31</formula>
    </cfRule>
  </conditionalFormatting>
  <conditionalFormatting sqref="Q36">
    <cfRule type="cellIs" dxfId="258" priority="66" operator="greaterThan">
      <formula>S36</formula>
    </cfRule>
  </conditionalFormatting>
  <conditionalFormatting sqref="Q35">
    <cfRule type="cellIs" dxfId="257" priority="65" operator="greaterThan">
      <formula>S35</formula>
    </cfRule>
  </conditionalFormatting>
  <conditionalFormatting sqref="Q32">
    <cfRule type="cellIs" dxfId="256" priority="64" operator="greaterThan">
      <formula>S32</formula>
    </cfRule>
  </conditionalFormatting>
  <conditionalFormatting sqref="Q33">
    <cfRule type="cellIs" dxfId="255" priority="63" operator="greaterThan">
      <formula>S33</formula>
    </cfRule>
  </conditionalFormatting>
  <conditionalFormatting sqref="Q34">
    <cfRule type="cellIs" dxfId="254" priority="62" operator="greaterThan">
      <formula>S34</formula>
    </cfRule>
  </conditionalFormatting>
  <conditionalFormatting sqref="W36">
    <cfRule type="cellIs" dxfId="253" priority="60" operator="lessThanOrEqual">
      <formula>1</formula>
    </cfRule>
    <cfRule type="cellIs" dxfId="252" priority="61" operator="greaterThan">
      <formula>1</formula>
    </cfRule>
  </conditionalFormatting>
  <conditionalFormatting sqref="W35">
    <cfRule type="cellIs" dxfId="251" priority="58" operator="lessThanOrEqual">
      <formula>1</formula>
    </cfRule>
    <cfRule type="cellIs" dxfId="250" priority="59" operator="greaterThan">
      <formula>1</formula>
    </cfRule>
  </conditionalFormatting>
  <conditionalFormatting sqref="W32">
    <cfRule type="cellIs" dxfId="249" priority="56" operator="lessThanOrEqual">
      <formula>1</formula>
    </cfRule>
    <cfRule type="cellIs" dxfId="248" priority="57" operator="greaterThan">
      <formula>1</formula>
    </cfRule>
  </conditionalFormatting>
  <conditionalFormatting sqref="W33">
    <cfRule type="cellIs" dxfId="247" priority="54" operator="lessThanOrEqual">
      <formula>1</formula>
    </cfRule>
    <cfRule type="cellIs" dxfId="246" priority="55" operator="greaterThan">
      <formula>1</formula>
    </cfRule>
  </conditionalFormatting>
  <conditionalFormatting sqref="W34">
    <cfRule type="cellIs" dxfId="245" priority="52" operator="lessThanOrEqual">
      <formula>1</formula>
    </cfRule>
    <cfRule type="cellIs" dxfId="244" priority="53" operator="greaterThan">
      <formula>1</formula>
    </cfRule>
  </conditionalFormatting>
  <conditionalFormatting sqref="M31">
    <cfRule type="cellIs" dxfId="243" priority="51" operator="greaterThan">
      <formula>O31</formula>
    </cfRule>
  </conditionalFormatting>
  <conditionalFormatting sqref="W31">
    <cfRule type="cellIs" dxfId="242" priority="49" operator="lessThanOrEqual">
      <formula>1</formula>
    </cfRule>
    <cfRule type="cellIs" dxfId="241" priority="50" operator="greaterThan">
      <formula>1</formula>
    </cfRule>
  </conditionalFormatting>
  <conditionalFormatting sqref="M48">
    <cfRule type="cellIs" dxfId="240" priority="48" operator="greaterThan">
      <formula>O48</formula>
    </cfRule>
  </conditionalFormatting>
  <conditionalFormatting sqref="M47">
    <cfRule type="cellIs" dxfId="239" priority="47" operator="greaterThan">
      <formula>O47</formula>
    </cfRule>
  </conditionalFormatting>
  <conditionalFormatting sqref="M44">
    <cfRule type="cellIs" dxfId="238" priority="46" operator="greaterThan">
      <formula>O44</formula>
    </cfRule>
  </conditionalFormatting>
  <conditionalFormatting sqref="M45">
    <cfRule type="cellIs" dxfId="237" priority="45" operator="greaterThan">
      <formula>O45</formula>
    </cfRule>
  </conditionalFormatting>
  <conditionalFormatting sqref="M46">
    <cfRule type="cellIs" dxfId="236" priority="44" operator="greaterThan">
      <formula>O46</formula>
    </cfRule>
  </conditionalFormatting>
  <conditionalFormatting sqref="Q43">
    <cfRule type="cellIs" dxfId="235" priority="43" operator="greaterThan">
      <formula>S43</formula>
    </cfRule>
  </conditionalFormatting>
  <conditionalFormatting sqref="Q48">
    <cfRule type="cellIs" dxfId="234" priority="42" operator="greaterThan">
      <formula>S48</formula>
    </cfRule>
  </conditionalFormatting>
  <conditionalFormatting sqref="Q47">
    <cfRule type="cellIs" dxfId="233" priority="41" operator="greaterThan">
      <formula>S47</formula>
    </cfRule>
  </conditionalFormatting>
  <conditionalFormatting sqref="Q44">
    <cfRule type="cellIs" dxfId="232" priority="40" operator="greaterThan">
      <formula>S44</formula>
    </cfRule>
  </conditionalFormatting>
  <conditionalFormatting sqref="Q45">
    <cfRule type="cellIs" dxfId="231" priority="39" operator="greaterThan">
      <formula>S45</formula>
    </cfRule>
  </conditionalFormatting>
  <conditionalFormatting sqref="Q46">
    <cfRule type="cellIs" dxfId="230" priority="38" operator="greaterThan">
      <formula>S46</formula>
    </cfRule>
  </conditionalFormatting>
  <conditionalFormatting sqref="W48">
    <cfRule type="cellIs" dxfId="229" priority="36" operator="lessThanOrEqual">
      <formula>1</formula>
    </cfRule>
    <cfRule type="cellIs" dxfId="228" priority="37" operator="greaterThan">
      <formula>1</formula>
    </cfRule>
  </conditionalFormatting>
  <conditionalFormatting sqref="W47">
    <cfRule type="cellIs" dxfId="227" priority="34" operator="lessThanOrEqual">
      <formula>1</formula>
    </cfRule>
    <cfRule type="cellIs" dxfId="226" priority="35" operator="greaterThan">
      <formula>1</formula>
    </cfRule>
  </conditionalFormatting>
  <conditionalFormatting sqref="W44">
    <cfRule type="cellIs" dxfId="225" priority="32" operator="lessThanOrEqual">
      <formula>1</formula>
    </cfRule>
    <cfRule type="cellIs" dxfId="224" priority="33" operator="greaterThan">
      <formula>1</formula>
    </cfRule>
  </conditionalFormatting>
  <conditionalFormatting sqref="W45">
    <cfRule type="cellIs" dxfId="223" priority="30" operator="lessThanOrEqual">
      <formula>1</formula>
    </cfRule>
    <cfRule type="cellIs" dxfId="222" priority="31" operator="greaterThan">
      <formula>1</formula>
    </cfRule>
  </conditionalFormatting>
  <conditionalFormatting sqref="W46">
    <cfRule type="cellIs" dxfId="221" priority="28" operator="lessThanOrEqual">
      <formula>1</formula>
    </cfRule>
    <cfRule type="cellIs" dxfId="220" priority="29" operator="greaterThan">
      <formula>1</formula>
    </cfRule>
  </conditionalFormatting>
  <conditionalFormatting sqref="M43">
    <cfRule type="cellIs" dxfId="219" priority="27" operator="greaterThan">
      <formula>O43</formula>
    </cfRule>
  </conditionalFormatting>
  <conditionalFormatting sqref="W43">
    <cfRule type="cellIs" dxfId="218" priority="25" operator="lessThanOrEqual">
      <formula>1</formula>
    </cfRule>
    <cfRule type="cellIs" dxfId="217" priority="26" operator="greaterThan">
      <formula>1</formula>
    </cfRule>
  </conditionalFormatting>
  <conditionalFormatting sqref="M60">
    <cfRule type="cellIs" dxfId="23" priority="24" operator="greaterThan">
      <formula>O60</formula>
    </cfRule>
  </conditionalFormatting>
  <conditionalFormatting sqref="M59">
    <cfRule type="cellIs" dxfId="22" priority="23" operator="greaterThan">
      <formula>O59</formula>
    </cfRule>
  </conditionalFormatting>
  <conditionalFormatting sqref="M56">
    <cfRule type="cellIs" dxfId="21" priority="22" operator="greaterThan">
      <formula>O56</formula>
    </cfRule>
  </conditionalFormatting>
  <conditionalFormatting sqref="M57">
    <cfRule type="cellIs" dxfId="20" priority="21" operator="greaterThan">
      <formula>O57</formula>
    </cfRule>
  </conditionalFormatting>
  <conditionalFormatting sqref="M58">
    <cfRule type="cellIs" dxfId="19" priority="20" operator="greaterThan">
      <formula>O58</formula>
    </cfRule>
  </conditionalFormatting>
  <conditionalFormatting sqref="Q55">
    <cfRule type="cellIs" dxfId="18" priority="19" operator="greaterThan">
      <formula>S55</formula>
    </cfRule>
  </conditionalFormatting>
  <conditionalFormatting sqref="Q60">
    <cfRule type="cellIs" dxfId="17" priority="18" operator="greaterThan">
      <formula>S60</formula>
    </cfRule>
  </conditionalFormatting>
  <conditionalFormatting sqref="Q59">
    <cfRule type="cellIs" dxfId="16" priority="17" operator="greaterThan">
      <formula>S59</formula>
    </cfRule>
  </conditionalFormatting>
  <conditionalFormatting sqref="Q56">
    <cfRule type="cellIs" dxfId="15" priority="16" operator="greaterThan">
      <formula>S56</formula>
    </cfRule>
  </conditionalFormatting>
  <conditionalFormatting sqref="Q57">
    <cfRule type="cellIs" dxfId="14" priority="15" operator="greaterThan">
      <formula>S57</formula>
    </cfRule>
  </conditionalFormatting>
  <conditionalFormatting sqref="Q58">
    <cfRule type="cellIs" dxfId="13" priority="14" operator="greaterThan">
      <formula>S58</formula>
    </cfRule>
  </conditionalFormatting>
  <conditionalFormatting sqref="W60">
    <cfRule type="cellIs" dxfId="12" priority="12" operator="lessThanOrEqual">
      <formula>1</formula>
    </cfRule>
    <cfRule type="cellIs" dxfId="11" priority="13" operator="greaterThan">
      <formula>1</formula>
    </cfRule>
  </conditionalFormatting>
  <conditionalFormatting sqref="W59">
    <cfRule type="cellIs" dxfId="10" priority="10" operator="lessThanOrEqual">
      <formula>1</formula>
    </cfRule>
    <cfRule type="cellIs" dxfId="9" priority="11" operator="greaterThan">
      <formula>1</formula>
    </cfRule>
  </conditionalFormatting>
  <conditionalFormatting sqref="W56">
    <cfRule type="cellIs" dxfId="8" priority="8" operator="lessThanOrEqual">
      <formula>1</formula>
    </cfRule>
    <cfRule type="cellIs" dxfId="7" priority="9" operator="greaterThan">
      <formula>1</formula>
    </cfRule>
  </conditionalFormatting>
  <conditionalFormatting sqref="W57">
    <cfRule type="cellIs" dxfId="6" priority="6" operator="lessThanOrEqual">
      <formula>1</formula>
    </cfRule>
    <cfRule type="cellIs" dxfId="5" priority="7" operator="greaterThan">
      <formula>1</formula>
    </cfRule>
  </conditionalFormatting>
  <conditionalFormatting sqref="W58">
    <cfRule type="cellIs" dxfId="4" priority="4" operator="lessThanOrEqual">
      <formula>1</formula>
    </cfRule>
    <cfRule type="cellIs" dxfId="3" priority="5" operator="greaterThan">
      <formula>1</formula>
    </cfRule>
  </conditionalFormatting>
  <conditionalFormatting sqref="M55">
    <cfRule type="cellIs" dxfId="2" priority="3" operator="greaterThan">
      <formula>O55</formula>
    </cfRule>
  </conditionalFormatting>
  <conditionalFormatting sqref="W55">
    <cfRule type="cellIs" dxfId="1" priority="1" operator="lessThanOrEqual">
      <formula>1</formula>
    </cfRule>
    <cfRule type="cellIs" dxfId="0" priority="2" operator="greaterThan">
      <formula>1</formula>
    </cfRule>
  </conditionalFormatting>
  <dataValidations disablePrompts="1" count="1">
    <dataValidation type="decimal" allowBlank="1" showInputMessage="1" showErrorMessage="1" errorTitle="Critical b/a Ratio" error="Must be between 1 and 5" sqref="AC5">
      <formula1>1</formula1>
      <formula2>5</formula2>
    </dataValidation>
  </dataValidations>
  <pageMargins left="0.7" right="0.7" top="0.75" bottom="0.75" header="0.3" footer="0.3"/>
  <pageSetup paperSize="9" scale="37" orientation="portrait" blackAndWhite="1" r:id="rId1"/>
  <headerFooter>
    <oddHeader>&amp;L
Summary&amp;C
&amp;R
Lower Likhu Hydropower Project (28.1 MW)</oddHeader>
    <oddFooter>Page &amp;P of &amp;N</oddFooter>
  </headerFooter>
  <rowBreaks count="10" manualBreakCount="10">
    <brk id="52" max="22" man="1"/>
    <brk id="100" max="16383" man="1"/>
    <brk id="148" max="16383" man="1"/>
    <brk id="196" max="16383" man="1"/>
    <brk id="244" max="16383" man="1"/>
    <brk id="292" max="16383" man="1"/>
    <brk id="340" max="16383" man="1"/>
    <brk id="388" max="16383" man="1"/>
    <brk id="436" max="16383" man="1"/>
    <brk id="484"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als">
    <pageSetUpPr fitToPage="1"/>
  </sheetPr>
  <dimension ref="A1:J70"/>
  <sheetViews>
    <sheetView showGridLines="0" zoomScale="75" zoomScaleNormal="75" zoomScaleSheetLayoutView="100" workbookViewId="0">
      <selection activeCell="C6" sqref="C6"/>
    </sheetView>
  </sheetViews>
  <sheetFormatPr defaultRowHeight="14.25" x14ac:dyDescent="0.2"/>
  <cols>
    <col min="1" max="1" width="32.42578125" style="197" customWidth="1"/>
    <col min="2" max="2" width="5.5703125" style="197" customWidth="1"/>
    <col min="3" max="3" width="21.140625" style="197" customWidth="1"/>
    <col min="4" max="4" width="2.7109375" style="197" customWidth="1"/>
    <col min="5" max="5" width="14.7109375" style="197" customWidth="1"/>
    <col min="6" max="6" width="2.7109375" style="197" customWidth="1"/>
    <col min="7" max="7" width="14.7109375" style="197" customWidth="1"/>
    <col min="8" max="8" width="2.7109375" style="197" customWidth="1"/>
    <col min="9" max="9" width="32.7109375" style="197" customWidth="1"/>
    <col min="10" max="16384" width="9.140625" style="197"/>
  </cols>
  <sheetData>
    <row r="1" spans="1:10" s="609" customFormat="1" ht="15" x14ac:dyDescent="0.2">
      <c r="A1" s="1034" t="s">
        <v>489</v>
      </c>
      <c r="B1" s="1120"/>
      <c r="C1" s="1120"/>
      <c r="D1" s="1120"/>
      <c r="E1" s="1120"/>
      <c r="F1" s="1120"/>
      <c r="G1" s="1120"/>
      <c r="H1" s="1120"/>
      <c r="I1" s="1121"/>
      <c r="J1" s="923"/>
    </row>
    <row r="2" spans="1:10" s="609" customFormat="1" ht="15" x14ac:dyDescent="0.2">
      <c r="A2" s="1034" t="str">
        <f>GType</f>
        <v>Fixed Wheel (cantilevered)</v>
      </c>
      <c r="B2" s="1035"/>
      <c r="C2" s="1035"/>
      <c r="D2" s="1035"/>
      <c r="E2" s="1035"/>
      <c r="F2" s="1035"/>
      <c r="G2" s="1035"/>
      <c r="H2" s="1035"/>
      <c r="I2" s="1036"/>
      <c r="J2" s="923"/>
    </row>
    <row r="4" spans="1:10" ht="15.75" thickBot="1" x14ac:dyDescent="0.3">
      <c r="A4" s="1122" t="s">
        <v>490</v>
      </c>
      <c r="B4" s="1123"/>
      <c r="C4" s="1123"/>
    </row>
    <row r="5" spans="1:10" ht="15" thickTop="1" x14ac:dyDescent="0.2"/>
    <row r="6" spans="1:10" ht="12.75" customHeight="1" x14ac:dyDescent="0.25">
      <c r="A6" s="405" t="s">
        <v>491</v>
      </c>
      <c r="B6" s="405"/>
      <c r="C6" s="406" t="s">
        <v>515</v>
      </c>
      <c r="D6" s="198"/>
      <c r="F6" s="198"/>
    </row>
    <row r="7" spans="1:10" ht="12.75" customHeight="1" x14ac:dyDescent="0.2">
      <c r="A7" s="405" t="s">
        <v>492</v>
      </c>
      <c r="B7" s="405" t="s">
        <v>152</v>
      </c>
      <c r="C7" s="407">
        <v>44</v>
      </c>
    </row>
    <row r="8" spans="1:10" ht="12.75" customHeight="1" x14ac:dyDescent="0.2">
      <c r="A8" s="405" t="s">
        <v>493</v>
      </c>
      <c r="B8" s="405" t="s">
        <v>129</v>
      </c>
      <c r="C8" s="407">
        <v>14</v>
      </c>
      <c r="D8" s="198"/>
      <c r="F8" s="198"/>
    </row>
    <row r="9" spans="1:10" ht="12.75" customHeight="1" x14ac:dyDescent="0.2">
      <c r="A9" s="408" t="s">
        <v>494</v>
      </c>
      <c r="B9" s="258" t="s">
        <v>495</v>
      </c>
      <c r="C9" s="407">
        <v>3</v>
      </c>
      <c r="D9" s="198"/>
      <c r="F9" s="198"/>
    </row>
    <row r="10" spans="1:10" ht="12.75" customHeight="1" x14ac:dyDescent="0.2">
      <c r="A10" s="408" t="s">
        <v>496</v>
      </c>
      <c r="B10" s="405" t="s">
        <v>497</v>
      </c>
      <c r="C10" s="407">
        <v>50</v>
      </c>
      <c r="D10" s="198"/>
      <c r="F10" s="198"/>
    </row>
    <row r="11" spans="1:10" ht="12.75" customHeight="1" x14ac:dyDescent="0.2">
      <c r="A11" s="408" t="s">
        <v>498</v>
      </c>
      <c r="B11" s="258" t="s">
        <v>499</v>
      </c>
      <c r="C11" s="409">
        <v>0.2</v>
      </c>
      <c r="D11" s="198"/>
      <c r="F11" s="198"/>
    </row>
    <row r="12" spans="1:10" ht="12.75" customHeight="1" x14ac:dyDescent="0.2"/>
    <row r="13" spans="1:10" ht="12.75" customHeight="1" x14ac:dyDescent="0.2">
      <c r="A13" s="408" t="s">
        <v>500</v>
      </c>
      <c r="B13" s="408" t="s">
        <v>501</v>
      </c>
      <c r="C13" s="407">
        <v>80</v>
      </c>
    </row>
    <row r="14" spans="1:10" ht="12.75" customHeight="1" x14ac:dyDescent="0.2">
      <c r="A14" s="408" t="s">
        <v>502</v>
      </c>
      <c r="B14" s="408" t="s">
        <v>503</v>
      </c>
      <c r="C14" s="407">
        <v>12</v>
      </c>
    </row>
    <row r="15" spans="1:10" ht="12.75" customHeight="1" x14ac:dyDescent="0.2">
      <c r="A15" s="408" t="s">
        <v>504</v>
      </c>
      <c r="B15" s="408" t="s">
        <v>505</v>
      </c>
      <c r="C15" s="407">
        <v>12</v>
      </c>
    </row>
    <row r="16" spans="1:10" ht="12.75" customHeight="1" x14ac:dyDescent="0.2"/>
    <row r="17" spans="1:6" x14ac:dyDescent="0.2">
      <c r="A17" s="408" t="s">
        <v>506</v>
      </c>
      <c r="B17" s="408" t="s">
        <v>154</v>
      </c>
      <c r="C17" s="399">
        <f>IF(LinType="Center Bulb Seal",171.304*0.00689476*(C8/0.709*1.181/C10)^3*C9/0.787,IF(LinType="No Lintel Seal","",28.551*0.00689476*(C8/0.709*1.575/C10)^3*C9/0.787))</f>
        <v>0.18057767733424451</v>
      </c>
      <c r="D17" s="198"/>
      <c r="F17" s="198"/>
    </row>
    <row r="18" spans="1:6" x14ac:dyDescent="0.2">
      <c r="A18" s="408" t="s">
        <v>507</v>
      </c>
      <c r="B18" s="408"/>
      <c r="C18" s="400">
        <f>IF(LinType="No Lintel Seal","",Rw*'Beam Spacing'!F18)*0.001</f>
        <v>4.542029999999974E-2</v>
      </c>
      <c r="D18" s="198"/>
      <c r="F18" s="198"/>
    </row>
    <row r="19" spans="1:6" x14ac:dyDescent="0.2">
      <c r="A19" s="408" t="s">
        <v>508</v>
      </c>
      <c r="B19" s="408"/>
      <c r="C19" s="410">
        <f>Lse</f>
        <v>3.6</v>
      </c>
      <c r="D19" s="198"/>
      <c r="F19" s="198"/>
    </row>
    <row r="20" spans="1:6" x14ac:dyDescent="0.2">
      <c r="A20" s="408" t="s">
        <v>509</v>
      </c>
      <c r="B20" s="408" t="s">
        <v>160</v>
      </c>
      <c r="C20" s="399">
        <f>IF(LinType="Center Bulb Seal",C18*C10,IF(LinType="No Lintel Seal","",(C18/2*((C7-C9)^2-(C7-C9)*C8+C10^2)-C11*C17*(C7-C9-C8/2))/(C11*(C7-C9-C8/2)+C10)))</f>
        <v>1.4205560359881459</v>
      </c>
    </row>
    <row r="21" spans="1:6" x14ac:dyDescent="0.2">
      <c r="A21" s="408" t="s">
        <v>510</v>
      </c>
      <c r="B21" s="408"/>
      <c r="C21" s="401">
        <f>IF(LinType="No Lintel Seal","",C17*C19*1000)</f>
        <v>650.07963840328034</v>
      </c>
      <c r="D21" s="198"/>
      <c r="F21" s="198"/>
    </row>
    <row r="22" spans="1:6" x14ac:dyDescent="0.2">
      <c r="A22" s="408" t="s">
        <v>511</v>
      </c>
      <c r="B22" s="408"/>
      <c r="C22" s="401">
        <f>IF(LinType="No Lintel Seal",0,C21*C11)</f>
        <v>130.01592768065606</v>
      </c>
      <c r="D22" s="198"/>
      <c r="F22" s="198"/>
    </row>
    <row r="23" spans="1:6" x14ac:dyDescent="0.2">
      <c r="A23" s="408" t="s">
        <v>512</v>
      </c>
      <c r="B23" s="408"/>
      <c r="C23" s="401">
        <f>IF(LinType="No Lintel Seal",0,C11*C19*C20*1000)</f>
        <v>1022.8003459114652</v>
      </c>
      <c r="D23" s="198"/>
      <c r="F23" s="198"/>
    </row>
    <row r="24" spans="1:6" ht="15" x14ac:dyDescent="0.25">
      <c r="A24" s="408" t="s">
        <v>513</v>
      </c>
      <c r="B24" s="408"/>
      <c r="C24" s="411">
        <f>C22+C23</f>
        <v>1152.8162735921212</v>
      </c>
      <c r="D24" s="198"/>
      <c r="E24" s="198"/>
      <c r="F24" s="198"/>
    </row>
    <row r="26" spans="1:6" ht="15.75" thickBot="1" x14ac:dyDescent="0.3">
      <c r="A26" s="1122" t="s">
        <v>514</v>
      </c>
      <c r="B26" s="1123"/>
      <c r="C26" s="1123"/>
    </row>
    <row r="27" spans="1:6" ht="15" thickTop="1" x14ac:dyDescent="0.2">
      <c r="C27" s="249"/>
    </row>
    <row r="28" spans="1:6" ht="15" x14ac:dyDescent="0.25">
      <c r="A28" s="405" t="s">
        <v>491</v>
      </c>
      <c r="B28" s="405"/>
      <c r="C28" s="406" t="s">
        <v>515</v>
      </c>
    </row>
    <row r="29" spans="1:6" x14ac:dyDescent="0.2">
      <c r="A29" s="405" t="s">
        <v>492</v>
      </c>
      <c r="B29" s="405" t="s">
        <v>152</v>
      </c>
      <c r="C29" s="407">
        <f>C7</f>
        <v>44</v>
      </c>
    </row>
    <row r="30" spans="1:6" x14ac:dyDescent="0.2">
      <c r="A30" s="405" t="s">
        <v>493</v>
      </c>
      <c r="B30" s="405" t="s">
        <v>129</v>
      </c>
      <c r="C30" s="407">
        <f>C8</f>
        <v>14</v>
      </c>
    </row>
    <row r="31" spans="1:6" x14ac:dyDescent="0.2">
      <c r="A31" s="408" t="s">
        <v>494</v>
      </c>
      <c r="B31" s="258" t="s">
        <v>495</v>
      </c>
      <c r="C31" s="407">
        <f>C9</f>
        <v>3</v>
      </c>
    </row>
    <row r="32" spans="1:6" x14ac:dyDescent="0.2">
      <c r="A32" s="408" t="s">
        <v>496</v>
      </c>
      <c r="B32" s="405" t="s">
        <v>497</v>
      </c>
      <c r="C32" s="407">
        <f>C10</f>
        <v>50</v>
      </c>
    </row>
    <row r="33" spans="1:3" x14ac:dyDescent="0.2">
      <c r="A33" s="408" t="s">
        <v>498</v>
      </c>
      <c r="B33" s="258" t="s">
        <v>499</v>
      </c>
      <c r="C33" s="409">
        <f>C11</f>
        <v>0.2</v>
      </c>
    </row>
    <row r="35" spans="1:3" x14ac:dyDescent="0.2">
      <c r="A35" s="408" t="s">
        <v>500</v>
      </c>
      <c r="B35" s="408" t="s">
        <v>501</v>
      </c>
      <c r="C35" s="407">
        <f>C13</f>
        <v>80</v>
      </c>
    </row>
    <row r="36" spans="1:3" x14ac:dyDescent="0.2">
      <c r="A36" s="408" t="s">
        <v>502</v>
      </c>
      <c r="B36" s="408" t="s">
        <v>503</v>
      </c>
      <c r="C36" s="407">
        <f>C14</f>
        <v>12</v>
      </c>
    </row>
    <row r="37" spans="1:3" x14ac:dyDescent="0.2">
      <c r="A37" s="408" t="s">
        <v>504</v>
      </c>
      <c r="B37" s="408" t="s">
        <v>505</v>
      </c>
      <c r="C37" s="407">
        <f>C15</f>
        <v>12</v>
      </c>
    </row>
    <row r="38" spans="1:3" x14ac:dyDescent="0.2">
      <c r="A38" s="408"/>
      <c r="B38" s="408"/>
    </row>
    <row r="39" spans="1:3" x14ac:dyDescent="0.2">
      <c r="A39" s="408" t="s">
        <v>506</v>
      </c>
      <c r="B39" s="408" t="s">
        <v>154</v>
      </c>
      <c r="C39" s="399">
        <f>IF(SidType="Center Bulb Seal",171.304*0.00689476*(C30/0.709*1.181/C32)^3*C31/0.787,28.551*0.00689476*(C30/0.709*1.575/C32)^3*C31/0.787)</f>
        <v>0.18057767733424451</v>
      </c>
    </row>
    <row r="40" spans="1:3" x14ac:dyDescent="0.2">
      <c r="A40" s="408" t="s">
        <v>507</v>
      </c>
      <c r="B40" s="408"/>
      <c r="C40" s="400">
        <f>('Beam Spacing'!F18+HB)*Rw/2*0.001</f>
        <v>5.9644799999999741E-2</v>
      </c>
    </row>
    <row r="41" spans="1:3" x14ac:dyDescent="0.2">
      <c r="A41" s="408" t="s">
        <v>508</v>
      </c>
      <c r="B41" s="408"/>
      <c r="C41" s="410">
        <f>2*D</f>
        <v>5.8</v>
      </c>
    </row>
    <row r="42" spans="1:3" x14ac:dyDescent="0.2">
      <c r="A42" s="408" t="s">
        <v>509</v>
      </c>
      <c r="B42" s="408" t="s">
        <v>160</v>
      </c>
      <c r="C42" s="399">
        <f>IF(C28="Center Bulb Seal",C40*C32,(C40/2*((C29-C31)^2-(C29-C31)*C30+C32^2)-C33*C39*(C29-C31-C30/2))/(C33*(C29-C31-C30/2)+C32))</f>
        <v>1.8722089541219487</v>
      </c>
    </row>
    <row r="43" spans="1:3" x14ac:dyDescent="0.2">
      <c r="A43" s="408" t="s">
        <v>510</v>
      </c>
      <c r="B43" s="408"/>
      <c r="C43" s="401">
        <f>C39*C41*1000</f>
        <v>1047.3505285386182</v>
      </c>
    </row>
    <row r="44" spans="1:3" x14ac:dyDescent="0.2">
      <c r="A44" s="408" t="s">
        <v>511</v>
      </c>
      <c r="B44" s="408"/>
      <c r="C44" s="401">
        <f>C43*C33</f>
        <v>209.47010570772363</v>
      </c>
    </row>
    <row r="45" spans="1:3" x14ac:dyDescent="0.2">
      <c r="A45" s="408" t="s">
        <v>512</v>
      </c>
      <c r="B45" s="408"/>
      <c r="C45" s="401">
        <f>C33*C41*C42*1000</f>
        <v>2171.7623867814605</v>
      </c>
    </row>
    <row r="46" spans="1:3" ht="15" x14ac:dyDescent="0.25">
      <c r="A46" s="408" t="s">
        <v>513</v>
      </c>
      <c r="B46" s="408"/>
      <c r="C46" s="411">
        <f>C44+C45</f>
        <v>2381.2324924891841</v>
      </c>
    </row>
    <row r="48" spans="1:3" ht="15.75" thickBot="1" x14ac:dyDescent="0.3">
      <c r="A48" s="1122" t="s">
        <v>516</v>
      </c>
      <c r="B48" s="1123"/>
      <c r="C48" s="1123"/>
    </row>
    <row r="49" spans="1:3" ht="15" thickTop="1" x14ac:dyDescent="0.2"/>
    <row r="50" spans="1:3" ht="15" x14ac:dyDescent="0.25">
      <c r="A50" s="405" t="s">
        <v>491</v>
      </c>
      <c r="B50" s="405"/>
      <c r="C50" s="406" t="s">
        <v>517</v>
      </c>
    </row>
    <row r="51" spans="1:3" ht="12.75" hidden="1" customHeight="1" x14ac:dyDescent="0.2">
      <c r="A51" s="405" t="s">
        <v>492</v>
      </c>
      <c r="B51" s="405" t="s">
        <v>152</v>
      </c>
      <c r="C51" s="412">
        <v>1.75</v>
      </c>
    </row>
    <row r="52" spans="1:3" x14ac:dyDescent="0.2">
      <c r="A52" s="405" t="s">
        <v>493</v>
      </c>
      <c r="B52" s="405" t="s">
        <v>129</v>
      </c>
      <c r="C52" s="407">
        <v>12</v>
      </c>
    </row>
    <row r="53" spans="1:3" ht="12.75" hidden="1" customHeight="1" x14ac:dyDescent="0.2">
      <c r="A53" s="408" t="s">
        <v>494</v>
      </c>
      <c r="B53" s="258" t="s">
        <v>495</v>
      </c>
      <c r="C53" s="407">
        <v>0.125</v>
      </c>
    </row>
    <row r="54" spans="1:3" ht="12.75" hidden="1" customHeight="1" x14ac:dyDescent="0.2">
      <c r="A54" s="408" t="s">
        <v>496</v>
      </c>
      <c r="B54" s="405" t="s">
        <v>497</v>
      </c>
      <c r="C54" s="407">
        <v>1.5</v>
      </c>
    </row>
    <row r="55" spans="1:3" ht="12.75" hidden="1" customHeight="1" x14ac:dyDescent="0.2">
      <c r="A55" s="408" t="s">
        <v>498</v>
      </c>
      <c r="B55" s="258" t="s">
        <v>499</v>
      </c>
      <c r="C55" s="407">
        <v>0.2</v>
      </c>
    </row>
    <row r="56" spans="1:3" ht="12.75" hidden="1" customHeight="1" x14ac:dyDescent="0.2">
      <c r="C56" s="654"/>
    </row>
    <row r="57" spans="1:3" x14ac:dyDescent="0.2">
      <c r="A57" s="408" t="s">
        <v>500</v>
      </c>
      <c r="B57" s="408" t="s">
        <v>501</v>
      </c>
      <c r="C57" s="407">
        <v>60</v>
      </c>
    </row>
    <row r="58" spans="1:3" x14ac:dyDescent="0.2">
      <c r="A58" s="408" t="s">
        <v>502</v>
      </c>
      <c r="B58" s="408" t="s">
        <v>503</v>
      </c>
      <c r="C58" s="407">
        <v>12</v>
      </c>
    </row>
    <row r="59" spans="1:3" ht="12.75" hidden="1" customHeight="1" x14ac:dyDescent="0.2">
      <c r="A59" s="408" t="s">
        <v>504</v>
      </c>
      <c r="B59" s="408" t="s">
        <v>505</v>
      </c>
      <c r="C59" s="407">
        <v>0.5625</v>
      </c>
    </row>
    <row r="60" spans="1:3" x14ac:dyDescent="0.2">
      <c r="A60" s="408" t="s">
        <v>518</v>
      </c>
      <c r="B60" s="405" t="s">
        <v>519</v>
      </c>
      <c r="C60" s="407">
        <v>12</v>
      </c>
    </row>
    <row r="61" spans="1:3" x14ac:dyDescent="0.2">
      <c r="A61" s="408" t="s">
        <v>520</v>
      </c>
      <c r="B61" s="405" t="s">
        <v>521</v>
      </c>
      <c r="C61" s="407">
        <v>50</v>
      </c>
    </row>
    <row r="63" spans="1:3" ht="12.75" hidden="1" customHeight="1" x14ac:dyDescent="0.2">
      <c r="A63" s="408" t="s">
        <v>506</v>
      </c>
      <c r="B63" s="408" t="s">
        <v>154</v>
      </c>
      <c r="C63" s="402" t="str">
        <f>IF(SilType="Wedge Seal","",IF(SilType="Center Bulb Seal",171.304*(C52/0.709*1.181/C54)^3*C53/0.787,28.551*(C52/0.709*1.575/C54)^3*C53/0.787))</f>
        <v/>
      </c>
    </row>
    <row r="64" spans="1:3" ht="12.75" hidden="1" customHeight="1" x14ac:dyDescent="0.2">
      <c r="A64" s="408" t="s">
        <v>507</v>
      </c>
      <c r="B64" s="408"/>
      <c r="C64" s="403" t="str">
        <f>IF(SilType="Wedge Seal","",Rw*HB)</f>
        <v/>
      </c>
    </row>
    <row r="65" spans="1:3" ht="12.75" hidden="1" customHeight="1" x14ac:dyDescent="0.2">
      <c r="A65" s="408" t="s">
        <v>508</v>
      </c>
      <c r="B65" s="408"/>
      <c r="C65" s="413">
        <f>Lse</f>
        <v>3.6</v>
      </c>
    </row>
    <row r="66" spans="1:3" ht="12.75" hidden="1" customHeight="1" x14ac:dyDescent="0.2">
      <c r="A66" s="408" t="s">
        <v>509</v>
      </c>
      <c r="B66" s="408" t="s">
        <v>160</v>
      </c>
      <c r="C66" s="402" t="str">
        <f>IF(SilType="Center Bulb Seal",C64*C54,IF(SilType="Wedge Seal","",(C64/2*((C51-C53)^2-(C51-C53)*C52+C54^2)-C55*C63*(C51-C53-C52/2))/(C55*(C51-C53-C52/2)+C54)))</f>
        <v/>
      </c>
    </row>
    <row r="67" spans="1:3" ht="12.75" hidden="1" customHeight="1" x14ac:dyDescent="0.2">
      <c r="A67" s="408" t="s">
        <v>510</v>
      </c>
      <c r="B67" s="408"/>
      <c r="C67" s="404" t="str">
        <f>IF(SilType="Wedge Seal","",C63*C65)</f>
        <v/>
      </c>
    </row>
    <row r="68" spans="1:3" ht="12.75" hidden="1" customHeight="1" x14ac:dyDescent="0.2">
      <c r="A68" s="408" t="s">
        <v>511</v>
      </c>
      <c r="B68" s="408"/>
      <c r="C68" s="404">
        <f>IF(SilType="Wedge Seal",0,C67*C55)</f>
        <v>0</v>
      </c>
    </row>
    <row r="69" spans="1:3" ht="12.75" hidden="1" customHeight="1" x14ac:dyDescent="0.2">
      <c r="A69" s="408" t="s">
        <v>512</v>
      </c>
      <c r="B69" s="408"/>
      <c r="C69" s="404">
        <f>IF(SilType="Wedge Seal",0,C55*C65*C66)</f>
        <v>0</v>
      </c>
    </row>
    <row r="70" spans="1:3" ht="12.75" hidden="1" customHeight="1" x14ac:dyDescent="0.25">
      <c r="A70" s="408" t="s">
        <v>513</v>
      </c>
      <c r="B70" s="408"/>
      <c r="C70" s="414">
        <f>C68+C69</f>
        <v>0</v>
      </c>
    </row>
  </sheetData>
  <sheetProtection algorithmName="SHA-512" hashValue="uTQyJWAU4cH3aX3NWMm0NDW9nfRL6c8pqnPNN6DNhH9ZmiHdSzVqLqdXd6zdUVZgHDO4r9KtNW2YpCpT0nbwgg==" saltValue="MVXopYH2rkojSXzcr9orRg==" spinCount="100000" sheet="1" objects="1" scenarios="1" selectLockedCells="1"/>
  <mergeCells count="5">
    <mergeCell ref="A1:I1"/>
    <mergeCell ref="A2:I2"/>
    <mergeCell ref="A4:C4"/>
    <mergeCell ref="A26:C26"/>
    <mergeCell ref="A48:C48"/>
  </mergeCells>
  <dataValidations count="13">
    <dataValidation type="decimal" allowBlank="1" showInputMessage="1" showErrorMessage="1" errorTitle="Seal Friction Coefficient" error="Must be between 0 and 1.5" sqref="C11 C33 C55">
      <formula1>0</formula1>
      <formula2>1.5</formula2>
    </dataValidation>
    <dataValidation type="list" allowBlank="1" showInputMessage="1" showErrorMessage="1" sqref="C53 C31 C9">
      <formula1>CorAll</formula1>
    </dataValidation>
    <dataValidation type="list" allowBlank="1" showInputMessage="1" showErrorMessage="1" sqref="C28">
      <formula1>"Center Bulb Seal,J Seal"</formula1>
    </dataValidation>
    <dataValidation type="list" allowBlank="1" showInputMessage="1" showErrorMessage="1" sqref="C50">
      <formula1>"Center Bulb Seal,J Seal,Wedge Seal"</formula1>
    </dataValidation>
    <dataValidation type="list" allowBlank="1" showInputMessage="1" showErrorMessage="1" sqref="C6">
      <formula1>"No Lintel Seal,Center Bulb Seal,J Seal"</formula1>
    </dataValidation>
    <dataValidation type="decimal" allowBlank="1" showInputMessage="1" showErrorMessage="1" errorTitle="Seal Height" error="Value between 1 and 6 required" sqref="C61">
      <formula1>1</formula1>
      <formula2>25.4*6</formula2>
    </dataValidation>
    <dataValidation type="decimal" allowBlank="1" showInputMessage="1" showErrorMessage="1" errorTitle="Top Bar Thickness" error="Value between 0 and 2 required" sqref="C60">
      <formula1>0</formula1>
      <formula2>25.4*2</formula2>
    </dataValidation>
    <dataValidation type="decimal" allowBlank="1" showInputMessage="1" showErrorMessage="1" errorTitle="Clamp Bar Thickness" error="Value between 0.25 and 2 required" sqref="C58 C36 C14">
      <formula1>0.25</formula1>
      <formula2>25.4*2</formula2>
    </dataValidation>
    <dataValidation type="decimal" allowBlank="1" showInputMessage="1" showErrorMessage="1" errorTitle="Mount Bar Thickness" error="Value between 0 and 2 required" sqref="C15 C37 C59">
      <formula1>0</formula1>
      <formula2>25.4*2</formula2>
    </dataValidation>
    <dataValidation type="decimal" allowBlank="1" showInputMessage="1" showErrorMessage="1" errorTitle="Clamp and Mount Width" error="Value between 1 and 6 required" sqref="C13 C35 C57">
      <formula1>1</formula1>
      <formula2>25.4*6</formula2>
    </dataValidation>
    <dataValidation type="decimal" allowBlank="1" showInputMessage="1" showErrorMessage="1" errorTitle="Projection from Clamp" error="Must be at least half of the bulb diameter an no more than 6" sqref="C10 C32 C54">
      <formula1>C7/2</formula1>
      <formula2>25.4*6</formula2>
    </dataValidation>
    <dataValidation type="decimal" allowBlank="1" showInputMessage="1" showErrorMessage="1" errorTitle="Stem Thickness" error="Must not be greater than the bulb diameter not less than 0.25" sqref="C8 C30">
      <formula1>25.4*0.25</formula1>
      <formula2>C7</formula2>
    </dataValidation>
    <dataValidation type="decimal" allowBlank="1" showInputMessage="1" showErrorMessage="1" errorTitle="Bulb Diameter" error="Value between 1 and 4 required.  Typically 1.75" sqref="C7 C29 C51">
      <formula1>25.4*1</formula1>
      <formula2>25.4*4</formula2>
    </dataValidation>
  </dataValidations>
  <pageMargins left="0.7" right="0.7" top="0.75" bottom="0.75" header="0.3" footer="0.3"/>
  <pageSetup paperSize="9" scale="67" orientation="portrait" blackAndWhite="1" r:id="rId1"/>
  <headerFooter>
    <oddHeader>&amp;L
Summary&amp;C
&amp;R
Lower Likhu Hydropower Project (28.1 MW)</oddHeader>
    <oddFooter>Page &amp;P of &amp;N</oddFooter>
  </headerFooter>
  <colBreaks count="1" manualBreakCount="1">
    <brk id="9" max="1048575" man="1"/>
  </colBreaks>
  <drawing r:id="rId2"/>
  <legacyDrawing r:id="rId3"/>
  <oleObjects>
    <mc:AlternateContent xmlns:mc="http://schemas.openxmlformats.org/markup-compatibility/2006">
      <mc:Choice Requires="x14">
        <oleObject progId="AutoCAD.Drawing.20" shapeId="25601" r:id="rId4">
          <objectPr defaultSize="0" autoPict="0" r:id="rId5">
            <anchor moveWithCells="1">
              <from>
                <xdr:col>6</xdr:col>
                <xdr:colOff>38100</xdr:colOff>
                <xdr:row>48</xdr:row>
                <xdr:rowOff>57150</xdr:rowOff>
              </from>
              <to>
                <xdr:col>8</xdr:col>
                <xdr:colOff>828675</xdr:colOff>
                <xdr:row>76</xdr:row>
                <xdr:rowOff>66675</xdr:rowOff>
              </to>
            </anchor>
          </objectPr>
        </oleObject>
      </mc:Choice>
      <mc:Fallback>
        <oleObject progId="AutoCAD.Drawing.20" shapeId="25601" r:id="rId4"/>
      </mc:Fallback>
    </mc:AlternateContent>
    <mc:AlternateContent xmlns:mc="http://schemas.openxmlformats.org/markup-compatibility/2006">
      <mc:Choice Requires="x14">
        <oleObject progId="AutoCAD.Drawing.20" shapeId="25602" r:id="rId6">
          <objectPr defaultSize="0" autoPict="0" r:id="rId7">
            <anchor moveWithCells="1">
              <from>
                <xdr:col>4</xdr:col>
                <xdr:colOff>333375</xdr:colOff>
                <xdr:row>48</xdr:row>
                <xdr:rowOff>152400</xdr:rowOff>
              </from>
              <to>
                <xdr:col>8</xdr:col>
                <xdr:colOff>1285875</xdr:colOff>
                <xdr:row>74</xdr:row>
                <xdr:rowOff>57150</xdr:rowOff>
              </to>
            </anchor>
          </objectPr>
        </oleObject>
      </mc:Choice>
      <mc:Fallback>
        <oleObject progId="AutoCAD.Drawing.20" shapeId="25602" r:id="rId6"/>
      </mc:Fallback>
    </mc:AlternateContent>
    <mc:AlternateContent xmlns:mc="http://schemas.openxmlformats.org/markup-compatibility/2006">
      <mc:Choice Requires="x14">
        <oleObject progId="AutoCAD.Drawing.20" shapeId="25603" r:id="rId8">
          <objectPr defaultSize="0" autoPict="0" r:id="rId9">
            <anchor moveWithCells="1">
              <from>
                <xdr:col>4</xdr:col>
                <xdr:colOff>447675</xdr:colOff>
                <xdr:row>49</xdr:row>
                <xdr:rowOff>0</xdr:rowOff>
              </from>
              <to>
                <xdr:col>8</xdr:col>
                <xdr:colOff>2066925</xdr:colOff>
                <xdr:row>74</xdr:row>
                <xdr:rowOff>76200</xdr:rowOff>
              </to>
            </anchor>
          </objectPr>
        </oleObject>
      </mc:Choice>
      <mc:Fallback>
        <oleObject progId="AutoCAD.Drawing.20" shapeId="25603" r:id="rId8"/>
      </mc:Fallback>
    </mc:AlternateContent>
    <mc:AlternateContent xmlns:mc="http://schemas.openxmlformats.org/markup-compatibility/2006">
      <mc:Choice Requires="x14">
        <oleObject progId="AutoCAD.Drawing.20" shapeId="25604" r:id="rId10">
          <objectPr defaultSize="0" autoPict="0" r:id="rId7">
            <anchor moveWithCells="1">
              <from>
                <xdr:col>4</xdr:col>
                <xdr:colOff>552450</xdr:colOff>
                <xdr:row>26</xdr:row>
                <xdr:rowOff>76200</xdr:rowOff>
              </from>
              <to>
                <xdr:col>8</xdr:col>
                <xdr:colOff>1514475</xdr:colOff>
                <xdr:row>37</xdr:row>
                <xdr:rowOff>142875</xdr:rowOff>
              </to>
            </anchor>
          </objectPr>
        </oleObject>
      </mc:Choice>
      <mc:Fallback>
        <oleObject progId="AutoCAD.Drawing.20" shapeId="25604" r:id="rId10"/>
      </mc:Fallback>
    </mc:AlternateContent>
    <mc:AlternateContent xmlns:mc="http://schemas.openxmlformats.org/markup-compatibility/2006">
      <mc:Choice Requires="x14">
        <oleObject progId="AutoCAD.Drawing.20" shapeId="25605" r:id="rId11">
          <objectPr defaultSize="0" autoPict="0" r:id="rId9">
            <anchor moveWithCells="1">
              <from>
                <xdr:col>4</xdr:col>
                <xdr:colOff>457200</xdr:colOff>
                <xdr:row>27</xdr:row>
                <xdr:rowOff>0</xdr:rowOff>
              </from>
              <to>
                <xdr:col>8</xdr:col>
                <xdr:colOff>2085975</xdr:colOff>
                <xdr:row>38</xdr:row>
                <xdr:rowOff>66675</xdr:rowOff>
              </to>
            </anchor>
          </objectPr>
        </oleObject>
      </mc:Choice>
      <mc:Fallback>
        <oleObject progId="AutoCAD.Drawing.20" shapeId="25605" r:id="rId11"/>
      </mc:Fallback>
    </mc:AlternateContent>
    <mc:AlternateContent xmlns:mc="http://schemas.openxmlformats.org/markup-compatibility/2006">
      <mc:Choice Requires="x14">
        <oleObject progId="AutoCAD.Drawing.20" shapeId="25606" r:id="rId12">
          <objectPr defaultSize="0" autoPict="0" r:id="rId7">
            <anchor moveWithCells="1">
              <from>
                <xdr:col>4</xdr:col>
                <xdr:colOff>381000</xdr:colOff>
                <xdr:row>5</xdr:row>
                <xdr:rowOff>9525</xdr:rowOff>
              </from>
              <to>
                <xdr:col>8</xdr:col>
                <xdr:colOff>1333500</xdr:colOff>
                <xdr:row>16</xdr:row>
                <xdr:rowOff>0</xdr:rowOff>
              </to>
            </anchor>
          </objectPr>
        </oleObject>
      </mc:Choice>
      <mc:Fallback>
        <oleObject progId="AutoCAD.Drawing.20" shapeId="25606" r:id="rId12"/>
      </mc:Fallback>
    </mc:AlternateContent>
    <mc:AlternateContent xmlns:mc="http://schemas.openxmlformats.org/markup-compatibility/2006">
      <mc:Choice Requires="x14">
        <oleObject progId="AutoCAD.Drawing.20" shapeId="25607" r:id="rId13">
          <objectPr defaultSize="0" autoPict="0" r:id="rId9">
            <anchor moveWithCells="1">
              <from>
                <xdr:col>4</xdr:col>
                <xdr:colOff>304800</xdr:colOff>
                <xdr:row>4</xdr:row>
                <xdr:rowOff>95250</xdr:rowOff>
              </from>
              <to>
                <xdr:col>8</xdr:col>
                <xdr:colOff>1933575</xdr:colOff>
                <xdr:row>17</xdr:row>
                <xdr:rowOff>9525</xdr:rowOff>
              </to>
            </anchor>
          </objectPr>
        </oleObject>
      </mc:Choice>
      <mc:Fallback>
        <oleObject progId="AutoCAD.Drawing.20" shapeId="25607" r:id="rId13"/>
      </mc:Fallback>
    </mc:AlternateContent>
    <mc:AlternateContent xmlns:mc="http://schemas.openxmlformats.org/markup-compatibility/2006">
      <mc:Choice Requires="x14">
        <oleObject progId="AutoCAD.Drawing.20" shapeId="25610" r:id="rId14">
          <objectPr defaultSize="0" autoPict="0" r:id="rId7">
            <anchor moveWithCells="1">
              <from>
                <xdr:col>4</xdr:col>
                <xdr:colOff>333375</xdr:colOff>
                <xdr:row>48</xdr:row>
                <xdr:rowOff>152400</xdr:rowOff>
              </from>
              <to>
                <xdr:col>8</xdr:col>
                <xdr:colOff>1285875</xdr:colOff>
                <xdr:row>74</xdr:row>
                <xdr:rowOff>57150</xdr:rowOff>
              </to>
            </anchor>
          </objectPr>
        </oleObject>
      </mc:Choice>
      <mc:Fallback>
        <oleObject progId="AutoCAD.Drawing.20" shapeId="25610" r:id="rId14"/>
      </mc:Fallback>
    </mc:AlternateContent>
    <mc:AlternateContent xmlns:mc="http://schemas.openxmlformats.org/markup-compatibility/2006">
      <mc:Choice Requires="x14">
        <oleObject progId="AutoCAD.Drawing.20" shapeId="25611" r:id="rId15">
          <objectPr defaultSize="0" autoPict="0" r:id="rId9">
            <anchor moveWithCells="1">
              <from>
                <xdr:col>4</xdr:col>
                <xdr:colOff>447675</xdr:colOff>
                <xdr:row>49</xdr:row>
                <xdr:rowOff>0</xdr:rowOff>
              </from>
              <to>
                <xdr:col>8</xdr:col>
                <xdr:colOff>2066925</xdr:colOff>
                <xdr:row>74</xdr:row>
                <xdr:rowOff>76200</xdr:rowOff>
              </to>
            </anchor>
          </objectPr>
        </oleObject>
      </mc:Choice>
      <mc:Fallback>
        <oleObject progId="AutoCAD.Drawing.20" shapeId="25611" r:id="rId15"/>
      </mc:Fallback>
    </mc:AlternateContent>
    <mc:AlternateContent xmlns:mc="http://schemas.openxmlformats.org/markup-compatibility/2006">
      <mc:Choice Requires="x14">
        <oleObject progId="AutoCAD.Drawing.20" shapeId="25613" r:id="rId16">
          <objectPr defaultSize="0" autoPict="0" r:id="rId9">
            <anchor moveWithCells="1">
              <from>
                <xdr:col>4</xdr:col>
                <xdr:colOff>457200</xdr:colOff>
                <xdr:row>27</xdr:row>
                <xdr:rowOff>0</xdr:rowOff>
              </from>
              <to>
                <xdr:col>8</xdr:col>
                <xdr:colOff>2085975</xdr:colOff>
                <xdr:row>38</xdr:row>
                <xdr:rowOff>66675</xdr:rowOff>
              </to>
            </anchor>
          </objectPr>
        </oleObject>
      </mc:Choice>
      <mc:Fallback>
        <oleObject progId="AutoCAD.Drawing.20" shapeId="25613" r:id="rId16"/>
      </mc:Fallback>
    </mc:AlternateContent>
    <mc:AlternateContent xmlns:mc="http://schemas.openxmlformats.org/markup-compatibility/2006">
      <mc:Choice Requires="x14">
        <oleObject progId="AutoCAD.Drawing.20" shapeId="25615" r:id="rId17">
          <objectPr defaultSize="0" autoPict="0" r:id="rId9">
            <anchor moveWithCells="1">
              <from>
                <xdr:col>4</xdr:col>
                <xdr:colOff>447675</xdr:colOff>
                <xdr:row>5</xdr:row>
                <xdr:rowOff>0</xdr:rowOff>
              </from>
              <to>
                <xdr:col>8</xdr:col>
                <xdr:colOff>2066925</xdr:colOff>
                <xdr:row>17</xdr:row>
                <xdr:rowOff>104775</xdr:rowOff>
              </to>
            </anchor>
          </objectPr>
        </oleObject>
      </mc:Choice>
      <mc:Fallback>
        <oleObject progId="AutoCAD.Drawing.20" shapeId="25615" r:id="rId17"/>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heelSpace">
    <pageSetUpPr fitToPage="1"/>
  </sheetPr>
  <dimension ref="A1:AT65"/>
  <sheetViews>
    <sheetView showGridLines="0" zoomScale="70" zoomScaleNormal="70" zoomScaleSheetLayoutView="85" workbookViewId="0">
      <selection activeCell="E5" sqref="E5:F5"/>
    </sheetView>
  </sheetViews>
  <sheetFormatPr defaultRowHeight="14.25" x14ac:dyDescent="0.2"/>
  <cols>
    <col min="1" max="1" width="6.7109375" style="197" customWidth="1"/>
    <col min="2" max="2" width="11.7109375" style="197" customWidth="1"/>
    <col min="3" max="3" width="1.7109375" style="197" customWidth="1"/>
    <col min="4" max="4" width="8.7109375" style="197" customWidth="1"/>
    <col min="5" max="5" width="12.7109375" style="197" customWidth="1"/>
    <col min="6" max="6" width="17.85546875" style="197" bestFit="1" customWidth="1"/>
    <col min="7" max="8" width="15.7109375" style="197" customWidth="1"/>
    <col min="9" max="9" width="6.7109375" style="197" customWidth="1"/>
    <col min="10" max="10" width="12.7109375" style="197" hidden="1" customWidth="1"/>
    <col min="11" max="26" width="15.7109375" style="197" hidden="1" customWidth="1"/>
    <col min="27" max="46" width="9.140625" style="197" hidden="1" customWidth="1"/>
    <col min="47" max="16384" width="9.140625" style="197"/>
  </cols>
  <sheetData>
    <row r="1" spans="1:46" s="609" customFormat="1" ht="15" x14ac:dyDescent="0.2">
      <c r="A1" s="1034" t="str">
        <f>IF(GType="Bulkhead (no wheels)","WHEEL SPACING - NOT APPLICABLE","WHEEL SPACING")</f>
        <v>WHEEL SPACING</v>
      </c>
      <c r="B1" s="1120"/>
      <c r="C1" s="1120"/>
      <c r="D1" s="1120"/>
      <c r="E1" s="1120"/>
      <c r="F1" s="1120"/>
      <c r="G1" s="1120"/>
      <c r="H1" s="1121"/>
      <c r="I1" s="456"/>
      <c r="J1" s="456"/>
      <c r="K1" s="456"/>
      <c r="L1" s="456"/>
      <c r="M1" s="456"/>
      <c r="N1" s="456"/>
      <c r="O1" s="456"/>
      <c r="P1" s="456"/>
      <c r="Q1" s="456"/>
      <c r="R1" s="456"/>
      <c r="S1" s="456"/>
      <c r="T1" s="456"/>
      <c r="U1" s="456"/>
    </row>
    <row r="2" spans="1:46" s="609" customFormat="1" ht="15" x14ac:dyDescent="0.2">
      <c r="A2" s="1034" t="str">
        <f>GType</f>
        <v>Fixed Wheel (cantilevered)</v>
      </c>
      <c r="B2" s="1035"/>
      <c r="C2" s="1035"/>
      <c r="D2" s="1035"/>
      <c r="E2" s="1035"/>
      <c r="F2" s="1035"/>
      <c r="G2" s="1035"/>
      <c r="H2" s="1036"/>
      <c r="I2" s="456"/>
      <c r="J2" s="456"/>
      <c r="K2" s="456"/>
      <c r="L2" s="456"/>
      <c r="M2" s="456"/>
      <c r="N2" s="456"/>
      <c r="O2" s="456"/>
      <c r="P2" s="456"/>
      <c r="Q2" s="456"/>
      <c r="R2" s="456"/>
      <c r="S2" s="456"/>
      <c r="T2" s="456"/>
      <c r="U2" s="456"/>
    </row>
    <row r="3" spans="1:46" ht="15" x14ac:dyDescent="0.2">
      <c r="A3" s="439"/>
      <c r="B3" s="440"/>
      <c r="C3" s="440"/>
      <c r="D3" s="440"/>
      <c r="E3" s="440"/>
      <c r="F3" s="440"/>
      <c r="G3" s="440"/>
      <c r="H3" s="440"/>
      <c r="I3" s="439"/>
      <c r="J3" s="439"/>
      <c r="K3" s="441">
        <f>MAX(H:H)</f>
        <v>28.791599356766948</v>
      </c>
      <c r="L3" s="260" t="s">
        <v>138</v>
      </c>
      <c r="M3" s="439"/>
      <c r="N3" s="225">
        <v>18</v>
      </c>
      <c r="O3" s="226" t="s">
        <v>16</v>
      </c>
    </row>
    <row r="4" spans="1:46" ht="15" x14ac:dyDescent="0.2">
      <c r="A4" s="439"/>
      <c r="B4" s="440"/>
      <c r="C4" s="440"/>
      <c r="D4" s="442" t="s">
        <v>133</v>
      </c>
      <c r="E4" s="1124">
        <v>2</v>
      </c>
      <c r="F4" s="1125"/>
      <c r="I4" s="439"/>
      <c r="J4" s="439"/>
      <c r="K4" s="443">
        <f>MAX(N:N)*Lse/2</f>
        <v>159.57212801522215</v>
      </c>
      <c r="L4" s="260" t="s">
        <v>139</v>
      </c>
      <c r="N4" s="225">
        <v>3</v>
      </c>
      <c r="O4" s="226" t="s">
        <v>17</v>
      </c>
    </row>
    <row r="5" spans="1:46" ht="15" x14ac:dyDescent="0.2">
      <c r="A5" s="439"/>
      <c r="B5" s="440"/>
      <c r="C5" s="440"/>
      <c r="D5" s="442" t="s">
        <v>134</v>
      </c>
      <c r="E5" s="1126" t="s">
        <v>135</v>
      </c>
      <c r="F5" s="1125"/>
      <c r="G5" s="373"/>
      <c r="H5" s="338"/>
      <c r="I5" s="439"/>
      <c r="J5" s="439"/>
      <c r="K5" s="259">
        <f>MAX(D:D)</f>
        <v>2</v>
      </c>
      <c r="L5" s="260" t="s">
        <v>140</v>
      </c>
    </row>
    <row r="6" spans="1:46" ht="15" x14ac:dyDescent="0.2">
      <c r="A6" s="439"/>
      <c r="B6" s="440"/>
      <c r="C6" s="440"/>
      <c r="D6" s="442" t="s">
        <v>2</v>
      </c>
      <c r="E6" s="1127">
        <v>0</v>
      </c>
      <c r="F6" s="1128"/>
      <c r="I6" s="439"/>
      <c r="J6" s="439"/>
      <c r="K6" s="197" t="s">
        <v>135</v>
      </c>
      <c r="L6" s="439"/>
    </row>
    <row r="7" spans="1:46" ht="15" x14ac:dyDescent="0.2">
      <c r="A7" s="439"/>
      <c r="B7" s="440"/>
      <c r="C7" s="440"/>
      <c r="D7" s="442" t="s">
        <v>7</v>
      </c>
      <c r="E7" s="1126" t="s">
        <v>1352</v>
      </c>
      <c r="F7" s="1125"/>
      <c r="I7" s="439"/>
      <c r="J7" s="439"/>
      <c r="K7" s="197" t="s">
        <v>10</v>
      </c>
      <c r="L7" s="260"/>
    </row>
    <row r="8" spans="1:46" ht="15" x14ac:dyDescent="0.2">
      <c r="A8" s="439"/>
      <c r="B8" s="444"/>
      <c r="C8" s="444"/>
      <c r="D8" s="444"/>
      <c r="E8" s="444"/>
      <c r="F8" s="444"/>
      <c r="G8" s="444"/>
      <c r="H8" s="444"/>
      <c r="I8" s="439"/>
      <c r="J8" s="439"/>
      <c r="K8" s="439"/>
      <c r="L8" s="439"/>
      <c r="M8" s="439"/>
      <c r="N8" s="439"/>
      <c r="O8" s="439"/>
      <c r="P8" s="439"/>
      <c r="Q8" s="439"/>
      <c r="R8" s="439"/>
      <c r="S8" s="439"/>
      <c r="T8" s="439"/>
      <c r="U8" s="439"/>
    </row>
    <row r="9" spans="1:46" ht="51" customHeight="1" x14ac:dyDescent="0.2">
      <c r="A9" s="439"/>
      <c r="B9" s="1130" t="s">
        <v>794</v>
      </c>
      <c r="C9" s="1131"/>
      <c r="D9" s="376" t="s">
        <v>910</v>
      </c>
      <c r="E9" s="376" t="s">
        <v>19</v>
      </c>
      <c r="F9" s="445" t="s">
        <v>662</v>
      </c>
      <c r="G9" s="376" t="s">
        <v>136</v>
      </c>
      <c r="H9" s="376" t="s">
        <v>911</v>
      </c>
      <c r="I9" s="439"/>
      <c r="J9" s="446" t="s">
        <v>794</v>
      </c>
      <c r="K9" s="446" t="s">
        <v>24</v>
      </c>
      <c r="L9" s="446" t="s">
        <v>25</v>
      </c>
      <c r="M9" s="446" t="s">
        <v>24</v>
      </c>
      <c r="N9" s="446" t="s">
        <v>136</v>
      </c>
      <c r="O9" s="446" t="s">
        <v>666</v>
      </c>
      <c r="P9" s="446" t="s">
        <v>667</v>
      </c>
      <c r="Q9" s="446" t="s">
        <v>141</v>
      </c>
      <c r="R9" s="446" t="s">
        <v>142</v>
      </c>
      <c r="S9" s="446" t="s">
        <v>143</v>
      </c>
      <c r="T9" s="446" t="s">
        <v>144</v>
      </c>
      <c r="U9" s="446" t="s">
        <v>145</v>
      </c>
      <c r="V9" s="446" t="s">
        <v>146</v>
      </c>
      <c r="W9" s="446" t="s">
        <v>147</v>
      </c>
      <c r="X9" s="446" t="s">
        <v>148</v>
      </c>
      <c r="Y9" s="446" t="s">
        <v>149</v>
      </c>
      <c r="Z9" s="446" t="s">
        <v>150</v>
      </c>
    </row>
    <row r="10" spans="1:46" ht="22.5" customHeight="1" x14ac:dyDescent="0.2">
      <c r="A10" s="439"/>
      <c r="B10" s="447"/>
      <c r="C10" s="447"/>
      <c r="D10" s="447"/>
      <c r="E10" s="447"/>
      <c r="F10" s="439"/>
      <c r="G10" s="447"/>
      <c r="H10" s="447"/>
      <c r="I10" s="439"/>
      <c r="J10" s="439"/>
      <c r="K10" s="438"/>
      <c r="L10" s="438"/>
      <c r="M10" s="438"/>
      <c r="N10" s="438"/>
      <c r="O10" s="438"/>
      <c r="P10" s="438"/>
      <c r="Q10" s="438"/>
      <c r="R10" s="438"/>
      <c r="S10" s="438"/>
      <c r="T10" s="438"/>
      <c r="U10" s="438"/>
      <c r="V10" s="438"/>
      <c r="W10" s="438"/>
      <c r="X10" s="438"/>
      <c r="Y10" s="438"/>
      <c r="Z10" s="438"/>
    </row>
    <row r="11" spans="1:46" x14ac:dyDescent="0.2">
      <c r="A11" s="343"/>
      <c r="B11" s="343"/>
      <c r="C11" s="343"/>
      <c r="D11" s="343"/>
      <c r="E11" s="343"/>
      <c r="F11" s="439"/>
      <c r="G11" s="343"/>
      <c r="H11" s="415"/>
      <c r="I11" s="439"/>
      <c r="J11" s="439"/>
      <c r="M11" s="448"/>
      <c r="N11" s="448"/>
      <c r="O11" s="438"/>
      <c r="P11" s="438"/>
      <c r="Q11" s="438"/>
      <c r="R11" s="438"/>
      <c r="S11" s="438"/>
      <c r="T11" s="438"/>
      <c r="U11" s="438"/>
      <c r="V11" s="438"/>
      <c r="W11" s="438"/>
      <c r="X11" s="438"/>
      <c r="Y11" s="438"/>
      <c r="Z11" s="438"/>
    </row>
    <row r="12" spans="1:46" x14ac:dyDescent="0.2">
      <c r="A12" s="343"/>
      <c r="B12" s="416">
        <f>D</f>
        <v>2.9</v>
      </c>
      <c r="C12" s="343"/>
      <c r="D12" s="343"/>
      <c r="E12" s="343"/>
      <c r="F12" s="439"/>
      <c r="G12" s="362">
        <f>SUM(M:M)*Lse/2</f>
        <v>318.59864107120666</v>
      </c>
      <c r="H12" s="415"/>
      <c r="I12" s="439"/>
      <c r="J12" s="439"/>
      <c r="K12" s="449"/>
      <c r="L12" s="450"/>
      <c r="M12" s="448"/>
      <c r="N12" s="448"/>
      <c r="O12" s="438"/>
      <c r="P12" s="438"/>
      <c r="Q12" s="438"/>
      <c r="R12" s="438"/>
      <c r="S12" s="438"/>
      <c r="T12" s="438"/>
      <c r="U12" s="438"/>
      <c r="V12" s="438"/>
      <c r="W12" s="438"/>
      <c r="X12" s="438"/>
      <c r="Y12" s="438"/>
      <c r="Z12" s="438"/>
    </row>
    <row r="13" spans="1:46" x14ac:dyDescent="0.2">
      <c r="A13" s="343"/>
      <c r="B13" s="417"/>
      <c r="C13" s="418"/>
      <c r="D13" s="1133" t="s">
        <v>22</v>
      </c>
      <c r="E13" s="1135">
        <f>E16-B15</f>
        <v>4.6299999999999724</v>
      </c>
      <c r="F13" s="1129">
        <f>(E13+7/8*Alp*IF($E$7="Included",1,0)*SQRT(Hp*E13))*Rw</f>
        <v>46.636699647794146</v>
      </c>
      <c r="G13" s="1137"/>
      <c r="H13" s="1136"/>
      <c r="I13" s="439"/>
      <c r="J13" s="439"/>
      <c r="K13" s="449"/>
      <c r="L13" s="450"/>
      <c r="M13" s="448"/>
      <c r="N13" s="448"/>
      <c r="O13" s="438"/>
      <c r="P13" s="438"/>
      <c r="Q13" s="438"/>
      <c r="R13" s="438"/>
      <c r="S13" s="438"/>
      <c r="T13" s="438"/>
      <c r="U13" s="438"/>
      <c r="V13" s="438"/>
      <c r="W13" s="438"/>
      <c r="X13" s="438"/>
      <c r="Y13" s="438"/>
      <c r="Z13" s="438"/>
    </row>
    <row r="14" spans="1:46" ht="15" x14ac:dyDescent="0.25">
      <c r="A14" s="451"/>
      <c r="B14" s="452"/>
      <c r="C14" s="419"/>
      <c r="D14" s="1134"/>
      <c r="E14" s="1135"/>
      <c r="F14" s="1129"/>
      <c r="G14" s="1137"/>
      <c r="H14" s="1136"/>
      <c r="I14" s="439"/>
      <c r="J14" s="439"/>
      <c r="K14" s="438"/>
      <c r="L14" s="450"/>
      <c r="M14" s="438"/>
      <c r="N14" s="438"/>
      <c r="O14" s="438"/>
      <c r="P14" s="438"/>
      <c r="Q14" s="438"/>
      <c r="R14" s="438"/>
      <c r="S14" s="438"/>
      <c r="T14" s="438"/>
      <c r="U14" s="438"/>
      <c r="V14" s="438"/>
      <c r="W14" s="438"/>
      <c r="X14" s="438"/>
      <c r="Y14" s="438"/>
      <c r="Z14" s="438"/>
    </row>
    <row r="15" spans="1:46" ht="15" x14ac:dyDescent="0.25">
      <c r="A15" s="451"/>
      <c r="B15" s="420">
        <f>D-SUM(J:J)</f>
        <v>0.80550475617887241</v>
      </c>
      <c r="C15" s="419"/>
      <c r="D15" s="418"/>
      <c r="E15" s="420"/>
      <c r="F15" s="421"/>
      <c r="G15" s="453"/>
      <c r="H15" s="422"/>
      <c r="I15" s="439"/>
      <c r="J15" s="439"/>
      <c r="K15" s="438"/>
      <c r="L15" s="438"/>
      <c r="M15" s="438"/>
      <c r="N15" s="438"/>
      <c r="O15" s="438"/>
      <c r="P15" s="438"/>
      <c r="Q15" s="438"/>
      <c r="R15" s="438"/>
      <c r="S15" s="438"/>
      <c r="T15" s="438"/>
      <c r="U15" s="438"/>
      <c r="V15" s="438"/>
      <c r="W15" s="438"/>
      <c r="X15" s="438"/>
      <c r="Y15" s="438"/>
      <c r="Z15" s="438"/>
      <c r="AB15" s="249" t="s">
        <v>912</v>
      </c>
    </row>
    <row r="16" spans="1:46" x14ac:dyDescent="0.2">
      <c r="A16" s="423"/>
      <c r="B16" s="1132" t="s">
        <v>137</v>
      </c>
      <c r="C16" s="419"/>
      <c r="D16" s="1134">
        <f>(ROW()-WSref+5)/WSrow</f>
        <v>1</v>
      </c>
      <c r="E16" s="1135">
        <f>E19-B18</f>
        <v>5.4355047561788448</v>
      </c>
      <c r="F16" s="1129">
        <f>(E16+7/8*Alp*IF($E$7="Included",1,0)*SQRT(Hp*E16))*Rw</f>
        <v>54.640272281520893</v>
      </c>
      <c r="G16" s="1137">
        <f>+N16*Lse/2</f>
        <v>159.57212801522215</v>
      </c>
      <c r="H16" s="1136">
        <f>O16*Lse/2</f>
        <v>28.791599356766948</v>
      </c>
      <c r="I16" s="439"/>
      <c r="J16" s="439"/>
      <c r="K16" s="424">
        <f>(F13+F16)*B15/2</f>
        <v>40.789541290228705</v>
      </c>
      <c r="L16" s="438"/>
      <c r="M16" s="424">
        <f>+K16</f>
        <v>40.789541290228705</v>
      </c>
      <c r="N16" s="1140">
        <f>M16+M17</f>
        <v>88.65118223067897</v>
      </c>
      <c r="O16" s="1140">
        <f>Z16</f>
        <v>15.995332975981638</v>
      </c>
      <c r="P16" s="1140">
        <f>Z16</f>
        <v>15.995332975981638</v>
      </c>
      <c r="Q16" s="1140">
        <f>Z16</f>
        <v>15.995332975981638</v>
      </c>
      <c r="R16" s="1140">
        <f>Z16</f>
        <v>15.995332975981638</v>
      </c>
      <c r="S16" s="1140">
        <f>Z16</f>
        <v>15.995332975981638</v>
      </c>
      <c r="T16" s="1140">
        <f>Z16</f>
        <v>15.995332975981638</v>
      </c>
      <c r="U16" s="1140">
        <f>Z16</f>
        <v>15.995332975981638</v>
      </c>
      <c r="V16" s="1140">
        <f>Z16</f>
        <v>15.995332975981638</v>
      </c>
      <c r="W16" s="1140">
        <f>Z16</f>
        <v>15.995332975981638</v>
      </c>
      <c r="X16" s="1140">
        <f>Z16</f>
        <v>15.995332975981638</v>
      </c>
      <c r="Y16" s="1140">
        <f>Z16</f>
        <v>15.995332975981638</v>
      </c>
      <c r="Z16" s="1140">
        <f>B15^2*(2*F13+F16)/6</f>
        <v>15.995332975981638</v>
      </c>
      <c r="AB16" s="1142" t="e">
        <f>AI16*Lse/2</f>
        <v>#DIV/0!</v>
      </c>
      <c r="AC16" s="439"/>
      <c r="AD16" s="439"/>
      <c r="AE16" s="424">
        <f>(Z13+2*Z16)*V15/6</f>
        <v>0</v>
      </c>
      <c r="AF16" s="425">
        <f>(7*Z13+8*Z16)*V15^3/360</f>
        <v>0</v>
      </c>
      <c r="AG16" s="424" t="e">
        <f>AE16+(AI16-AI13)/V15</f>
        <v>#DIV/0!</v>
      </c>
      <c r="AH16" s="1140" t="e">
        <f>AG16+AG17</f>
        <v>#DIV/0!</v>
      </c>
      <c r="AI16" s="1140" t="e">
        <f>(6*(AF16-AF17)-AI13*V15-AJ19*V18)/2/(V15+V18)</f>
        <v>#DIV/0!</v>
      </c>
      <c r="AJ16" s="1140" t="e">
        <f>(6*(AF16-AF17)-AJ13*V15-AK19*V18)/2/(V15+V18)</f>
        <v>#DIV/0!</v>
      </c>
      <c r="AK16" s="1140" t="e">
        <f>(6*(AF16-AF17)-AK13*V15-AL19*V18)/2/(V15+V18)</f>
        <v>#DIV/0!</v>
      </c>
      <c r="AL16" s="1140" t="e">
        <f>(6*(AF16-AF17)-AL13*V15-AM19*V18)/2/(V15+V18)</f>
        <v>#DIV/0!</v>
      </c>
      <c r="AM16" s="1140" t="e">
        <f>(6*(AF16-AF17)-AM13*V15-AN19*V18)/2/(V15+V18)</f>
        <v>#DIV/0!</v>
      </c>
      <c r="AN16" s="1140" t="e">
        <f>(6*(AF16-AF17)-AN13*V15-AO19*V18)/2/(V15+V18)</f>
        <v>#DIV/0!</v>
      </c>
      <c r="AO16" s="1140" t="e">
        <f>(6*(AF16-AF17)-AO13*V15-AP19*V18)/2/(V15+V18)</f>
        <v>#DIV/0!</v>
      </c>
      <c r="AP16" s="1140" t="e">
        <f>(6*(AF16-AF17)-AP13*V15-AQ19*V18)/2/(V15+V18)</f>
        <v>#DIV/0!</v>
      </c>
      <c r="AQ16" s="1140" t="e">
        <f>(6*(AF16-AF17)-AQ13*V15-AR19*V18)/2/(V15+V18)</f>
        <v>#DIV/0!</v>
      </c>
      <c r="AR16" s="1140" t="e">
        <f>(6*(AF16-AF17)-AR13*V15-AS19*V18)/2/(V15+V18)</f>
        <v>#DIV/0!</v>
      </c>
      <c r="AS16" s="1140" t="e">
        <f>(6*(AF16-AF17)-AS13*V15-AT19*V18)/2/(V15+V18)</f>
        <v>#DIV/0!</v>
      </c>
      <c r="AT16" s="1140" t="e">
        <f>(6*(AF16-AF17)-AT13*V15)/2/(V15+V18)</f>
        <v>#DIV/0!</v>
      </c>
    </row>
    <row r="17" spans="1:46" x14ac:dyDescent="0.2">
      <c r="A17" s="423"/>
      <c r="B17" s="1044"/>
      <c r="C17" s="419"/>
      <c r="D17" s="1134"/>
      <c r="E17" s="1135"/>
      <c r="F17" s="1129"/>
      <c r="G17" s="1137"/>
      <c r="H17" s="1136"/>
      <c r="I17" s="439"/>
      <c r="J17" s="439"/>
      <c r="K17" s="424">
        <f>(2*F16+F19)*B18/6</f>
        <v>45.332642945088175</v>
      </c>
      <c r="L17" s="425">
        <f>-(8*F16+7*F19)*B18^3/360</f>
        <v>-9.016547795235212</v>
      </c>
      <c r="M17" s="424">
        <f>K17-(O19-O16)/B18</f>
        <v>47.861640940450265</v>
      </c>
      <c r="N17" s="1141"/>
      <c r="O17" s="1141"/>
      <c r="P17" s="1141"/>
      <c r="Q17" s="1141"/>
      <c r="R17" s="1141"/>
      <c r="S17" s="1141"/>
      <c r="T17" s="1141"/>
      <c r="U17" s="1141"/>
      <c r="V17" s="1141"/>
      <c r="W17" s="1141"/>
      <c r="X17" s="1141"/>
      <c r="Y17" s="1141"/>
      <c r="Z17" s="1141"/>
      <c r="AB17" s="1142"/>
      <c r="AC17" s="439"/>
      <c r="AD17" s="439"/>
      <c r="AE17" s="424">
        <f>(2*Z16+Z19)*V18/6</f>
        <v>0</v>
      </c>
      <c r="AF17" s="425">
        <f>-(8*Z16+7*Z19)*V18^3/360</f>
        <v>0</v>
      </c>
      <c r="AG17" s="424" t="e">
        <f>AE17-(AI19-AI16)/V18</f>
        <v>#DIV/0!</v>
      </c>
      <c r="AH17" s="1141"/>
      <c r="AI17" s="1141"/>
      <c r="AJ17" s="1141"/>
      <c r="AK17" s="1141"/>
      <c r="AL17" s="1141"/>
      <c r="AM17" s="1141"/>
      <c r="AN17" s="1141"/>
      <c r="AO17" s="1141"/>
      <c r="AP17" s="1141"/>
      <c r="AQ17" s="1141"/>
      <c r="AR17" s="1141"/>
      <c r="AS17" s="1141"/>
      <c r="AT17" s="1141"/>
    </row>
    <row r="18" spans="1:46" x14ac:dyDescent="0.2">
      <c r="A18" s="426"/>
      <c r="B18" s="427">
        <v>1.5195276607652681</v>
      </c>
      <c r="C18" s="428"/>
      <c r="D18" s="429"/>
      <c r="E18" s="454"/>
      <c r="F18" s="455"/>
      <c r="G18" s="430"/>
      <c r="H18" s="422"/>
      <c r="I18" s="439"/>
      <c r="J18" s="431">
        <f>+B18</f>
        <v>1.5195276607652681</v>
      </c>
      <c r="K18" s="456"/>
      <c r="L18" s="456"/>
      <c r="M18" s="456"/>
      <c r="N18" s="456"/>
      <c r="O18" s="456"/>
      <c r="P18" s="456"/>
      <c r="Q18" s="456"/>
      <c r="R18" s="456"/>
      <c r="S18" s="456"/>
      <c r="T18" s="456"/>
      <c r="U18" s="456"/>
      <c r="V18" s="456"/>
      <c r="W18" s="456"/>
      <c r="X18" s="456"/>
      <c r="Y18" s="456"/>
      <c r="Z18" s="456"/>
    </row>
    <row r="19" spans="1:46" ht="12.75" customHeight="1" x14ac:dyDescent="0.2">
      <c r="A19" s="423"/>
      <c r="B19" s="1138" t="s">
        <v>137</v>
      </c>
      <c r="C19" s="419"/>
      <c r="D19" s="1134">
        <f>(ROW()-WSref+5)/WSrow</f>
        <v>2</v>
      </c>
      <c r="E19" s="1135">
        <f>E22-B21</f>
        <v>6.9550324169441131</v>
      </c>
      <c r="F19" s="1129">
        <f>(E19+7/8*Alp*IF($E$7="Included",1,0)*SQRT(Hp*E19))*Rw</f>
        <v>69.719722884242358</v>
      </c>
      <c r="G19" s="1137">
        <f>+N19*Lse/2</f>
        <v>159.02651305598448</v>
      </c>
      <c r="H19" s="1136">
        <f>O19*Lse/2</f>
        <v>21.874411022416243</v>
      </c>
      <c r="I19" s="439"/>
      <c r="J19" s="439"/>
      <c r="K19" s="424">
        <f>(F16+2*F19)*B18/6</f>
        <v>49.151583328417978</v>
      </c>
      <c r="L19" s="425">
        <f>(7*F16+8*F19)*B18^3/360</f>
        <v>9.1635110794705099</v>
      </c>
      <c r="M19" s="424">
        <f>K19+(O19-O16)/B18</f>
        <v>46.622585333055888</v>
      </c>
      <c r="N19" s="1140">
        <f>M19+M20</f>
        <v>88.348062808880258</v>
      </c>
      <c r="O19" s="1140">
        <f>Z19</f>
        <v>12.152450568009025</v>
      </c>
      <c r="P19" s="1140">
        <f>Z19</f>
        <v>12.152450568009025</v>
      </c>
      <c r="Q19" s="1140">
        <f>Z19</f>
        <v>12.152450568009025</v>
      </c>
      <c r="R19" s="1140">
        <f>Z19</f>
        <v>12.152450568009025</v>
      </c>
      <c r="S19" s="1140">
        <f>Z19</f>
        <v>12.152450568009025</v>
      </c>
      <c r="T19" s="1140">
        <f>Z19</f>
        <v>12.152450568009025</v>
      </c>
      <c r="U19" s="1140">
        <f>Z19</f>
        <v>12.152450568009025</v>
      </c>
      <c r="V19" s="1140">
        <f>Z19</f>
        <v>12.152450568009025</v>
      </c>
      <c r="W19" s="1140">
        <f>Z19</f>
        <v>12.152450568009025</v>
      </c>
      <c r="X19" s="1140">
        <f>Z19</f>
        <v>12.152450568009025</v>
      </c>
      <c r="Y19" s="1140">
        <f>Z19</f>
        <v>12.152450568009025</v>
      </c>
      <c r="Z19" s="1140">
        <f>B21^2*(F19+2*F22)/6</f>
        <v>12.152450568009025</v>
      </c>
    </row>
    <row r="20" spans="1:46" ht="12.75" customHeight="1" x14ac:dyDescent="0.2">
      <c r="A20" s="423"/>
      <c r="B20" s="1139"/>
      <c r="C20" s="419"/>
      <c r="D20" s="1134"/>
      <c r="E20" s="1135"/>
      <c r="F20" s="1129"/>
      <c r="G20" s="1137"/>
      <c r="H20" s="1136"/>
      <c r="I20" s="439"/>
      <c r="J20" s="439"/>
      <c r="K20" s="424">
        <f>(F19+F22)*B21/2</f>
        <v>41.725477475824377</v>
      </c>
      <c r="L20" s="457"/>
      <c r="M20" s="424">
        <f>K20</f>
        <v>41.725477475824377</v>
      </c>
      <c r="N20" s="1141"/>
      <c r="O20" s="1141"/>
      <c r="P20" s="1141"/>
      <c r="Q20" s="1141"/>
      <c r="R20" s="1141"/>
      <c r="S20" s="1141"/>
      <c r="T20" s="1141"/>
      <c r="U20" s="1141"/>
      <c r="V20" s="1141"/>
      <c r="W20" s="1141"/>
      <c r="X20" s="1141"/>
      <c r="Y20" s="1141"/>
      <c r="Z20" s="1141"/>
    </row>
    <row r="21" spans="1:46" ht="15" x14ac:dyDescent="0.2">
      <c r="A21" s="423"/>
      <c r="B21" s="427">
        <v>0.57496758305585938</v>
      </c>
      <c r="C21" s="458"/>
      <c r="D21" s="459"/>
      <c r="E21" s="420"/>
      <c r="F21" s="421"/>
      <c r="G21" s="432"/>
      <c r="H21" s="433"/>
      <c r="I21" s="439"/>
      <c r="J21" s="431">
        <f>+B21</f>
        <v>0.57496758305585938</v>
      </c>
      <c r="K21" s="434"/>
      <c r="L21" s="435"/>
      <c r="M21" s="434"/>
      <c r="N21" s="436"/>
      <c r="O21" s="437"/>
      <c r="P21" s="437"/>
      <c r="Q21" s="437"/>
      <c r="R21" s="437"/>
      <c r="S21" s="437"/>
      <c r="T21" s="437"/>
      <c r="U21" s="437"/>
    </row>
    <row r="22" spans="1:46" ht="12.75" customHeight="1" x14ac:dyDescent="0.25">
      <c r="A22" s="451"/>
      <c r="B22" s="452"/>
      <c r="C22" s="428"/>
      <c r="D22" s="1134" t="s">
        <v>23</v>
      </c>
      <c r="E22" s="1135">
        <f>HB</f>
        <v>7.5299999999999727</v>
      </c>
      <c r="F22" s="1129">
        <f>(E22+7/8*Alp*IF($E$7="Included",1,0)*SQRT(Hp*E22))*Rw</f>
        <v>75.420555299999734</v>
      </c>
      <c r="G22" s="1137"/>
      <c r="H22" s="1136"/>
      <c r="I22" s="439"/>
      <c r="J22" s="439"/>
      <c r="K22" s="438"/>
      <c r="L22" s="438"/>
      <c r="M22" s="438"/>
      <c r="N22" s="438"/>
      <c r="O22" s="438"/>
      <c r="P22" s="438"/>
      <c r="Q22" s="438"/>
      <c r="R22" s="438"/>
      <c r="S22" s="438"/>
      <c r="T22" s="438"/>
      <c r="U22" s="438"/>
    </row>
    <row r="23" spans="1:46" ht="12.75" customHeight="1" x14ac:dyDescent="0.25">
      <c r="A23" s="451"/>
      <c r="B23" s="454"/>
      <c r="C23" s="429"/>
      <c r="D23" s="1133"/>
      <c r="E23" s="1135"/>
      <c r="F23" s="1129"/>
      <c r="G23" s="1137"/>
      <c r="H23" s="1136"/>
      <c r="I23" s="439"/>
      <c r="J23" s="439"/>
      <c r="K23" s="438"/>
      <c r="L23" s="438"/>
      <c r="M23" s="438"/>
      <c r="N23" s="438"/>
      <c r="O23" s="438"/>
      <c r="P23" s="438"/>
      <c r="Q23" s="438"/>
      <c r="R23" s="438"/>
      <c r="S23" s="438"/>
      <c r="T23" s="438"/>
      <c r="U23" s="438"/>
    </row>
    <row r="24" spans="1:46" x14ac:dyDescent="0.2">
      <c r="B24" s="417"/>
      <c r="E24" s="417"/>
      <c r="F24" s="373"/>
      <c r="G24" s="338"/>
      <c r="H24" s="339"/>
    </row>
    <row r="25" spans="1:46" x14ac:dyDescent="0.2">
      <c r="B25" s="417"/>
      <c r="E25" s="417"/>
      <c r="F25" s="373"/>
      <c r="G25" s="338"/>
      <c r="H25" s="339"/>
    </row>
    <row r="26" spans="1:46" x14ac:dyDescent="0.2">
      <c r="B26" s="417"/>
      <c r="E26" s="417"/>
      <c r="F26" s="373"/>
      <c r="G26" s="338"/>
      <c r="H26" s="339"/>
    </row>
    <row r="27" spans="1:46" x14ac:dyDescent="0.2">
      <c r="B27" s="417"/>
      <c r="E27" s="417"/>
      <c r="F27" s="373"/>
      <c r="G27" s="338"/>
      <c r="H27" s="339"/>
    </row>
    <row r="28" spans="1:46" x14ac:dyDescent="0.2">
      <c r="B28" s="417"/>
      <c r="E28" s="417"/>
      <c r="F28" s="373"/>
      <c r="G28" s="338"/>
      <c r="H28" s="339"/>
    </row>
    <row r="29" spans="1:46" x14ac:dyDescent="0.2">
      <c r="B29" s="417"/>
      <c r="E29" s="417"/>
      <c r="F29" s="373"/>
      <c r="G29" s="338"/>
      <c r="H29" s="339"/>
    </row>
    <row r="30" spans="1:46" x14ac:dyDescent="0.2">
      <c r="B30" s="417"/>
      <c r="E30" s="417"/>
      <c r="F30" s="373"/>
      <c r="G30" s="338"/>
      <c r="H30" s="339"/>
    </row>
    <row r="31" spans="1:46" x14ac:dyDescent="0.2">
      <c r="B31" s="417"/>
      <c r="E31" s="417"/>
      <c r="F31" s="373"/>
      <c r="G31" s="338"/>
      <c r="H31" s="339"/>
    </row>
    <row r="32" spans="1:46" x14ac:dyDescent="0.2">
      <c r="B32" s="417"/>
      <c r="E32" s="417"/>
      <c r="F32" s="373"/>
      <c r="G32" s="338"/>
      <c r="H32" s="339"/>
    </row>
    <row r="33" spans="2:8" x14ac:dyDescent="0.2">
      <c r="B33" s="417"/>
      <c r="E33" s="417"/>
      <c r="F33" s="373"/>
      <c r="G33" s="338"/>
      <c r="H33" s="339"/>
    </row>
    <row r="34" spans="2:8" x14ac:dyDescent="0.2">
      <c r="B34" s="417"/>
      <c r="E34" s="417"/>
      <c r="F34" s="373"/>
      <c r="G34" s="338"/>
      <c r="H34" s="339"/>
    </row>
    <row r="35" spans="2:8" x14ac:dyDescent="0.2">
      <c r="B35" s="417"/>
      <c r="E35" s="417"/>
      <c r="F35" s="373"/>
      <c r="G35" s="338"/>
      <c r="H35" s="339"/>
    </row>
    <row r="36" spans="2:8" x14ac:dyDescent="0.2">
      <c r="B36" s="417"/>
      <c r="E36" s="417"/>
      <c r="F36" s="373"/>
      <c r="G36" s="338"/>
      <c r="H36" s="339"/>
    </row>
    <row r="37" spans="2:8" x14ac:dyDescent="0.2">
      <c r="B37" s="417"/>
      <c r="E37" s="417"/>
      <c r="F37" s="373"/>
      <c r="G37" s="338"/>
      <c r="H37" s="339"/>
    </row>
    <row r="38" spans="2:8" x14ac:dyDescent="0.2">
      <c r="B38" s="417"/>
      <c r="E38" s="417"/>
      <c r="F38" s="373"/>
      <c r="G38" s="338"/>
      <c r="H38" s="339"/>
    </row>
    <row r="39" spans="2:8" x14ac:dyDescent="0.2">
      <c r="B39" s="417"/>
      <c r="E39" s="417"/>
      <c r="F39" s="373"/>
      <c r="G39" s="338"/>
      <c r="H39" s="339"/>
    </row>
    <row r="40" spans="2:8" x14ac:dyDescent="0.2">
      <c r="B40" s="417"/>
      <c r="E40" s="417"/>
      <c r="F40" s="373"/>
      <c r="G40" s="338"/>
      <c r="H40" s="339"/>
    </row>
    <row r="41" spans="2:8" x14ac:dyDescent="0.2">
      <c r="B41" s="417"/>
      <c r="E41" s="417"/>
      <c r="F41" s="373"/>
      <c r="G41" s="338"/>
      <c r="H41" s="339"/>
    </row>
    <row r="42" spans="2:8" x14ac:dyDescent="0.2">
      <c r="B42" s="417"/>
      <c r="E42" s="417"/>
      <c r="F42" s="373"/>
      <c r="G42" s="338"/>
      <c r="H42" s="339"/>
    </row>
    <row r="43" spans="2:8" x14ac:dyDescent="0.2">
      <c r="F43" s="373"/>
      <c r="G43" s="338"/>
      <c r="H43" s="339"/>
    </row>
    <row r="44" spans="2:8" x14ac:dyDescent="0.2">
      <c r="F44" s="373"/>
      <c r="G44" s="338"/>
      <c r="H44" s="339"/>
    </row>
    <row r="45" spans="2:8" x14ac:dyDescent="0.2">
      <c r="F45" s="373"/>
      <c r="G45" s="338"/>
      <c r="H45" s="339"/>
    </row>
    <row r="46" spans="2:8" x14ac:dyDescent="0.2">
      <c r="F46" s="373"/>
      <c r="G46" s="338"/>
      <c r="H46" s="339"/>
    </row>
    <row r="47" spans="2:8" x14ac:dyDescent="0.2">
      <c r="F47" s="373"/>
      <c r="G47" s="338"/>
      <c r="H47" s="339"/>
    </row>
    <row r="48" spans="2:8" x14ac:dyDescent="0.2">
      <c r="F48" s="373"/>
      <c r="G48" s="338"/>
      <c r="H48" s="339"/>
    </row>
    <row r="49" spans="6:8" x14ac:dyDescent="0.2">
      <c r="F49" s="373"/>
      <c r="G49" s="338"/>
      <c r="H49" s="339"/>
    </row>
    <row r="50" spans="6:8" x14ac:dyDescent="0.2">
      <c r="F50" s="373"/>
      <c r="G50" s="338"/>
      <c r="H50" s="339"/>
    </row>
    <row r="51" spans="6:8" x14ac:dyDescent="0.2">
      <c r="F51" s="373"/>
      <c r="G51" s="338"/>
      <c r="H51" s="339"/>
    </row>
    <row r="52" spans="6:8" x14ac:dyDescent="0.2">
      <c r="F52" s="373"/>
      <c r="G52" s="338"/>
      <c r="H52" s="339"/>
    </row>
    <row r="53" spans="6:8" x14ac:dyDescent="0.2">
      <c r="F53" s="373"/>
      <c r="G53" s="338"/>
      <c r="H53" s="339"/>
    </row>
    <row r="54" spans="6:8" x14ac:dyDescent="0.2">
      <c r="F54" s="373"/>
      <c r="G54" s="338"/>
      <c r="H54" s="339"/>
    </row>
    <row r="55" spans="6:8" x14ac:dyDescent="0.2">
      <c r="F55" s="373"/>
      <c r="G55" s="338"/>
      <c r="H55" s="339"/>
    </row>
    <row r="56" spans="6:8" x14ac:dyDescent="0.2">
      <c r="F56" s="373"/>
      <c r="G56" s="338"/>
      <c r="H56" s="339"/>
    </row>
    <row r="57" spans="6:8" x14ac:dyDescent="0.2">
      <c r="F57" s="373"/>
      <c r="G57" s="338"/>
      <c r="H57" s="339"/>
    </row>
    <row r="58" spans="6:8" x14ac:dyDescent="0.2">
      <c r="F58" s="373"/>
      <c r="G58" s="338"/>
      <c r="H58" s="339"/>
    </row>
    <row r="59" spans="6:8" x14ac:dyDescent="0.2">
      <c r="F59" s="373"/>
      <c r="G59" s="338"/>
      <c r="H59" s="339"/>
    </row>
    <row r="60" spans="6:8" x14ac:dyDescent="0.2">
      <c r="F60" s="373"/>
      <c r="G60" s="338"/>
      <c r="H60" s="339"/>
    </row>
    <row r="61" spans="6:8" x14ac:dyDescent="0.2">
      <c r="F61" s="373"/>
      <c r="G61" s="338"/>
      <c r="H61" s="339"/>
    </row>
    <row r="62" spans="6:8" x14ac:dyDescent="0.2">
      <c r="F62" s="373"/>
      <c r="G62" s="338"/>
      <c r="H62" s="339"/>
    </row>
    <row r="63" spans="6:8" x14ac:dyDescent="0.2">
      <c r="F63" s="373"/>
      <c r="G63" s="338"/>
      <c r="H63" s="339"/>
    </row>
    <row r="64" spans="6:8" x14ac:dyDescent="0.2">
      <c r="F64" s="373"/>
      <c r="H64" s="339"/>
    </row>
    <row r="65" spans="6:8" x14ac:dyDescent="0.2">
      <c r="F65" s="373"/>
      <c r="H65" s="339"/>
    </row>
  </sheetData>
  <sheetProtection algorithmName="SHA-512" hashValue="Dh6DQ7RMAtbmwiU+X+rF2jlMpB/7KoX2T1rHLxvid2D4N8VBBFLMgxCwNeRvs1O94xhgq5jQphI+R2s6T/esfA==" saltValue="ziAw5X0BdfHfkedDTBCJ8Q==" spinCount="100000" sheet="1" objects="1" scenarios="1" selectLockedCells="1"/>
  <mergeCells count="69">
    <mergeCell ref="AQ16:AQ17"/>
    <mergeCell ref="AR16:AR17"/>
    <mergeCell ref="AS16:AS17"/>
    <mergeCell ref="AT16:AT17"/>
    <mergeCell ref="G22:G23"/>
    <mergeCell ref="H22:H23"/>
    <mergeCell ref="AL16:AL17"/>
    <mergeCell ref="AM16:AM17"/>
    <mergeCell ref="AN16:AN17"/>
    <mergeCell ref="AO16:AO17"/>
    <mergeCell ref="AP16:AP17"/>
    <mergeCell ref="AB16:AB17"/>
    <mergeCell ref="AH16:AH17"/>
    <mergeCell ref="AI16:AI17"/>
    <mergeCell ref="AJ16:AJ17"/>
    <mergeCell ref="AK16:AK17"/>
    <mergeCell ref="W19:W20"/>
    <mergeCell ref="Z19:Z20"/>
    <mergeCell ref="X19:X20"/>
    <mergeCell ref="Y19:Y20"/>
    <mergeCell ref="N16:N17"/>
    <mergeCell ref="N19:N20"/>
    <mergeCell ref="O19:O20"/>
    <mergeCell ref="U19:U20"/>
    <mergeCell ref="V19:V20"/>
    <mergeCell ref="S19:S20"/>
    <mergeCell ref="X16:X17"/>
    <mergeCell ref="Y16:Y17"/>
    <mergeCell ref="Z16:Z17"/>
    <mergeCell ref="U16:U17"/>
    <mergeCell ref="V16:V17"/>
    <mergeCell ref="W16:W17"/>
    <mergeCell ref="T16:T17"/>
    <mergeCell ref="Q16:Q17"/>
    <mergeCell ref="R16:R17"/>
    <mergeCell ref="S16:S17"/>
    <mergeCell ref="O16:O17"/>
    <mergeCell ref="P16:P17"/>
    <mergeCell ref="T19:T20"/>
    <mergeCell ref="P19:P20"/>
    <mergeCell ref="Q19:Q20"/>
    <mergeCell ref="R19:R20"/>
    <mergeCell ref="E22:E23"/>
    <mergeCell ref="E19:E20"/>
    <mergeCell ref="G19:G20"/>
    <mergeCell ref="B19:B20"/>
    <mergeCell ref="D19:D20"/>
    <mergeCell ref="D22:D23"/>
    <mergeCell ref="F19:F20"/>
    <mergeCell ref="F22:F23"/>
    <mergeCell ref="H13:H14"/>
    <mergeCell ref="G13:G14"/>
    <mergeCell ref="G16:G17"/>
    <mergeCell ref="H16:H17"/>
    <mergeCell ref="H19:H20"/>
    <mergeCell ref="E7:F7"/>
    <mergeCell ref="F13:F14"/>
    <mergeCell ref="F16:F17"/>
    <mergeCell ref="B9:C9"/>
    <mergeCell ref="B16:B17"/>
    <mergeCell ref="D13:D14"/>
    <mergeCell ref="D16:D17"/>
    <mergeCell ref="E13:E14"/>
    <mergeCell ref="E16:E17"/>
    <mergeCell ref="A1:H1"/>
    <mergeCell ref="A2:H2"/>
    <mergeCell ref="E4:F4"/>
    <mergeCell ref="E5:F5"/>
    <mergeCell ref="E6:F6"/>
  </mergeCells>
  <conditionalFormatting sqref="G19:G20">
    <cfRule type="cellIs" priority="2" operator="lessThan">
      <formula>$K$4</formula>
    </cfRule>
    <cfRule type="cellIs" dxfId="216" priority="3" operator="greaterThan">
      <formula>$K$4-0.1</formula>
    </cfRule>
  </conditionalFormatting>
  <conditionalFormatting sqref="G16:G17">
    <cfRule type="cellIs" priority="4" operator="lessThan">
      <formula>$K$4</formula>
    </cfRule>
    <cfRule type="cellIs" dxfId="215" priority="5" operator="greaterThan">
      <formula>$K$4-0.1</formula>
    </cfRule>
  </conditionalFormatting>
  <dataValidations count="4">
    <dataValidation type="list" allowBlank="1" showInputMessage="1" showErrorMessage="1" sqref="E5:F5">
      <formula1>$K$6:$K$7</formula1>
    </dataValidation>
    <dataValidation type="list" allowBlank="1" showInputMessage="1" showErrorMessage="1" sqref="E7:F7">
      <formula1>"Included,Excluded"</formula1>
    </dataValidation>
    <dataValidation type="decimal" allowBlank="1" showInputMessage="1" showErrorMessage="1" errorTitle="Out of Range" error="Needs to be between zero and height of gate" sqref="B18 B21">
      <formula1>0</formula1>
      <formula2>D</formula2>
    </dataValidation>
    <dataValidation type="whole" allowBlank="1" showInputMessage="1" showErrorMessage="1" errorTitle="Number of Wheels" error="The number of beams must be in the range 2 to 99" sqref="E4:F4">
      <formula1>2</formula1>
      <formula2>99</formula2>
    </dataValidation>
  </dataValidations>
  <pageMargins left="0.7" right="0.7" top="0.75" bottom="0.75" header="0.3" footer="0.3"/>
  <pageSetup paperSize="9" scale="96" orientation="portrait" blackAndWhite="1" r:id="rId1"/>
  <headerFooter>
    <oddHeader>&amp;L
Summary&amp;C
&amp;R
Lower Likhu Hydropower Project (28.1 MW)</oddHeader>
    <oddFooter>Page &amp;P of &amp;N</oddFooter>
  </headerFooter>
  <colBreaks count="1" manualBreakCount="1">
    <brk id="8" max="1048575" man="1"/>
  </colBreaks>
  <extLst>
    <ext xmlns:x14="http://schemas.microsoft.com/office/spreadsheetml/2009/9/main" uri="{78C0D931-6437-407d-A8EE-F0AAD7539E65}">
      <x14:conditionalFormattings>
        <x14:conditionalFormatting xmlns:xm="http://schemas.microsoft.com/office/excel/2006/main">
          <x14:cfRule type="cellIs" priority="6" stopIfTrue="1" operator="greaterThan" id="{6487D504-9F2E-4D9E-A032-586A273402E2}">
            <xm:f>'C:\Users\gokarna.pyakurel\Desktop\[2.xlsm]Beam Spacing'!#REF!-0.001</xm:f>
            <x14:dxf>
              <border>
                <left style="thin">
                  <color indexed="64"/>
                </left>
                <right style="thin">
                  <color indexed="64"/>
                </right>
                <top style="thin">
                  <color indexed="64"/>
                </top>
                <bottom style="thin">
                  <color indexed="64"/>
                </bottom>
              </border>
            </x14:dxf>
          </x14:cfRule>
          <xm:sqref>G13:G14</xm:sqref>
        </x14:conditionalFormatting>
        <x14:conditionalFormatting xmlns:xm="http://schemas.microsoft.com/office/excel/2006/main">
          <x14:cfRule type="cellIs" priority="1" stopIfTrue="1" operator="greaterThan" id="{5A6DDFF5-987E-43D8-9F67-7F607BAB7512}">
            <xm:f>'C:\Users\gokarna.pyakurel\Desktop\[2.xlsm]Beam Spacing'!#REF!-0.001</xm:f>
            <x14:dxf>
              <border>
                <left style="thin">
                  <color indexed="64"/>
                </left>
                <right style="thin">
                  <color indexed="64"/>
                </right>
                <top style="thin">
                  <color indexed="64"/>
                </top>
                <bottom style="thin">
                  <color indexed="64"/>
                </bottom>
              </border>
            </x14:dxf>
          </x14:cfRule>
          <xm:sqref>G22:G23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'[2]Beam Spacing'!#REF!</xm:f>
          </x14:formula1>
          <xm:sqref>E6:F6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heelDesign">
    <pageSetUpPr fitToPage="1"/>
  </sheetPr>
  <dimension ref="A1:AA174"/>
  <sheetViews>
    <sheetView showGridLines="0" zoomScale="85" zoomScaleNormal="85" zoomScaleSheetLayoutView="89" zoomScalePageLayoutView="70" workbookViewId="0">
      <selection activeCell="C159" sqref="C159"/>
    </sheetView>
  </sheetViews>
  <sheetFormatPr defaultRowHeight="14.25" x14ac:dyDescent="0.2"/>
  <cols>
    <col min="1" max="1" width="45.140625" style="197" customWidth="1"/>
    <col min="2" max="2" width="8.28515625" style="197" bestFit="1" customWidth="1"/>
    <col min="3" max="3" width="20.5703125" style="197" bestFit="1" customWidth="1"/>
    <col min="4" max="4" width="18.85546875" style="197" bestFit="1" customWidth="1"/>
    <col min="5" max="5" width="52.28515625" style="197" customWidth="1"/>
    <col min="6" max="6" width="5.42578125" style="197" bestFit="1" customWidth="1"/>
    <col min="7" max="7" width="17.42578125" style="197" bestFit="1" customWidth="1"/>
    <col min="8" max="8" width="8" style="197" hidden="1" customWidth="1"/>
    <col min="9" max="9" width="25.42578125" style="197" hidden="1" customWidth="1"/>
    <col min="10" max="10" width="24.140625" style="197" hidden="1" customWidth="1"/>
    <col min="11" max="11" width="19.85546875" style="197" hidden="1" customWidth="1"/>
    <col min="12" max="12" width="15.5703125" style="197" hidden="1" customWidth="1"/>
    <col min="13" max="13" width="15" style="197" hidden="1" customWidth="1"/>
    <col min="14" max="14" width="14.28515625" style="197" hidden="1" customWidth="1"/>
    <col min="15" max="15" width="0" style="197" hidden="1" customWidth="1"/>
    <col min="16" max="16" width="9.140625" style="197"/>
    <col min="17" max="17" width="9.140625" style="197" hidden="1" customWidth="1"/>
    <col min="18" max="18" width="9.140625" style="197" customWidth="1"/>
    <col min="19" max="19" width="9.140625" style="197" hidden="1" customWidth="1"/>
    <col min="20" max="20" width="17.28515625" style="197" hidden="1" customWidth="1"/>
    <col min="21" max="21" width="14" style="197" hidden="1" customWidth="1"/>
    <col min="22" max="24" width="9.140625" style="197" hidden="1" customWidth="1"/>
    <col min="25" max="25" width="10.5703125" style="197" hidden="1" customWidth="1"/>
    <col min="26" max="26" width="12.85546875" style="197" hidden="1" customWidth="1"/>
    <col min="27" max="27" width="14.42578125" style="197" hidden="1" customWidth="1"/>
    <col min="28" max="16384" width="9.140625" style="197"/>
  </cols>
  <sheetData>
    <row r="1" spans="1:17" s="609" customFormat="1" ht="15" x14ac:dyDescent="0.2">
      <c r="A1" s="1034" t="str">
        <f>IF(GType="Bulkhead (no wheels)","WHEEL DESIGN - NOT APPLICABLE","WHEEL DESIGN")</f>
        <v>WHEEL DESIGN</v>
      </c>
      <c r="B1" s="1035"/>
      <c r="C1" s="1035"/>
      <c r="D1" s="1035"/>
      <c r="E1" s="1035"/>
      <c r="F1" s="1035"/>
      <c r="G1" s="1035"/>
      <c r="H1" s="1035"/>
      <c r="I1" s="1035"/>
      <c r="J1" s="1035"/>
      <c r="K1" s="1035"/>
      <c r="L1" s="1035"/>
      <c r="M1" s="1035"/>
      <c r="N1" s="1035"/>
      <c r="O1" s="1035"/>
      <c r="P1" s="1035"/>
      <c r="Q1" s="1036"/>
    </row>
    <row r="2" spans="1:17" s="609" customFormat="1" ht="15" x14ac:dyDescent="0.2">
      <c r="A2" s="1034" t="str">
        <f>GType&amp;" &amp; "&amp;SecProp!U6</f>
        <v>Fixed Wheel (cantilevered) &amp; Line Contact</v>
      </c>
      <c r="B2" s="1035"/>
      <c r="C2" s="1035"/>
      <c r="D2" s="1035"/>
      <c r="E2" s="1035"/>
      <c r="F2" s="1035"/>
      <c r="G2" s="1035"/>
      <c r="H2" s="1035"/>
      <c r="I2" s="1035"/>
      <c r="J2" s="1035"/>
      <c r="K2" s="1035"/>
      <c r="L2" s="1035"/>
      <c r="M2" s="1035"/>
      <c r="N2" s="1035"/>
      <c r="O2" s="1035"/>
      <c r="P2" s="1035"/>
      <c r="Q2" s="1036"/>
    </row>
    <row r="3" spans="1:17" hidden="1" x14ac:dyDescent="0.2">
      <c r="A3" s="1147" t="s">
        <v>378</v>
      </c>
      <c r="B3" s="1106"/>
      <c r="C3" s="1106"/>
      <c r="D3" s="1106"/>
      <c r="E3" s="1106"/>
      <c r="F3" s="1106"/>
      <c r="G3" s="1106"/>
    </row>
    <row r="4" spans="1:17" hidden="1" x14ac:dyDescent="0.2"/>
    <row r="5" spans="1:17" ht="15" hidden="1" x14ac:dyDescent="0.2">
      <c r="A5" s="460" t="s">
        <v>98</v>
      </c>
      <c r="B5" s="461"/>
      <c r="C5" s="462">
        <f>'Wheel Spacing'!$K$4</f>
        <v>159.57212801522215</v>
      </c>
      <c r="G5" s="463" t="s">
        <v>172</v>
      </c>
      <c r="I5" s="1144" t="s">
        <v>173</v>
      </c>
      <c r="J5" s="1146"/>
      <c r="K5" s="1144" t="s">
        <v>176</v>
      </c>
      <c r="L5" s="1145"/>
      <c r="M5" s="1145"/>
      <c r="N5" s="1146"/>
    </row>
    <row r="6" spans="1:17" ht="15" hidden="1" x14ac:dyDescent="0.25">
      <c r="A6" s="460" t="s">
        <v>99</v>
      </c>
      <c r="B6" s="461" t="s">
        <v>117</v>
      </c>
      <c r="C6" s="464">
        <v>561.74745596626349</v>
      </c>
      <c r="F6" s="465" t="s">
        <v>151</v>
      </c>
      <c r="G6" s="466">
        <f>1/2*(IF(C9=0,0,1/C9)+1/C8)</f>
        <v>0.55555555555555558</v>
      </c>
      <c r="I6" s="467" t="s">
        <v>174</v>
      </c>
      <c r="J6" s="467" t="s">
        <v>175</v>
      </c>
      <c r="K6" s="467" t="s">
        <v>75</v>
      </c>
      <c r="L6" s="467" t="s">
        <v>155</v>
      </c>
      <c r="M6" s="467" t="s">
        <v>159</v>
      </c>
      <c r="N6" s="467" t="s">
        <v>160</v>
      </c>
    </row>
    <row r="7" spans="1:17" hidden="1" x14ac:dyDescent="0.2">
      <c r="A7" s="460" t="s">
        <v>100</v>
      </c>
      <c r="B7" s="461" t="s">
        <v>118</v>
      </c>
      <c r="C7" s="468">
        <v>0.15</v>
      </c>
      <c r="F7" s="465" t="s">
        <v>152</v>
      </c>
      <c r="G7" s="466">
        <f>1/C7</f>
        <v>6.666666666666667</v>
      </c>
      <c r="I7" s="469">
        <v>4.8307665687738303E-2</v>
      </c>
      <c r="J7" s="469">
        <v>9.6540088514727701E-2</v>
      </c>
      <c r="K7" s="470">
        <f t="shared" ref="K7:K22" si="0">J7*(SQRT(1-$G$8^2*SIN(PI()/4*(1+I7))^2)+SQRT(1-$G$8^2*SIN(PI()/4*(1-I7))^2))</f>
        <v>0.13909810437984024</v>
      </c>
      <c r="L7" s="470">
        <f t="shared" ref="L7:L22" si="1">J7*(1/SQRT(1-$G$8^2*SIN(PI()/4*(1+I7))^2)+1/SQRT(1-$G$8^2*SIN(PI()/4*(1-I7))^2))</f>
        <v>0.2683422244526627</v>
      </c>
      <c r="M7" s="470">
        <f t="shared" ref="M7:M22" si="2">J7*(SQRT(1-$G$8^2*SIN($G$13/2*(1+I7))^2)+SQRT(1-$G$8^2*SIN($G$13/2*(1-I7))^2))</f>
        <v>0.14816054540306542</v>
      </c>
      <c r="N7" s="470">
        <f t="shared" ref="N7:N22" si="3">J7*(1/SQRT(1-$G$8^2*SIN($G$13/2*(1+I7))^2)+1/SQRT(1-$G$8^2*SIN($G$13/2*(1-I7))^2))</f>
        <v>0.25181266028095056</v>
      </c>
    </row>
    <row r="8" spans="1:17" hidden="1" x14ac:dyDescent="0.2">
      <c r="A8" s="460" t="s">
        <v>101</v>
      </c>
      <c r="B8" s="461" t="s">
        <v>119</v>
      </c>
      <c r="C8" s="471">
        <v>0.9</v>
      </c>
      <c r="F8" s="465" t="s">
        <v>153</v>
      </c>
      <c r="G8" s="472">
        <v>0.98016488170000027</v>
      </c>
      <c r="I8" s="469">
        <v>0.14447196158279599</v>
      </c>
      <c r="J8" s="469">
        <v>9.5638720079274805E-2</v>
      </c>
      <c r="K8" s="470">
        <f t="shared" si="0"/>
        <v>0.13712825825952515</v>
      </c>
      <c r="L8" s="470">
        <f t="shared" si="1"/>
        <v>0.26979161264007223</v>
      </c>
      <c r="M8" s="470">
        <f t="shared" si="2"/>
        <v>0.14616574539059018</v>
      </c>
      <c r="N8" s="470">
        <f t="shared" si="3"/>
        <v>0.25205634174222785</v>
      </c>
    </row>
    <row r="9" spans="1:17" hidden="1" x14ac:dyDescent="0.2">
      <c r="A9" s="460" t="s">
        <v>102</v>
      </c>
      <c r="B9" s="461" t="s">
        <v>120</v>
      </c>
      <c r="C9" s="471">
        <v>0</v>
      </c>
      <c r="F9" s="465" t="s">
        <v>154</v>
      </c>
      <c r="G9" s="466">
        <f>SQRT(1-G8^2)</f>
        <v>0.19818376493049181</v>
      </c>
      <c r="I9" s="469">
        <v>0.23928736225213701</v>
      </c>
      <c r="J9" s="469">
        <v>9.3844399080804497E-2</v>
      </c>
      <c r="K9" s="470">
        <f t="shared" si="0"/>
        <v>0.13327516372159054</v>
      </c>
      <c r="L9" s="470">
        <f t="shared" si="1"/>
        <v>0.27265480342904264</v>
      </c>
      <c r="M9" s="470">
        <f t="shared" si="2"/>
        <v>0.14225239059956579</v>
      </c>
      <c r="N9" s="470">
        <f t="shared" si="3"/>
        <v>0.2524693061284991</v>
      </c>
    </row>
    <row r="10" spans="1:17" hidden="1" x14ac:dyDescent="0.2">
      <c r="A10" s="473" t="s">
        <v>97</v>
      </c>
      <c r="B10" s="474"/>
      <c r="C10" s="475">
        <v>0.3</v>
      </c>
      <c r="F10" s="465" t="s">
        <v>75</v>
      </c>
      <c r="G10" s="466">
        <f>K23</f>
        <v>1.049760332602927</v>
      </c>
      <c r="I10" s="469">
        <v>0.331868602282127</v>
      </c>
      <c r="J10" s="469">
        <v>9.1173878695763794E-2</v>
      </c>
      <c r="K10" s="470">
        <f t="shared" si="0"/>
        <v>0.12770443831516246</v>
      </c>
      <c r="L10" s="470">
        <f t="shared" si="1"/>
        <v>0.27683681077852884</v>
      </c>
      <c r="M10" s="470">
        <f t="shared" si="2"/>
        <v>0.13656646944916584</v>
      </c>
      <c r="N10" s="470">
        <f t="shared" si="3"/>
        <v>0.252892656290642</v>
      </c>
    </row>
    <row r="11" spans="1:17" hidden="1" x14ac:dyDescent="0.2">
      <c r="A11" s="476" t="s">
        <v>71</v>
      </c>
      <c r="B11" s="474"/>
      <c r="C11" s="477">
        <v>193053</v>
      </c>
      <c r="F11" s="465" t="s">
        <v>155</v>
      </c>
      <c r="G11" s="466">
        <f>L23</f>
        <v>3.0249505813402875</v>
      </c>
      <c r="I11" s="469">
        <v>0.421351276130635</v>
      </c>
      <c r="J11" s="469">
        <v>8.7652093004403797E-2</v>
      </c>
      <c r="K11" s="470">
        <f t="shared" si="0"/>
        <v>0.12064629295532213</v>
      </c>
      <c r="L11" s="470">
        <f t="shared" si="1"/>
        <v>0.28212727433372653</v>
      </c>
      <c r="M11" s="470">
        <f t="shared" si="2"/>
        <v>0.12931137887220251</v>
      </c>
      <c r="N11" s="470">
        <f t="shared" si="3"/>
        <v>0.2530624266418311</v>
      </c>
    </row>
    <row r="12" spans="1:17" hidden="1" x14ac:dyDescent="0.2">
      <c r="A12" s="476" t="s">
        <v>103</v>
      </c>
      <c r="C12" s="478">
        <v>255</v>
      </c>
      <c r="F12" s="479" t="s">
        <v>156</v>
      </c>
      <c r="G12" s="480">
        <f>G7/G6-(1/(1-G8^2)*G10-G11)/(G11-G10)</f>
        <v>-1.7129533347315373E-9</v>
      </c>
      <c r="I12" s="469">
        <v>0.50689990893222903</v>
      </c>
      <c r="J12" s="469">
        <v>8.3311924226946693E-2</v>
      </c>
      <c r="K12" s="470">
        <f t="shared" si="0"/>
        <v>0.11237553421595205</v>
      </c>
      <c r="L12" s="470">
        <f t="shared" si="1"/>
        <v>0.28809531832159463</v>
      </c>
      <c r="M12" s="470">
        <f t="shared" si="2"/>
        <v>0.12073100290901938</v>
      </c>
      <c r="N12" s="470">
        <f t="shared" si="3"/>
        <v>0.2525786196243216</v>
      </c>
    </row>
    <row r="13" spans="1:17" hidden="1" x14ac:dyDescent="0.2">
      <c r="A13" s="473" t="s">
        <v>104</v>
      </c>
      <c r="B13" s="461" t="s">
        <v>121</v>
      </c>
      <c r="C13" s="481">
        <f>((G14*G10/(1-G8^2)*3*C6/2/PI())^(1/3))/10</f>
        <v>2.1072699067523674E-2</v>
      </c>
      <c r="F13" s="465" t="s">
        <v>157</v>
      </c>
      <c r="G13" s="472">
        <v>1.424950999999999</v>
      </c>
      <c r="I13" s="469">
        <v>0.58771575724076197</v>
      </c>
      <c r="J13" s="469">
        <v>7.81938957870702E-2</v>
      </c>
      <c r="K13" s="470">
        <f t="shared" si="0"/>
        <v>0.10318748907517158</v>
      </c>
      <c r="L13" s="470">
        <f t="shared" si="1"/>
        <v>0.29391333999135821</v>
      </c>
      <c r="M13" s="470">
        <f t="shared" si="2"/>
        <v>0.11108986740605775</v>
      </c>
      <c r="N13" s="470">
        <f t="shared" si="3"/>
        <v>0.25086641310340135</v>
      </c>
    </row>
    <row r="14" spans="1:17" hidden="1" x14ac:dyDescent="0.2">
      <c r="A14" s="473" t="s">
        <v>105</v>
      </c>
      <c r="B14" s="461" t="s">
        <v>122</v>
      </c>
      <c r="C14" s="481">
        <f>C13*SQRT(1-G8^2)</f>
        <v>4.1762668384491058E-3</v>
      </c>
      <c r="F14" s="465" t="s">
        <v>158</v>
      </c>
      <c r="G14" s="466">
        <f>2/(G6+G7)*(1-C10^2)/C11</f>
        <v>1.3053410203415643E-6</v>
      </c>
      <c r="I14" s="469">
        <v>0.66304426693021501</v>
      </c>
      <c r="J14" s="469">
        <v>7.2345794108848394E-2</v>
      </c>
      <c r="K14" s="470">
        <f t="shared" si="0"/>
        <v>9.3371187559653138E-2</v>
      </c>
      <c r="L14" s="470">
        <f t="shared" si="1"/>
        <v>0.29810458629662295</v>
      </c>
      <c r="M14" s="470">
        <f t="shared" si="2"/>
        <v>0.10065227416718461</v>
      </c>
      <c r="N14" s="470">
        <f t="shared" si="3"/>
        <v>0.24713845665188564</v>
      </c>
    </row>
    <row r="15" spans="1:17" ht="18.75" hidden="1" x14ac:dyDescent="0.2">
      <c r="A15" s="473" t="s">
        <v>106</v>
      </c>
      <c r="B15" s="461" t="s">
        <v>930</v>
      </c>
      <c r="C15" s="482">
        <f>1.5*C6/PI()/C13/C14/10^3</f>
        <v>3047.7131980740573</v>
      </c>
      <c r="D15" s="483">
        <f>CONVERT(MIN(783.204*C12,250000),"psi","Pa")/10^6</f>
        <v>1377.0003802148515</v>
      </c>
      <c r="F15" s="465" t="s">
        <v>159</v>
      </c>
      <c r="G15" s="466">
        <f>M23</f>
        <v>1.0185252220201984</v>
      </c>
      <c r="I15" s="469">
        <v>0.73218211874028905</v>
      </c>
      <c r="J15" s="469">
        <v>6.5822222776361794E-2</v>
      </c>
      <c r="K15" s="470">
        <f t="shared" si="0"/>
        <v>8.318090519388463E-2</v>
      </c>
      <c r="L15" s="470">
        <f t="shared" si="1"/>
        <v>0.29829276474436311</v>
      </c>
      <c r="M15" s="470">
        <f t="shared" si="2"/>
        <v>8.9662427689404828E-2</v>
      </c>
      <c r="N15" s="470">
        <f t="shared" si="3"/>
        <v>0.24037902475898656</v>
      </c>
    </row>
    <row r="16" spans="1:17" hidden="1" x14ac:dyDescent="0.2">
      <c r="A16" s="473" t="s">
        <v>107</v>
      </c>
      <c r="B16" s="267" t="s">
        <v>123</v>
      </c>
      <c r="C16" s="482">
        <f>C13/G14*G18*((G9-1)/2+C10*(1-1/G9)+(1/G9-G9)/2)/2</f>
        <v>508.72216554375689</v>
      </c>
      <c r="D16" s="483">
        <f>CONVERT((MIN(C12/255,1)*90000),"psi","Pa")/10^6</f>
        <v>620.52815638515256</v>
      </c>
      <c r="F16" s="479" t="s">
        <v>160</v>
      </c>
      <c r="G16" s="466">
        <f>N23</f>
        <v>2.3411810191658926</v>
      </c>
      <c r="I16" s="469">
        <v>0.79448379596794205</v>
      </c>
      <c r="J16" s="469">
        <v>5.86840934785356E-2</v>
      </c>
      <c r="K16" s="470">
        <f t="shared" si="0"/>
        <v>7.2807978628366479E-2</v>
      </c>
      <c r="L16" s="470">
        <f t="shared" si="1"/>
        <v>0.29123104275403133</v>
      </c>
      <c r="M16" s="470">
        <f t="shared" si="2"/>
        <v>7.8327638433045479E-2</v>
      </c>
      <c r="N16" s="470">
        <f t="shared" si="3"/>
        <v>0.22938631587016783</v>
      </c>
    </row>
    <row r="17" spans="1:14" hidden="1" x14ac:dyDescent="0.2">
      <c r="A17" s="473" t="s">
        <v>108</v>
      </c>
      <c r="B17" s="267" t="s">
        <v>124</v>
      </c>
      <c r="C17" s="482">
        <f>G27/2</f>
        <v>979.50253615025008</v>
      </c>
      <c r="D17" s="483">
        <f>D16</f>
        <v>620.52815638515256</v>
      </c>
      <c r="F17" s="465" t="s">
        <v>161</v>
      </c>
      <c r="G17" s="466">
        <f>1/TAN(G13)</f>
        <v>0.14688828670022877</v>
      </c>
      <c r="I17" s="469">
        <v>0.84936761373256897</v>
      </c>
      <c r="J17" s="469">
        <v>5.0998059262376098E-2</v>
      </c>
      <c r="K17" s="470">
        <f t="shared" si="0"/>
        <v>6.2358640188088815E-2</v>
      </c>
      <c r="L17" s="470">
        <f t="shared" si="1"/>
        <v>0.27357638739824597</v>
      </c>
      <c r="M17" s="470">
        <f t="shared" si="2"/>
        <v>6.6806769920115902E-2</v>
      </c>
      <c r="N17" s="470">
        <f t="shared" si="3"/>
        <v>0.21291665792684483</v>
      </c>
    </row>
    <row r="18" spans="1:14" hidden="1" x14ac:dyDescent="0.2">
      <c r="A18" s="473" t="s">
        <v>109</v>
      </c>
      <c r="B18" s="461" t="s">
        <v>125</v>
      </c>
      <c r="C18" s="481">
        <f>2*C13*G17</f>
        <v>6.1906653243561215E-3</v>
      </c>
      <c r="F18" s="479" t="s">
        <v>162</v>
      </c>
      <c r="G18" s="466">
        <f>2*G9^2/G8^2/G10</f>
        <v>7.7889283791385822E-2</v>
      </c>
      <c r="I18" s="469">
        <v>0.89632115576605198</v>
      </c>
      <c r="J18" s="469">
        <v>4.2835898022226697E-2</v>
      </c>
      <c r="K18" s="470">
        <f t="shared" si="0"/>
        <v>5.1850099445641895E-2</v>
      </c>
      <c r="L18" s="470">
        <f t="shared" si="1"/>
        <v>0.24349758182741615</v>
      </c>
      <c r="M18" s="470">
        <f t="shared" si="2"/>
        <v>5.5206021329811124E-2</v>
      </c>
      <c r="N18" s="470">
        <f t="shared" si="3"/>
        <v>0.18994917473001333</v>
      </c>
    </row>
    <row r="19" spans="1:14" hidden="1" x14ac:dyDescent="0.2">
      <c r="F19" s="465" t="s">
        <v>163</v>
      </c>
      <c r="G19" s="466">
        <f>SQRT((G9^2+G17^2)/(1+G17^2))</f>
        <v>0.244065011943252</v>
      </c>
      <c r="I19" s="469">
        <v>0.934906075937739</v>
      </c>
      <c r="J19" s="469">
        <v>3.42738629130213E-2</v>
      </c>
      <c r="K19" s="470">
        <f t="shared" si="0"/>
        <v>4.1236949478274221E-2</v>
      </c>
      <c r="L19" s="470">
        <f t="shared" si="1"/>
        <v>0.20198458746361334</v>
      </c>
      <c r="M19" s="470">
        <f t="shared" si="2"/>
        <v>4.3583363835983671E-2</v>
      </c>
      <c r="N19" s="470">
        <f t="shared" si="3"/>
        <v>0.16001390594499271</v>
      </c>
    </row>
    <row r="20" spans="1:14" hidden="1" x14ac:dyDescent="0.2">
      <c r="A20" s="460" t="s">
        <v>110</v>
      </c>
      <c r="B20" s="258" t="s">
        <v>126</v>
      </c>
      <c r="C20" s="312">
        <f ca="1">MAX(SecProp!AK:AK)</f>
        <v>0.10811881783051684</v>
      </c>
      <c r="F20" s="465" t="s">
        <v>164</v>
      </c>
      <c r="G20" s="466">
        <f>(G19-1)/2+G17*(G16-G15)</f>
        <v>-0.18368485009151761</v>
      </c>
      <c r="I20" s="469">
        <v>0.96476225558750595</v>
      </c>
      <c r="J20" s="469">
        <v>2.5392065309262E-2</v>
      </c>
      <c r="K20" s="470">
        <f t="shared" si="0"/>
        <v>3.0461928422185272E-2</v>
      </c>
      <c r="L20" s="470">
        <f t="shared" si="1"/>
        <v>0.1523419435320694</v>
      </c>
      <c r="M20" s="470">
        <f t="shared" si="2"/>
        <v>3.1960917050034954E-2</v>
      </c>
      <c r="N20" s="470">
        <f t="shared" si="3"/>
        <v>0.12343869903212082</v>
      </c>
    </row>
    <row r="21" spans="1:14" hidden="1" x14ac:dyDescent="0.2">
      <c r="A21" s="460" t="s">
        <v>111</v>
      </c>
      <c r="B21" s="461"/>
      <c r="C21" s="481">
        <f ca="1">C8*SIN(RADIANS(C20))</f>
        <v>1.6983254111333015E-3</v>
      </c>
      <c r="F21" s="465" t="s">
        <v>165</v>
      </c>
      <c r="G21" s="466">
        <f>-G19/G9^2+1+G17*(G15/G9^2-G16)</f>
        <v>-1.7487615046634382</v>
      </c>
      <c r="I21" s="469">
        <v>0.98561151154526805</v>
      </c>
      <c r="J21" s="469">
        <v>1.62743947309055E-2</v>
      </c>
      <c r="K21" s="470">
        <f t="shared" si="0"/>
        <v>1.950375057083012E-2</v>
      </c>
      <c r="L21" s="470">
        <f t="shared" si="1"/>
        <v>9.8265140750702556E-2</v>
      </c>
      <c r="M21" s="470">
        <f t="shared" si="2"/>
        <v>2.0342056830151556E-2</v>
      </c>
      <c r="N21" s="470">
        <f t="shared" si="3"/>
        <v>8.1374635689305738E-2</v>
      </c>
    </row>
    <row r="22" spans="1:14" hidden="1" x14ac:dyDescent="0.2">
      <c r="A22" s="473" t="s">
        <v>112</v>
      </c>
      <c r="B22" s="461" t="s">
        <v>127</v>
      </c>
      <c r="C22" s="484">
        <v>0.01</v>
      </c>
      <c r="F22" s="465" t="s">
        <v>166</v>
      </c>
      <c r="G22" s="466">
        <f>1/2/G19+1/2-G19/G9^2+G17*(G15/G9^2-G16)</f>
        <v>-0.20012701986372461</v>
      </c>
      <c r="I22" s="469">
        <v>0.99726386184948101</v>
      </c>
      <c r="J22" s="469">
        <v>7.0186100094693704E-3</v>
      </c>
      <c r="K22" s="470">
        <f t="shared" si="0"/>
        <v>8.4096475548949331E-3</v>
      </c>
      <c r="L22" s="470">
        <f t="shared" si="1"/>
        <v>4.2431282318023206E-2</v>
      </c>
      <c r="M22" s="470">
        <f t="shared" si="2"/>
        <v>8.7393709912123741E-3</v>
      </c>
      <c r="N22" s="470">
        <f t="shared" si="3"/>
        <v>3.5645794289166401E-2</v>
      </c>
    </row>
    <row r="23" spans="1:14" ht="15" hidden="1" x14ac:dyDescent="0.25">
      <c r="A23" s="485" t="s">
        <v>113</v>
      </c>
      <c r="B23" s="486" t="s">
        <v>128</v>
      </c>
      <c r="C23" s="487">
        <v>7.0000000000000007E-2</v>
      </c>
      <c r="D23" s="488">
        <f ca="1">2*(C13+C21+C22)</f>
        <v>6.5542048957313956E-2</v>
      </c>
      <c r="F23" s="465" t="s">
        <v>167</v>
      </c>
      <c r="G23" s="466">
        <f>-1+G19+G17*(G16-G15)</f>
        <v>-0.56165234411989162</v>
      </c>
      <c r="I23" s="489"/>
      <c r="J23" s="489"/>
      <c r="K23" s="490">
        <f>PI()/4*SUM(K7:K22)</f>
        <v>1.049760332602927</v>
      </c>
      <c r="L23" s="490">
        <f>PI()/4*SUM(L7:L22)</f>
        <v>3.0249505813402875</v>
      </c>
      <c r="M23" s="490">
        <f>$G$13/2*SUM(M7:M22)</f>
        <v>1.0185252220201984</v>
      </c>
      <c r="N23" s="490">
        <f>$G$13/2*SUM(N7:N22)</f>
        <v>2.3411810191658926</v>
      </c>
    </row>
    <row r="24" spans="1:14" hidden="1" x14ac:dyDescent="0.2">
      <c r="A24" s="460" t="s">
        <v>114</v>
      </c>
      <c r="B24" s="461" t="s">
        <v>129</v>
      </c>
      <c r="C24" s="484">
        <v>1.9050000000000001E-2</v>
      </c>
      <c r="F24" s="465" t="s">
        <v>168</v>
      </c>
      <c r="G24" s="491">
        <f>C13/G14*G18*(G20+C10*G21)</f>
        <v>-890.6340346291488</v>
      </c>
    </row>
    <row r="25" spans="1:14" hidden="1" x14ac:dyDescent="0.2">
      <c r="A25" s="460" t="s">
        <v>115</v>
      </c>
      <c r="B25" s="461" t="s">
        <v>130</v>
      </c>
      <c r="C25" s="484">
        <v>0.18</v>
      </c>
      <c r="F25" s="465" t="s">
        <v>169</v>
      </c>
      <c r="G25" s="491">
        <f>C13/G14*G18*(G22+C10*G23)</f>
        <v>-463.50667485614474</v>
      </c>
      <c r="I25" s="249" t="s">
        <v>379</v>
      </c>
    </row>
    <row r="26" spans="1:14" hidden="1" x14ac:dyDescent="0.2">
      <c r="A26" s="460" t="s">
        <v>116</v>
      </c>
      <c r="B26" s="461" t="s">
        <v>131</v>
      </c>
      <c r="C26" s="484">
        <v>0.2</v>
      </c>
      <c r="F26" s="465" t="s">
        <v>170</v>
      </c>
      <c r="G26" s="491">
        <f>-C13/G14*G18/2*(1/G19-G19)</f>
        <v>-2422.511747156645</v>
      </c>
      <c r="I26" s="249" t="s">
        <v>380</v>
      </c>
    </row>
    <row r="27" spans="1:14" hidden="1" x14ac:dyDescent="0.2">
      <c r="A27" s="485"/>
      <c r="B27" s="461"/>
      <c r="C27" s="614"/>
      <c r="F27" s="465" t="s">
        <v>171</v>
      </c>
      <c r="G27" s="491">
        <f>G25-G26</f>
        <v>1959.0050723005002</v>
      </c>
    </row>
    <row r="28" spans="1:14" x14ac:dyDescent="0.2">
      <c r="F28" s="465"/>
      <c r="G28" s="492"/>
    </row>
    <row r="29" spans="1:14" x14ac:dyDescent="0.2">
      <c r="A29" s="256" t="s">
        <v>98</v>
      </c>
      <c r="C29" s="629">
        <f>C5</f>
        <v>159.57212801522215</v>
      </c>
      <c r="F29" s="465"/>
      <c r="G29" s="492"/>
    </row>
    <row r="30" spans="1:14" x14ac:dyDescent="0.2">
      <c r="A30" s="256" t="s">
        <v>99</v>
      </c>
      <c r="B30" s="772" t="s">
        <v>117</v>
      </c>
      <c r="C30" s="655">
        <v>165</v>
      </c>
      <c r="F30" s="465"/>
      <c r="G30" s="492"/>
    </row>
    <row r="31" spans="1:14" x14ac:dyDescent="0.2">
      <c r="A31" s="256" t="s">
        <v>931</v>
      </c>
      <c r="B31" s="772" t="s">
        <v>118</v>
      </c>
      <c r="C31" s="656">
        <v>0.25</v>
      </c>
      <c r="F31" s="465"/>
      <c r="G31" s="492"/>
    </row>
    <row r="32" spans="1:14" x14ac:dyDescent="0.2">
      <c r="A32" s="485" t="s">
        <v>932</v>
      </c>
      <c r="B32" s="772" t="s">
        <v>969</v>
      </c>
      <c r="C32" s="656">
        <v>0.08</v>
      </c>
      <c r="F32" s="465"/>
      <c r="G32" s="492"/>
    </row>
    <row r="33" spans="1:27" x14ac:dyDescent="0.2">
      <c r="A33" s="485" t="s">
        <v>933</v>
      </c>
      <c r="B33" s="772" t="s">
        <v>970</v>
      </c>
      <c r="C33" s="657">
        <v>560</v>
      </c>
      <c r="F33" s="465"/>
      <c r="G33" s="492"/>
    </row>
    <row r="34" spans="1:27" x14ac:dyDescent="0.2">
      <c r="A34" s="485" t="s">
        <v>934</v>
      </c>
      <c r="B34" s="772" t="s">
        <v>971</v>
      </c>
      <c r="C34" s="657">
        <v>700</v>
      </c>
      <c r="F34" s="465"/>
      <c r="G34" s="492"/>
    </row>
    <row r="35" spans="1:27" x14ac:dyDescent="0.2">
      <c r="A35" s="485" t="s">
        <v>103</v>
      </c>
      <c r="B35" s="772"/>
      <c r="C35" s="658">
        <v>250</v>
      </c>
      <c r="F35" s="465"/>
      <c r="G35" s="492"/>
    </row>
    <row r="36" spans="1:27" x14ac:dyDescent="0.2">
      <c r="B36" s="489"/>
      <c r="F36" s="465"/>
      <c r="G36" s="492"/>
    </row>
    <row r="37" spans="1:27" x14ac:dyDescent="0.2">
      <c r="A37" s="627"/>
      <c r="B37" s="772"/>
      <c r="F37" s="465"/>
      <c r="G37" s="492"/>
    </row>
    <row r="38" spans="1:27" ht="15" x14ac:dyDescent="0.2">
      <c r="A38" s="628" t="s">
        <v>936</v>
      </c>
      <c r="B38" s="772"/>
      <c r="F38" s="465"/>
      <c r="G38" s="492"/>
    </row>
    <row r="39" spans="1:27" x14ac:dyDescent="0.2">
      <c r="A39" s="485" t="s">
        <v>939</v>
      </c>
      <c r="B39" s="772" t="s">
        <v>973</v>
      </c>
      <c r="C39" s="659">
        <v>3</v>
      </c>
      <c r="F39" s="465"/>
      <c r="G39" s="492"/>
      <c r="S39" s="197" t="s">
        <v>992</v>
      </c>
    </row>
    <row r="40" spans="1:27" x14ac:dyDescent="0.2">
      <c r="A40" s="485" t="s">
        <v>937</v>
      </c>
      <c r="B40" s="772" t="s">
        <v>974</v>
      </c>
      <c r="C40" s="630">
        <f>1.4*C34</f>
        <v>979.99999999999989</v>
      </c>
      <c r="F40" s="465"/>
      <c r="G40" s="492"/>
      <c r="S40" s="197" t="s">
        <v>999</v>
      </c>
      <c r="T40" s="197" t="s">
        <v>993</v>
      </c>
      <c r="U40" s="1143" t="s">
        <v>994</v>
      </c>
      <c r="V40" s="1143"/>
      <c r="W40" s="197" t="s">
        <v>151</v>
      </c>
      <c r="X40" s="197" t="s">
        <v>995</v>
      </c>
      <c r="Y40" s="197" t="s">
        <v>996</v>
      </c>
      <c r="Z40" s="197" t="s">
        <v>997</v>
      </c>
      <c r="AA40" s="197" t="s">
        <v>998</v>
      </c>
    </row>
    <row r="41" spans="1:27" x14ac:dyDescent="0.2">
      <c r="A41" s="485" t="s">
        <v>938</v>
      </c>
      <c r="B41" s="772" t="s">
        <v>975</v>
      </c>
      <c r="C41" s="631">
        <f>169*C35-15174</f>
        <v>27076</v>
      </c>
      <c r="F41" s="465"/>
      <c r="G41" s="492"/>
      <c r="U41" s="197" t="s">
        <v>122</v>
      </c>
      <c r="V41" s="197" t="s">
        <v>567</v>
      </c>
    </row>
    <row r="42" spans="1:27" x14ac:dyDescent="0.2">
      <c r="A42" s="485" t="s">
        <v>940</v>
      </c>
      <c r="B42" s="772" t="s">
        <v>976</v>
      </c>
      <c r="C42" s="631">
        <f>C41/C39</f>
        <v>9025.3333333333339</v>
      </c>
      <c r="F42" s="465"/>
      <c r="G42" s="492"/>
      <c r="S42" s="197">
        <v>1</v>
      </c>
      <c r="T42" s="197" t="s">
        <v>1000</v>
      </c>
      <c r="U42" s="611">
        <f>C59</f>
        <v>0.1</v>
      </c>
      <c r="V42" s="611">
        <f>C60</f>
        <v>0.01</v>
      </c>
      <c r="W42" s="197">
        <f>U42*V42</f>
        <v>1E-3</v>
      </c>
      <c r="X42" s="197">
        <f>V42/2</f>
        <v>5.0000000000000001E-3</v>
      </c>
      <c r="Y42" s="197">
        <f>W42*X42</f>
        <v>5.0000000000000004E-6</v>
      </c>
      <c r="Z42" s="197">
        <f>W42*X42^2</f>
        <v>2.5000000000000002E-8</v>
      </c>
      <c r="AA42" s="197">
        <f>U42*V42^2/12</f>
        <v>8.3333333333333344E-7</v>
      </c>
    </row>
    <row r="43" spans="1:27" x14ac:dyDescent="0.2">
      <c r="A43" s="627"/>
      <c r="B43" s="772"/>
      <c r="F43" s="465"/>
      <c r="G43" s="492"/>
      <c r="S43" s="197">
        <v>2</v>
      </c>
      <c r="T43" s="197" t="str">
        <f>C58</f>
        <v>ISMB 200</v>
      </c>
      <c r="V43" s="197">
        <f>+RIGHT(T43,3)/1000</f>
        <v>0.2</v>
      </c>
      <c r="W43" s="197">
        <f>VLOOKUP(T43,Lib!A5:W18,22,FALSE)</f>
        <v>3.2329999999999998E-3</v>
      </c>
      <c r="X43" s="197">
        <f>+V43/2+V42</f>
        <v>0.11</v>
      </c>
      <c r="Y43" s="197">
        <f>W43*X43</f>
        <v>3.5562999999999995E-4</v>
      </c>
      <c r="Z43" s="197">
        <f>W43*X43^2</f>
        <v>3.9119299999999997E-5</v>
      </c>
      <c r="AA43" s="197">
        <f>VLOOKUP(T43,Lib!A5:I18,8,FALSE)/(100^4)</f>
        <v>2.2354E-5</v>
      </c>
    </row>
    <row r="44" spans="1:27" ht="15" x14ac:dyDescent="0.2">
      <c r="A44" s="628" t="s">
        <v>941</v>
      </c>
      <c r="B44" s="772"/>
      <c r="F44" s="465"/>
      <c r="G44" s="492"/>
      <c r="T44" s="197" t="s">
        <v>1001</v>
      </c>
      <c r="V44" s="611">
        <f>SUM(V42:V43)</f>
        <v>0.21000000000000002</v>
      </c>
      <c r="W44" s="771">
        <f>SUM(W42:W43)</f>
        <v>4.2329999999999998E-3</v>
      </c>
      <c r="Y44" s="770">
        <f>SUM(Y42:Y43)</f>
        <v>3.6062999999999997E-4</v>
      </c>
      <c r="Z44" s="770">
        <f>SUM(Z42:Z43)</f>
        <v>3.9144299999999997E-5</v>
      </c>
      <c r="AA44" s="770">
        <f>SUM(AA42:AA43)</f>
        <v>2.3187333333333334E-5</v>
      </c>
    </row>
    <row r="45" spans="1:27" x14ac:dyDescent="0.2">
      <c r="A45" s="485" t="s">
        <v>942</v>
      </c>
      <c r="B45" s="772" t="s">
        <v>977</v>
      </c>
      <c r="C45" s="632">
        <f>C30/C42</f>
        <v>1.8281873245678829E-2</v>
      </c>
      <c r="F45" s="465"/>
      <c r="G45" s="492"/>
    </row>
    <row r="46" spans="1:27" x14ac:dyDescent="0.2">
      <c r="A46" s="485" t="s">
        <v>943</v>
      </c>
      <c r="B46" s="772" t="s">
        <v>978</v>
      </c>
      <c r="C46" s="656">
        <f>0.005</f>
        <v>5.0000000000000001E-3</v>
      </c>
      <c r="F46" s="465"/>
      <c r="G46" s="492"/>
    </row>
    <row r="47" spans="1:27" x14ac:dyDescent="0.2">
      <c r="A47" s="485" t="s">
        <v>947</v>
      </c>
      <c r="B47" s="772" t="s">
        <v>980</v>
      </c>
      <c r="C47" s="633">
        <f>C45/C31</f>
        <v>7.3127492982715314E-2</v>
      </c>
      <c r="D47" s="634">
        <f>C32</f>
        <v>0.08</v>
      </c>
      <c r="F47" s="465"/>
      <c r="G47" s="492"/>
      <c r="T47" s="197" t="s">
        <v>1002</v>
      </c>
      <c r="U47" s="770">
        <f>Y44/W44</f>
        <v>8.5194897236002834E-2</v>
      </c>
      <c r="W47" s="197">
        <f>VLOOKUP(T43,ISMB!A6:M19,5,FALSE)/1000</f>
        <v>0.1</v>
      </c>
    </row>
    <row r="48" spans="1:27" x14ac:dyDescent="0.2">
      <c r="A48" s="485" t="s">
        <v>944</v>
      </c>
      <c r="B48" s="772" t="s">
        <v>979</v>
      </c>
      <c r="C48" s="633">
        <f>C32+2*C46</f>
        <v>0.09</v>
      </c>
      <c r="F48" s="465"/>
      <c r="G48" s="492"/>
      <c r="T48" s="197" t="s">
        <v>995</v>
      </c>
      <c r="U48" s="611">
        <f>V44</f>
        <v>0.21000000000000002</v>
      </c>
    </row>
    <row r="49" spans="1:21" x14ac:dyDescent="0.2">
      <c r="A49" s="627"/>
      <c r="B49" s="772"/>
      <c r="F49" s="465"/>
      <c r="G49" s="492"/>
      <c r="T49" s="197" t="s">
        <v>1003</v>
      </c>
      <c r="U49" s="770">
        <f>U48-U47</f>
        <v>0.12480510276399719</v>
      </c>
    </row>
    <row r="50" spans="1:21" ht="15" x14ac:dyDescent="0.2">
      <c r="A50" s="628" t="s">
        <v>945</v>
      </c>
      <c r="B50" s="772"/>
      <c r="F50" s="465"/>
      <c r="G50" s="492"/>
      <c r="T50" s="197" t="s">
        <v>1004</v>
      </c>
      <c r="U50" s="770">
        <f>Z44+AA44-W44*U47^2</f>
        <v>3.1607797543113641E-5</v>
      </c>
    </row>
    <row r="51" spans="1:21" x14ac:dyDescent="0.2">
      <c r="A51" s="485" t="s">
        <v>946</v>
      </c>
      <c r="B51" s="772" t="s">
        <v>981</v>
      </c>
      <c r="C51" s="630">
        <f>0.418*SQRT(C30*C57*1000/(C31/2*C48))/1000</f>
        <v>726.56688978602187</v>
      </c>
      <c r="D51" s="635">
        <f>C40</f>
        <v>979.99999999999989</v>
      </c>
      <c r="F51" s="465"/>
      <c r="G51" s="492"/>
      <c r="T51" s="197" t="s">
        <v>1005</v>
      </c>
      <c r="U51" s="770">
        <f>U50/U47</f>
        <v>3.7100575936555486E-4</v>
      </c>
    </row>
    <row r="52" spans="1:21" x14ac:dyDescent="0.2">
      <c r="A52" s="627"/>
      <c r="B52" s="772"/>
      <c r="F52" s="465"/>
      <c r="G52" s="492"/>
      <c r="T52" s="197" t="s">
        <v>1006</v>
      </c>
      <c r="U52" s="770">
        <f>U50/U49</f>
        <v>2.5325725345447665E-4</v>
      </c>
    </row>
    <row r="53" spans="1:21" ht="15" x14ac:dyDescent="0.2">
      <c r="A53" s="628" t="s">
        <v>948</v>
      </c>
      <c r="B53" s="772"/>
      <c r="F53" s="465"/>
      <c r="G53" s="492"/>
    </row>
    <row r="54" spans="1:21" x14ac:dyDescent="0.2">
      <c r="A54" s="485" t="s">
        <v>949</v>
      </c>
      <c r="B54" s="772" t="s">
        <v>982</v>
      </c>
      <c r="C54" s="630">
        <f>MIN(0.7*C34,24*C35/10*9.81)</f>
        <v>489.99999999999994</v>
      </c>
      <c r="F54" s="465"/>
      <c r="G54" s="492"/>
    </row>
    <row r="55" spans="1:21" x14ac:dyDescent="0.2">
      <c r="A55" s="485" t="s">
        <v>950</v>
      </c>
      <c r="B55" s="772" t="s">
        <v>983</v>
      </c>
      <c r="C55" s="630">
        <f>0.304*C51</f>
        <v>220.87633449495064</v>
      </c>
      <c r="D55" s="635">
        <f>C54</f>
        <v>489.99999999999994</v>
      </c>
    </row>
    <row r="56" spans="1:21" ht="15" x14ac:dyDescent="0.2">
      <c r="A56" s="628" t="s">
        <v>952</v>
      </c>
      <c r="B56" s="772"/>
      <c r="F56" s="465"/>
      <c r="G56" s="492"/>
    </row>
    <row r="57" spans="1:21" x14ac:dyDescent="0.2">
      <c r="A57" s="485" t="s">
        <v>986</v>
      </c>
      <c r="B57" s="772" t="s">
        <v>972</v>
      </c>
      <c r="C57" s="657">
        <v>206000</v>
      </c>
      <c r="F57" s="465"/>
      <c r="G57" s="492"/>
    </row>
    <row r="58" spans="1:21" x14ac:dyDescent="0.2">
      <c r="A58" s="485" t="s">
        <v>955</v>
      </c>
      <c r="B58" s="772"/>
      <c r="C58" s="661" t="s">
        <v>58</v>
      </c>
      <c r="F58" s="465"/>
      <c r="G58" s="492"/>
    </row>
    <row r="59" spans="1:21" x14ac:dyDescent="0.2">
      <c r="A59" s="485" t="s">
        <v>953</v>
      </c>
      <c r="B59" s="772" t="s">
        <v>122</v>
      </c>
      <c r="C59" s="660">
        <v>0.1</v>
      </c>
      <c r="F59" s="465"/>
      <c r="G59" s="492"/>
    </row>
    <row r="60" spans="1:21" x14ac:dyDescent="0.2">
      <c r="A60" s="485" t="s">
        <v>954</v>
      </c>
      <c r="B60" s="772" t="s">
        <v>202</v>
      </c>
      <c r="C60" s="660">
        <v>0.01</v>
      </c>
      <c r="F60" s="465"/>
      <c r="G60" s="492"/>
    </row>
    <row r="61" spans="1:21" x14ac:dyDescent="0.2">
      <c r="A61" s="485" t="s">
        <v>856</v>
      </c>
      <c r="B61" s="772" t="s">
        <v>236</v>
      </c>
      <c r="C61" s="636">
        <f>VLOOKUP(C58,Lib!A5:I18,8,FALSE)/(100^4)</f>
        <v>2.2354E-5</v>
      </c>
      <c r="F61" s="465"/>
      <c r="G61" s="492"/>
    </row>
    <row r="62" spans="1:21" x14ac:dyDescent="0.2">
      <c r="A62" s="485" t="s">
        <v>956</v>
      </c>
      <c r="B62" s="772"/>
      <c r="C62" s="661" t="s">
        <v>960</v>
      </c>
      <c r="F62" s="465"/>
      <c r="G62" s="492"/>
    </row>
    <row r="63" spans="1:21" x14ac:dyDescent="0.2">
      <c r="A63" s="485" t="s">
        <v>966</v>
      </c>
      <c r="B63" s="772" t="s">
        <v>984</v>
      </c>
      <c r="C63" s="637">
        <f>5000*(RIGHT(C62,2))^0.5</f>
        <v>25000</v>
      </c>
      <c r="F63" s="465"/>
      <c r="G63" s="492"/>
    </row>
    <row r="64" spans="1:21" x14ac:dyDescent="0.2">
      <c r="A64" s="485" t="s">
        <v>967</v>
      </c>
      <c r="B64" s="772" t="s">
        <v>985</v>
      </c>
      <c r="C64" s="637">
        <f>0.218*IF(PType="Elliptical Contact",C6,C30)*1000*(C63/(C57*C61*C59^2))^(1/3)/10^6</f>
        <v>2.9343570123366538</v>
      </c>
      <c r="D64" s="635">
        <f>0.45*RIGHT(C62,2)</f>
        <v>11.25</v>
      </c>
      <c r="F64" s="465"/>
      <c r="G64" s="492"/>
    </row>
    <row r="65" spans="1:7" x14ac:dyDescent="0.2">
      <c r="A65" s="256" t="s">
        <v>1007</v>
      </c>
      <c r="B65" s="743" t="s">
        <v>217</v>
      </c>
      <c r="C65" s="637">
        <f>(0.5*IF(PType="Elliptical Contact",C6,C30)*1000/(MIN(U51,U52))*(C57/C63*U50/C59)^(1/3))/10^6</f>
        <v>44.819382773924239</v>
      </c>
      <c r="D65" s="635">
        <f>0.4*C33</f>
        <v>224</v>
      </c>
      <c r="F65" s="465"/>
      <c r="G65" s="492"/>
    </row>
    <row r="66" spans="1:7" x14ac:dyDescent="0.2">
      <c r="A66" s="627"/>
      <c r="B66" s="772"/>
      <c r="F66" s="465"/>
      <c r="G66" s="492"/>
    </row>
    <row r="67" spans="1:7" ht="15" x14ac:dyDescent="0.25">
      <c r="A67" s="628" t="s">
        <v>968</v>
      </c>
      <c r="B67" s="772" t="s">
        <v>132</v>
      </c>
      <c r="C67" s="671">
        <f>IF(PType="Elliptical Contact",PI()/4*(IF(GType="Fixed Wheel (double support)",(C25^2-C75^2)*C74,(C25^2-C127^2)*C126)+(C26^2-C25^2)*C24+(C7^2-C26^2)*C23)*7.85*9.81,PI()/4*(C31^2-(IF(GType="Fixed Wheel (cantilevered)",'Wheel Design'!C127,'Wheel Design'!C75))^2)*C32*7.85*9.81)</f>
        <v>0.23273602302513879</v>
      </c>
      <c r="F67" s="465"/>
      <c r="G67" s="492"/>
    </row>
    <row r="68" spans="1:7" hidden="1" x14ac:dyDescent="0.2"/>
    <row r="69" spans="1:7" hidden="1" x14ac:dyDescent="0.2">
      <c r="A69" s="1147" t="s">
        <v>381</v>
      </c>
      <c r="B69" s="1106"/>
      <c r="C69" s="1106"/>
      <c r="D69" s="1106"/>
      <c r="E69" s="1106"/>
      <c r="F69" s="1106"/>
      <c r="G69" s="1106"/>
    </row>
    <row r="70" spans="1:7" hidden="1" x14ac:dyDescent="0.2"/>
    <row r="71" spans="1:7" ht="15.75" hidden="1" thickBot="1" x14ac:dyDescent="0.3">
      <c r="A71" s="1122" t="s">
        <v>177</v>
      </c>
      <c r="B71" s="1123"/>
      <c r="C71" s="1123"/>
    </row>
    <row r="72" spans="1:7" ht="15.75" hidden="1" thickTop="1" x14ac:dyDescent="0.25">
      <c r="A72" s="230"/>
      <c r="B72" s="237"/>
      <c r="C72" s="237"/>
    </row>
    <row r="73" spans="1:7" hidden="1" x14ac:dyDescent="0.2">
      <c r="A73" s="460" t="s">
        <v>178</v>
      </c>
      <c r="B73" s="461" t="s">
        <v>200</v>
      </c>
      <c r="C73" s="493">
        <v>0.3</v>
      </c>
    </row>
    <row r="74" spans="1:7" hidden="1" x14ac:dyDescent="0.2">
      <c r="A74" s="473" t="s">
        <v>179</v>
      </c>
      <c r="B74" s="461" t="s">
        <v>201</v>
      </c>
      <c r="C74" s="484">
        <v>0.2</v>
      </c>
    </row>
    <row r="75" spans="1:7" hidden="1" x14ac:dyDescent="0.2">
      <c r="A75" s="473" t="s">
        <v>180</v>
      </c>
      <c r="B75" s="486" t="s">
        <v>202</v>
      </c>
      <c r="C75" s="484">
        <v>0.1</v>
      </c>
    </row>
    <row r="76" spans="1:7" hidden="1" x14ac:dyDescent="0.2">
      <c r="A76" s="473" t="s">
        <v>181</v>
      </c>
      <c r="B76" s="486" t="s">
        <v>203</v>
      </c>
      <c r="C76" s="494">
        <f>CONVERT(105000,"psi","Pa")/10^6</f>
        <v>723.94951578267796</v>
      </c>
    </row>
    <row r="77" spans="1:7" hidden="1" x14ac:dyDescent="0.2">
      <c r="A77" s="473" t="s">
        <v>182</v>
      </c>
      <c r="B77" s="486" t="s">
        <v>204</v>
      </c>
      <c r="C77" s="494">
        <f>CONVERT(50000,"psi","Pa")/10^6</f>
        <v>344.73786465841806</v>
      </c>
    </row>
    <row r="78" spans="1:7" hidden="1" x14ac:dyDescent="0.2">
      <c r="A78" s="473" t="s">
        <v>183</v>
      </c>
      <c r="B78" s="486" t="s">
        <v>127</v>
      </c>
      <c r="C78" s="484">
        <v>3.2000000000000001E-2</v>
      </c>
    </row>
    <row r="79" spans="1:7" hidden="1" x14ac:dyDescent="0.2">
      <c r="A79" s="473" t="s">
        <v>184</v>
      </c>
      <c r="B79" s="486" t="s">
        <v>122</v>
      </c>
      <c r="C79" s="484">
        <v>1.2999999999999999E-2</v>
      </c>
    </row>
    <row r="80" spans="1:7" hidden="1" x14ac:dyDescent="0.2">
      <c r="A80" s="473" t="s">
        <v>185</v>
      </c>
      <c r="B80" s="486" t="s">
        <v>205</v>
      </c>
      <c r="C80" s="477">
        <f>CONVERT(18865,"psi","Pa")/10^6</f>
        <v>130.06959633562116</v>
      </c>
    </row>
    <row r="81" spans="1:14" hidden="1" x14ac:dyDescent="0.2">
      <c r="A81" s="476" t="s">
        <v>186</v>
      </c>
      <c r="B81" s="486" t="s">
        <v>206</v>
      </c>
      <c r="C81" s="495">
        <f>C6/C74</f>
        <v>2808.7372798313172</v>
      </c>
    </row>
    <row r="82" spans="1:14" hidden="1" x14ac:dyDescent="0.2">
      <c r="A82" s="476" t="s">
        <v>187</v>
      </c>
      <c r="B82" s="486" t="s">
        <v>207</v>
      </c>
      <c r="C82" s="495">
        <f>6*C84/C74^2</f>
        <v>1895.8976638861391</v>
      </c>
    </row>
    <row r="83" spans="1:14" hidden="1" x14ac:dyDescent="0.2">
      <c r="A83" s="476" t="s">
        <v>188</v>
      </c>
      <c r="B83" s="486" t="s">
        <v>208</v>
      </c>
      <c r="C83" s="481">
        <f>C74+2*C79+2/3*C78</f>
        <v>0.24733333333333335</v>
      </c>
    </row>
    <row r="84" spans="1:14" hidden="1" x14ac:dyDescent="0.2">
      <c r="A84" s="473" t="s">
        <v>189</v>
      </c>
      <c r="B84" s="486" t="s">
        <v>209</v>
      </c>
      <c r="C84" s="496">
        <f>C73*C6*C7/2</f>
        <v>12.639317759240928</v>
      </c>
    </row>
    <row r="85" spans="1:14" ht="15" hidden="1" x14ac:dyDescent="0.2">
      <c r="A85" s="473" t="s">
        <v>190</v>
      </c>
      <c r="B85" s="486" t="s">
        <v>210</v>
      </c>
      <c r="C85" s="497">
        <f>C81*C74/2+C84/C83</f>
        <v>331.97609089111393</v>
      </c>
      <c r="J85" s="1148" t="s">
        <v>243</v>
      </c>
      <c r="K85" s="1145"/>
      <c r="L85" s="1145"/>
      <c r="M85" s="1145"/>
      <c r="N85" s="1146"/>
    </row>
    <row r="86" spans="1:14" hidden="1" x14ac:dyDescent="0.2">
      <c r="A86" s="476" t="s">
        <v>191</v>
      </c>
      <c r="B86" s="486" t="s">
        <v>211</v>
      </c>
      <c r="C86" s="497">
        <f>C81*C74/2-C84/C83</f>
        <v>229.77136507514956</v>
      </c>
      <c r="I86" s="486" t="s">
        <v>244</v>
      </c>
      <c r="J86" s="498">
        <f>J92*C103</f>
        <v>6.3120000000000008E-3</v>
      </c>
      <c r="K86" s="499" t="s">
        <v>245</v>
      </c>
    </row>
    <row r="87" spans="1:14" hidden="1" x14ac:dyDescent="0.2">
      <c r="A87" s="476" t="s">
        <v>192</v>
      </c>
      <c r="B87" s="486" t="s">
        <v>212</v>
      </c>
      <c r="C87" s="481">
        <f>C74/2+C79+C78+C74/2/C82*(C81-SQRT(C81^2+C82^2+2*C82*(C81-2*C85/C74)))</f>
        <v>0.13018484485501156</v>
      </c>
      <c r="I87" s="486" t="s">
        <v>246</v>
      </c>
      <c r="J87" s="481">
        <f>C103/2</f>
        <v>6.0000000000000001E-3</v>
      </c>
      <c r="K87" s="499" t="s">
        <v>247</v>
      </c>
    </row>
    <row r="88" spans="1:14" hidden="1" x14ac:dyDescent="0.2">
      <c r="A88" s="476" t="s">
        <v>193</v>
      </c>
      <c r="B88" s="486" t="s">
        <v>213</v>
      </c>
      <c r="C88" s="496">
        <f>C85*(C87-2/3*C78)-(C87-C79-C78)^2/2*(C81+C82+2*C82/3/C74*(C79+C78-C87))</f>
        <v>21.019824533106743</v>
      </c>
      <c r="I88" s="486" t="s">
        <v>248</v>
      </c>
      <c r="J88" s="500">
        <f>2*C78*C106</f>
        <v>2.4320000000000006E-3</v>
      </c>
      <c r="K88" s="499" t="s">
        <v>249</v>
      </c>
    </row>
    <row r="89" spans="1:14" hidden="1" x14ac:dyDescent="0.2">
      <c r="A89" s="476" t="s">
        <v>194</v>
      </c>
      <c r="B89" s="486" t="s">
        <v>214</v>
      </c>
      <c r="C89" s="501">
        <f>PI()/4*C75^2*(C74+2*C79+2*C78)*7.85*9.81</f>
        <v>0.17539876995137799</v>
      </c>
      <c r="I89" s="486" t="s">
        <v>250</v>
      </c>
      <c r="J89" s="481">
        <f>C103+C106/2</f>
        <v>3.1000000000000003E-2</v>
      </c>
      <c r="K89" s="499" t="s">
        <v>247</v>
      </c>
    </row>
    <row r="90" spans="1:14" hidden="1" x14ac:dyDescent="0.2">
      <c r="I90" s="486" t="s">
        <v>251</v>
      </c>
      <c r="J90" s="500">
        <f>2*C78*C107</f>
        <v>7.1679999999999999E-3</v>
      </c>
      <c r="K90" s="499" t="s">
        <v>252</v>
      </c>
    </row>
    <row r="91" spans="1:14" hidden="1" x14ac:dyDescent="0.2">
      <c r="A91" s="473" t="s">
        <v>195</v>
      </c>
      <c r="B91" s="486" t="s">
        <v>215</v>
      </c>
      <c r="C91" s="502">
        <f>3*C84/C75/C74^2/1000</f>
        <v>9.4794883194306951</v>
      </c>
      <c r="I91" s="486" t="s">
        <v>253</v>
      </c>
      <c r="J91" s="481">
        <f>C103+C104-C107/2</f>
        <v>0.20600000000000002</v>
      </c>
      <c r="K91" s="499" t="s">
        <v>247</v>
      </c>
    </row>
    <row r="92" spans="1:14" hidden="1" x14ac:dyDescent="0.2">
      <c r="A92" s="476" t="s">
        <v>196</v>
      </c>
      <c r="B92" s="486" t="s">
        <v>216</v>
      </c>
      <c r="C92" s="502">
        <f>C81/C75/1000</f>
        <v>28.087372798313172</v>
      </c>
      <c r="I92" s="486" t="s">
        <v>254</v>
      </c>
      <c r="J92" s="481">
        <f>21*C103+C108+C78/2</f>
        <v>0.52600000000000002</v>
      </c>
      <c r="K92" s="499" t="s">
        <v>255</v>
      </c>
    </row>
    <row r="93" spans="1:14" hidden="1" x14ac:dyDescent="0.2">
      <c r="A93" s="473" t="s">
        <v>197</v>
      </c>
      <c r="B93" s="486"/>
      <c r="C93" s="503">
        <f>C91+C92</f>
        <v>37.566861117743869</v>
      </c>
      <c r="D93" s="483">
        <f>C80</f>
        <v>130.06959633562116</v>
      </c>
      <c r="I93" s="267" t="s">
        <v>256</v>
      </c>
      <c r="J93" s="504">
        <f>(J92*C103^3+2*C78*(C106^3+C107^3))/12</f>
        <v>7.8613440000000008E-6</v>
      </c>
      <c r="K93" s="505" t="s">
        <v>257</v>
      </c>
    </row>
    <row r="94" spans="1:14" hidden="1" x14ac:dyDescent="0.2">
      <c r="A94" s="476" t="s">
        <v>198</v>
      </c>
      <c r="B94" s="486" t="s">
        <v>217</v>
      </c>
      <c r="C94" s="503">
        <f>C88*32/PI()/C75^3/1000</f>
        <v>214.10617455156662</v>
      </c>
      <c r="D94" s="483">
        <f>0.4*C76</f>
        <v>289.57980631307117</v>
      </c>
      <c r="I94" s="267" t="s">
        <v>258</v>
      </c>
      <c r="J94" s="506">
        <f>J86*J87+J88*J89+J90*J91</f>
        <v>1.5898720000000002E-3</v>
      </c>
      <c r="K94" s="499"/>
    </row>
    <row r="95" spans="1:14" hidden="1" x14ac:dyDescent="0.2">
      <c r="A95" s="476" t="s">
        <v>199</v>
      </c>
      <c r="B95" s="486" t="s">
        <v>218</v>
      </c>
      <c r="C95" s="503">
        <f>C85/C78/C75/1000</f>
        <v>103.74252840347309</v>
      </c>
      <c r="D95" s="483">
        <f>0.9*C77*GDF</f>
        <v>232.69805864443219</v>
      </c>
      <c r="I95" s="267" t="s">
        <v>259</v>
      </c>
      <c r="J95" s="504">
        <f>J86*J87^2+J88*J89^2+J90*J91^2</f>
        <v>3.0674563200000005E-4</v>
      </c>
      <c r="K95" s="499"/>
    </row>
    <row r="96" spans="1:14" hidden="1" x14ac:dyDescent="0.2">
      <c r="A96" s="476"/>
      <c r="B96" s="486"/>
      <c r="C96" s="486"/>
      <c r="D96" s="486"/>
      <c r="I96" s="267"/>
      <c r="J96" s="507"/>
      <c r="K96" s="499"/>
    </row>
    <row r="97" spans="1:14" hidden="1" x14ac:dyDescent="0.2">
      <c r="A97" s="1147" t="s">
        <v>382</v>
      </c>
      <c r="B97" s="1106"/>
      <c r="C97" s="1106"/>
      <c r="D97" s="1106"/>
      <c r="E97" s="1106"/>
      <c r="F97" s="1106"/>
      <c r="G97" s="1106"/>
      <c r="I97" s="267"/>
      <c r="J97" s="507"/>
      <c r="K97" s="499"/>
    </row>
    <row r="98" spans="1:14" hidden="1" x14ac:dyDescent="0.2">
      <c r="C98" s="197">
        <f>CONVERT(1,"m","in")</f>
        <v>39.370078740157481</v>
      </c>
    </row>
    <row r="99" spans="1:14" ht="15.75" hidden="1" thickBot="1" x14ac:dyDescent="0.3">
      <c r="A99" s="1122" t="s">
        <v>219</v>
      </c>
      <c r="B99" s="1123"/>
      <c r="C99" s="1123"/>
    </row>
    <row r="100" spans="1:14" ht="15" hidden="1" thickTop="1" x14ac:dyDescent="0.2"/>
    <row r="101" spans="1:14" hidden="1" x14ac:dyDescent="0.2">
      <c r="A101" s="476" t="s">
        <v>220</v>
      </c>
      <c r="B101" s="486" t="s">
        <v>213</v>
      </c>
      <c r="C101" s="496">
        <f>'Wheel Spacing'!$K$3</f>
        <v>28.791599356766948</v>
      </c>
    </row>
    <row r="102" spans="1:14" hidden="1" x14ac:dyDescent="0.2">
      <c r="A102" s="476"/>
      <c r="B102" s="486"/>
    </row>
    <row r="103" spans="1:14" hidden="1" x14ac:dyDescent="0.2">
      <c r="A103" s="476" t="s">
        <v>221</v>
      </c>
      <c r="B103" s="486" t="s">
        <v>230</v>
      </c>
      <c r="C103" s="481">
        <f>SecProp!$S$17</f>
        <v>1.2E-2</v>
      </c>
    </row>
    <row r="104" spans="1:14" hidden="1" x14ac:dyDescent="0.2">
      <c r="A104" s="476" t="s">
        <v>82</v>
      </c>
      <c r="B104" s="486" t="s">
        <v>231</v>
      </c>
      <c r="C104" s="481">
        <f>SecProp!$S$8</f>
        <v>0.25</v>
      </c>
    </row>
    <row r="105" spans="1:14" hidden="1" x14ac:dyDescent="0.2">
      <c r="A105" s="476" t="s">
        <v>222</v>
      </c>
      <c r="B105" s="486" t="s">
        <v>232</v>
      </c>
      <c r="C105" s="484">
        <v>0.1</v>
      </c>
      <c r="D105" s="197">
        <f>CONVERT(C105,"m","in")</f>
        <v>3.9370078740157481</v>
      </c>
    </row>
    <row r="106" spans="1:14" hidden="1" x14ac:dyDescent="0.2">
      <c r="A106" s="476"/>
      <c r="B106" s="486" t="s">
        <v>233</v>
      </c>
      <c r="C106" s="481">
        <f>C105-C103-C75/2</f>
        <v>3.8000000000000006E-2</v>
      </c>
    </row>
    <row r="107" spans="1:14" hidden="1" x14ac:dyDescent="0.2">
      <c r="B107" s="486" t="s">
        <v>234</v>
      </c>
      <c r="C107" s="481">
        <f>C104+C103-C105-C75/2</f>
        <v>0.112</v>
      </c>
    </row>
    <row r="108" spans="1:14" ht="15" hidden="1" x14ac:dyDescent="0.2">
      <c r="B108" s="486" t="s">
        <v>235</v>
      </c>
      <c r="C108" s="481">
        <f>C74+2*C79+C78</f>
        <v>0.25800000000000001</v>
      </c>
      <c r="J108" s="1148" t="s">
        <v>260</v>
      </c>
      <c r="K108" s="1145"/>
      <c r="L108" s="1145"/>
      <c r="M108" s="1145"/>
      <c r="N108" s="1146"/>
    </row>
    <row r="109" spans="1:14" hidden="1" x14ac:dyDescent="0.2">
      <c r="A109" s="476" t="s">
        <v>85</v>
      </c>
      <c r="B109" s="486" t="s">
        <v>151</v>
      </c>
      <c r="C109" s="500">
        <f>J92*C103+2*C78*(C106+C107)</f>
        <v>1.5912000000000003E-2</v>
      </c>
      <c r="D109" s="197">
        <f>C109*C98^2</f>
        <v>24.663649327298661</v>
      </c>
      <c r="I109" s="479" t="s">
        <v>261</v>
      </c>
      <c r="J109" s="508">
        <f>'Beam Spacing'!$S$4</f>
        <v>0.63825372117795853</v>
      </c>
      <c r="K109" s="499" t="s">
        <v>262</v>
      </c>
    </row>
    <row r="110" spans="1:14" hidden="1" x14ac:dyDescent="0.2">
      <c r="A110" s="476" t="s">
        <v>223</v>
      </c>
      <c r="B110" s="486" t="s">
        <v>236</v>
      </c>
      <c r="C110" s="504">
        <f>J95+J93-J94^2/C109</f>
        <v>1.5575246516641531E-4</v>
      </c>
      <c r="D110" s="197">
        <f>C110*C98^4</f>
        <v>374.19679434799343</v>
      </c>
      <c r="I110" s="479" t="s">
        <v>202</v>
      </c>
      <c r="J110" s="481">
        <f>C103+C104</f>
        <v>0.26200000000000001</v>
      </c>
      <c r="K110" s="499" t="s">
        <v>263</v>
      </c>
    </row>
    <row r="111" spans="1:14" hidden="1" x14ac:dyDescent="0.2">
      <c r="A111" s="476" t="s">
        <v>224</v>
      </c>
      <c r="B111" s="486" t="s">
        <v>237</v>
      </c>
      <c r="C111" s="481">
        <f>J94/C109</f>
        <v>9.9916540975364496E-2</v>
      </c>
      <c r="I111" s="479" t="s">
        <v>264</v>
      </c>
      <c r="J111" s="504">
        <f>(J92*C103^3+2*C104*C78^3)/3</f>
        <v>5.7643093333333336E-6</v>
      </c>
      <c r="K111" s="499" t="s">
        <v>265</v>
      </c>
    </row>
    <row r="112" spans="1:14" hidden="1" x14ac:dyDescent="0.2">
      <c r="A112" s="476" t="s">
        <v>225</v>
      </c>
      <c r="B112" s="486" t="s">
        <v>238</v>
      </c>
      <c r="C112" s="481">
        <f>C104+C103-C111</f>
        <v>0.1620834590246355</v>
      </c>
      <c r="I112" s="479" t="s">
        <v>266</v>
      </c>
      <c r="J112" s="504">
        <f>C103*J92^3/12</f>
        <v>1.4553157600000002E-4</v>
      </c>
      <c r="K112" s="509" t="s">
        <v>267</v>
      </c>
    </row>
    <row r="113" spans="1:21" hidden="1" x14ac:dyDescent="0.2">
      <c r="A113" s="476" t="s">
        <v>226</v>
      </c>
      <c r="B113" s="486" t="s">
        <v>239</v>
      </c>
      <c r="C113" s="506">
        <f>C110/C111</f>
        <v>1.5588256323326663E-3</v>
      </c>
      <c r="D113" s="197">
        <f>C113*C98^3</f>
        <v>95.12537647577787</v>
      </c>
      <c r="I113" s="479" t="s">
        <v>152</v>
      </c>
      <c r="J113" s="510">
        <f>-2.3*J110/J109*SQRT(J112/J111)</f>
        <v>-4.7439570535762394</v>
      </c>
      <c r="K113" s="511" t="s">
        <v>268</v>
      </c>
    </row>
    <row r="114" spans="1:21" hidden="1" x14ac:dyDescent="0.2">
      <c r="A114" s="476" t="s">
        <v>227</v>
      </c>
      <c r="B114" s="486" t="s">
        <v>240</v>
      </c>
      <c r="C114" s="506">
        <f>C110/C112</f>
        <v>9.6093991394113865E-4</v>
      </c>
      <c r="D114" s="197">
        <f>C114*C98^3</f>
        <v>58.640151398758114</v>
      </c>
      <c r="I114" s="479" t="s">
        <v>269</v>
      </c>
      <c r="J114" s="502">
        <f>CONVERT(11200000,"psi","MPa")</f>
        <v>77221.281683485649</v>
      </c>
      <c r="K114" s="511" t="s">
        <v>270</v>
      </c>
    </row>
    <row r="115" spans="1:21" hidden="1" x14ac:dyDescent="0.2">
      <c r="I115" s="479" t="s">
        <v>271</v>
      </c>
      <c r="J115" s="496">
        <f>PI()*SQRT(E*1000*J112*J114*1000*J111)/J109*(J113+SQRT(1+J113^2))</f>
        <v>1874.5378177944283</v>
      </c>
      <c r="K115" s="511" t="s">
        <v>272</v>
      </c>
    </row>
    <row r="116" spans="1:21" hidden="1" x14ac:dyDescent="0.2">
      <c r="A116" s="476" t="s">
        <v>228</v>
      </c>
      <c r="B116" s="486" t="s">
        <v>241</v>
      </c>
      <c r="C116" s="503">
        <f>C101/C113/1000</f>
        <v>18.470057689314789</v>
      </c>
      <c r="D116" s="483">
        <f>GDF*J116/Sigb/C113/1000</f>
        <v>95.440448999767469</v>
      </c>
      <c r="I116" s="486" t="s">
        <v>273</v>
      </c>
      <c r="J116" s="496">
        <f>MIN(C77*1000*MIN(C113,C114),J115)</f>
        <v>331.27237399711214</v>
      </c>
      <c r="K116" s="511" t="s">
        <v>274</v>
      </c>
    </row>
    <row r="117" spans="1:21" hidden="1" x14ac:dyDescent="0.2">
      <c r="A117" s="476" t="s">
        <v>229</v>
      </c>
      <c r="B117" s="486" t="s">
        <v>242</v>
      </c>
      <c r="C117" s="503">
        <f>C101/C114/1000</f>
        <v>29.961914308130766</v>
      </c>
      <c r="D117" s="483">
        <f>GDF*J116/Sigb/C114/1000</f>
        <v>154.82239430767277</v>
      </c>
    </row>
    <row r="118" spans="1:21" hidden="1" x14ac:dyDescent="0.2"/>
    <row r="119" spans="1:21" hidden="1" x14ac:dyDescent="0.2"/>
    <row r="121" spans="1:21" x14ac:dyDescent="0.2">
      <c r="A121" s="1147" t="s">
        <v>383</v>
      </c>
      <c r="B121" s="1106"/>
      <c r="C121" s="1106"/>
      <c r="D121" s="1106"/>
      <c r="E121" s="1106"/>
      <c r="F121" s="1106"/>
      <c r="G121" s="1106"/>
    </row>
    <row r="122" spans="1:21" ht="15" x14ac:dyDescent="0.25">
      <c r="S122" s="623"/>
    </row>
    <row r="123" spans="1:21" ht="15.75" thickBot="1" x14ac:dyDescent="0.3">
      <c r="A123" s="1122" t="s">
        <v>177</v>
      </c>
      <c r="B123" s="1123"/>
      <c r="C123" s="1123"/>
      <c r="T123" s="338"/>
    </row>
    <row r="124" spans="1:21" ht="15" thickTop="1" x14ac:dyDescent="0.2">
      <c r="S124" s="609"/>
      <c r="T124" s="639"/>
      <c r="U124" s="609"/>
    </row>
    <row r="125" spans="1:21" x14ac:dyDescent="0.2">
      <c r="A125" s="460" t="s">
        <v>384</v>
      </c>
      <c r="B125" s="772" t="s">
        <v>200</v>
      </c>
      <c r="C125" s="493">
        <v>0.3</v>
      </c>
      <c r="S125" s="609"/>
      <c r="T125" s="640"/>
      <c r="U125" s="609"/>
    </row>
    <row r="126" spans="1:21" x14ac:dyDescent="0.2">
      <c r="A126" s="473" t="s">
        <v>179</v>
      </c>
      <c r="B126" s="772" t="s">
        <v>201</v>
      </c>
      <c r="C126" s="977">
        <f>C32</f>
        <v>0.08</v>
      </c>
      <c r="S126" s="609"/>
      <c r="T126" s="640"/>
      <c r="U126" s="609"/>
    </row>
    <row r="127" spans="1:21" x14ac:dyDescent="0.2">
      <c r="A127" s="473" t="s">
        <v>180</v>
      </c>
      <c r="B127" s="773" t="s">
        <v>385</v>
      </c>
      <c r="C127" s="484">
        <v>0.12</v>
      </c>
      <c r="S127" s="609"/>
      <c r="T127" s="641"/>
      <c r="U127" s="609"/>
    </row>
    <row r="128" spans="1:21" x14ac:dyDescent="0.2">
      <c r="A128" s="473" t="s">
        <v>386</v>
      </c>
      <c r="B128" s="773" t="s">
        <v>387</v>
      </c>
      <c r="C128" s="484">
        <f>C127/2</f>
        <v>0.06</v>
      </c>
      <c r="S128" s="609"/>
      <c r="T128" s="641"/>
      <c r="U128" s="609"/>
    </row>
    <row r="129" spans="1:21" x14ac:dyDescent="0.2">
      <c r="A129" s="473" t="s">
        <v>181</v>
      </c>
      <c r="B129" s="773" t="s">
        <v>203</v>
      </c>
      <c r="C129" s="662">
        <v>496</v>
      </c>
      <c r="S129" s="609"/>
      <c r="T129" s="641"/>
      <c r="U129" s="609"/>
    </row>
    <row r="130" spans="1:21" x14ac:dyDescent="0.2">
      <c r="A130" s="473" t="s">
        <v>182</v>
      </c>
      <c r="B130" s="773" t="s">
        <v>204</v>
      </c>
      <c r="C130" s="662">
        <v>250</v>
      </c>
      <c r="S130" s="642"/>
      <c r="T130" s="643"/>
      <c r="U130" s="609"/>
    </row>
    <row r="131" spans="1:21" x14ac:dyDescent="0.2">
      <c r="A131" s="473" t="s">
        <v>388</v>
      </c>
      <c r="B131" s="773" t="s">
        <v>127</v>
      </c>
      <c r="C131" s="484">
        <v>0.03</v>
      </c>
      <c r="S131" s="609"/>
      <c r="T131" s="609"/>
      <c r="U131" s="609"/>
    </row>
    <row r="132" spans="1:21" ht="15" x14ac:dyDescent="0.25">
      <c r="A132" s="473" t="s">
        <v>184</v>
      </c>
      <c r="B132" s="773" t="s">
        <v>122</v>
      </c>
      <c r="C132" s="977">
        <v>2E-3</v>
      </c>
      <c r="S132" s="644"/>
      <c r="T132" s="609"/>
      <c r="U132" s="609"/>
    </row>
    <row r="133" spans="1:21" x14ac:dyDescent="0.2">
      <c r="A133" s="473" t="s">
        <v>389</v>
      </c>
      <c r="B133" s="773" t="s">
        <v>121</v>
      </c>
      <c r="C133" s="977">
        <f>Stiffeners!D16</f>
        <v>0.01</v>
      </c>
      <c r="S133" s="609"/>
      <c r="T133" s="609"/>
      <c r="U133" s="609"/>
    </row>
    <row r="134" spans="1:21" x14ac:dyDescent="0.2">
      <c r="A134" s="473" t="s">
        <v>185</v>
      </c>
      <c r="B134" s="773" t="s">
        <v>205</v>
      </c>
      <c r="C134" s="662">
        <v>130</v>
      </c>
      <c r="Q134" s="976"/>
      <c r="S134" s="609"/>
      <c r="T134" s="641"/>
      <c r="U134" s="609"/>
    </row>
    <row r="135" spans="1:21" x14ac:dyDescent="0.2">
      <c r="A135" s="476" t="s">
        <v>188</v>
      </c>
      <c r="B135" s="773" t="s">
        <v>208</v>
      </c>
      <c r="C135" s="977">
        <f>Stiffeners!Y17</f>
        <v>0.23100000000000009</v>
      </c>
      <c r="Q135" s="609"/>
      <c r="S135" s="609"/>
      <c r="T135" s="645"/>
      <c r="U135" s="609"/>
    </row>
    <row r="136" spans="1:21" x14ac:dyDescent="0.2">
      <c r="A136" s="476" t="s">
        <v>186</v>
      </c>
      <c r="B136" s="773" t="s">
        <v>206</v>
      </c>
      <c r="C136" s="512">
        <f>IF(PType="Elliptical Contact",C6,C30)/C126</f>
        <v>2062.5</v>
      </c>
      <c r="S136" s="609"/>
      <c r="T136" s="645"/>
      <c r="U136" s="609"/>
    </row>
    <row r="137" spans="1:21" x14ac:dyDescent="0.2">
      <c r="A137" s="473" t="s">
        <v>189</v>
      </c>
      <c r="B137" s="773" t="s">
        <v>209</v>
      </c>
      <c r="C137" s="513">
        <f>C125*IF(PType="Elliptical Contact",C6,C30)*IF(PType="Elliptical Contact",C7,C31)/2/1000</f>
        <v>6.1875000000000003E-3</v>
      </c>
      <c r="S137" s="609"/>
      <c r="T137" s="609"/>
      <c r="U137" s="609"/>
    </row>
    <row r="138" spans="1:21" ht="15" x14ac:dyDescent="0.25">
      <c r="A138" s="473" t="s">
        <v>190</v>
      </c>
      <c r="B138" s="773" t="s">
        <v>210</v>
      </c>
      <c r="C138" s="514">
        <f>(C136*C126*(C126/2+C132+C131/2)+C137)/C135</f>
        <v>40.741071428571416</v>
      </c>
      <c r="S138" s="644"/>
      <c r="T138" s="609"/>
      <c r="U138" s="609"/>
    </row>
    <row r="139" spans="1:21" ht="15" x14ac:dyDescent="0.2">
      <c r="A139" s="476" t="s">
        <v>191</v>
      </c>
      <c r="B139" s="773" t="s">
        <v>211</v>
      </c>
      <c r="C139" s="514">
        <f>(C136*C126*(C126/2+C132+C131/2+C135)+C137)/C135</f>
        <v>205.74107142857144</v>
      </c>
      <c r="J139" s="1148" t="s">
        <v>243</v>
      </c>
      <c r="K139" s="1145"/>
      <c r="L139" s="1145"/>
      <c r="M139" s="1145"/>
      <c r="N139" s="1146"/>
      <c r="S139" s="609"/>
      <c r="T139" s="646"/>
      <c r="U139" s="609"/>
    </row>
    <row r="140" spans="1:21" x14ac:dyDescent="0.2">
      <c r="A140" s="476" t="s">
        <v>193</v>
      </c>
      <c r="B140" s="773" t="s">
        <v>213</v>
      </c>
      <c r="C140" s="513">
        <f>(C136*C126*(C126/2+C132)+C137)</f>
        <v>6.9361875000000008</v>
      </c>
      <c r="I140" s="486" t="s">
        <v>244</v>
      </c>
      <c r="J140" s="498">
        <f>J146*C157</f>
        <v>3.2040000000000003E-3</v>
      </c>
      <c r="K140" s="499" t="s">
        <v>245</v>
      </c>
      <c r="S140" s="609"/>
      <c r="T140" s="640"/>
      <c r="U140" s="609"/>
    </row>
    <row r="141" spans="1:21" ht="15" x14ac:dyDescent="0.2">
      <c r="A141" s="476" t="s">
        <v>194</v>
      </c>
      <c r="B141" s="773" t="s">
        <v>214</v>
      </c>
      <c r="C141" s="672">
        <f>PI()/4*(C127^2*(C126+C132+C131)+(C127+C128)^2/4*(C135-C133/2-C131/2)+C128^2*C133)*7.85*9.81</f>
        <v>0.20309363090335586</v>
      </c>
      <c r="D141" s="609"/>
      <c r="I141" s="486" t="s">
        <v>246</v>
      </c>
      <c r="J141" s="481">
        <f>C157/2</f>
        <v>6.0000000000000001E-3</v>
      </c>
      <c r="K141" s="499" t="s">
        <v>247</v>
      </c>
      <c r="S141" s="609"/>
      <c r="T141" s="640"/>
      <c r="U141" s="647"/>
    </row>
    <row r="142" spans="1:21" x14ac:dyDescent="0.2">
      <c r="B142" s="743"/>
      <c r="D142" s="613"/>
      <c r="I142" s="486" t="s">
        <v>248</v>
      </c>
      <c r="J142" s="500">
        <f>C131*C160</f>
        <v>2.1599999999999992E-3</v>
      </c>
      <c r="K142" s="499" t="s">
        <v>249</v>
      </c>
      <c r="S142" s="609"/>
      <c r="T142" s="640"/>
      <c r="U142" s="609"/>
    </row>
    <row r="143" spans="1:21" x14ac:dyDescent="0.2">
      <c r="A143" s="473" t="s">
        <v>195</v>
      </c>
      <c r="B143" s="773" t="s">
        <v>215</v>
      </c>
      <c r="C143" s="515">
        <f>3*C137/C127/C126^2/1000</f>
        <v>2.4169921875000003E-2</v>
      </c>
      <c r="D143" s="609"/>
      <c r="I143" s="486" t="s">
        <v>250</v>
      </c>
      <c r="J143" s="481">
        <f>C157+C160/2</f>
        <v>4.7999999999999987E-2</v>
      </c>
      <c r="K143" s="499" t="s">
        <v>247</v>
      </c>
      <c r="S143" s="609"/>
      <c r="T143" s="609"/>
      <c r="U143" s="609"/>
    </row>
    <row r="144" spans="1:21" ht="15" x14ac:dyDescent="0.25">
      <c r="A144" s="476" t="s">
        <v>196</v>
      </c>
      <c r="B144" s="773" t="s">
        <v>216</v>
      </c>
      <c r="C144" s="515">
        <f>C136/C127/1000</f>
        <v>17.1875</v>
      </c>
      <c r="D144" s="609"/>
      <c r="I144" s="486" t="s">
        <v>251</v>
      </c>
      <c r="J144" s="500">
        <f>C131*C161</f>
        <v>1.7400000000000007E-3</v>
      </c>
      <c r="K144" s="499" t="s">
        <v>252</v>
      </c>
      <c r="S144" s="644"/>
      <c r="T144" s="609"/>
      <c r="U144" s="609"/>
    </row>
    <row r="145" spans="1:21" x14ac:dyDescent="0.2">
      <c r="A145" s="473" t="s">
        <v>197</v>
      </c>
      <c r="B145" s="773"/>
      <c r="C145" s="482">
        <f>C143+C144</f>
        <v>17.211669921875</v>
      </c>
      <c r="D145" s="483">
        <f>C134</f>
        <v>130</v>
      </c>
      <c r="I145" s="486" t="s">
        <v>253</v>
      </c>
      <c r="J145" s="481">
        <f>C157+C158-C161/2</f>
        <v>0.23299999999999998</v>
      </c>
      <c r="K145" s="499" t="s">
        <v>247</v>
      </c>
      <c r="S145" s="609"/>
      <c r="T145" s="641"/>
      <c r="U145" s="648"/>
    </row>
    <row r="146" spans="1:21" x14ac:dyDescent="0.2">
      <c r="A146" s="476" t="s">
        <v>198</v>
      </c>
      <c r="B146" s="773" t="s">
        <v>217</v>
      </c>
      <c r="C146" s="482">
        <f>(C140*32/PI()/C127^3)/10^3</f>
        <v>40.886241734711703</v>
      </c>
      <c r="D146" s="483">
        <f>0.4*C129*GDF</f>
        <v>148.80000000000001</v>
      </c>
      <c r="I146" s="486" t="s">
        <v>254</v>
      </c>
      <c r="J146" s="481">
        <f>20*C157+C131/2+C157</f>
        <v>0.26700000000000002</v>
      </c>
      <c r="K146" s="499" t="s">
        <v>255</v>
      </c>
      <c r="S146" s="609"/>
      <c r="T146" s="609"/>
      <c r="U146" s="609"/>
    </row>
    <row r="147" spans="1:21" ht="15" x14ac:dyDescent="0.25">
      <c r="A147" s="476" t="s">
        <v>390</v>
      </c>
      <c r="B147" s="773" t="s">
        <v>391</v>
      </c>
      <c r="C147" s="482">
        <f>C138/PI()/C128^2*4/10^3</f>
        <v>14.409206454926951</v>
      </c>
      <c r="D147" s="483">
        <f>0.23*C129*GDF</f>
        <v>85.56</v>
      </c>
      <c r="I147" s="267" t="s">
        <v>256</v>
      </c>
      <c r="J147" s="516">
        <f>(J146*C157^3+C131*C160^3+C131*C161^3)/12</f>
        <v>1.459348E-6</v>
      </c>
      <c r="K147" s="505" t="s">
        <v>257</v>
      </c>
      <c r="S147" s="644"/>
      <c r="T147" s="609"/>
      <c r="U147" s="609"/>
    </row>
    <row r="148" spans="1:21" x14ac:dyDescent="0.2">
      <c r="A148" s="476" t="s">
        <v>392</v>
      </c>
      <c r="B148" s="773" t="s">
        <v>393</v>
      </c>
      <c r="C148" s="482">
        <f>C138/C128/C133/10^3</f>
        <v>67.901785714285694</v>
      </c>
      <c r="D148" s="483">
        <f>D149</f>
        <v>168.75</v>
      </c>
      <c r="I148" s="267" t="s">
        <v>258</v>
      </c>
      <c r="J148" s="517">
        <f>J140*J141+J142*J143+J144*J145</f>
        <v>5.2832400000000005E-4</v>
      </c>
      <c r="K148" s="499"/>
      <c r="S148" s="609"/>
      <c r="T148" s="641"/>
      <c r="U148" s="609"/>
    </row>
    <row r="149" spans="1:21" x14ac:dyDescent="0.2">
      <c r="A149" s="476" t="s">
        <v>394</v>
      </c>
      <c r="B149" s="773" t="s">
        <v>395</v>
      </c>
      <c r="C149" s="482">
        <f>C139/C131/C127/10^3</f>
        <v>57.150297619047628</v>
      </c>
      <c r="D149" s="483">
        <f>0.9*C130*GDF</f>
        <v>168.75</v>
      </c>
      <c r="I149" s="267" t="s">
        <v>259</v>
      </c>
      <c r="J149" s="516">
        <f>J140*J141^2+J142*J143^2+J144*J145^2</f>
        <v>9.9554844000000018E-5</v>
      </c>
      <c r="K149" s="499"/>
      <c r="S149" s="609"/>
      <c r="T149" s="641"/>
      <c r="U149" s="648"/>
    </row>
    <row r="150" spans="1:21" x14ac:dyDescent="0.2">
      <c r="A150" s="476"/>
      <c r="B150" s="486"/>
      <c r="C150" s="486"/>
      <c r="D150" s="486"/>
      <c r="I150" s="267"/>
      <c r="J150" s="507"/>
      <c r="K150" s="499"/>
      <c r="S150" s="609"/>
      <c r="T150" s="609"/>
      <c r="U150" s="609"/>
    </row>
    <row r="151" spans="1:21" ht="15" x14ac:dyDescent="0.25">
      <c r="A151" s="1147" t="s">
        <v>396</v>
      </c>
      <c r="B151" s="1106"/>
      <c r="C151" s="1106"/>
      <c r="D151" s="1106"/>
      <c r="E151" s="1106"/>
      <c r="F151" s="1106"/>
      <c r="G151" s="1106"/>
      <c r="I151" s="267"/>
      <c r="J151" s="507"/>
      <c r="K151" s="499"/>
      <c r="S151" s="644"/>
      <c r="T151" s="609"/>
      <c r="U151" s="609"/>
    </row>
    <row r="152" spans="1:21" x14ac:dyDescent="0.2">
      <c r="S152" s="609"/>
      <c r="T152" s="649"/>
      <c r="U152" s="609"/>
    </row>
    <row r="153" spans="1:21" ht="15.75" thickBot="1" x14ac:dyDescent="0.3">
      <c r="A153" s="1122" t="s">
        <v>219</v>
      </c>
      <c r="B153" s="1123"/>
      <c r="C153" s="1123"/>
      <c r="S153" s="609"/>
      <c r="T153" s="649"/>
      <c r="U153" s="609"/>
    </row>
    <row r="154" spans="1:21" ht="15" thickTop="1" x14ac:dyDescent="0.2">
      <c r="S154" s="609"/>
      <c r="T154" s="609"/>
      <c r="U154" s="609"/>
    </row>
    <row r="155" spans="1:21" x14ac:dyDescent="0.2">
      <c r="A155" s="476" t="s">
        <v>220</v>
      </c>
      <c r="B155" s="773" t="s">
        <v>213</v>
      </c>
      <c r="C155" s="513">
        <f>'Wheel Spacing'!$K$3</f>
        <v>28.791599356766948</v>
      </c>
      <c r="S155" s="609"/>
      <c r="T155" s="650"/>
      <c r="U155" s="609"/>
    </row>
    <row r="156" spans="1:21" x14ac:dyDescent="0.2">
      <c r="A156" s="476"/>
      <c r="B156" s="773"/>
      <c r="I156" s="486"/>
      <c r="S156" s="609"/>
      <c r="T156" s="609"/>
      <c r="U156" s="609"/>
    </row>
    <row r="157" spans="1:21" x14ac:dyDescent="0.2">
      <c r="A157" s="476" t="s">
        <v>221</v>
      </c>
      <c r="B157" s="773" t="s">
        <v>230</v>
      </c>
      <c r="C157" s="481">
        <f>SecProp!$S$17</f>
        <v>1.2E-2</v>
      </c>
      <c r="I157" s="486"/>
      <c r="S157" s="609"/>
      <c r="T157" s="651"/>
      <c r="U157" s="609"/>
    </row>
    <row r="158" spans="1:21" x14ac:dyDescent="0.2">
      <c r="A158" s="476" t="s">
        <v>82</v>
      </c>
      <c r="B158" s="773" t="s">
        <v>231</v>
      </c>
      <c r="C158" s="481">
        <f>SecProp!$S$8</f>
        <v>0.25</v>
      </c>
      <c r="I158" s="486"/>
      <c r="S158" s="609"/>
      <c r="T158" s="651"/>
      <c r="U158" s="652"/>
    </row>
    <row r="159" spans="1:21" x14ac:dyDescent="0.2">
      <c r="A159" s="476" t="s">
        <v>222</v>
      </c>
      <c r="B159" s="773" t="s">
        <v>232</v>
      </c>
      <c r="C159" s="484">
        <f>Q161/1000</f>
        <v>0.14399999999999999</v>
      </c>
      <c r="S159" s="609"/>
      <c r="T159" s="609"/>
      <c r="U159" s="609"/>
    </row>
    <row r="160" spans="1:21" x14ac:dyDescent="0.2">
      <c r="A160" s="476"/>
      <c r="B160" s="773" t="s">
        <v>233</v>
      </c>
      <c r="C160" s="481">
        <f>C159-C157-C127/2</f>
        <v>7.1999999999999981E-2</v>
      </c>
      <c r="Q160" s="952" t="s">
        <v>232</v>
      </c>
      <c r="S160" s="609"/>
      <c r="T160" s="639"/>
      <c r="U160" s="609"/>
    </row>
    <row r="161" spans="1:21" x14ac:dyDescent="0.2">
      <c r="B161" s="773" t="s">
        <v>234</v>
      </c>
      <c r="C161" s="481">
        <f>C158+C157-C159-C127/2</f>
        <v>5.8000000000000024E-2</v>
      </c>
      <c r="D161" s="518"/>
      <c r="Q161" s="953">
        <f>+'Embedded Parts'!C25-'Embedded Parts'!C21-Seals!C7-Seals!C15+Seals!C9-'Wheel Design'!C60*1000-'Wheel Design'!C31/2*1000</f>
        <v>144</v>
      </c>
      <c r="S161" s="609"/>
      <c r="T161" s="609"/>
      <c r="U161" s="609"/>
    </row>
    <row r="162" spans="1:21" ht="15" x14ac:dyDescent="0.2">
      <c r="B162" s="489"/>
      <c r="J162" s="1148" t="s">
        <v>260</v>
      </c>
      <c r="K162" s="1145"/>
      <c r="L162" s="1145"/>
      <c r="M162" s="1145"/>
      <c r="N162" s="1146"/>
      <c r="S162" s="609"/>
      <c r="T162" s="609"/>
      <c r="U162" s="609"/>
    </row>
    <row r="163" spans="1:21" x14ac:dyDescent="0.2">
      <c r="A163" s="476" t="s">
        <v>85</v>
      </c>
      <c r="B163" s="773" t="s">
        <v>151</v>
      </c>
      <c r="C163" s="917">
        <f>J146*C157+C131*(C160+C161)</f>
        <v>7.1040000000000001E-3</v>
      </c>
      <c r="I163" s="479" t="s">
        <v>261</v>
      </c>
      <c r="J163" s="508">
        <f>'Beam Spacing'!$S$4</f>
        <v>0.63825372117795853</v>
      </c>
      <c r="K163" s="499" t="s">
        <v>262</v>
      </c>
      <c r="S163" s="609"/>
      <c r="T163" s="609"/>
      <c r="U163" s="609"/>
    </row>
    <row r="164" spans="1:21" x14ac:dyDescent="0.2">
      <c r="A164" s="476" t="s">
        <v>223</v>
      </c>
      <c r="B164" s="773" t="s">
        <v>236</v>
      </c>
      <c r="C164" s="519">
        <f>J149+J147-J148^2/C163</f>
        <v>6.1722771817567583E-5</v>
      </c>
      <c r="I164" s="479" t="s">
        <v>202</v>
      </c>
      <c r="J164" s="481">
        <f>C157+C158</f>
        <v>0.26200000000000001</v>
      </c>
      <c r="K164" s="499" t="s">
        <v>263</v>
      </c>
    </row>
    <row r="165" spans="1:21" x14ac:dyDescent="0.2">
      <c r="A165" s="476" t="s">
        <v>224</v>
      </c>
      <c r="B165" s="773" t="s">
        <v>237</v>
      </c>
      <c r="C165" s="481">
        <f>J148/C163</f>
        <v>7.4369932432432437E-2</v>
      </c>
      <c r="I165" s="479" t="s">
        <v>264</v>
      </c>
      <c r="J165" s="516">
        <f>(J146*C157^3+C158*C131^3)/3</f>
        <v>2.403792E-6</v>
      </c>
      <c r="K165" s="499" t="s">
        <v>265</v>
      </c>
    </row>
    <row r="166" spans="1:21" x14ac:dyDescent="0.2">
      <c r="A166" s="476" t="s">
        <v>225</v>
      </c>
      <c r="B166" s="773" t="s">
        <v>238</v>
      </c>
      <c r="C166" s="481">
        <f>C158+C157-C165</f>
        <v>0.18763006756756756</v>
      </c>
      <c r="D166" s="520"/>
      <c r="I166" s="479" t="s">
        <v>266</v>
      </c>
      <c r="J166" s="516">
        <f>C157*J146^3/12</f>
        <v>1.9034163000000004E-5</v>
      </c>
      <c r="K166" s="509" t="s">
        <v>267</v>
      </c>
    </row>
    <row r="167" spans="1:21" x14ac:dyDescent="0.2">
      <c r="A167" s="476" t="s">
        <v>226</v>
      </c>
      <c r="B167" s="773" t="s">
        <v>239</v>
      </c>
      <c r="C167" s="521">
        <f>C164/C165</f>
        <v>8.299425560678676E-4</v>
      </c>
      <c r="I167" s="479" t="s">
        <v>152</v>
      </c>
      <c r="J167" s="510">
        <f>-2.3*J164/J163*SQRT(J166/J165)</f>
        <v>-2.6567716059023319</v>
      </c>
      <c r="K167" s="511" t="s">
        <v>268</v>
      </c>
    </row>
    <row r="168" spans="1:21" x14ac:dyDescent="0.2">
      <c r="A168" s="476" t="s">
        <v>227</v>
      </c>
      <c r="B168" s="773" t="s">
        <v>240</v>
      </c>
      <c r="C168" s="521">
        <f>C164/C166</f>
        <v>3.289599189391144E-4</v>
      </c>
      <c r="I168" s="479" t="s">
        <v>269</v>
      </c>
      <c r="J168" s="522">
        <f>CONVERT(11200000,"psi","Pa")/10^6</f>
        <v>77221.281683485664</v>
      </c>
      <c r="K168" s="511" t="s">
        <v>270</v>
      </c>
    </row>
    <row r="169" spans="1:21" x14ac:dyDescent="0.2">
      <c r="B169" s="489"/>
      <c r="I169" s="479" t="s">
        <v>271</v>
      </c>
      <c r="J169" s="496">
        <f>PI()*SQRT(E*1000*J166*J168*1000*J165)/J163*(J167+SQRT(1+J167^2))</f>
        <v>764.12774103880565</v>
      </c>
      <c r="K169" s="511" t="s">
        <v>272</v>
      </c>
    </row>
    <row r="170" spans="1:21" x14ac:dyDescent="0.2">
      <c r="A170" s="476" t="s">
        <v>228</v>
      </c>
      <c r="B170" s="773" t="s">
        <v>241</v>
      </c>
      <c r="C170" s="482">
        <f>C155/C167/10^3</f>
        <v>34.691074877732319</v>
      </c>
      <c r="D170" s="483">
        <f>GDF*J170/Sigb/C167/1000</f>
        <v>44.502022899473253</v>
      </c>
      <c r="I170" s="486" t="s">
        <v>273</v>
      </c>
      <c r="J170" s="496">
        <f>MIN(C130*1000*MIN(C167,C168),J169)</f>
        <v>82.239979734778601</v>
      </c>
      <c r="K170" s="511" t="s">
        <v>274</v>
      </c>
    </row>
    <row r="171" spans="1:21" x14ac:dyDescent="0.2">
      <c r="A171" s="476" t="s">
        <v>229</v>
      </c>
      <c r="B171" s="773" t="s">
        <v>242</v>
      </c>
      <c r="C171" s="482">
        <f>C155/C168/10^3</f>
        <v>87.523122724552493</v>
      </c>
      <c r="D171" s="483">
        <f>GDF*J170/Sigb/C168/1000</f>
        <v>112.2754491017964</v>
      </c>
      <c r="J171" s="342"/>
    </row>
    <row r="173" spans="1:21" x14ac:dyDescent="0.2">
      <c r="J173" s="251"/>
    </row>
    <row r="174" spans="1:21" hidden="1" x14ac:dyDescent="0.2"/>
  </sheetData>
  <sheetProtection algorithmName="SHA-512" hashValue="bK8MjhPjoGADY/rIHYDgVJ44q128A6yHZE14NPwpR7wpquRtAQreFhfkl5gLuTCLxDONpJ4E1FdcAjJA54sAOw==" saltValue="MImx7niEK9vMbrergnf+qg==" spinCount="100000" sheet="1" objects="1" scenarios="1" selectLockedCells="1"/>
  <mergeCells count="18">
    <mergeCell ref="A153:C153"/>
    <mergeCell ref="J162:N162"/>
    <mergeCell ref="A1:Q1"/>
    <mergeCell ref="A2:Q2"/>
    <mergeCell ref="A123:C123"/>
    <mergeCell ref="J139:N139"/>
    <mergeCell ref="A151:G151"/>
    <mergeCell ref="U40:V40"/>
    <mergeCell ref="K5:N5"/>
    <mergeCell ref="A69:G69"/>
    <mergeCell ref="A121:G121"/>
    <mergeCell ref="A3:G3"/>
    <mergeCell ref="I5:J5"/>
    <mergeCell ref="A71:C71"/>
    <mergeCell ref="J85:N85"/>
    <mergeCell ref="A97:G97"/>
    <mergeCell ref="A99:C99"/>
    <mergeCell ref="J108:N108"/>
  </mergeCells>
  <conditionalFormatting sqref="C170">
    <cfRule type="cellIs" dxfId="212" priority="57" operator="lessThanOrEqual">
      <formula>$D$170</formula>
    </cfRule>
    <cfRule type="cellIs" dxfId="211" priority="58" operator="greaterThan">
      <formula>$D$170</formula>
    </cfRule>
  </conditionalFormatting>
  <conditionalFormatting sqref="D170">
    <cfRule type="cellIs" dxfId="210" priority="55" operator="greaterThanOrEqual">
      <formula>$C$170</formula>
    </cfRule>
    <cfRule type="cellIs" dxfId="209" priority="56" operator="lessThan">
      <formula>$C$170</formula>
    </cfRule>
  </conditionalFormatting>
  <conditionalFormatting sqref="C171">
    <cfRule type="cellIs" dxfId="208" priority="59" operator="lessThanOrEqual">
      <formula>$D$171</formula>
    </cfRule>
    <cfRule type="cellIs" dxfId="207" priority="60" operator="greaterThan">
      <formula>$D$171</formula>
    </cfRule>
  </conditionalFormatting>
  <conditionalFormatting sqref="D171">
    <cfRule type="cellIs" dxfId="206" priority="53" operator="greaterThanOrEqual">
      <formula>$C$171</formula>
    </cfRule>
    <cfRule type="cellIs" dxfId="205" priority="54" operator="lessThan">
      <formula>$C$171</formula>
    </cfRule>
  </conditionalFormatting>
  <conditionalFormatting sqref="C15">
    <cfRule type="cellIs" dxfId="204" priority="113" operator="lessThanOrEqual">
      <formula>$D$15</formula>
    </cfRule>
    <cfRule type="cellIs" dxfId="203" priority="114" operator="greaterThan">
      <formula>$D$15</formula>
    </cfRule>
  </conditionalFormatting>
  <conditionalFormatting sqref="D15">
    <cfRule type="cellIs" dxfId="202" priority="111" operator="greaterThanOrEqual">
      <formula>$C$15</formula>
    </cfRule>
    <cfRule type="cellIs" dxfId="201" priority="112" operator="lessThan">
      <formula>$C$15</formula>
    </cfRule>
  </conditionalFormatting>
  <conditionalFormatting sqref="C16">
    <cfRule type="cellIs" dxfId="200" priority="109" operator="lessThanOrEqual">
      <formula>$D$16</formula>
    </cfRule>
    <cfRule type="cellIs" dxfId="199" priority="110" operator="greaterThan">
      <formula>$D$16</formula>
    </cfRule>
  </conditionalFormatting>
  <conditionalFormatting sqref="D16">
    <cfRule type="cellIs" dxfId="198" priority="107" operator="greaterThanOrEqual">
      <formula>$C$16</formula>
    </cfRule>
    <cfRule type="cellIs" dxfId="197" priority="108" operator="lessThan">
      <formula>$C$16</formula>
    </cfRule>
  </conditionalFormatting>
  <conditionalFormatting sqref="C17">
    <cfRule type="cellIs" dxfId="196" priority="105" operator="lessThanOrEqual">
      <formula>$D$17</formula>
    </cfRule>
    <cfRule type="cellIs" dxfId="195" priority="106" operator="greaterThan">
      <formula>$D$17</formula>
    </cfRule>
  </conditionalFormatting>
  <conditionalFormatting sqref="D17">
    <cfRule type="cellIs" dxfId="194" priority="103" operator="greaterThanOrEqual">
      <formula>$C$17</formula>
    </cfRule>
    <cfRule type="cellIs" dxfId="193" priority="104" operator="lessThan">
      <formula>$C$17</formula>
    </cfRule>
  </conditionalFormatting>
  <conditionalFormatting sqref="C93">
    <cfRule type="cellIs" dxfId="192" priority="101" operator="lessThanOrEqual">
      <formula>$D$93</formula>
    </cfRule>
    <cfRule type="cellIs" dxfId="191" priority="102" operator="greaterThan">
      <formula>$D$93</formula>
    </cfRule>
  </conditionalFormatting>
  <conditionalFormatting sqref="D93">
    <cfRule type="cellIs" dxfId="190" priority="99" operator="greaterThanOrEqual">
      <formula>$C$93</formula>
    </cfRule>
    <cfRule type="cellIs" dxfId="189" priority="100" operator="lessThan">
      <formula>$C$93</formula>
    </cfRule>
  </conditionalFormatting>
  <conditionalFormatting sqref="C94">
    <cfRule type="cellIs" dxfId="188" priority="97" operator="lessThanOrEqual">
      <formula>$D$94</formula>
    </cfRule>
    <cfRule type="cellIs" dxfId="187" priority="98" operator="greaterThan">
      <formula>$D$94</formula>
    </cfRule>
  </conditionalFormatting>
  <conditionalFormatting sqref="D94">
    <cfRule type="cellIs" dxfId="186" priority="95" operator="greaterThanOrEqual">
      <formula>$C$94</formula>
    </cfRule>
    <cfRule type="cellIs" dxfId="185" priority="96" operator="lessThan">
      <formula>$C$94</formula>
    </cfRule>
  </conditionalFormatting>
  <conditionalFormatting sqref="C95">
    <cfRule type="cellIs" dxfId="184" priority="93" operator="lessThanOrEqual">
      <formula>$D$95</formula>
    </cfRule>
    <cfRule type="cellIs" dxfId="183" priority="94" operator="greaterThan">
      <formula>$D$95</formula>
    </cfRule>
  </conditionalFormatting>
  <conditionalFormatting sqref="D95">
    <cfRule type="cellIs" dxfId="182" priority="91" operator="greaterThanOrEqual">
      <formula>$C$95</formula>
    </cfRule>
    <cfRule type="cellIs" dxfId="181" priority="92" operator="lessThan">
      <formula>$C$95</formula>
    </cfRule>
  </conditionalFormatting>
  <conditionalFormatting sqref="D23">
    <cfRule type="cellIs" dxfId="180" priority="89" operator="greaterThan">
      <formula>$C$23</formula>
    </cfRule>
    <cfRule type="cellIs" dxfId="179" priority="90" operator="lessThanOrEqual">
      <formula>$C$23</formula>
    </cfRule>
  </conditionalFormatting>
  <conditionalFormatting sqref="C149">
    <cfRule type="cellIs" dxfId="178" priority="83" operator="lessThanOrEqual">
      <formula>$D$149</formula>
    </cfRule>
    <cfRule type="cellIs" dxfId="177" priority="84" operator="greaterThan">
      <formula>$D$149</formula>
    </cfRule>
  </conditionalFormatting>
  <conditionalFormatting sqref="D149">
    <cfRule type="cellIs" dxfId="176" priority="81" operator="greaterThanOrEqual">
      <formula>$C$149</formula>
    </cfRule>
    <cfRule type="cellIs" dxfId="175" priority="82" operator="lessThan">
      <formula>$C$149</formula>
    </cfRule>
  </conditionalFormatting>
  <conditionalFormatting sqref="C148">
    <cfRule type="cellIs" dxfId="174" priority="79" operator="lessThanOrEqual">
      <formula>$D$148</formula>
    </cfRule>
    <cfRule type="cellIs" dxfId="173" priority="80" operator="greaterThan">
      <formula>$D$148</formula>
    </cfRule>
  </conditionalFormatting>
  <conditionalFormatting sqref="D148">
    <cfRule type="cellIs" dxfId="172" priority="77" operator="greaterThanOrEqual">
      <formula>$C$148</formula>
    </cfRule>
    <cfRule type="cellIs" dxfId="171" priority="78" operator="lessThan">
      <formula>$C$148</formula>
    </cfRule>
  </conditionalFormatting>
  <conditionalFormatting sqref="C145">
    <cfRule type="cellIs" dxfId="170" priority="75" operator="lessThanOrEqual">
      <formula>$D$145</formula>
    </cfRule>
    <cfRule type="cellIs" dxfId="169" priority="76" operator="greaterThan">
      <formula>$D$145</formula>
    </cfRule>
  </conditionalFormatting>
  <conditionalFormatting sqref="D145">
    <cfRule type="cellIs" dxfId="168" priority="73" operator="greaterThanOrEqual">
      <formula>$C$145</formula>
    </cfRule>
    <cfRule type="cellIs" dxfId="167" priority="74" operator="lessThan">
      <formula>$C$145</formula>
    </cfRule>
  </conditionalFormatting>
  <conditionalFormatting sqref="C146">
    <cfRule type="cellIs" dxfId="166" priority="87" operator="lessThanOrEqual">
      <formula>$D$146</formula>
    </cfRule>
    <cfRule type="cellIs" dxfId="165" priority="88" operator="greaterThan">
      <formula>$D$146</formula>
    </cfRule>
  </conditionalFormatting>
  <conditionalFormatting sqref="D146">
    <cfRule type="cellIs" dxfId="164" priority="85" operator="greaterThanOrEqual">
      <formula>$C$146</formula>
    </cfRule>
    <cfRule type="cellIs" dxfId="163" priority="86" operator="lessThan">
      <formula>$C$146</formula>
    </cfRule>
  </conditionalFormatting>
  <conditionalFormatting sqref="C147">
    <cfRule type="cellIs" dxfId="162" priority="71" operator="lessThanOrEqual">
      <formula>$D$147</formula>
    </cfRule>
    <cfRule type="cellIs" dxfId="161" priority="72" operator="greaterThan">
      <formula>$D$147</formula>
    </cfRule>
  </conditionalFormatting>
  <conditionalFormatting sqref="D147">
    <cfRule type="cellIs" dxfId="160" priority="69" operator="greaterThanOrEqual">
      <formula>$C$147</formula>
    </cfRule>
    <cfRule type="cellIs" dxfId="159" priority="70" operator="lessThan">
      <formula>$C$147</formula>
    </cfRule>
  </conditionalFormatting>
  <conditionalFormatting sqref="C116">
    <cfRule type="cellIs" dxfId="158" priority="65" operator="lessThanOrEqual">
      <formula>$D$116</formula>
    </cfRule>
    <cfRule type="cellIs" dxfId="157" priority="66" operator="greaterThan">
      <formula>$D$116</formula>
    </cfRule>
  </conditionalFormatting>
  <conditionalFormatting sqref="D116">
    <cfRule type="cellIs" dxfId="156" priority="63" operator="greaterThanOrEqual">
      <formula>$C$116</formula>
    </cfRule>
    <cfRule type="cellIs" dxfId="155" priority="64" operator="lessThan">
      <formula>$C$116</formula>
    </cfRule>
  </conditionalFormatting>
  <conditionalFormatting sqref="C117">
    <cfRule type="cellIs" dxfId="154" priority="67" operator="lessThanOrEqual">
      <formula>$D$117</formula>
    </cfRule>
    <cfRule type="cellIs" dxfId="153" priority="68" operator="greaterThan">
      <formula>$D$117</formula>
    </cfRule>
  </conditionalFormatting>
  <conditionalFormatting sqref="D117">
    <cfRule type="cellIs" dxfId="152" priority="61" operator="greaterThanOrEqual">
      <formula>$C$117</formula>
    </cfRule>
    <cfRule type="cellIs" dxfId="151" priority="62" operator="lessThan">
      <formula>$C$117</formula>
    </cfRule>
  </conditionalFormatting>
  <conditionalFormatting sqref="T145">
    <cfRule type="cellIs" dxfId="150" priority="49" operator="greaterThan">
      <formula>$D$25</formula>
    </cfRule>
    <cfRule type="cellIs" dxfId="149" priority="51" operator="lessThan">
      <formula>$D$25</formula>
    </cfRule>
  </conditionalFormatting>
  <conditionalFormatting sqref="T141">
    <cfRule type="cellIs" dxfId="148" priority="45" operator="lessThan">
      <formula>$D$21</formula>
    </cfRule>
    <cfRule type="cellIs" dxfId="147" priority="46" operator="greaterThan">
      <formula>$D$21</formula>
    </cfRule>
  </conditionalFormatting>
  <conditionalFormatting sqref="U149">
    <cfRule type="cellIs" dxfId="146" priority="43" operator="lessThan">
      <formula>$C$68</formula>
    </cfRule>
    <cfRule type="cellIs" dxfId="145" priority="44" operator="greaterThan">
      <formula>$C$68</formula>
    </cfRule>
  </conditionalFormatting>
  <conditionalFormatting sqref="T149">
    <cfRule type="cellIs" dxfId="144" priority="41" operator="lessThan">
      <formula>$D$68</formula>
    </cfRule>
    <cfRule type="cellIs" dxfId="143" priority="42" operator="greaterThan">
      <formula>$D$68</formula>
    </cfRule>
  </conditionalFormatting>
  <conditionalFormatting sqref="D47">
    <cfRule type="cellIs" dxfId="142" priority="19" operator="greaterThan">
      <formula>$C$47</formula>
    </cfRule>
    <cfRule type="cellIs" dxfId="141" priority="20" operator="lessThan">
      <formula>$C$47</formula>
    </cfRule>
  </conditionalFormatting>
  <conditionalFormatting sqref="C47">
    <cfRule type="cellIs" dxfId="140" priority="17" operator="greaterThan">
      <formula>$D$47</formula>
    </cfRule>
    <cfRule type="cellIs" dxfId="139" priority="18" operator="lessThan">
      <formula>$D$47</formula>
    </cfRule>
  </conditionalFormatting>
  <conditionalFormatting sqref="D51">
    <cfRule type="cellIs" dxfId="138" priority="15" operator="greaterThan">
      <formula>$C$51</formula>
    </cfRule>
    <cfRule type="cellIs" dxfId="137" priority="16" operator="lessThan">
      <formula>$C$51</formula>
    </cfRule>
  </conditionalFormatting>
  <conditionalFormatting sqref="D55">
    <cfRule type="cellIs" dxfId="136" priority="13" operator="lessThan">
      <formula>$C$55</formula>
    </cfRule>
    <cfRule type="cellIs" dxfId="135" priority="14" operator="greaterThan">
      <formula>$C$55</formula>
    </cfRule>
  </conditionalFormatting>
  <conditionalFormatting sqref="D64">
    <cfRule type="cellIs" dxfId="134" priority="11" operator="lessThan">
      <formula>$C$64</formula>
    </cfRule>
    <cfRule type="cellIs" dxfId="133" priority="12" operator="greaterThan">
      <formula>$C$64</formula>
    </cfRule>
  </conditionalFormatting>
  <conditionalFormatting sqref="C51">
    <cfRule type="cellIs" dxfId="132" priority="9" operator="lessThan">
      <formula>$D$51</formula>
    </cfRule>
    <cfRule type="cellIs" dxfId="131" priority="10" operator="greaterThan">
      <formula>$D$51</formula>
    </cfRule>
  </conditionalFormatting>
  <conditionalFormatting sqref="C55">
    <cfRule type="cellIs" dxfId="130" priority="7" operator="lessThan">
      <formula>$D$55</formula>
    </cfRule>
    <cfRule type="cellIs" dxfId="129" priority="8" operator="greaterThan">
      <formula>$D$55</formula>
    </cfRule>
  </conditionalFormatting>
  <conditionalFormatting sqref="C64">
    <cfRule type="cellIs" dxfId="128" priority="5" operator="lessThan">
      <formula>$D$64</formula>
    </cfRule>
    <cfRule type="cellIs" dxfId="127" priority="6" operator="greaterThan">
      <formula>$D$64</formula>
    </cfRule>
  </conditionalFormatting>
  <conditionalFormatting sqref="C65">
    <cfRule type="cellIs" dxfId="126" priority="3" operator="lessThan">
      <formula>$D$65</formula>
    </cfRule>
    <cfRule type="cellIs" dxfId="125" priority="4" operator="greaterThan">
      <formula>$D$65</formula>
    </cfRule>
  </conditionalFormatting>
  <conditionalFormatting sqref="D65">
    <cfRule type="cellIs" dxfId="124" priority="1" operator="lessThan">
      <formula>$C$65</formula>
    </cfRule>
    <cfRule type="cellIs" dxfId="123" priority="2" operator="greaterThan">
      <formula>$C$65</formula>
    </cfRule>
  </conditionalFormatting>
  <dataValidations count="22">
    <dataValidation type="decimal" allowBlank="1" showErrorMessage="1" errorTitle="Lateral Factor" error="Value between 0% and 50% required" sqref="C73 C125">
      <formula1>0</formula1>
      <formula2>0.5</formula2>
    </dataValidation>
    <dataValidation type="decimal" allowBlank="1" showInputMessage="1" showErrorMessage="1" errorTitle="Design Load" error="Must be no less than the above maximum calculated wheel load, nor more than 500,000" sqref="C6">
      <formula1>C5</formula1>
      <formula2>500000</formula2>
    </dataValidation>
    <dataValidation type="decimal" allowBlank="1" showErrorMessage="1" errorTitle="Wheel Axle Diameter" error="Must be no more than the wheel hub OD nor less than 1" sqref="C75">
      <formula1>0</formula1>
      <formula2>C25</formula2>
    </dataValidation>
    <dataValidation type="decimal" allowBlank="1" showInputMessage="1" showErrorMessage="1" errorTitle="Wheel Axis Location" error="Value between (d/2+ts) and (dweb-d/2) required" sqref="C105">
      <formula1>C75/2+C103</formula1>
      <formula2>C104-C75/2</formula2>
    </dataValidation>
    <dataValidation type="whole" allowBlank="1" showErrorMessage="1" errorTitle="Brinnell Hardness" error="Whole number between 50 and 500 required" sqref="C12">
      <formula1>50</formula1>
      <formula2>500</formula2>
    </dataValidation>
    <dataValidation type="decimal" allowBlank="1" showErrorMessage="1" errorTitle="Track Cross Radius" error="Value between 0 and 1000 required" sqref="C9">
      <formula1>0</formula1>
      <formula2>1000</formula2>
    </dataValidation>
    <dataValidation type="decimal" allowBlank="1" showErrorMessage="1" errorTitle="Poissons Ratio" error="Value between 0.2 and 0.5 required" sqref="C10">
      <formula1>0.2</formula1>
      <formula2>0.5</formula2>
    </dataValidation>
    <dataValidation type="decimal" allowBlank="1" showErrorMessage="1" errorTitle="Wheel Hub Length" error="Value between 1 and 15 required" sqref="C74">
      <formula1>0</formula1>
      <formula2>25</formula2>
    </dataValidation>
    <dataValidation type="decimal" allowBlank="1" showErrorMessage="1" errorTitle="Wheel End Clearance" error="Value between 0 and 2 required" sqref="C79 C132:C133">
      <formula1>0</formula1>
      <formula2>0.0254*2</formula2>
    </dataValidation>
    <dataValidation type="decimal" allowBlank="1" showErrorMessage="1" errorTitle="Support Member Thickness" error="Value between 3/8 and 4 required" sqref="C78 C131">
      <formula1>0.0254*0.375</formula1>
      <formula2>0.0254*4</formula2>
    </dataValidation>
    <dataValidation type="decimal" allowBlank="1" showErrorMessage="1" errorTitle="Wheel Hub Length" error="Value between 1 and 15 required" sqref="C126">
      <formula1>0</formula1>
      <formula2>0.0254*15</formula2>
    </dataValidation>
    <dataValidation type="decimal" allowBlank="1" showErrorMessage="1" errorTitle="Side Allowance" error="Value between 0 and 2 required" sqref="C22">
      <formula1>0</formula1>
      <formula2>2</formula2>
    </dataValidation>
    <dataValidation type="decimal" allowBlank="1" showErrorMessage="1" errorTitle="Wheel Center Thickness" error="Must be less than tread width and no less than 0.25" sqref="C24">
      <formula1>0.0254*0.25</formula1>
      <formula2>C23</formula2>
    </dataValidation>
    <dataValidation type="decimal" allowBlank="1" showErrorMessage="1" error="Must be no more than the hub diameter and no less than 1" sqref="C127">
      <formula1>0</formula1>
      <formula2>IF(PType="Line Contact",C31,C25)</formula2>
    </dataValidation>
    <dataValidation type="decimal" allowBlank="1" showErrorMessage="1" errorTitle="Wheel Axle Support Span" error="Value between 1 and 36 required" sqref="C135">
      <formula1>0.0254*1</formula1>
      <formula2>0.0254*36</formula2>
    </dataValidation>
    <dataValidation type="decimal" allowBlank="1" showErrorMessage="1" errorTitle="Wheel Tread Width" error="Value between 1 and 10 required" sqref="C23">
      <formula1>0</formula1>
      <formula2>0.0254*10</formula2>
    </dataValidation>
    <dataValidation type="decimal" allowBlank="1" showInputMessage="1" showErrorMessage="1" errorTitle="Axle Diameter at R1" error="Must be no more than the wheel axle diameter (d1) and not less than 1" sqref="C128">
      <formula1>0</formula1>
      <formula2>C127</formula2>
    </dataValidation>
    <dataValidation type="decimal" allowBlank="1" showErrorMessage="1" errorTitle="Wheel Diameter" error="Value between 6 and 42 required" sqref="C7">
      <formula1>0</formula1>
      <formula2>0.0254*42</formula2>
    </dataValidation>
    <dataValidation type="list" allowBlank="1" showInputMessage="1" showErrorMessage="1" sqref="C62">
      <formula1>CType</formula1>
    </dataValidation>
    <dataValidation type="decimal" allowBlank="1" showInputMessage="1" showErrorMessage="1" sqref="T152">
      <formula1>T126</formula1>
      <formula2>4*T126</formula2>
    </dataValidation>
    <dataValidation type="decimal" allowBlank="1" showInputMessage="1" showErrorMessage="1" sqref="C59">
      <formula1>C32</formula1>
      <formula2>W47</formula2>
    </dataValidation>
    <dataValidation type="decimal" allowBlank="1" showInputMessage="1" showErrorMessage="1" sqref="C31">
      <formula1>0.15</formula1>
      <formula2>0.15*7</formula2>
    </dataValidation>
  </dataValidations>
  <pageMargins left="0.7" right="0.7" top="0.75" bottom="0.75" header="0.3" footer="0.3"/>
  <pageSetup paperSize="9" scale="46" orientation="portrait" blackAndWhite="1" r:id="rId1"/>
  <headerFooter>
    <oddHeader>&amp;L
Summary&amp;C
&amp;R
Lower Likhu Hydropower Project (28.1 MW)</oddHeader>
    <oddFooter>Page &amp;P of &amp;N</oddFooter>
  </headerFooter>
  <drawing r:id="rId2"/>
  <legacyDrawing r:id="rId3"/>
  <oleObjects>
    <mc:AlternateContent xmlns:mc="http://schemas.openxmlformats.org/markup-compatibility/2006">
      <mc:Choice Requires="x14">
        <oleObject progId="AutoCAD.Drawing.19" shapeId="9217" r:id="rId4">
          <objectPr defaultSize="0" autoPict="0" r:id="rId5">
            <anchor moveWithCells="1">
              <from>
                <xdr:col>4</xdr:col>
                <xdr:colOff>742950</xdr:colOff>
                <xdr:row>5</xdr:row>
                <xdr:rowOff>28575</xdr:rowOff>
              </from>
              <to>
                <xdr:col>4</xdr:col>
                <xdr:colOff>2771775</xdr:colOff>
                <xdr:row>43</xdr:row>
                <xdr:rowOff>114300</xdr:rowOff>
              </to>
            </anchor>
          </objectPr>
        </oleObject>
      </mc:Choice>
      <mc:Fallback>
        <oleObject progId="AutoCAD.Drawing.19" shapeId="9217" r:id="rId4"/>
      </mc:Fallback>
    </mc:AlternateContent>
    <mc:AlternateContent xmlns:mc="http://schemas.openxmlformats.org/markup-compatibility/2006">
      <mc:Choice Requires="x14">
        <oleObject progId="AutoCAD.Drawing.19" shapeId="9218" r:id="rId6">
          <objectPr defaultSize="0" autoPict="0" r:id="rId7">
            <anchor>
              <from>
                <xdr:col>4</xdr:col>
                <xdr:colOff>161925</xdr:colOff>
                <xdr:row>122</xdr:row>
                <xdr:rowOff>180975</xdr:rowOff>
              </from>
              <to>
                <xdr:col>6</xdr:col>
                <xdr:colOff>628650</xdr:colOff>
                <xdr:row>138</xdr:row>
                <xdr:rowOff>38100</xdr:rowOff>
              </to>
            </anchor>
          </objectPr>
        </oleObject>
      </mc:Choice>
      <mc:Fallback>
        <oleObject progId="AutoCAD.Drawing.19" shapeId="9218" r:id="rId6"/>
      </mc:Fallback>
    </mc:AlternateContent>
    <mc:AlternateContent xmlns:mc="http://schemas.openxmlformats.org/markup-compatibility/2006">
      <mc:Choice Requires="x14">
        <oleObject progId="AutoCAD.Drawing.20" shapeId="9219" r:id="rId8">
          <objectPr defaultSize="0" autoPict="0" r:id="rId9">
            <anchor>
              <from>
                <xdr:col>4</xdr:col>
                <xdr:colOff>161925</xdr:colOff>
                <xdr:row>153</xdr:row>
                <xdr:rowOff>9525</xdr:rowOff>
              </from>
              <to>
                <xdr:col>15</xdr:col>
                <xdr:colOff>257175</xdr:colOff>
                <xdr:row>171</xdr:row>
                <xdr:rowOff>142875</xdr:rowOff>
              </to>
            </anchor>
          </objectPr>
        </oleObject>
      </mc:Choice>
      <mc:Fallback>
        <oleObject progId="AutoCAD.Drawing.20" shapeId="9219" r:id="rId8"/>
      </mc:Fallback>
    </mc:AlternateContent>
    <mc:AlternateContent xmlns:mc="http://schemas.openxmlformats.org/markup-compatibility/2006">
      <mc:Choice Requires="x14">
        <oleObject progId="AutoCAD.Drawing.19" shapeId="9220" r:id="rId10">
          <objectPr defaultSize="0" autoPict="0" r:id="rId11">
            <anchor>
              <from>
                <xdr:col>4</xdr:col>
                <xdr:colOff>161925</xdr:colOff>
                <xdr:row>122</xdr:row>
                <xdr:rowOff>171450</xdr:rowOff>
              </from>
              <to>
                <xdr:col>17</xdr:col>
                <xdr:colOff>161925</xdr:colOff>
                <xdr:row>137</xdr:row>
                <xdr:rowOff>19050</xdr:rowOff>
              </to>
            </anchor>
          </objectPr>
        </oleObject>
      </mc:Choice>
      <mc:Fallback>
        <oleObject progId="AutoCAD.Drawing.19" shapeId="9220" r:id="rId10"/>
      </mc:Fallback>
    </mc:AlternateContent>
    <mc:AlternateContent xmlns:mc="http://schemas.openxmlformats.org/markup-compatibility/2006">
      <mc:Choice Requires="x14">
        <oleObject progId="AutoCAD.Drawing.19" shapeId="9221" r:id="rId12">
          <objectPr defaultSize="0" autoPict="0" r:id="rId13">
            <anchor>
              <from>
                <xdr:col>4</xdr:col>
                <xdr:colOff>161925</xdr:colOff>
                <xdr:row>150</xdr:row>
                <xdr:rowOff>180975</xdr:rowOff>
              </from>
              <to>
                <xdr:col>5</xdr:col>
                <xdr:colOff>123825</xdr:colOff>
                <xdr:row>169</xdr:row>
                <xdr:rowOff>114300</xdr:rowOff>
              </to>
            </anchor>
          </objectPr>
        </oleObject>
      </mc:Choice>
      <mc:Fallback>
        <oleObject progId="AutoCAD.Drawing.19" shapeId="9221" r:id="rId12"/>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14:formula1>
            <xm:f>ISMB!$P$6:$P$19</xm:f>
          </x14:formula1>
          <xm:sqref>C58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38"/>
  <sheetViews>
    <sheetView topLeftCell="A4" zoomScale="90" zoomScaleNormal="90" workbookViewId="0">
      <selection activeCell="F15" sqref="F15"/>
    </sheetView>
  </sheetViews>
  <sheetFormatPr defaultRowHeight="14.25" x14ac:dyDescent="0.2"/>
  <cols>
    <col min="1" max="1" width="9.140625" style="197"/>
    <col min="2" max="2" width="45.85546875" style="197" bestFit="1" customWidth="1"/>
    <col min="3" max="3" width="17" style="197" bestFit="1" customWidth="1"/>
    <col min="4" max="4" width="13.42578125" style="197" bestFit="1" customWidth="1"/>
    <col min="5" max="16384" width="9.140625" style="197"/>
  </cols>
  <sheetData>
    <row r="2" spans="2:3" ht="15" x14ac:dyDescent="0.25">
      <c r="B2" s="623" t="s">
        <v>951</v>
      </c>
    </row>
    <row r="3" spans="2:3" x14ac:dyDescent="0.2">
      <c r="B3" s="197" t="s">
        <v>98</v>
      </c>
      <c r="C3" s="338">
        <f>'Wheel Design'!C5</f>
        <v>159.57212801522215</v>
      </c>
    </row>
    <row r="4" spans="2:3" x14ac:dyDescent="0.2">
      <c r="B4" s="197" t="s">
        <v>99</v>
      </c>
      <c r="C4" s="619">
        <v>81</v>
      </c>
    </row>
    <row r="5" spans="2:3" x14ac:dyDescent="0.2">
      <c r="B5" s="197" t="s">
        <v>931</v>
      </c>
      <c r="C5" s="620">
        <v>0.15</v>
      </c>
    </row>
    <row r="6" spans="2:3" x14ac:dyDescent="0.2">
      <c r="B6" s="197" t="s">
        <v>932</v>
      </c>
      <c r="C6" s="620">
        <v>7.0000000000000007E-2</v>
      </c>
    </row>
    <row r="7" spans="2:3" x14ac:dyDescent="0.2">
      <c r="B7" s="197" t="s">
        <v>933</v>
      </c>
      <c r="C7" s="621">
        <v>549.16999999999996</v>
      </c>
    </row>
    <row r="8" spans="2:3" x14ac:dyDescent="0.2">
      <c r="B8" s="197" t="s">
        <v>934</v>
      </c>
      <c r="C8" s="621">
        <v>686.46</v>
      </c>
    </row>
    <row r="9" spans="2:3" x14ac:dyDescent="0.2">
      <c r="B9" s="197" t="s">
        <v>935</v>
      </c>
      <c r="C9" s="621">
        <f>2.059*10^5</f>
        <v>205900.00000000003</v>
      </c>
    </row>
    <row r="10" spans="2:3" x14ac:dyDescent="0.2">
      <c r="B10" s="476" t="s">
        <v>103</v>
      </c>
      <c r="C10" s="622">
        <v>207</v>
      </c>
    </row>
    <row r="12" spans="2:3" ht="15" x14ac:dyDescent="0.25">
      <c r="B12" s="623" t="s">
        <v>936</v>
      </c>
    </row>
    <row r="13" spans="2:3" x14ac:dyDescent="0.2">
      <c r="B13" s="197" t="s">
        <v>939</v>
      </c>
      <c r="C13" s="612">
        <v>2</v>
      </c>
    </row>
    <row r="14" spans="2:3" x14ac:dyDescent="0.2">
      <c r="B14" s="197" t="s">
        <v>937</v>
      </c>
      <c r="C14" s="615">
        <f>1.4*C8</f>
        <v>961.04399999999998</v>
      </c>
    </row>
    <row r="15" spans="2:3" x14ac:dyDescent="0.2">
      <c r="B15" s="197" t="s">
        <v>938</v>
      </c>
      <c r="C15" s="618">
        <f>169*C10-15174</f>
        <v>19809</v>
      </c>
    </row>
    <row r="16" spans="2:3" x14ac:dyDescent="0.2">
      <c r="B16" s="197" t="s">
        <v>940</v>
      </c>
      <c r="C16" s="618">
        <f>C15/C13</f>
        <v>9904.5</v>
      </c>
    </row>
    <row r="18" spans="2:4" ht="15" x14ac:dyDescent="0.25">
      <c r="B18" s="623" t="s">
        <v>941</v>
      </c>
    </row>
    <row r="19" spans="2:4" x14ac:dyDescent="0.2">
      <c r="B19" s="197" t="s">
        <v>942</v>
      </c>
      <c r="C19" s="624">
        <f>C4/C16</f>
        <v>8.1781008632439804E-3</v>
      </c>
    </row>
    <row r="20" spans="2:4" x14ac:dyDescent="0.2">
      <c r="B20" s="197" t="s">
        <v>943</v>
      </c>
      <c r="C20" s="417">
        <f>0.005</f>
        <v>5.0000000000000001E-3</v>
      </c>
    </row>
    <row r="21" spans="2:4" x14ac:dyDescent="0.2">
      <c r="B21" s="197" t="s">
        <v>947</v>
      </c>
      <c r="C21" s="417">
        <f>C19/C5</f>
        <v>5.4520672421626538E-2</v>
      </c>
      <c r="D21" s="616">
        <f>C6</f>
        <v>7.0000000000000007E-2</v>
      </c>
    </row>
    <row r="22" spans="2:4" x14ac:dyDescent="0.2">
      <c r="B22" s="197" t="s">
        <v>944</v>
      </c>
      <c r="C22" s="417">
        <f>C6+2*C20</f>
        <v>0.08</v>
      </c>
    </row>
    <row r="24" spans="2:4" ht="15" x14ac:dyDescent="0.25">
      <c r="B24" s="623" t="s">
        <v>945</v>
      </c>
    </row>
    <row r="25" spans="2:4" x14ac:dyDescent="0.2">
      <c r="B25" s="197" t="s">
        <v>946</v>
      </c>
      <c r="C25" s="615">
        <f>0.418*SQRT(C4*C9*1000/(C5/2*C22))/1000</f>
        <v>696.90140378679109</v>
      </c>
      <c r="D25" s="617">
        <f>C14</f>
        <v>961.04399999999998</v>
      </c>
    </row>
    <row r="27" spans="2:4" ht="15" x14ac:dyDescent="0.25">
      <c r="B27" s="623" t="s">
        <v>948</v>
      </c>
    </row>
    <row r="28" spans="2:4" x14ac:dyDescent="0.2">
      <c r="B28" s="197" t="s">
        <v>949</v>
      </c>
      <c r="C28" s="615">
        <f>MIN(0.7*C8,24*C10/10*9.81)</f>
        <v>480.52199999999999</v>
      </c>
    </row>
    <row r="29" spans="2:4" x14ac:dyDescent="0.2">
      <c r="B29" s="197" t="s">
        <v>950</v>
      </c>
      <c r="C29" s="615">
        <f>0.304*C25</f>
        <v>211.8580267511845</v>
      </c>
      <c r="D29" s="617">
        <f>C28</f>
        <v>480.52199999999999</v>
      </c>
    </row>
    <row r="31" spans="2:4" ht="15" x14ac:dyDescent="0.25">
      <c r="B31" s="623" t="s">
        <v>952</v>
      </c>
    </row>
    <row r="32" spans="2:4" x14ac:dyDescent="0.2">
      <c r="B32" s="197" t="s">
        <v>953</v>
      </c>
      <c r="C32" s="611">
        <v>0.08</v>
      </c>
    </row>
    <row r="33" spans="2:4" x14ac:dyDescent="0.2">
      <c r="B33" s="197" t="s">
        <v>954</v>
      </c>
      <c r="C33" s="611">
        <v>0.01</v>
      </c>
    </row>
    <row r="34" spans="2:4" x14ac:dyDescent="0.2">
      <c r="B34" s="197" t="s">
        <v>955</v>
      </c>
      <c r="C34" s="197" t="s">
        <v>54</v>
      </c>
    </row>
    <row r="35" spans="2:4" x14ac:dyDescent="0.2">
      <c r="B35" s="197" t="s">
        <v>856</v>
      </c>
      <c r="C35" s="625">
        <f>VLOOKUP(C34,Lib!A5:I18,8,FALSE)/(100^4)</f>
        <v>2.5749999999999999E-6</v>
      </c>
    </row>
    <row r="36" spans="2:4" x14ac:dyDescent="0.2">
      <c r="B36" s="197" t="s">
        <v>956</v>
      </c>
      <c r="C36" s="197" t="s">
        <v>960</v>
      </c>
    </row>
    <row r="37" spans="2:4" x14ac:dyDescent="0.2">
      <c r="B37" s="197" t="s">
        <v>966</v>
      </c>
      <c r="C37" s="610">
        <f>5000*(RIGHT(C36,2))^0.5</f>
        <v>25000</v>
      </c>
    </row>
    <row r="38" spans="2:4" x14ac:dyDescent="0.2">
      <c r="B38" s="197" t="s">
        <v>967</v>
      </c>
      <c r="C38" s="610">
        <f>0.218*C4*1000*(C37/(C9*C35*C32^2))^(1/3)/10^6</f>
        <v>3.435977653961078</v>
      </c>
      <c r="D38" s="626">
        <f>0.45*RIGHT(C36,2)</f>
        <v>11.25</v>
      </c>
    </row>
  </sheetData>
  <conditionalFormatting sqref="D25">
    <cfRule type="cellIs" dxfId="122" priority="14" operator="lessThan">
      <formula>$C$25</formula>
    </cfRule>
    <cfRule type="cellIs" dxfId="121" priority="16" operator="greaterThan">
      <formula>$C$25</formula>
    </cfRule>
  </conditionalFormatting>
  <conditionalFormatting sqref="C25">
    <cfRule type="cellIs" dxfId="120" priority="13" operator="greaterThan">
      <formula>$D$25</formula>
    </cfRule>
    <cfRule type="cellIs" dxfId="119" priority="15" operator="lessThan">
      <formula>$D$25</formula>
    </cfRule>
  </conditionalFormatting>
  <conditionalFormatting sqref="D21">
    <cfRule type="cellIs" dxfId="118" priority="11" operator="lessThan">
      <formula>$C$21</formula>
    </cfRule>
    <cfRule type="cellIs" dxfId="117" priority="12" operator="greaterThan">
      <formula>$C$21</formula>
    </cfRule>
  </conditionalFormatting>
  <conditionalFormatting sqref="C21">
    <cfRule type="cellIs" dxfId="116" priority="9" operator="lessThan">
      <formula>$D$21</formula>
    </cfRule>
    <cfRule type="cellIs" dxfId="115" priority="10" operator="greaterThan">
      <formula>$D$21</formula>
    </cfRule>
  </conditionalFormatting>
  <conditionalFormatting sqref="D29">
    <cfRule type="cellIs" dxfId="114" priority="7" operator="lessThan">
      <formula>$C$29</formula>
    </cfRule>
    <cfRule type="cellIs" dxfId="113" priority="8" operator="greaterThan">
      <formula>$C$29</formula>
    </cfRule>
  </conditionalFormatting>
  <conditionalFormatting sqref="C29">
    <cfRule type="cellIs" dxfId="112" priority="5" operator="lessThan">
      <formula>$D$29</formula>
    </cfRule>
    <cfRule type="cellIs" dxfId="111" priority="6" operator="greaterThan">
      <formula>$D$29</formula>
    </cfRule>
  </conditionalFormatting>
  <conditionalFormatting sqref="C38">
    <cfRule type="cellIs" dxfId="110" priority="3" operator="greaterThan">
      <formula>$D$38</formula>
    </cfRule>
    <cfRule type="cellIs" dxfId="109" priority="4" operator="lessThan">
      <formula>$D$38</formula>
    </cfRule>
  </conditionalFormatting>
  <conditionalFormatting sqref="D38">
    <cfRule type="cellIs" dxfId="108" priority="1" operator="greaterThan">
      <formula>$C$38</formula>
    </cfRule>
    <cfRule type="cellIs" dxfId="107" priority="2" operator="lessThan">
      <formula>$C$38</formula>
    </cfRule>
  </conditionalFormatting>
  <dataValidations count="3">
    <dataValidation type="decimal" allowBlank="1" showInputMessage="1" showErrorMessage="1" sqref="C32">
      <formula1>C6</formula1>
      <formula2>4*C6</formula2>
    </dataValidation>
    <dataValidation type="list" allowBlank="1" showInputMessage="1" showErrorMessage="1" sqref="C34">
      <formula1>IShape</formula1>
    </dataValidation>
    <dataValidation type="list" allowBlank="1" showInputMessage="1" showErrorMessage="1" sqref="C36">
      <formula1>CType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ownpull"/>
  <dimension ref="A1:DD63"/>
  <sheetViews>
    <sheetView zoomScale="80" zoomScaleNormal="80" workbookViewId="0">
      <selection activeCell="C6" sqref="C6"/>
    </sheetView>
  </sheetViews>
  <sheetFormatPr defaultRowHeight="12.75" x14ac:dyDescent="0.2"/>
  <cols>
    <col min="1" max="1" width="27.140625" style="1" customWidth="1"/>
    <col min="2" max="2" width="7.28515625" style="1" customWidth="1"/>
    <col min="3" max="3" width="14.42578125" style="1" customWidth="1"/>
    <col min="4" max="5" width="11.7109375" style="1" customWidth="1"/>
    <col min="6" max="6" width="7.85546875" style="1" customWidth="1"/>
    <col min="7" max="7" width="98.7109375" style="1" customWidth="1"/>
    <col min="8" max="8" width="0" style="1" hidden="1" customWidth="1"/>
    <col min="9" max="9" width="9.140625" style="1" hidden="1" customWidth="1"/>
    <col min="10" max="10" width="13" style="1" hidden="1" customWidth="1"/>
    <col min="11" max="108" width="11.7109375" style="1" hidden="1" customWidth="1"/>
    <col min="109" max="16384" width="9.140625" style="1"/>
  </cols>
  <sheetData>
    <row r="1" spans="1:8" ht="15.75" x14ac:dyDescent="0.2">
      <c r="A1" s="1151" t="s">
        <v>522</v>
      </c>
      <c r="B1" s="1151"/>
      <c r="C1" s="1151"/>
      <c r="D1" s="1151"/>
      <c r="E1" s="1151"/>
      <c r="F1" s="1151"/>
      <c r="G1" s="1151"/>
    </row>
    <row r="2" spans="1:8" ht="15.75" x14ac:dyDescent="0.2">
      <c r="A2" s="1151" t="str">
        <f>GType</f>
        <v>Fixed Wheel (cantilevered)</v>
      </c>
      <c r="B2" s="1151"/>
      <c r="C2" s="1151"/>
      <c r="D2" s="1151"/>
      <c r="E2" s="1151"/>
      <c r="F2" s="1151"/>
      <c r="G2" s="1151"/>
    </row>
    <row r="3" spans="1:8" ht="30.75" customHeight="1" x14ac:dyDescent="0.2">
      <c r="A3" s="1149" t="s">
        <v>523</v>
      </c>
      <c r="B3" s="1150"/>
      <c r="C3" s="1150"/>
      <c r="D3" s="1150"/>
      <c r="E3" s="1150"/>
      <c r="F3" s="1150"/>
      <c r="G3" s="1150"/>
    </row>
    <row r="6" spans="1:8" x14ac:dyDescent="0.2">
      <c r="A6" s="9" t="s">
        <v>524</v>
      </c>
      <c r="C6" s="64" t="s">
        <v>525</v>
      </c>
    </row>
    <row r="7" spans="1:8" x14ac:dyDescent="0.2">
      <c r="A7" s="9" t="s">
        <v>526</v>
      </c>
      <c r="B7" s="3" t="s">
        <v>527</v>
      </c>
      <c r="C7" s="64">
        <v>0</v>
      </c>
    </row>
    <row r="8" spans="1:8" x14ac:dyDescent="0.2">
      <c r="A8" s="9" t="s">
        <v>528</v>
      </c>
      <c r="B8" s="3" t="s">
        <v>529</v>
      </c>
      <c r="C8" s="64">
        <v>0</v>
      </c>
    </row>
    <row r="9" spans="1:8" x14ac:dyDescent="0.2">
      <c r="A9" s="9" t="s">
        <v>530</v>
      </c>
      <c r="B9" s="3" t="s">
        <v>248</v>
      </c>
      <c r="C9" s="84">
        <f>(Seals!C7+Seals!C15)/1000</f>
        <v>5.6000000000000001E-2</v>
      </c>
      <c r="D9" s="5" t="s">
        <v>653</v>
      </c>
    </row>
    <row r="10" spans="1:8" x14ac:dyDescent="0.2">
      <c r="A10" s="9" t="s">
        <v>531</v>
      </c>
      <c r="B10" s="3" t="s">
        <v>244</v>
      </c>
      <c r="C10" s="64">
        <f>6*25.4/1000</f>
        <v>0.15239999999999998</v>
      </c>
      <c r="D10" s="5" t="s">
        <v>653</v>
      </c>
      <c r="H10" s="1">
        <f>HB</f>
        <v>7.5299999999999727</v>
      </c>
    </row>
    <row r="11" spans="1:8" x14ac:dyDescent="0.2">
      <c r="A11" s="9" t="s">
        <v>532</v>
      </c>
      <c r="B11" s="3" t="s">
        <v>533</v>
      </c>
      <c r="C11" s="64">
        <f>3.9375*25.4/1000</f>
        <v>0.10001249999999999</v>
      </c>
      <c r="D11" s="5" t="s">
        <v>653</v>
      </c>
      <c r="H11" s="1">
        <f>(27*C12^2/8/(Lse/1)^2/9.81)^(1/3)</f>
        <v>5.9909394336491335</v>
      </c>
    </row>
    <row r="12" spans="1:8" x14ac:dyDescent="0.2">
      <c r="A12" s="9" t="s">
        <v>534</v>
      </c>
      <c r="B12" s="3" t="s">
        <v>535</v>
      </c>
      <c r="C12" s="65">
        <f>3000*0.03</f>
        <v>90</v>
      </c>
      <c r="D12" s="5" t="s">
        <v>655</v>
      </c>
      <c r="H12" s="1">
        <f>(HB/1)/3*(2*COS((ACOS(1-27*$C$12^2/4/(Lse/1)^2/9.81/(HB/1)^3)+4*PI())/3)+1)</f>
        <v>2.522102956991068</v>
      </c>
    </row>
    <row r="13" spans="1:8" x14ac:dyDescent="0.2">
      <c r="B13" s="3"/>
    </row>
    <row r="14" spans="1:8" x14ac:dyDescent="0.2">
      <c r="A14" s="9" t="s">
        <v>536</v>
      </c>
      <c r="B14" s="3" t="s">
        <v>202</v>
      </c>
      <c r="C14" s="66">
        <f ca="1">(OFFSET('Define Beam'!$G$11,DBrow*(N-1),0)+OFFSET('Define Beam'!$I$11,DBrow*(N-1),0)+OFFSET('Define Beam'!$K$11,DBrow*(N-1),0))</f>
        <v>0.35</v>
      </c>
      <c r="D14" s="5" t="s">
        <v>653</v>
      </c>
    </row>
    <row r="15" spans="1:8" x14ac:dyDescent="0.2">
      <c r="A15" s="9" t="s">
        <v>537</v>
      </c>
      <c r="B15" s="3" t="s">
        <v>538</v>
      </c>
      <c r="C15" s="67">
        <v>0.4</v>
      </c>
    </row>
    <row r="16" spans="1:8" x14ac:dyDescent="0.2">
      <c r="A16" s="9" t="s">
        <v>539</v>
      </c>
      <c r="B16" s="3" t="s">
        <v>233</v>
      </c>
      <c r="C16" s="67">
        <f ca="1">C8*C14</f>
        <v>0</v>
      </c>
      <c r="D16" s="5" t="s">
        <v>653</v>
      </c>
    </row>
    <row r="17" spans="1:108" x14ac:dyDescent="0.2">
      <c r="A17" s="9" t="s">
        <v>540</v>
      </c>
      <c r="B17" s="3" t="s">
        <v>541</v>
      </c>
      <c r="C17" s="67">
        <f>IF(C6="Face",HB,D)</f>
        <v>2.9</v>
      </c>
      <c r="D17" s="5" t="s">
        <v>653</v>
      </c>
    </row>
    <row r="18" spans="1:108" x14ac:dyDescent="0.2">
      <c r="A18" s="9" t="s">
        <v>542</v>
      </c>
      <c r="B18" s="3" t="s">
        <v>543</v>
      </c>
      <c r="C18" s="63">
        <f>Lse*C9</f>
        <v>0.2016</v>
      </c>
      <c r="D18" s="5" t="s">
        <v>654</v>
      </c>
    </row>
    <row r="19" spans="1:108" x14ac:dyDescent="0.2">
      <c r="A19" s="9" t="s">
        <v>544</v>
      </c>
      <c r="B19" s="3"/>
      <c r="C19" s="68">
        <f>C11/(C9+C11)</f>
        <v>0.64105440269209191</v>
      </c>
      <c r="J19" s="55">
        <f ca="1">MIN(J60:DD60)</f>
        <v>10.574569724899758</v>
      </c>
      <c r="K19" s="69">
        <f ca="1">MATCH(J19,J60:DD60,0)/100</f>
        <v>0.01</v>
      </c>
    </row>
    <row r="20" spans="1:108" x14ac:dyDescent="0.2">
      <c r="A20" s="9" t="s">
        <v>545</v>
      </c>
      <c r="B20" s="3" t="s">
        <v>546</v>
      </c>
      <c r="C20" s="68">
        <f>11.19792*C19^5-26.01563*C19^4+18.08333*C19^3-3.22188*C19^2+0.95625*C19</f>
        <v>0.87165071392768745</v>
      </c>
      <c r="J20" s="55">
        <f ca="1">MAX(J60:DD60)</f>
        <v>111.76263550597</v>
      </c>
      <c r="K20" s="69">
        <f ca="1">MATCH(J20,J60:DD60,0)/100</f>
        <v>0.16</v>
      </c>
    </row>
    <row r="21" spans="1:108" x14ac:dyDescent="0.2">
      <c r="A21" s="9" t="s">
        <v>547</v>
      </c>
      <c r="B21" s="3" t="s">
        <v>548</v>
      </c>
      <c r="C21" s="70">
        <f>Lse*C17</f>
        <v>10.44</v>
      </c>
      <c r="D21" s="5" t="s">
        <v>654</v>
      </c>
    </row>
    <row r="22" spans="1:108" x14ac:dyDescent="0.2">
      <c r="A22" s="9"/>
    </row>
    <row r="23" spans="1:108" x14ac:dyDescent="0.2">
      <c r="I23" s="4" t="s">
        <v>549</v>
      </c>
      <c r="J23" s="68">
        <f>IF(HB&gt;(27*C12^2/8/(Lse/1)^2/9.81)^(1/3),(HB/1)/3*(2*COS((ACOS(1-27*$C$12^2/4/(Lse/1)^2/9.81/(HB/1)^3)+4*PI())/3)+1),D)</f>
        <v>2.522102956991068</v>
      </c>
    </row>
    <row r="24" spans="1:108" x14ac:dyDescent="0.2">
      <c r="A24" s="9"/>
      <c r="B24" s="71"/>
      <c r="D24" s="56" t="s">
        <v>550</v>
      </c>
      <c r="E24" s="56" t="s">
        <v>551</v>
      </c>
    </row>
    <row r="25" spans="1:108" x14ac:dyDescent="0.2">
      <c r="A25" s="9" t="s">
        <v>552</v>
      </c>
      <c r="B25" s="3" t="s">
        <v>497</v>
      </c>
      <c r="C25" s="72">
        <v>0.01</v>
      </c>
      <c r="D25" s="69">
        <f ca="1">K19</f>
        <v>0.01</v>
      </c>
      <c r="E25" s="69">
        <f ca="1">K20</f>
        <v>0.16</v>
      </c>
      <c r="I25" s="61" t="s">
        <v>497</v>
      </c>
      <c r="J25" s="73">
        <v>0.01</v>
      </c>
      <c r="K25" s="73">
        <f t="shared" ref="K25:BV25" si="0">J25+0.01</f>
        <v>0.02</v>
      </c>
      <c r="L25" s="73">
        <f t="shared" si="0"/>
        <v>0.03</v>
      </c>
      <c r="M25" s="73">
        <f t="shared" si="0"/>
        <v>0.04</v>
      </c>
      <c r="N25" s="73">
        <f t="shared" si="0"/>
        <v>0.05</v>
      </c>
      <c r="O25" s="73">
        <f t="shared" si="0"/>
        <v>6.0000000000000005E-2</v>
      </c>
      <c r="P25" s="73">
        <f t="shared" si="0"/>
        <v>7.0000000000000007E-2</v>
      </c>
      <c r="Q25" s="73">
        <f t="shared" si="0"/>
        <v>0.08</v>
      </c>
      <c r="R25" s="73">
        <f t="shared" si="0"/>
        <v>0.09</v>
      </c>
      <c r="S25" s="73">
        <f t="shared" si="0"/>
        <v>9.9999999999999992E-2</v>
      </c>
      <c r="T25" s="73">
        <f t="shared" si="0"/>
        <v>0.10999999999999999</v>
      </c>
      <c r="U25" s="73">
        <f t="shared" si="0"/>
        <v>0.11999999999999998</v>
      </c>
      <c r="V25" s="73">
        <f t="shared" si="0"/>
        <v>0.12999999999999998</v>
      </c>
      <c r="W25" s="73">
        <f t="shared" si="0"/>
        <v>0.13999999999999999</v>
      </c>
      <c r="X25" s="73">
        <f t="shared" si="0"/>
        <v>0.15</v>
      </c>
      <c r="Y25" s="73">
        <f t="shared" si="0"/>
        <v>0.16</v>
      </c>
      <c r="Z25" s="73">
        <f t="shared" si="0"/>
        <v>0.17</v>
      </c>
      <c r="AA25" s="73">
        <f t="shared" si="0"/>
        <v>0.18000000000000002</v>
      </c>
      <c r="AB25" s="73">
        <f t="shared" si="0"/>
        <v>0.19000000000000003</v>
      </c>
      <c r="AC25" s="73">
        <f t="shared" si="0"/>
        <v>0.20000000000000004</v>
      </c>
      <c r="AD25" s="73">
        <f t="shared" si="0"/>
        <v>0.21000000000000005</v>
      </c>
      <c r="AE25" s="73">
        <f t="shared" si="0"/>
        <v>0.22000000000000006</v>
      </c>
      <c r="AF25" s="73">
        <f t="shared" si="0"/>
        <v>0.23000000000000007</v>
      </c>
      <c r="AG25" s="73">
        <f t="shared" si="0"/>
        <v>0.24000000000000007</v>
      </c>
      <c r="AH25" s="73">
        <f t="shared" si="0"/>
        <v>0.25000000000000006</v>
      </c>
      <c r="AI25" s="73">
        <f t="shared" si="0"/>
        <v>0.26000000000000006</v>
      </c>
      <c r="AJ25" s="73">
        <f t="shared" si="0"/>
        <v>0.27000000000000007</v>
      </c>
      <c r="AK25" s="73">
        <f t="shared" si="0"/>
        <v>0.28000000000000008</v>
      </c>
      <c r="AL25" s="73">
        <f t="shared" si="0"/>
        <v>0.29000000000000009</v>
      </c>
      <c r="AM25" s="73">
        <f t="shared" si="0"/>
        <v>0.3000000000000001</v>
      </c>
      <c r="AN25" s="73">
        <f t="shared" si="0"/>
        <v>0.31000000000000011</v>
      </c>
      <c r="AO25" s="73">
        <f t="shared" si="0"/>
        <v>0.32000000000000012</v>
      </c>
      <c r="AP25" s="73">
        <f t="shared" si="0"/>
        <v>0.33000000000000013</v>
      </c>
      <c r="AQ25" s="73">
        <f t="shared" si="0"/>
        <v>0.34000000000000014</v>
      </c>
      <c r="AR25" s="73">
        <f t="shared" si="0"/>
        <v>0.35000000000000014</v>
      </c>
      <c r="AS25" s="73">
        <f t="shared" si="0"/>
        <v>0.36000000000000015</v>
      </c>
      <c r="AT25" s="73">
        <f t="shared" si="0"/>
        <v>0.37000000000000016</v>
      </c>
      <c r="AU25" s="73">
        <f t="shared" si="0"/>
        <v>0.38000000000000017</v>
      </c>
      <c r="AV25" s="73">
        <f t="shared" si="0"/>
        <v>0.39000000000000018</v>
      </c>
      <c r="AW25" s="73">
        <f t="shared" si="0"/>
        <v>0.40000000000000019</v>
      </c>
      <c r="AX25" s="73">
        <f t="shared" si="0"/>
        <v>0.4100000000000002</v>
      </c>
      <c r="AY25" s="73">
        <f t="shared" si="0"/>
        <v>0.42000000000000021</v>
      </c>
      <c r="AZ25" s="73">
        <f t="shared" si="0"/>
        <v>0.43000000000000022</v>
      </c>
      <c r="BA25" s="73">
        <f t="shared" si="0"/>
        <v>0.44000000000000022</v>
      </c>
      <c r="BB25" s="73">
        <f t="shared" si="0"/>
        <v>0.45000000000000023</v>
      </c>
      <c r="BC25" s="73">
        <f t="shared" si="0"/>
        <v>0.46000000000000024</v>
      </c>
      <c r="BD25" s="73">
        <f t="shared" si="0"/>
        <v>0.47000000000000025</v>
      </c>
      <c r="BE25" s="73">
        <f t="shared" si="0"/>
        <v>0.48000000000000026</v>
      </c>
      <c r="BF25" s="73">
        <f t="shared" si="0"/>
        <v>0.49000000000000027</v>
      </c>
      <c r="BG25" s="73">
        <f t="shared" si="0"/>
        <v>0.50000000000000022</v>
      </c>
      <c r="BH25" s="73">
        <f t="shared" si="0"/>
        <v>0.51000000000000023</v>
      </c>
      <c r="BI25" s="73">
        <f t="shared" si="0"/>
        <v>0.52000000000000024</v>
      </c>
      <c r="BJ25" s="73">
        <f t="shared" si="0"/>
        <v>0.53000000000000025</v>
      </c>
      <c r="BK25" s="73">
        <f t="shared" si="0"/>
        <v>0.54000000000000026</v>
      </c>
      <c r="BL25" s="73">
        <f t="shared" si="0"/>
        <v>0.55000000000000027</v>
      </c>
      <c r="BM25" s="73">
        <f t="shared" si="0"/>
        <v>0.56000000000000028</v>
      </c>
      <c r="BN25" s="73">
        <f t="shared" si="0"/>
        <v>0.57000000000000028</v>
      </c>
      <c r="BO25" s="73">
        <f t="shared" si="0"/>
        <v>0.58000000000000029</v>
      </c>
      <c r="BP25" s="73">
        <f t="shared" si="0"/>
        <v>0.5900000000000003</v>
      </c>
      <c r="BQ25" s="73">
        <f t="shared" si="0"/>
        <v>0.60000000000000031</v>
      </c>
      <c r="BR25" s="73">
        <f t="shared" si="0"/>
        <v>0.61000000000000032</v>
      </c>
      <c r="BS25" s="73">
        <f t="shared" si="0"/>
        <v>0.62000000000000033</v>
      </c>
      <c r="BT25" s="73">
        <f t="shared" si="0"/>
        <v>0.63000000000000034</v>
      </c>
      <c r="BU25" s="73">
        <f t="shared" si="0"/>
        <v>0.64000000000000035</v>
      </c>
      <c r="BV25" s="73">
        <f t="shared" si="0"/>
        <v>0.65000000000000036</v>
      </c>
      <c r="BW25" s="73">
        <f t="shared" ref="BW25:DD25" si="1">BV25+0.01</f>
        <v>0.66000000000000036</v>
      </c>
      <c r="BX25" s="73">
        <f t="shared" si="1"/>
        <v>0.67000000000000037</v>
      </c>
      <c r="BY25" s="73">
        <f t="shared" si="1"/>
        <v>0.68000000000000038</v>
      </c>
      <c r="BZ25" s="73">
        <f t="shared" si="1"/>
        <v>0.69000000000000039</v>
      </c>
      <c r="CA25" s="73">
        <f t="shared" si="1"/>
        <v>0.7000000000000004</v>
      </c>
      <c r="CB25" s="73">
        <f t="shared" si="1"/>
        <v>0.71000000000000041</v>
      </c>
      <c r="CC25" s="73">
        <f t="shared" si="1"/>
        <v>0.72000000000000042</v>
      </c>
      <c r="CD25" s="73">
        <f t="shared" si="1"/>
        <v>0.73000000000000043</v>
      </c>
      <c r="CE25" s="73">
        <f t="shared" si="1"/>
        <v>0.74000000000000044</v>
      </c>
      <c r="CF25" s="73">
        <f t="shared" si="1"/>
        <v>0.75000000000000044</v>
      </c>
      <c r="CG25" s="73">
        <f t="shared" si="1"/>
        <v>0.76000000000000045</v>
      </c>
      <c r="CH25" s="73">
        <f t="shared" si="1"/>
        <v>0.77000000000000046</v>
      </c>
      <c r="CI25" s="73">
        <f t="shared" si="1"/>
        <v>0.78000000000000047</v>
      </c>
      <c r="CJ25" s="73">
        <f t="shared" si="1"/>
        <v>0.79000000000000048</v>
      </c>
      <c r="CK25" s="73">
        <f t="shared" si="1"/>
        <v>0.80000000000000049</v>
      </c>
      <c r="CL25" s="73">
        <f t="shared" si="1"/>
        <v>0.8100000000000005</v>
      </c>
      <c r="CM25" s="73">
        <f t="shared" si="1"/>
        <v>0.82000000000000051</v>
      </c>
      <c r="CN25" s="73">
        <f t="shared" si="1"/>
        <v>0.83000000000000052</v>
      </c>
      <c r="CO25" s="73">
        <f t="shared" si="1"/>
        <v>0.84000000000000052</v>
      </c>
      <c r="CP25" s="73">
        <f t="shared" si="1"/>
        <v>0.85000000000000053</v>
      </c>
      <c r="CQ25" s="73">
        <f t="shared" si="1"/>
        <v>0.86000000000000054</v>
      </c>
      <c r="CR25" s="73">
        <f t="shared" si="1"/>
        <v>0.87000000000000055</v>
      </c>
      <c r="CS25" s="73">
        <f t="shared" si="1"/>
        <v>0.88000000000000056</v>
      </c>
      <c r="CT25" s="73">
        <f t="shared" si="1"/>
        <v>0.89000000000000057</v>
      </c>
      <c r="CU25" s="73">
        <f t="shared" si="1"/>
        <v>0.90000000000000058</v>
      </c>
      <c r="CV25" s="73">
        <f t="shared" si="1"/>
        <v>0.91000000000000059</v>
      </c>
      <c r="CW25" s="73">
        <f t="shared" si="1"/>
        <v>0.9200000000000006</v>
      </c>
      <c r="CX25" s="73">
        <f t="shared" si="1"/>
        <v>0.9300000000000006</v>
      </c>
      <c r="CY25" s="73">
        <f t="shared" si="1"/>
        <v>0.94000000000000061</v>
      </c>
      <c r="CZ25" s="73">
        <f t="shared" si="1"/>
        <v>0.95000000000000062</v>
      </c>
      <c r="DA25" s="73">
        <f t="shared" si="1"/>
        <v>0.96000000000000063</v>
      </c>
      <c r="DB25" s="73">
        <f t="shared" si="1"/>
        <v>0.97000000000000064</v>
      </c>
      <c r="DC25" s="73">
        <f t="shared" si="1"/>
        <v>0.98000000000000065</v>
      </c>
      <c r="DD25" s="73">
        <f t="shared" si="1"/>
        <v>0.99000000000000066</v>
      </c>
    </row>
    <row r="26" spans="1:108" x14ac:dyDescent="0.2">
      <c r="A26" s="9" t="s">
        <v>553</v>
      </c>
      <c r="B26" s="3" t="s">
        <v>232</v>
      </c>
      <c r="C26" s="85">
        <f>C25*$C$17</f>
        <v>2.8999999999999998E-2</v>
      </c>
      <c r="D26" s="58">
        <f ca="1">D25*$C$17</f>
        <v>2.8999999999999998E-2</v>
      </c>
      <c r="E26" s="58">
        <f ca="1">E25*$C$17</f>
        <v>0.46399999999999997</v>
      </c>
      <c r="F26" s="54" t="s">
        <v>653</v>
      </c>
      <c r="I26" s="3" t="s">
        <v>232</v>
      </c>
      <c r="J26" s="57">
        <f t="shared" ref="J26:BU26" si="2">J25*$C$17</f>
        <v>2.8999999999999998E-2</v>
      </c>
      <c r="K26" s="57">
        <f t="shared" si="2"/>
        <v>5.7999999999999996E-2</v>
      </c>
      <c r="L26" s="57">
        <f t="shared" si="2"/>
        <v>8.6999999999999994E-2</v>
      </c>
      <c r="M26" s="57">
        <f t="shared" si="2"/>
        <v>0.11599999999999999</v>
      </c>
      <c r="N26" s="57">
        <f t="shared" si="2"/>
        <v>0.14499999999999999</v>
      </c>
      <c r="O26" s="57">
        <f t="shared" si="2"/>
        <v>0.17400000000000002</v>
      </c>
      <c r="P26" s="57">
        <f t="shared" si="2"/>
        <v>0.20300000000000001</v>
      </c>
      <c r="Q26" s="57">
        <f t="shared" si="2"/>
        <v>0.23199999999999998</v>
      </c>
      <c r="R26" s="57">
        <f t="shared" si="2"/>
        <v>0.26100000000000001</v>
      </c>
      <c r="S26" s="57">
        <f t="shared" si="2"/>
        <v>0.28999999999999998</v>
      </c>
      <c r="T26" s="57">
        <f t="shared" si="2"/>
        <v>0.31899999999999995</v>
      </c>
      <c r="U26" s="57">
        <f t="shared" si="2"/>
        <v>0.34799999999999992</v>
      </c>
      <c r="V26" s="57">
        <f t="shared" si="2"/>
        <v>0.37699999999999995</v>
      </c>
      <c r="W26" s="57">
        <f t="shared" si="2"/>
        <v>0.40599999999999997</v>
      </c>
      <c r="X26" s="57">
        <f t="shared" si="2"/>
        <v>0.435</v>
      </c>
      <c r="Y26" s="57">
        <f t="shared" si="2"/>
        <v>0.46399999999999997</v>
      </c>
      <c r="Z26" s="57">
        <f t="shared" si="2"/>
        <v>0.49299999999999999</v>
      </c>
      <c r="AA26" s="57">
        <f t="shared" si="2"/>
        <v>0.52200000000000002</v>
      </c>
      <c r="AB26" s="57">
        <f t="shared" si="2"/>
        <v>0.55100000000000005</v>
      </c>
      <c r="AC26" s="57">
        <f t="shared" si="2"/>
        <v>0.58000000000000007</v>
      </c>
      <c r="AD26" s="57">
        <f t="shared" si="2"/>
        <v>0.6090000000000001</v>
      </c>
      <c r="AE26" s="57">
        <f t="shared" si="2"/>
        <v>0.63800000000000012</v>
      </c>
      <c r="AF26" s="57">
        <f t="shared" si="2"/>
        <v>0.66700000000000015</v>
      </c>
      <c r="AG26" s="57">
        <f t="shared" si="2"/>
        <v>0.69600000000000017</v>
      </c>
      <c r="AH26" s="57">
        <f t="shared" si="2"/>
        <v>0.72500000000000009</v>
      </c>
      <c r="AI26" s="57">
        <f t="shared" si="2"/>
        <v>0.75400000000000011</v>
      </c>
      <c r="AJ26" s="57">
        <f t="shared" si="2"/>
        <v>0.78300000000000014</v>
      </c>
      <c r="AK26" s="57">
        <f t="shared" si="2"/>
        <v>0.81200000000000017</v>
      </c>
      <c r="AL26" s="57">
        <f t="shared" si="2"/>
        <v>0.84100000000000019</v>
      </c>
      <c r="AM26" s="57">
        <f t="shared" si="2"/>
        <v>0.87000000000000022</v>
      </c>
      <c r="AN26" s="57">
        <f t="shared" si="2"/>
        <v>0.89900000000000024</v>
      </c>
      <c r="AO26" s="57">
        <f t="shared" si="2"/>
        <v>0.92800000000000027</v>
      </c>
      <c r="AP26" s="57">
        <f t="shared" si="2"/>
        <v>0.95700000000000029</v>
      </c>
      <c r="AQ26" s="57">
        <f t="shared" si="2"/>
        <v>0.98600000000000032</v>
      </c>
      <c r="AR26" s="57">
        <f t="shared" si="2"/>
        <v>1.0150000000000003</v>
      </c>
      <c r="AS26" s="57">
        <f t="shared" si="2"/>
        <v>1.0440000000000005</v>
      </c>
      <c r="AT26" s="57">
        <f t="shared" si="2"/>
        <v>1.0730000000000004</v>
      </c>
      <c r="AU26" s="57">
        <f t="shared" si="2"/>
        <v>1.1020000000000005</v>
      </c>
      <c r="AV26" s="57">
        <f t="shared" si="2"/>
        <v>1.1310000000000004</v>
      </c>
      <c r="AW26" s="57">
        <f t="shared" si="2"/>
        <v>1.1600000000000006</v>
      </c>
      <c r="AX26" s="57">
        <f t="shared" si="2"/>
        <v>1.1890000000000005</v>
      </c>
      <c r="AY26" s="57">
        <f t="shared" si="2"/>
        <v>1.2180000000000006</v>
      </c>
      <c r="AZ26" s="57">
        <f t="shared" si="2"/>
        <v>1.2470000000000006</v>
      </c>
      <c r="BA26" s="57">
        <f t="shared" si="2"/>
        <v>1.2760000000000007</v>
      </c>
      <c r="BB26" s="57">
        <f t="shared" si="2"/>
        <v>1.3050000000000006</v>
      </c>
      <c r="BC26" s="57">
        <f t="shared" si="2"/>
        <v>1.3340000000000007</v>
      </c>
      <c r="BD26" s="57">
        <f t="shared" si="2"/>
        <v>1.3630000000000007</v>
      </c>
      <c r="BE26" s="57">
        <f t="shared" si="2"/>
        <v>1.3920000000000008</v>
      </c>
      <c r="BF26" s="57">
        <f t="shared" si="2"/>
        <v>1.4210000000000007</v>
      </c>
      <c r="BG26" s="57">
        <f t="shared" si="2"/>
        <v>1.4500000000000006</v>
      </c>
      <c r="BH26" s="57">
        <f t="shared" si="2"/>
        <v>1.4790000000000005</v>
      </c>
      <c r="BI26" s="57">
        <f t="shared" si="2"/>
        <v>1.5080000000000007</v>
      </c>
      <c r="BJ26" s="57">
        <f t="shared" si="2"/>
        <v>1.5370000000000006</v>
      </c>
      <c r="BK26" s="57">
        <f t="shared" si="2"/>
        <v>1.5660000000000007</v>
      </c>
      <c r="BL26" s="57">
        <f t="shared" si="2"/>
        <v>1.5950000000000006</v>
      </c>
      <c r="BM26" s="57">
        <f t="shared" si="2"/>
        <v>1.6240000000000008</v>
      </c>
      <c r="BN26" s="57">
        <f t="shared" si="2"/>
        <v>1.6530000000000007</v>
      </c>
      <c r="BO26" s="57">
        <f t="shared" si="2"/>
        <v>1.6820000000000008</v>
      </c>
      <c r="BP26" s="57">
        <f t="shared" si="2"/>
        <v>1.7110000000000007</v>
      </c>
      <c r="BQ26" s="57">
        <f t="shared" si="2"/>
        <v>1.7400000000000009</v>
      </c>
      <c r="BR26" s="57">
        <f t="shared" si="2"/>
        <v>1.7690000000000008</v>
      </c>
      <c r="BS26" s="57">
        <f t="shared" si="2"/>
        <v>1.7980000000000009</v>
      </c>
      <c r="BT26" s="57">
        <f t="shared" si="2"/>
        <v>1.8270000000000008</v>
      </c>
      <c r="BU26" s="57">
        <f t="shared" si="2"/>
        <v>1.856000000000001</v>
      </c>
      <c r="BV26" s="57">
        <f t="shared" ref="BV26:DD26" si="3">BV25*$C$17</f>
        <v>1.8850000000000009</v>
      </c>
      <c r="BW26" s="57">
        <f t="shared" si="3"/>
        <v>1.914000000000001</v>
      </c>
      <c r="BX26" s="57">
        <f t="shared" si="3"/>
        <v>1.9430000000000009</v>
      </c>
      <c r="BY26" s="57">
        <f t="shared" si="3"/>
        <v>1.9720000000000011</v>
      </c>
      <c r="BZ26" s="57">
        <f t="shared" si="3"/>
        <v>2.0010000000000012</v>
      </c>
      <c r="CA26" s="57">
        <f t="shared" si="3"/>
        <v>2.0300000000000011</v>
      </c>
      <c r="CB26" s="57">
        <f t="shared" si="3"/>
        <v>2.0590000000000011</v>
      </c>
      <c r="CC26" s="57">
        <f t="shared" si="3"/>
        <v>2.088000000000001</v>
      </c>
      <c r="CD26" s="57">
        <f t="shared" si="3"/>
        <v>2.1170000000000013</v>
      </c>
      <c r="CE26" s="57">
        <f t="shared" si="3"/>
        <v>2.1460000000000012</v>
      </c>
      <c r="CF26" s="57">
        <f t="shared" si="3"/>
        <v>2.1750000000000012</v>
      </c>
      <c r="CG26" s="57">
        <f t="shared" si="3"/>
        <v>2.2040000000000011</v>
      </c>
      <c r="CH26" s="57">
        <f t="shared" si="3"/>
        <v>2.2330000000000014</v>
      </c>
      <c r="CI26" s="57">
        <f t="shared" si="3"/>
        <v>2.2620000000000013</v>
      </c>
      <c r="CJ26" s="57">
        <f t="shared" si="3"/>
        <v>2.2910000000000013</v>
      </c>
      <c r="CK26" s="57">
        <f t="shared" si="3"/>
        <v>2.3200000000000012</v>
      </c>
      <c r="CL26" s="57">
        <f t="shared" si="3"/>
        <v>2.3490000000000015</v>
      </c>
      <c r="CM26" s="57">
        <f t="shared" si="3"/>
        <v>2.3780000000000014</v>
      </c>
      <c r="CN26" s="57">
        <f t="shared" si="3"/>
        <v>2.4070000000000014</v>
      </c>
      <c r="CO26" s="57">
        <f t="shared" si="3"/>
        <v>2.4360000000000013</v>
      </c>
      <c r="CP26" s="57">
        <f t="shared" si="3"/>
        <v>2.4650000000000016</v>
      </c>
      <c r="CQ26" s="57">
        <f t="shared" si="3"/>
        <v>2.4940000000000015</v>
      </c>
      <c r="CR26" s="57">
        <f t="shared" si="3"/>
        <v>2.5230000000000015</v>
      </c>
      <c r="CS26" s="57">
        <f t="shared" si="3"/>
        <v>2.5520000000000014</v>
      </c>
      <c r="CT26" s="57">
        <f t="shared" si="3"/>
        <v>2.5810000000000017</v>
      </c>
      <c r="CU26" s="57">
        <f t="shared" si="3"/>
        <v>2.6100000000000017</v>
      </c>
      <c r="CV26" s="57">
        <f t="shared" si="3"/>
        <v>2.6390000000000016</v>
      </c>
      <c r="CW26" s="57">
        <f t="shared" si="3"/>
        <v>2.6680000000000015</v>
      </c>
      <c r="CX26" s="57">
        <f t="shared" si="3"/>
        <v>2.6970000000000018</v>
      </c>
      <c r="CY26" s="57">
        <f t="shared" si="3"/>
        <v>2.7260000000000018</v>
      </c>
      <c r="CZ26" s="57">
        <f t="shared" si="3"/>
        <v>2.7550000000000017</v>
      </c>
      <c r="DA26" s="57">
        <f t="shared" si="3"/>
        <v>2.7840000000000016</v>
      </c>
      <c r="DB26" s="57">
        <f t="shared" si="3"/>
        <v>2.8130000000000019</v>
      </c>
      <c r="DC26" s="57">
        <f t="shared" si="3"/>
        <v>2.8420000000000019</v>
      </c>
      <c r="DD26" s="57">
        <f t="shared" si="3"/>
        <v>2.8710000000000018</v>
      </c>
    </row>
    <row r="27" spans="1:108" x14ac:dyDescent="0.2">
      <c r="A27" s="9"/>
      <c r="B27" s="3" t="s">
        <v>232</v>
      </c>
      <c r="C27" s="59">
        <f>C26*1000</f>
        <v>28.999999999999996</v>
      </c>
      <c r="D27" s="59">
        <f ca="1">D26*1000</f>
        <v>28.999999999999996</v>
      </c>
      <c r="E27" s="59">
        <f ca="1">E26*1000</f>
        <v>463.99999999999994</v>
      </c>
      <c r="F27" s="54" t="s">
        <v>652</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row>
    <row r="28" spans="1:108" x14ac:dyDescent="0.2">
      <c r="A28" s="9"/>
      <c r="B28" s="3"/>
      <c r="C28" s="9"/>
      <c r="D28" s="9"/>
      <c r="E28" s="9"/>
      <c r="F28" s="10"/>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row>
    <row r="29" spans="1:108" x14ac:dyDescent="0.2">
      <c r="A29" s="9" t="s">
        <v>554</v>
      </c>
      <c r="B29" s="3" t="s">
        <v>555</v>
      </c>
      <c r="C29" s="74">
        <f>0.058923*C25^3+0.079293*C25^2-0.00867*C25+0.73</f>
        <v>0.72992128822299995</v>
      </c>
      <c r="D29" s="74">
        <f ca="1">0.058923*D25^3+0.079293*D25^2-0.00867*D25+0.73</f>
        <v>0.72992128822299995</v>
      </c>
      <c r="E29" s="74">
        <f ca="1">0.058923*E25^3+0.079293*E25^2-0.00867*E25+0.73</f>
        <v>0.730884049408</v>
      </c>
      <c r="F29" s="10"/>
      <c r="I29" s="3" t="s">
        <v>555</v>
      </c>
      <c r="J29" s="74">
        <f>0.058923*J25^3+0.079293*J25^2-0.00867*J25+0.73</f>
        <v>0.72992128822299995</v>
      </c>
      <c r="K29" s="74">
        <f t="shared" ref="K29:BU29" si="4">0.058923*K25^3+0.079293*K25^2-0.00867*K25+0.73</f>
        <v>0.729858788584</v>
      </c>
      <c r="L29" s="74">
        <f t="shared" si="4"/>
        <v>0.72981285462099998</v>
      </c>
      <c r="M29" s="74">
        <f t="shared" si="4"/>
        <v>0.72978383987200002</v>
      </c>
      <c r="N29" s="74">
        <f t="shared" si="4"/>
        <v>0.72977209787499997</v>
      </c>
      <c r="O29" s="74">
        <f t="shared" si="4"/>
        <v>0.72977798216799994</v>
      </c>
      <c r="P29" s="74">
        <f t="shared" si="4"/>
        <v>0.72980184628900002</v>
      </c>
      <c r="Q29" s="74">
        <f t="shared" si="4"/>
        <v>0.72984404377599998</v>
      </c>
      <c r="R29" s="74">
        <f t="shared" si="4"/>
        <v>0.72990492816700003</v>
      </c>
      <c r="S29" s="74">
        <f t="shared" si="4"/>
        <v>0.72998485299999993</v>
      </c>
      <c r="T29" s="74">
        <f t="shared" si="4"/>
        <v>0.730084171813</v>
      </c>
      <c r="U29" s="74">
        <f t="shared" si="4"/>
        <v>0.73020323814400001</v>
      </c>
      <c r="V29" s="74">
        <f t="shared" si="4"/>
        <v>0.73034240553099994</v>
      </c>
      <c r="W29" s="74">
        <f t="shared" si="4"/>
        <v>0.730502027512</v>
      </c>
      <c r="X29" s="74">
        <f t="shared" si="4"/>
        <v>0.73068245762499995</v>
      </c>
      <c r="Y29" s="74">
        <f t="shared" si="4"/>
        <v>0.730884049408</v>
      </c>
      <c r="Z29" s="74">
        <f t="shared" si="4"/>
        <v>0.73110715639900004</v>
      </c>
      <c r="AA29" s="74">
        <f t="shared" si="4"/>
        <v>0.73135213213600003</v>
      </c>
      <c r="AB29" s="74">
        <f t="shared" si="4"/>
        <v>0.73161933015699998</v>
      </c>
      <c r="AC29" s="74">
        <f t="shared" si="4"/>
        <v>0.73190910399999998</v>
      </c>
      <c r="AD29" s="74">
        <f t="shared" si="4"/>
        <v>0.73222180720300001</v>
      </c>
      <c r="AE29" s="74">
        <f t="shared" si="4"/>
        <v>0.73255779330399995</v>
      </c>
      <c r="AF29" s="74">
        <f t="shared" si="4"/>
        <v>0.73291741584100001</v>
      </c>
      <c r="AG29" s="74">
        <f t="shared" si="4"/>
        <v>0.73330102835199995</v>
      </c>
      <c r="AH29" s="74">
        <f t="shared" si="4"/>
        <v>0.73370898437499998</v>
      </c>
      <c r="AI29" s="74">
        <f t="shared" si="4"/>
        <v>0.73414163744799998</v>
      </c>
      <c r="AJ29" s="74">
        <f t="shared" si="4"/>
        <v>0.73459934110899994</v>
      </c>
      <c r="AK29" s="74">
        <f t="shared" si="4"/>
        <v>0.73508244889599994</v>
      </c>
      <c r="AL29" s="74">
        <f t="shared" si="4"/>
        <v>0.73559131434699998</v>
      </c>
      <c r="AM29" s="74">
        <f t="shared" si="4"/>
        <v>0.73612629099999993</v>
      </c>
      <c r="AN29" s="74">
        <f t="shared" si="4"/>
        <v>0.73668773239300001</v>
      </c>
      <c r="AO29" s="74">
        <f t="shared" si="4"/>
        <v>0.73727599206399996</v>
      </c>
      <c r="AP29" s="74">
        <f t="shared" si="4"/>
        <v>0.73789142355100001</v>
      </c>
      <c r="AQ29" s="74">
        <f t="shared" si="4"/>
        <v>0.73853438039200003</v>
      </c>
      <c r="AR29" s="74">
        <f t="shared" si="4"/>
        <v>0.73920521612500001</v>
      </c>
      <c r="AS29" s="74">
        <f t="shared" si="4"/>
        <v>0.73990428428800004</v>
      </c>
      <c r="AT29" s="74">
        <f t="shared" si="4"/>
        <v>0.74063193841899999</v>
      </c>
      <c r="AU29" s="74">
        <f t="shared" si="4"/>
        <v>0.74138853205599997</v>
      </c>
      <c r="AV29" s="74">
        <f t="shared" si="4"/>
        <v>0.74217441873699996</v>
      </c>
      <c r="AW29" s="74">
        <f t="shared" si="4"/>
        <v>0.74298995199999995</v>
      </c>
      <c r="AX29" s="74">
        <f t="shared" si="4"/>
        <v>0.74383548538300004</v>
      </c>
      <c r="AY29" s="74">
        <f t="shared" si="4"/>
        <v>0.74471137242399998</v>
      </c>
      <c r="AZ29" s="74">
        <f t="shared" si="4"/>
        <v>0.745617966661</v>
      </c>
      <c r="BA29" s="74">
        <f t="shared" si="4"/>
        <v>0.74655562163199995</v>
      </c>
      <c r="BB29" s="74">
        <f t="shared" si="4"/>
        <v>0.74752469087499995</v>
      </c>
      <c r="BC29" s="74">
        <f t="shared" si="4"/>
        <v>0.74852552792799998</v>
      </c>
      <c r="BD29" s="74">
        <f t="shared" si="4"/>
        <v>0.74955848632900002</v>
      </c>
      <c r="BE29" s="74">
        <f t="shared" si="4"/>
        <v>0.75062391961600006</v>
      </c>
      <c r="BF29" s="74">
        <f t="shared" si="4"/>
        <v>0.75172218132699997</v>
      </c>
      <c r="BG29" s="74">
        <f t="shared" si="4"/>
        <v>0.75285362499999997</v>
      </c>
      <c r="BH29" s="74">
        <f t="shared" si="4"/>
        <v>0.75401860417300004</v>
      </c>
      <c r="BI29" s="74">
        <f t="shared" si="4"/>
        <v>0.75521747238400005</v>
      </c>
      <c r="BJ29" s="74">
        <f t="shared" si="4"/>
        <v>0.756450583171</v>
      </c>
      <c r="BK29" s="74">
        <f t="shared" si="4"/>
        <v>0.75771829007199998</v>
      </c>
      <c r="BL29" s="74">
        <f t="shared" si="4"/>
        <v>0.75902094662499997</v>
      </c>
      <c r="BM29" s="74">
        <f t="shared" si="4"/>
        <v>0.76035890636800008</v>
      </c>
      <c r="BN29" s="74">
        <f t="shared" si="4"/>
        <v>0.76173252283900006</v>
      </c>
      <c r="BO29" s="74">
        <f t="shared" si="4"/>
        <v>0.76314214957600002</v>
      </c>
      <c r="BP29" s="74">
        <f t="shared" si="4"/>
        <v>0.76458814011700005</v>
      </c>
      <c r="BQ29" s="74">
        <f t="shared" si="4"/>
        <v>0.76607084800000003</v>
      </c>
      <c r="BR29" s="74">
        <f t="shared" si="4"/>
        <v>0.76759062676300005</v>
      </c>
      <c r="BS29" s="74">
        <f t="shared" si="4"/>
        <v>0.76914782994399999</v>
      </c>
      <c r="BT29" s="74">
        <f t="shared" si="4"/>
        <v>0.77074281108100007</v>
      </c>
      <c r="BU29" s="74">
        <f t="shared" si="4"/>
        <v>0.77237592371200003</v>
      </c>
      <c r="BV29" s="74">
        <f t="shared" ref="BV29:DD29" si="5">0.058923*BV25^3+0.079293*BV25^2-0.00867*BV25+0.73</f>
        <v>0.77404752137499999</v>
      </c>
      <c r="BW29" s="74">
        <f t="shared" si="5"/>
        <v>0.77575795760800004</v>
      </c>
      <c r="BX29" s="74">
        <f t="shared" si="5"/>
        <v>0.77750758594900005</v>
      </c>
      <c r="BY29" s="74">
        <f t="shared" si="5"/>
        <v>0.77929675993600012</v>
      </c>
      <c r="BZ29" s="74">
        <f t="shared" si="5"/>
        <v>0.78112583310700001</v>
      </c>
      <c r="CA29" s="74">
        <f t="shared" si="5"/>
        <v>0.78299515900000005</v>
      </c>
      <c r="CB29" s="74">
        <f t="shared" si="5"/>
        <v>0.78490509115300011</v>
      </c>
      <c r="CC29" s="74">
        <f t="shared" si="5"/>
        <v>0.78685598310400007</v>
      </c>
      <c r="CD29" s="74">
        <f t="shared" si="5"/>
        <v>0.78884818839100013</v>
      </c>
      <c r="CE29" s="74">
        <f t="shared" si="5"/>
        <v>0.79088206055200005</v>
      </c>
      <c r="CF29" s="74">
        <f t="shared" si="5"/>
        <v>0.79295795312500006</v>
      </c>
      <c r="CG29" s="74">
        <f t="shared" si="5"/>
        <v>0.79507621964800013</v>
      </c>
      <c r="CH29" s="74">
        <f t="shared" si="5"/>
        <v>0.79723721365900013</v>
      </c>
      <c r="CI29" s="74">
        <f t="shared" si="5"/>
        <v>0.79944128869600006</v>
      </c>
      <c r="CJ29" s="74">
        <f t="shared" si="5"/>
        <v>0.80168879829700013</v>
      </c>
      <c r="CK29" s="74">
        <f t="shared" si="5"/>
        <v>0.80398009600000009</v>
      </c>
      <c r="CL29" s="74">
        <f t="shared" si="5"/>
        <v>0.80631553534300004</v>
      </c>
      <c r="CM29" s="74">
        <f t="shared" si="5"/>
        <v>0.80869546986400009</v>
      </c>
      <c r="CN29" s="74">
        <f t="shared" si="5"/>
        <v>0.81112025310100011</v>
      </c>
      <c r="CO29" s="74">
        <f t="shared" si="5"/>
        <v>0.81359023859200008</v>
      </c>
      <c r="CP29" s="74">
        <f t="shared" si="5"/>
        <v>0.8161057798750001</v>
      </c>
      <c r="CQ29" s="74">
        <f t="shared" si="5"/>
        <v>0.81866723048800016</v>
      </c>
      <c r="CR29" s="74">
        <f t="shared" si="5"/>
        <v>0.82127494396900014</v>
      </c>
      <c r="CS29" s="74">
        <f t="shared" si="5"/>
        <v>0.82392927385600012</v>
      </c>
      <c r="CT29" s="74">
        <f t="shared" si="5"/>
        <v>0.8266305736870001</v>
      </c>
      <c r="CU29" s="74">
        <f t="shared" si="5"/>
        <v>0.82937919700000018</v>
      </c>
      <c r="CV29" s="74">
        <f t="shared" si="5"/>
        <v>0.83217549733300022</v>
      </c>
      <c r="CW29" s="74">
        <f t="shared" si="5"/>
        <v>0.83501982822400012</v>
      </c>
      <c r="CX29" s="74">
        <f t="shared" si="5"/>
        <v>0.83791254321100017</v>
      </c>
      <c r="CY29" s="74">
        <f t="shared" si="5"/>
        <v>0.84085399583200016</v>
      </c>
      <c r="CZ29" s="74">
        <f t="shared" si="5"/>
        <v>0.84384453962500017</v>
      </c>
      <c r="DA29" s="74">
        <f t="shared" si="5"/>
        <v>0.84688452812800019</v>
      </c>
      <c r="DB29" s="74">
        <f t="shared" si="5"/>
        <v>0.84997431487900021</v>
      </c>
      <c r="DC29" s="74">
        <f t="shared" si="5"/>
        <v>0.85311425341600022</v>
      </c>
      <c r="DD29" s="74">
        <f t="shared" si="5"/>
        <v>0.8563046972770002</v>
      </c>
    </row>
    <row r="30" spans="1:108" x14ac:dyDescent="0.2">
      <c r="A30" s="75" t="s">
        <v>556</v>
      </c>
      <c r="B30" s="3" t="s">
        <v>557</v>
      </c>
      <c r="C30" s="76">
        <f>-564.45037*C25^10+2421.04235*C25^9-4476.17076*C25^8+4690.56847*C25^7-3088.2976*C25^6+1335.14131*C25^5-377.30463*C25^4+61.46441*C25^3-0.4766*C25^2-2.51659*C25+1</f>
        <v>0.97484426183599393</v>
      </c>
      <c r="D30" s="76">
        <f ca="1">-564.45037*D25^10+2421.04235*D25^9-4476.17076*D25^8+4690.56847*D25^7-3088.2976*D25^6+1335.14131*D25^5-377.30463*D25^4+61.46441*D25^3-0.4766*D25^2-2.51659*D25+1</f>
        <v>0.97484426183599393</v>
      </c>
      <c r="E30" s="76">
        <f ca="1">-564.45037*E25^10+2421.04235*E25^9-4476.17076*E25^8+4690.56847*E25^7-3088.2976*E25^6+1335.14131*E25^5-377.30463*E25^4+61.46441*E25^3-0.4766*E25^2-2.51659*E25+1</f>
        <v>0.68864799328805659</v>
      </c>
      <c r="F30" s="77"/>
      <c r="I30" s="3" t="s">
        <v>557</v>
      </c>
      <c r="J30" s="76">
        <f t="shared" ref="J30:BU30" si="6">-564.45037*J25^10+2421.04235*J25^9-4476.17076*J25^8+4690.56847*J25^7-3088.2976*J25^6+1335.14131*J25^5-377.30463*J25^4+61.46441*J25^3-0.4766*J25^2-2.51659*J25+1</f>
        <v>0.97484426183599393</v>
      </c>
      <c r="K30" s="76">
        <f t="shared" si="6"/>
        <v>0.94991298723091711</v>
      </c>
      <c r="L30" s="76">
        <f t="shared" si="6"/>
        <v>0.92545757457781952</v>
      </c>
      <c r="M30" s="76">
        <f t="shared" si="6"/>
        <v>0.90166647098682284</v>
      </c>
      <c r="N30" s="76">
        <f t="shared" si="6"/>
        <v>0.87867636865154808</v>
      </c>
      <c r="O30" s="76">
        <f t="shared" si="6"/>
        <v>0.8565818056472071</v>
      </c>
      <c r="P30" s="76">
        <f t="shared" si="6"/>
        <v>0.83544334986736102</v>
      </c>
      <c r="Q30" s="76">
        <f t="shared" si="6"/>
        <v>0.81529453010192821</v>
      </c>
      <c r="R30" s="76">
        <f t="shared" si="6"/>
        <v>0.7961476643409795</v>
      </c>
      <c r="S30" s="76">
        <f t="shared" si="6"/>
        <v>0.77799872223671307</v>
      </c>
      <c r="T30" s="76">
        <f t="shared" si="6"/>
        <v>0.76083134624925042</v>
      </c>
      <c r="U30" s="76">
        <f t="shared" si="6"/>
        <v>0.74462014432009305</v>
      </c>
      <c r="V30" s="76">
        <f t="shared" si="6"/>
        <v>0.72933335593969706</v>
      </c>
      <c r="W30" s="76">
        <f t="shared" si="6"/>
        <v>0.71493498318222626</v>
      </c>
      <c r="X30" s="76">
        <f t="shared" si="6"/>
        <v>0.7013864686506035</v>
      </c>
      <c r="Y30" s="76">
        <f t="shared" si="6"/>
        <v>0.68864799328805659</v>
      </c>
      <c r="Z30" s="76">
        <f t="shared" si="6"/>
        <v>0.676679458647927</v>
      </c>
      <c r="AA30" s="76">
        <f t="shared" si="6"/>
        <v>0.6654412104511227</v>
      </c>
      <c r="AB30" s="76">
        <f t="shared" si="6"/>
        <v>0.65489455307975386</v>
      </c>
      <c r="AC30" s="76">
        <f t="shared" si="6"/>
        <v>0.64500209803571207</v>
      </c>
      <c r="AD30" s="76">
        <f t="shared" si="6"/>
        <v>0.63572798331375591</v>
      </c>
      <c r="AE30" s="76">
        <f t="shared" si="6"/>
        <v>0.62703799507957536</v>
      </c>
      <c r="AF30" s="76">
        <f t="shared" si="6"/>
        <v>0.61889961798381854</v>
      </c>
      <c r="AG30" s="76">
        <f t="shared" si="6"/>
        <v>0.611282035862728</v>
      </c>
      <c r="AH30" s="76">
        <f t="shared" si="6"/>
        <v>0.60415610045433077</v>
      </c>
      <c r="AI30" s="76">
        <f t="shared" si="6"/>
        <v>0.5974942820756014</v>
      </c>
      <c r="AJ30" s="76">
        <f t="shared" si="6"/>
        <v>0.59127061294018513</v>
      </c>
      <c r="AK30" s="76">
        <f t="shared" si="6"/>
        <v>0.5854606309276027</v>
      </c>
      <c r="AL30" s="76">
        <f t="shared" si="6"/>
        <v>0.58004132912298345</v>
      </c>
      <c r="AM30" s="76">
        <f t="shared" si="6"/>
        <v>0.57499111431063699</v>
      </c>
      <c r="AN30" s="76">
        <f t="shared" si="6"/>
        <v>0.57028977580490048</v>
      </c>
      <c r="AO30" s="76">
        <f t="shared" si="6"/>
        <v>0.56591846451699368</v>
      </c>
      <c r="AP30" s="76">
        <f t="shared" si="6"/>
        <v>0.56185968096678884</v>
      </c>
      <c r="AQ30" s="76">
        <f t="shared" si="6"/>
        <v>0.55809727003280207</v>
      </c>
      <c r="AR30" s="76">
        <f t="shared" si="6"/>
        <v>0.55461641957201435</v>
      </c>
      <c r="AS30" s="76">
        <f t="shared" si="6"/>
        <v>0.55140365961269322</v>
      </c>
      <c r="AT30" s="76">
        <f t="shared" si="6"/>
        <v>0.54844685860787978</v>
      </c>
      <c r="AU30" s="76">
        <f t="shared" si="6"/>
        <v>0.54573521321401441</v>
      </c>
      <c r="AV30" s="76">
        <f t="shared" si="6"/>
        <v>0.54325922820792039</v>
      </c>
      <c r="AW30" s="76">
        <f t="shared" si="6"/>
        <v>0.54101068345548819</v>
      </c>
      <c r="AX30" s="76">
        <f t="shared" si="6"/>
        <v>0.53898258527647702</v>
      </c>
      <c r="AY30" s="76">
        <f t="shared" si="6"/>
        <v>0.53716910009133512</v>
      </c>
      <c r="AZ30" s="76">
        <f t="shared" si="6"/>
        <v>0.5355654688674627</v>
      </c>
      <c r="BA30" s="76">
        <f t="shared" si="6"/>
        <v>0.53416790158317362</v>
      </c>
      <c r="BB30" s="76">
        <f t="shared" si="6"/>
        <v>0.53297345167771115</v>
      </c>
      <c r="BC30" s="76">
        <f t="shared" si="6"/>
        <v>0.53197987123403678</v>
      </c>
      <c r="BD30" s="76">
        <f t="shared" si="6"/>
        <v>0.53118544842744897</v>
      </c>
      <c r="BE30" s="76">
        <f t="shared" si="6"/>
        <v>0.53058882954755393</v>
      </c>
      <c r="BF30" s="76">
        <f t="shared" si="6"/>
        <v>0.53018882864162853</v>
      </c>
      <c r="BG30" s="76">
        <f t="shared" si="6"/>
        <v>0.52998422851562932</v>
      </c>
      <c r="BH30" s="76">
        <f t="shared" si="6"/>
        <v>0.52997357744246021</v>
      </c>
      <c r="BI30" s="76">
        <f t="shared" si="6"/>
        <v>0.53015498644673464</v>
      </c>
      <c r="BJ30" s="76">
        <f t="shared" si="6"/>
        <v>0.53052593243987523</v>
      </c>
      <c r="BK30" s="76">
        <f t="shared" si="6"/>
        <v>0.53108307274819744</v>
      </c>
      <c r="BL30" s="76">
        <f t="shared" si="6"/>
        <v>0.53182207669022419</v>
      </c>
      <c r="BM30" s="76">
        <f t="shared" si="6"/>
        <v>0.53273747979690733</v>
      </c>
      <c r="BN30" s="76">
        <f t="shared" si="6"/>
        <v>0.53382256600751887</v>
      </c>
      <c r="BO30" s="76">
        <f t="shared" si="6"/>
        <v>0.53506928269815757</v>
      </c>
      <c r="BP30" s="76">
        <f t="shared" si="6"/>
        <v>0.53646819268463064</v>
      </c>
      <c r="BQ30" s="76">
        <f t="shared" si="6"/>
        <v>0.5380084663674789</v>
      </c>
      <c r="BR30" s="76">
        <f t="shared" si="6"/>
        <v>0.53967791593700576</v>
      </c>
      <c r="BS30" s="76">
        <f t="shared" si="6"/>
        <v>0.54146307200291099</v>
      </c>
      <c r="BT30" s="76">
        <f t="shared" si="6"/>
        <v>0.54334930114484936</v>
      </c>
      <c r="BU30" s="76">
        <f t="shared" si="6"/>
        <v>0.54532096066667446</v>
      </c>
      <c r="BV30" s="76">
        <f t="shared" ref="BV30:DD30" si="7">-564.45037*BV25^10+2421.04235*BV25^9-4476.17076*BV25^8+4690.56847*BV25^7-3088.2976*BV25^6+1335.14131*BV25^5-377.30463*BV25^4+61.46441*BV25^3-0.4766*BV25^2-2.51659*BV25+1</f>
        <v>0.54736158426910175</v>
      </c>
      <c r="BW30" s="76">
        <f t="shared" si="7"/>
        <v>0.5494540893977613</v>
      </c>
      <c r="BX30" s="76">
        <f t="shared" si="7"/>
        <v>0.55158099367563862</v>
      </c>
      <c r="BY30" s="76">
        <f t="shared" si="7"/>
        <v>0.55372462404695399</v>
      </c>
      <c r="BZ30" s="76">
        <f t="shared" si="7"/>
        <v>0.55586729804329016</v>
      </c>
      <c r="CA30" s="76">
        <f t="shared" si="7"/>
        <v>0.55799145190075961</v>
      </c>
      <c r="CB30" s="76">
        <f t="shared" si="7"/>
        <v>0.56007968509015726</v>
      </c>
      <c r="CC30" s="76">
        <f t="shared" si="7"/>
        <v>0.56211468515330631</v>
      </c>
      <c r="CD30" s="76">
        <f t="shared" si="7"/>
        <v>0.56407899054419453</v>
      </c>
      <c r="CE30" s="76">
        <f t="shared" si="7"/>
        <v>0.56595454243426402</v>
      </c>
      <c r="CF30" s="76">
        <f t="shared" si="7"/>
        <v>0.56772196913738537</v>
      </c>
      <c r="CG30" s="76">
        <f t="shared" si="7"/>
        <v>0.56935953891697388</v>
      </c>
      <c r="CH30" s="76">
        <f t="shared" si="7"/>
        <v>0.57084170844541671</v>
      </c>
      <c r="CI30" s="76">
        <f t="shared" si="7"/>
        <v>0.57213718505630395</v>
      </c>
      <c r="CJ30" s="76">
        <f t="shared" si="7"/>
        <v>0.57320641115897808</v>
      </c>
      <c r="CK30" s="76">
        <f t="shared" si="7"/>
        <v>0.57399836875562693</v>
      </c>
      <c r="CL30" s="76">
        <f t="shared" si="7"/>
        <v>0.57444659085474492</v>
      </c>
      <c r="CM30" s="76">
        <f t="shared" si="7"/>
        <v>0.57446425475778384</v>
      </c>
      <c r="CN30" s="76">
        <f t="shared" si="7"/>
        <v>0.57393821961390001</v>
      </c>
      <c r="CO30" s="76">
        <f t="shared" si="7"/>
        <v>0.57272185733564429</v>
      </c>
      <c r="CP30" s="76">
        <f t="shared" si="7"/>
        <v>0.57062651186955726</v>
      </c>
      <c r="CQ30" s="76">
        <f t="shared" si="7"/>
        <v>0.56741140694748049</v>
      </c>
      <c r="CR30" s="76">
        <f t="shared" si="7"/>
        <v>0.56277180675422289</v>
      </c>
      <c r="CS30" s="76">
        <f t="shared" si="7"/>
        <v>0.55632521742124252</v>
      </c>
      <c r="CT30" s="76">
        <f t="shared" si="7"/>
        <v>0.54759539990184725</v>
      </c>
      <c r="CU30" s="76">
        <f t="shared" si="7"/>
        <v>0.5359939465047987</v>
      </c>
      <c r="CV30" s="76">
        <f t="shared" si="7"/>
        <v>0.52079915426964862</v>
      </c>
      <c r="CW30" s="76">
        <f t="shared" si="7"/>
        <v>0.50113190827251386</v>
      </c>
      <c r="CX30" s="76">
        <f t="shared" si="7"/>
        <v>0.47592826698974133</v>
      </c>
      <c r="CY30" s="76">
        <f t="shared" si="7"/>
        <v>0.44390841991277319</v>
      </c>
      <c r="CZ30" s="76">
        <f t="shared" si="7"/>
        <v>0.40354166465908592</v>
      </c>
      <c r="DA30" s="76">
        <f t="shared" si="7"/>
        <v>0.35300702693969033</v>
      </c>
      <c r="DB30" s="76">
        <f t="shared" si="7"/>
        <v>0.29014912182742836</v>
      </c>
      <c r="DC30" s="76">
        <f t="shared" si="7"/>
        <v>0.21242882875561309</v>
      </c>
      <c r="DD30" s="76">
        <f t="shared" si="7"/>
        <v>0.11686832572153927</v>
      </c>
    </row>
    <row r="31" spans="1:108" x14ac:dyDescent="0.2">
      <c r="A31" s="75" t="s">
        <v>558</v>
      </c>
      <c r="B31" s="3" t="s">
        <v>557</v>
      </c>
      <c r="C31" s="76">
        <f>-500.47*C25^8+1856.3*C25^7-2798.6*C25^6+2185*C25^5-923.22*C25^4+192.44*C25^3-8.0835*C25^2-4.472*C25+1</f>
        <v>0.95465507351991297</v>
      </c>
      <c r="D31" s="76">
        <f ca="1">-500.47*D25^8+1856.3*D25^7-2798.6*D25^6+2185*D25^5-923.22*D25^4+192.44*D25^3-8.0835*D25^2-4.472*D25+1</f>
        <v>0.95465507351991297</v>
      </c>
      <c r="E31" s="76">
        <f ca="1">-500.47*E25^8+1856.3*E25^7-2798.6*E25^6+2185*E25^5-923.22*E25^4+192.44*E25^3-8.0835*E25^2-4.472*E25+1</f>
        <v>0.44766433724386501</v>
      </c>
      <c r="F31" s="10"/>
      <c r="I31" s="3" t="s">
        <v>557</v>
      </c>
      <c r="J31" s="76">
        <f t="shared" ref="J31:BU31" si="8">-500.47*J25^8+1856.3*J25^7-2798.6*J25^6+2185*J25^5-923.22*J25^4+192.44*J25^3-8.0835*J25^2-4.472*J25+1</f>
        <v>0.95465507351991297</v>
      </c>
      <c r="K31" s="76">
        <f t="shared" si="8"/>
        <v>0.90872522005285195</v>
      </c>
      <c r="L31" s="76">
        <f t="shared" si="8"/>
        <v>0.86306401738952265</v>
      </c>
      <c r="M31" s="76">
        <f t="shared" si="8"/>
        <v>0.81835169859071177</v>
      </c>
      <c r="N31" s="76">
        <f t="shared" si="8"/>
        <v>0.77511664005976555</v>
      </c>
      <c r="O31" s="76">
        <f t="shared" si="8"/>
        <v>0.73375510571062597</v>
      </c>
      <c r="P31" s="76">
        <f t="shared" si="8"/>
        <v>0.69454933372631333</v>
      </c>
      <c r="Q31" s="76">
        <f t="shared" si="8"/>
        <v>0.6576840503848469</v>
      </c>
      <c r="R31" s="76">
        <f t="shared" si="8"/>
        <v>0.62326149341170112</v>
      </c>
      <c r="S31" s="76">
        <f t="shared" si="8"/>
        <v>0.59131502530000002</v>
      </c>
      <c r="T31" s="76">
        <f t="shared" si="8"/>
        <v>0.56182141502175553</v>
      </c>
      <c r="U31" s="76">
        <f t="shared" si="8"/>
        <v>0.53471186453556419</v>
      </c>
      <c r="V31" s="76">
        <f t="shared" si="8"/>
        <v>0.50988185447827705</v>
      </c>
      <c r="W31" s="76">
        <f t="shared" si="8"/>
        <v>0.48719988141026627</v>
      </c>
      <c r="X31" s="76">
        <f t="shared" si="8"/>
        <v>0.46651515696601553</v>
      </c>
      <c r="Y31" s="76">
        <f t="shared" si="8"/>
        <v>0.44766433724386501</v>
      </c>
      <c r="Z31" s="76">
        <f t="shared" si="8"/>
        <v>0.4304773487508492</v>
      </c>
      <c r="AA31" s="76">
        <f t="shared" si="8"/>
        <v>0.41478237520066896</v>
      </c>
      <c r="AB31" s="76">
        <f t="shared" si="8"/>
        <v>0.40041006744494378</v>
      </c>
      <c r="AC31" s="76">
        <f t="shared" si="8"/>
        <v>0.38719703679999951</v>
      </c>
      <c r="AD31" s="76">
        <f t="shared" si="8"/>
        <v>0.37498869001354307</v>
      </c>
      <c r="AE31" s="76">
        <f t="shared" si="8"/>
        <v>0.36364146209768689</v>
      </c>
      <c r="AF31" s="76">
        <f t="shared" si="8"/>
        <v>0.35302450123690288</v>
      </c>
      <c r="AG31" s="76">
        <f t="shared" si="8"/>
        <v>0.34302085796154524</v>
      </c>
      <c r="AH31" s="76">
        <f t="shared" si="8"/>
        <v>0.3335282287597654</v>
      </c>
      <c r="AI31" s="76">
        <f t="shared" si="8"/>
        <v>0.3244593022826513</v>
      </c>
      <c r="AJ31" s="76">
        <f t="shared" si="8"/>
        <v>0.31574175427962436</v>
      </c>
      <c r="AK31" s="76">
        <f t="shared" si="8"/>
        <v>0.30731793538313368</v>
      </c>
      <c r="AL31" s="76">
        <f t="shared" si="8"/>
        <v>0.29914429384390706</v>
      </c>
      <c r="AM31" s="76">
        <f t="shared" si="8"/>
        <v>0.29119057329999865</v>
      </c>
      <c r="AN31" s="76">
        <f t="shared" si="8"/>
        <v>0.28343882364508133</v>
      </c>
      <c r="AO31" s="76">
        <f t="shared" si="8"/>
        <v>0.27588226104347591</v>
      </c>
      <c r="AP31" s="76">
        <f t="shared" si="8"/>
        <v>0.26852401112154178</v>
      </c>
      <c r="AQ31" s="76">
        <f t="shared" si="8"/>
        <v>0.26137576734714019</v>
      </c>
      <c r="AR31" s="76">
        <f t="shared" si="8"/>
        <v>0.2544563945910161</v>
      </c>
      <c r="AS31" s="76">
        <f t="shared" si="8"/>
        <v>0.24779050584599638</v>
      </c>
      <c r="AT31" s="76">
        <f t="shared" si="8"/>
        <v>0.24140703806209141</v>
      </c>
      <c r="AU31" s="76">
        <f t="shared" si="8"/>
        <v>0.23533785103758342</v>
      </c>
      <c r="AV31" s="76">
        <f t="shared" si="8"/>
        <v>0.22961637128838341</v>
      </c>
      <c r="AW31" s="76">
        <f t="shared" si="8"/>
        <v>0.22427630079999927</v>
      </c>
      <c r="AX31" s="76">
        <f t="shared" si="8"/>
        <v>0.21935040854858534</v>
      </c>
      <c r="AY31" s="76">
        <f t="shared" si="8"/>
        <v>0.21486942065959291</v>
      </c>
      <c r="AZ31" s="76">
        <f t="shared" si="8"/>
        <v>0.21086102305473986</v>
      </c>
      <c r="BA31" s="76">
        <f t="shared" si="8"/>
        <v>0.20734898842005411</v>
      </c>
      <c r="BB31" s="76">
        <f t="shared" si="8"/>
        <v>0.20435243730976516</v>
      </c>
      <c r="BC31" s="76">
        <f t="shared" si="8"/>
        <v>0.20188524118329831</v>
      </c>
      <c r="BD31" s="76">
        <f t="shared" si="8"/>
        <v>0.19995557315410273</v>
      </c>
      <c r="BE31" s="76">
        <f t="shared" si="8"/>
        <v>0.19856561021177255</v>
      </c>
      <c r="BF31" s="76">
        <f t="shared" si="8"/>
        <v>0.1977113886605637</v>
      </c>
      <c r="BG31" s="76">
        <f t="shared" si="8"/>
        <v>0.197382812500011</v>
      </c>
      <c r="BH31" s="76">
        <f t="shared" si="8"/>
        <v>0.19756381245464905</v>
      </c>
      <c r="BI31" s="76">
        <f t="shared" si="8"/>
        <v>0.19823265134308032</v>
      </c>
      <c r="BJ31" s="76">
        <f t="shared" si="8"/>
        <v>0.1993623694574449</v>
      </c>
      <c r="BK31" s="76">
        <f t="shared" si="8"/>
        <v>0.20092136160764262</v>
      </c>
      <c r="BL31" s="76">
        <f t="shared" si="8"/>
        <v>0.20287407546599789</v>
      </c>
      <c r="BM31" s="76">
        <f t="shared" si="8"/>
        <v>0.20518181883039111</v>
      </c>
      <c r="BN31" s="76">
        <f t="shared" si="8"/>
        <v>0.20780366140595152</v>
      </c>
      <c r="BO31" s="76">
        <f t="shared" si="8"/>
        <v>0.21069741468785663</v>
      </c>
      <c r="BP31" s="76">
        <f t="shared" si="8"/>
        <v>0.21382067150904893</v>
      </c>
      <c r="BQ31" s="76">
        <f t="shared" si="8"/>
        <v>0.2171318847999788</v>
      </c>
      <c r="BR31" s="76">
        <f t="shared" si="8"/>
        <v>0.22059146308829414</v>
      </c>
      <c r="BS31" s="76">
        <f t="shared" si="8"/>
        <v>0.22416285824944726</v>
      </c>
      <c r="BT31" s="76">
        <f t="shared" si="8"/>
        <v>0.22781361900104491</v>
      </c>
      <c r="BU31" s="76">
        <f t="shared" si="8"/>
        <v>0.2315163816157737</v>
      </c>
      <c r="BV31" s="76">
        <f t="shared" ref="BV31:DD31" si="9">-500.47*BV25^8+1856.3*BV25^7-2798.6*BV25^6+2185*BV25^5-923.22*BV25^4+192.44*BV25^3-8.0835*BV25^2-4.472*BV25+1</f>
        <v>0.23524976730975711</v>
      </c>
      <c r="BW31" s="76">
        <f t="shared" si="9"/>
        <v>0.23899915374545655</v>
      </c>
      <c r="BX31" s="76">
        <f t="shared" si="9"/>
        <v>0.24275728607018143</v>
      </c>
      <c r="BY31" s="76">
        <f t="shared" si="9"/>
        <v>0.24652469089435369</v>
      </c>
      <c r="BZ31" s="76">
        <f t="shared" si="9"/>
        <v>0.25030985459278288</v>
      </c>
      <c r="CA31" s="76">
        <f t="shared" si="9"/>
        <v>0.25412912529999865</v>
      </c>
      <c r="CB31" s="76">
        <f t="shared" si="9"/>
        <v>0.25800629594497915</v>
      </c>
      <c r="CC31" s="76">
        <f t="shared" si="9"/>
        <v>0.26197182366045446</v>
      </c>
      <c r="CD31" s="76">
        <f t="shared" si="9"/>
        <v>0.26606163887907108</v>
      </c>
      <c r="CE31" s="76">
        <f t="shared" si="9"/>
        <v>0.27031549541249023</v>
      </c>
      <c r="CF31" s="76">
        <f t="shared" si="9"/>
        <v>0.27477481079109678</v>
      </c>
      <c r="CG31" s="76">
        <f t="shared" si="9"/>
        <v>0.27947994412509081</v>
      </c>
      <c r="CH31" s="76">
        <f t="shared" si="9"/>
        <v>0.28446685672997685</v>
      </c>
      <c r="CI31" s="76">
        <f t="shared" si="9"/>
        <v>0.2897630987383133</v>
      </c>
      <c r="CJ31" s="76">
        <f t="shared" si="9"/>
        <v>0.29538306290511729</v>
      </c>
      <c r="CK31" s="76">
        <f t="shared" si="9"/>
        <v>0.30132244479984527</v>
      </c>
      <c r="CL31" s="76">
        <f t="shared" si="9"/>
        <v>0.30755184654630474</v>
      </c>
      <c r="CM31" s="76">
        <f t="shared" si="9"/>
        <v>0.31400945927239121</v>
      </c>
      <c r="CN31" s="76">
        <f t="shared" si="9"/>
        <v>0.32059275740007731</v>
      </c>
      <c r="CO31" s="76">
        <f t="shared" si="9"/>
        <v>0.32714913589264416</v>
      </c>
      <c r="CP31" s="76">
        <f t="shared" si="9"/>
        <v>0.33346541955968201</v>
      </c>
      <c r="CQ31" s="76">
        <f t="shared" si="9"/>
        <v>0.33925617150031018</v>
      </c>
      <c r="CR31" s="76">
        <f t="shared" si="9"/>
        <v>0.34415072574679151</v>
      </c>
      <c r="CS31" s="76">
        <f t="shared" si="9"/>
        <v>0.34767886715675367</v>
      </c>
      <c r="CT31" s="76">
        <f t="shared" si="9"/>
        <v>0.34925507957831137</v>
      </c>
      <c r="CU31" s="76">
        <f t="shared" si="9"/>
        <v>0.3481612812998387</v>
      </c>
      <c r="CV31" s="76">
        <f t="shared" si="9"/>
        <v>0.34352796477663006</v>
      </c>
      <c r="CW31" s="76">
        <f t="shared" si="9"/>
        <v>0.33431365560404114</v>
      </c>
      <c r="CX31" s="76">
        <f t="shared" si="9"/>
        <v>0.31928260369816375</v>
      </c>
      <c r="CY31" s="76">
        <f t="shared" si="9"/>
        <v>0.29698061762094063</v>
      </c>
      <c r="CZ31" s="76">
        <f t="shared" si="9"/>
        <v>0.26570895096620983</v>
      </c>
      <c r="DA31" s="76">
        <f t="shared" si="9"/>
        <v>0.22349614771250614</v>
      </c>
      <c r="DB31" s="76">
        <f t="shared" si="9"/>
        <v>0.16806775142846231</v>
      </c>
      <c r="DC31" s="76">
        <f t="shared" si="9"/>
        <v>9.6813781189364789E-2</v>
      </c>
      <c r="DD31" s="76">
        <f t="shared" si="9"/>
        <v>6.7538750662192726E-3</v>
      </c>
    </row>
    <row r="32" spans="1:108" x14ac:dyDescent="0.2">
      <c r="A32" s="75" t="s">
        <v>559</v>
      </c>
      <c r="B32" s="3" t="s">
        <v>557</v>
      </c>
      <c r="C32" s="76">
        <f>-214.86*C25^8+658.23*C25^7-728.16*C25^6+286.04*C25^5+71.062*C25^4-105.42*C25^3+40.798*C25^2-8.6888*C25+1</f>
        <v>0.91708711850240077</v>
      </c>
      <c r="D32" s="76">
        <f ca="1">-214.86*D25^8+658.23*D25^7-728.16*D25^6+286.04*D25^5+71.062*D25^4-105.42*D25^3+40.798*D25^2-8.6888*D25+1</f>
        <v>0.91708711850240077</v>
      </c>
      <c r="E32" s="76">
        <f ca="1">-214.86*E25^8+658.23*E25^7-728.16*E25^6+286.04*E25^5+71.062*E25^4-105.42*E25^3+40.798*E25^2-8.6888*E25+1</f>
        <v>0.28844328365614691</v>
      </c>
      <c r="F32" s="10"/>
      <c r="I32" s="3" t="s">
        <v>557</v>
      </c>
      <c r="J32" s="76">
        <f t="shared" ref="J32:BU32" si="10">-214.86*J25^8+658.23*J25^7-728.16*J25^6+286.04*J25^5+71.062*J25^4-105.42*J25^3+40.798*J25^2-8.6888*J25+1</f>
        <v>0.91708711850240077</v>
      </c>
      <c r="K32" s="76">
        <f t="shared" si="10"/>
        <v>0.84171207948279392</v>
      </c>
      <c r="L32" s="76">
        <f t="shared" si="10"/>
        <v>0.77327185441788049</v>
      </c>
      <c r="M32" s="76">
        <f t="shared" si="10"/>
        <v>0.71118625310893668</v>
      </c>
      <c r="N32" s="76">
        <f t="shared" si="10"/>
        <v>0.65490015334921869</v>
      </c>
      <c r="O32" s="76">
        <f t="shared" si="10"/>
        <v>0.60388530172554333</v>
      </c>
      <c r="P32" s="76">
        <f t="shared" si="10"/>
        <v>0.5576417156967346</v>
      </c>
      <c r="Q32" s="76">
        <f t="shared" si="10"/>
        <v>0.51569871622530661</v>
      </c>
      <c r="R32" s="76">
        <f t="shared" si="10"/>
        <v>0.47761561937244124</v>
      </c>
      <c r="S32" s="76">
        <f t="shared" si="10"/>
        <v>0.4429821143999999</v>
      </c>
      <c r="T32" s="76">
        <f t="shared" si="10"/>
        <v>0.41141835505699609</v>
      </c>
      <c r="U32" s="76">
        <f t="shared" si="10"/>
        <v>0.38257478986163829</v>
      </c>
      <c r="V32" s="76">
        <f t="shared" si="10"/>
        <v>0.35613175632373772</v>
      </c>
      <c r="W32" s="76">
        <f t="shared" si="10"/>
        <v>0.33179886318596197</v>
      </c>
      <c r="X32" s="76">
        <f t="shared" si="10"/>
        <v>0.30931418389609366</v>
      </c>
      <c r="Y32" s="76">
        <f t="shared" si="10"/>
        <v>0.28844328365614691</v>
      </c>
      <c r="Z32" s="76">
        <f t="shared" si="10"/>
        <v>0.26897810152787049</v>
      </c>
      <c r="AA32" s="76">
        <f t="shared" si="10"/>
        <v>0.25073570820785762</v>
      </c>
      <c r="AB32" s="76">
        <f t="shared" si="10"/>
        <v>0.23355695921916086</v>
      </c>
      <c r="AC32" s="76">
        <f t="shared" si="10"/>
        <v>0.21730506239999992</v>
      </c>
      <c r="AD32" s="76">
        <f t="shared" si="10"/>
        <v>0.20186407770383363</v>
      </c>
      <c r="AE32" s="76">
        <f t="shared" si="10"/>
        <v>0.1871373664587479</v>
      </c>
      <c r="AF32" s="76">
        <f t="shared" si="10"/>
        <v>0.17304600636780054</v>
      </c>
      <c r="AG32" s="76">
        <f t="shared" si="10"/>
        <v>0.15952718766564922</v>
      </c>
      <c r="AH32" s="76">
        <f t="shared" si="10"/>
        <v>0.14653260498046894</v>
      </c>
      <c r="AI32" s="76">
        <f t="shared" si="10"/>
        <v>0.13402685858384511</v>
      </c>
      <c r="AJ32" s="76">
        <f t="shared" si="10"/>
        <v>0.12198587784503578</v>
      </c>
      <c r="AK32" s="76">
        <f t="shared" si="10"/>
        <v>0.11039537883965034</v>
      </c>
      <c r="AL32" s="76">
        <f t="shared" si="10"/>
        <v>9.9249367196490912E-2</v>
      </c>
      <c r="AM32" s="76">
        <f t="shared" si="10"/>
        <v>8.8548696400000626E-2</v>
      </c>
      <c r="AN32" s="76">
        <f t="shared" si="10"/>
        <v>7.8299690899418461E-2</v>
      </c>
      <c r="AO32" s="76">
        <f t="shared" si="10"/>
        <v>6.8512842509451222E-2</v>
      </c>
      <c r="AP32" s="76">
        <f t="shared" si="10"/>
        <v>5.920158772094064E-2</v>
      </c>
      <c r="AQ32" s="76">
        <f t="shared" si="10"/>
        <v>5.0381172673696017E-2</v>
      </c>
      <c r="AR32" s="76">
        <f t="shared" si="10"/>
        <v>4.2067611677343297E-2</v>
      </c>
      <c r="AS32" s="76">
        <f t="shared" si="10"/>
        <v>3.4276744299740702E-2</v>
      </c>
      <c r="AT32" s="76">
        <f t="shared" si="10"/>
        <v>2.7023395176159593E-2</v>
      </c>
      <c r="AU32" s="76">
        <f t="shared" si="10"/>
        <v>2.0320639826157727E-2</v>
      </c>
      <c r="AV32" s="76">
        <f t="shared" si="10"/>
        <v>1.4179178898727773E-2</v>
      </c>
      <c r="AW32" s="76">
        <f t="shared" si="10"/>
        <v>8.6068224000013238E-3</v>
      </c>
      <c r="AX32" s="76">
        <f t="shared" si="10"/>
        <v>3.6080845914523429E-3</v>
      </c>
      <c r="AY32" s="76">
        <f t="shared" si="10"/>
        <v>-8.1611061972397536E-4</v>
      </c>
      <c r="AZ32" s="76">
        <f t="shared" si="10"/>
        <v>-4.6686148427679264E-3</v>
      </c>
      <c r="BA32" s="76">
        <f t="shared" si="10"/>
        <v>-7.9561328290034261E-3</v>
      </c>
      <c r="BB32" s="76">
        <f t="shared" si="10"/>
        <v>-1.0689195338278612E-2</v>
      </c>
      <c r="BC32" s="76">
        <f t="shared" si="10"/>
        <v>-1.2882030889859397E-2</v>
      </c>
      <c r="BD32" s="76">
        <f t="shared" si="10"/>
        <v>-1.4552340907630246E-2</v>
      </c>
      <c r="BE32" s="76">
        <f t="shared" si="10"/>
        <v>-1.5720983635950425E-2</v>
      </c>
      <c r="BF32" s="76">
        <f t="shared" si="10"/>
        <v>-1.6411573068633167E-2</v>
      </c>
      <c r="BG32" s="76">
        <f t="shared" si="10"/>
        <v>-1.6649999999999388E-2</v>
      </c>
      <c r="BH32" s="76">
        <f t="shared" si="10"/>
        <v>-1.6463883173157612E-2</v>
      </c>
      <c r="BI32" s="76">
        <f t="shared" si="10"/>
        <v>-1.5881959367047394E-2</v>
      </c>
      <c r="BJ32" s="76">
        <f t="shared" si="10"/>
        <v>-1.4933422130056329E-2</v>
      </c>
      <c r="BK32" s="76">
        <f t="shared" si="10"/>
        <v>-1.3647219734350458E-2</v>
      </c>
      <c r="BL32" s="76">
        <f t="shared" si="10"/>
        <v>-1.2051323791402169E-2</v>
      </c>
      <c r="BM32" s="76">
        <f t="shared" si="10"/>
        <v>-1.0171980835451677E-2</v>
      </c>
      <c r="BN32" s="76">
        <f t="shared" si="10"/>
        <v>-8.0329600480091301E-3</v>
      </c>
      <c r="BO32" s="76">
        <f t="shared" si="10"/>
        <v>-5.6548111627954256E-3</v>
      </c>
      <c r="BP32" s="76">
        <f t="shared" si="10"/>
        <v>-3.0541474568934746E-3</v>
      </c>
      <c r="BQ32" s="76">
        <f t="shared" si="10"/>
        <v>-2.4296960000036449E-4</v>
      </c>
      <c r="BR32" s="76">
        <f t="shared" si="10"/>
        <v>2.7719529996890202E-3</v>
      </c>
      <c r="BS32" s="76">
        <f t="shared" si="10"/>
        <v>5.9896258484091192E-3</v>
      </c>
      <c r="BT32" s="76">
        <f t="shared" si="10"/>
        <v>9.4152796475626133E-3</v>
      </c>
      <c r="BU32" s="76">
        <f t="shared" si="10"/>
        <v>1.3060707964951845E-2</v>
      </c>
      <c r="BV32" s="76">
        <f t="shared" ref="BV32:DD32" si="11">-214.86*BV25^8+658.23*BV25^7-728.16*BV25^6+286.04*BV25^5+71.062*BV25^4-105.42*BV25^3+40.798*BV25^2-8.6888*BV25+1</f>
        <v>1.694447219297146E-2</v>
      </c>
      <c r="BW32" s="76">
        <f t="shared" si="11"/>
        <v>2.1091952823665494E-2</v>
      </c>
      <c r="BX32" s="76">
        <f t="shared" si="11"/>
        <v>2.5535225204563972E-2</v>
      </c>
      <c r="BY32" s="76">
        <f t="shared" si="11"/>
        <v>3.0312737072689444E-2</v>
      </c>
      <c r="BZ32" s="76">
        <f t="shared" si="11"/>
        <v>3.546876429783552E-2</v>
      </c>
      <c r="CA32" s="76">
        <f t="shared" si="11"/>
        <v>4.1052620400021667E-2</v>
      </c>
      <c r="CB32" s="76">
        <f t="shared" si="11"/>
        <v>4.711759453931208E-2</v>
      </c>
      <c r="CC32" s="76">
        <f t="shared" si="11"/>
        <v>5.3719591810773792E-2</v>
      </c>
      <c r="CD32" s="76">
        <f t="shared" si="11"/>
        <v>6.0915448809726769E-2</v>
      </c>
      <c r="CE32" s="76">
        <f t="shared" si="11"/>
        <v>6.8760896567399143E-2</v>
      </c>
      <c r="CF32" s="76">
        <f t="shared" si="11"/>
        <v>7.7308142089883347E-2</v>
      </c>
      <c r="CG32" s="76">
        <f t="shared" si="11"/>
        <v>8.6603038867432147E-2</v>
      </c>
      <c r="CH32" s="76">
        <f t="shared" si="11"/>
        <v>9.6681815854775977E-2</v>
      </c>
      <c r="CI32" s="76">
        <f t="shared" si="11"/>
        <v>0.10756733355678882</v>
      </c>
      <c r="CJ32" s="76">
        <f t="shared" si="11"/>
        <v>0.11926483498665164</v>
      </c>
      <c r="CK32" s="76">
        <f t="shared" si="11"/>
        <v>0.13175715839999746</v>
      </c>
      <c r="CL32" s="76">
        <f t="shared" si="11"/>
        <v>0.14499937783816819</v>
      </c>
      <c r="CM32" s="76">
        <f t="shared" si="11"/>
        <v>0.15891283665136235</v>
      </c>
      <c r="CN32" s="76">
        <f t="shared" si="11"/>
        <v>0.17337853830334637</v>
      </c>
      <c r="CO32" s="76">
        <f t="shared" si="11"/>
        <v>0.1882298578947097</v>
      </c>
      <c r="CP32" s="76">
        <f t="shared" si="11"/>
        <v>0.2032445369742284</v>
      </c>
      <c r="CQ32" s="76">
        <f t="shared" si="11"/>
        <v>0.21813592334290099</v>
      </c>
      <c r="CR32" s="76">
        <f t="shared" si="11"/>
        <v>0.2325434166866458</v>
      </c>
      <c r="CS32" s="76">
        <f t="shared" si="11"/>
        <v>0.24602208001094716</v>
      </c>
      <c r="CT32" s="76">
        <f t="shared" si="11"/>
        <v>0.25803137597989334</v>
      </c>
      <c r="CU32" s="76">
        <f t="shared" si="11"/>
        <v>0.26792298640000034</v>
      </c>
      <c r="CV32" s="76">
        <f t="shared" si="11"/>
        <v>0.27492767222000225</v>
      </c>
      <c r="CW32" s="76">
        <f t="shared" si="11"/>
        <v>0.27814113055274881</v>
      </c>
      <c r="CX32" s="76">
        <f t="shared" si="11"/>
        <v>0.27650880435847469</v>
      </c>
      <c r="CY32" s="76">
        <f t="shared" si="11"/>
        <v>0.26880959956367256</v>
      </c>
      <c r="CZ32" s="76">
        <f t="shared" si="11"/>
        <v>0.25363846352115615</v>
      </c>
      <c r="DA32" s="76">
        <f t="shared" si="11"/>
        <v>0.22938777785221198</v>
      </c>
      <c r="DB32" s="76">
        <f t="shared" si="11"/>
        <v>0.19422751784717107</v>
      </c>
      <c r="DC32" s="76">
        <f t="shared" si="11"/>
        <v>0.14608412972786589</v>
      </c>
      <c r="DD32" s="76">
        <f t="shared" si="11"/>
        <v>8.2618076218999192E-2</v>
      </c>
    </row>
    <row r="33" spans="1:108" x14ac:dyDescent="0.2">
      <c r="A33" s="75" t="s">
        <v>560</v>
      </c>
      <c r="B33" s="3" t="s">
        <v>557</v>
      </c>
      <c r="C33" s="76">
        <f>120.8*C25^7-352.57*C25^6+284.71*C25^5+80.822*C25^4-225.18*C25^3+111.5*C25^2-21.076*C25+1</f>
        <v>0.80016565633963799</v>
      </c>
      <c r="D33" s="76">
        <f ca="1">120.8*D25^7-352.57*D25^6+284.71*D25^5+80.822*D25^4-225.18*D25^3+111.5*D25^2-21.076*D25+1</f>
        <v>0.80016565633963799</v>
      </c>
      <c r="E33" s="76">
        <f ca="1">120.8*E25^7-352.57*E25^6+284.71*E25^5+80.822*E25^4-225.18*E25^3+111.5*E25^2-21.076*E25+1</f>
        <v>-0.36286663979827205</v>
      </c>
      <c r="F33" s="10"/>
      <c r="I33" s="3" t="s">
        <v>557</v>
      </c>
      <c r="J33" s="76">
        <f t="shared" ref="J33:BU33" si="12">120.8*J25^7-352.57*J25^6+284.71*J25^5+80.822*J25^4-225.18*J25^3+111.5*J25^2-21.076*J25+1</f>
        <v>0.80016565633963799</v>
      </c>
      <c r="K33" s="76">
        <f t="shared" si="12"/>
        <v>0.62129238018214394</v>
      </c>
      <c r="L33" s="76">
        <f t="shared" si="12"/>
        <v>0.46206226989136601</v>
      </c>
      <c r="M33" s="76">
        <f t="shared" si="12"/>
        <v>0.32118311428915203</v>
      </c>
      <c r="N33" s="76">
        <f t="shared" si="12"/>
        <v>0.19739119484375001</v>
      </c>
      <c r="O33" s="76">
        <f t="shared" si="12"/>
        <v>8.945385227276792E-2</v>
      </c>
      <c r="P33" s="76">
        <f t="shared" si="12"/>
        <v>-3.828176350986201E-3</v>
      </c>
      <c r="Q33" s="76">
        <f t="shared" si="12"/>
        <v>-8.3618643902463985E-2</v>
      </c>
      <c r="R33" s="76">
        <f t="shared" si="12"/>
        <v>-0.15104389682781827</v>
      </c>
      <c r="S33" s="76">
        <f t="shared" si="12"/>
        <v>-0.20719118999999986</v>
      </c>
      <c r="T33" s="76">
        <f t="shared" si="12"/>
        <v>-0.25310720671820186</v>
      </c>
      <c r="U33" s="76">
        <f t="shared" si="12"/>
        <v>-0.28979677776281632</v>
      </c>
      <c r="V33" s="76">
        <f t="shared" si="12"/>
        <v>-0.31822179341759371</v>
      </c>
      <c r="W33" s="76">
        <f t="shared" si="12"/>
        <v>-0.3393003023706882</v>
      </c>
      <c r="X33" s="76">
        <f t="shared" si="12"/>
        <v>-0.35390579140625</v>
      </c>
      <c r="Y33" s="76">
        <f t="shared" si="12"/>
        <v>-0.36286663979827205</v>
      </c>
      <c r="Z33" s="76">
        <f t="shared" si="12"/>
        <v>-0.36696574231834633</v>
      </c>
      <c r="AA33" s="76">
        <f t="shared" si="12"/>
        <v>-0.36694029476902434</v>
      </c>
      <c r="AB33" s="76">
        <f t="shared" si="12"/>
        <v>-0.36348173595445754</v>
      </c>
      <c r="AC33" s="76">
        <f t="shared" si="12"/>
        <v>-0.35723583999999997</v>
      </c>
      <c r="AD33" s="76">
        <f t="shared" si="12"/>
        <v>-0.3488029529324419</v>
      </c>
      <c r="AE33" s="76">
        <f t="shared" si="12"/>
        <v>-0.33873836743257568</v>
      </c>
      <c r="AF33" s="76">
        <f t="shared" si="12"/>
        <v>-0.3275528296717547</v>
      </c>
      <c r="AG33" s="76">
        <f t="shared" si="12"/>
        <v>-0.31571317214412753</v>
      </c>
      <c r="AH33" s="76">
        <f t="shared" si="12"/>
        <v>-0.30364306640625038</v>
      </c>
      <c r="AI33" s="76">
        <f t="shared" si="12"/>
        <v>-0.29172388963571105</v>
      </c>
      <c r="AJ33" s="76">
        <f t="shared" si="12"/>
        <v>-0.28029569892050521</v>
      </c>
      <c r="AK33" s="76">
        <f t="shared" si="12"/>
        <v>-0.26965830719078543</v>
      </c>
      <c r="AL33" s="76">
        <f t="shared" si="12"/>
        <v>-0.26007245470469798</v>
      </c>
      <c r="AM33" s="76">
        <f t="shared" si="12"/>
        <v>-0.25176107000000059</v>
      </c>
      <c r="AN33" s="76">
        <f t="shared" si="12"/>
        <v>-0.24491061422308125</v>
      </c>
      <c r="AO33" s="76">
        <f t="shared" si="12"/>
        <v>-0.23967250274713425</v>
      </c>
      <c r="AP33" s="76">
        <f t="shared" si="12"/>
        <v>-0.236164597991114</v>
      </c>
      <c r="AQ33" s="76">
        <f t="shared" si="12"/>
        <v>-0.23447276735116862</v>
      </c>
      <c r="AR33" s="76">
        <f t="shared" si="12"/>
        <v>-0.23465250015625205</v>
      </c>
      <c r="AS33" s="76">
        <f t="shared" si="12"/>
        <v>-0.23673057755955451</v>
      </c>
      <c r="AT33" s="76">
        <f t="shared" si="12"/>
        <v>-0.2407067892774668</v>
      </c>
      <c r="AU33" s="76">
        <f t="shared" si="12"/>
        <v>-0.246555691087746</v>
      </c>
      <c r="AV33" s="76">
        <f t="shared" si="12"/>
        <v>-0.25422839699854016</v>
      </c>
      <c r="AW33" s="76">
        <f t="shared" si="12"/>
        <v>-0.26365439999999829</v>
      </c>
      <c r="AX33" s="76">
        <f t="shared" si="12"/>
        <v>-0.27474341531012492</v>
      </c>
      <c r="AY33" s="76">
        <f t="shared" si="12"/>
        <v>-0.28738724002650073</v>
      </c>
      <c r="AZ33" s="76">
        <f t="shared" si="12"/>
        <v>-0.30146162309567792</v>
      </c>
      <c r="BA33" s="76">
        <f t="shared" si="12"/>
        <v>-0.31682813951180755</v>
      </c>
      <c r="BB33" s="76">
        <f t="shared" si="12"/>
        <v>-0.33333606265624738</v>
      </c>
      <c r="BC33" s="76">
        <f t="shared" si="12"/>
        <v>-0.35082422868979179</v>
      </c>
      <c r="BD33" s="76">
        <f t="shared" si="12"/>
        <v>-0.36912288690923134</v>
      </c>
      <c r="BE33" s="76">
        <f t="shared" si="12"/>
        <v>-0.38805552997990489</v>
      </c>
      <c r="BF33" s="76">
        <f t="shared" si="12"/>
        <v>-0.40744069795597859</v>
      </c>
      <c r="BG33" s="76">
        <f t="shared" si="12"/>
        <v>-0.42709375000000271</v>
      </c>
      <c r="BH33" s="76">
        <f t="shared" si="12"/>
        <v>-0.44682859771356931</v>
      </c>
      <c r="BI33" s="76">
        <f t="shared" si="12"/>
        <v>-0.46645939399066094</v>
      </c>
      <c r="BJ33" s="76">
        <f t="shared" si="12"/>
        <v>-0.48580217130543701</v>
      </c>
      <c r="BK33" s="76">
        <f t="shared" si="12"/>
        <v>-0.504676423346055</v>
      </c>
      <c r="BL33" s="76">
        <f t="shared" si="12"/>
        <v>-0.52290662390625897</v>
      </c>
      <c r="BM33" s="76">
        <f t="shared" si="12"/>
        <v>-0.54032367694643568</v>
      </c>
      <c r="BN33" s="76">
        <f t="shared" si="12"/>
        <v>-0.55676629173579606</v>
      </c>
      <c r="BO33" s="76">
        <f t="shared" si="12"/>
        <v>-0.5720822769872651</v>
      </c>
      <c r="BP33" s="76">
        <f t="shared" si="12"/>
        <v>-0.58612974789701688</v>
      </c>
      <c r="BQ33" s="76">
        <f t="shared" si="12"/>
        <v>-0.59877824000000324</v>
      </c>
      <c r="BR33" s="76">
        <f t="shared" si="12"/>
        <v>-0.60990972375340213</v>
      </c>
      <c r="BS33" s="76">
        <f t="shared" si="12"/>
        <v>-0.61941951375961501</v>
      </c>
      <c r="BT33" s="76">
        <f t="shared" si="12"/>
        <v>-0.62721706654039266</v>
      </c>
      <c r="BU33" s="76">
        <f t="shared" si="12"/>
        <v>-0.63322666077388945</v>
      </c>
      <c r="BV33" s="76">
        <f t="shared" ref="BV33:DD33" si="13">120.8*BV25^7-352.57*BV25^6+284.71*BV25^5+80.822*BV25^4-225.18*BV25^3+111.5*BV25^2-21.076*BV25+1</f>
        <v>-0.63738795390624503</v>
      </c>
      <c r="BW33" s="76">
        <f t="shared" si="13"/>
        <v>-0.63965640904947563</v>
      </c>
      <c r="BX33" s="76">
        <f t="shared" si="13"/>
        <v>-0.64000358607714602</v>
      </c>
      <c r="BY33" s="76">
        <f t="shared" si="13"/>
        <v>-0.6384172908298229</v>
      </c>
      <c r="BZ33" s="76">
        <f t="shared" si="13"/>
        <v>-0.63490157634166344</v>
      </c>
      <c r="CA33" s="76">
        <f t="shared" si="13"/>
        <v>-0.62947659000001188</v>
      </c>
      <c r="CB33" s="76">
        <f t="shared" si="13"/>
        <v>-0.62217826054964753</v>
      </c>
      <c r="CC33" s="76">
        <f t="shared" si="13"/>
        <v>-0.61305781885337218</v>
      </c>
      <c r="CD33" s="76">
        <f t="shared" si="13"/>
        <v>-0.60218114632056263</v>
      </c>
      <c r="CE33" s="76">
        <f t="shared" si="13"/>
        <v>-0.58962794491533543</v>
      </c>
      <c r="CF33" s="76">
        <f t="shared" si="13"/>
        <v>-0.57549072265626222</v>
      </c>
      <c r="CG33" s="76">
        <f t="shared" si="13"/>
        <v>-0.55987358851892566</v>
      </c>
      <c r="CH33" s="76">
        <f t="shared" si="13"/>
        <v>-0.54289085065330767</v>
      </c>
      <c r="CI33" s="76">
        <f t="shared" si="13"/>
        <v>-0.52466541182761262</v>
      </c>
      <c r="CJ33" s="76">
        <f t="shared" si="13"/>
        <v>-0.50532695600993094</v>
      </c>
      <c r="CK33" s="76">
        <f t="shared" si="13"/>
        <v>-0.48500992000000309</v>
      </c>
      <c r="CL33" s="76">
        <f t="shared" si="13"/>
        <v>-0.46385124402229394</v>
      </c>
      <c r="CM33" s="76">
        <f t="shared" si="13"/>
        <v>-0.44198789519195714</v>
      </c>
      <c r="CN33" s="76">
        <f t="shared" si="13"/>
        <v>-0.41955415776594762</v>
      </c>
      <c r="CO33" s="76">
        <f t="shared" si="13"/>
        <v>-0.39667868409034313</v>
      </c>
      <c r="CP33" s="76">
        <f t="shared" si="13"/>
        <v>-0.37348130015624648</v>
      </c>
      <c r="CQ33" s="76">
        <f t="shared" si="13"/>
        <v>-0.35006955967476117</v>
      </c>
      <c r="CR33" s="76">
        <f t="shared" si="13"/>
        <v>-0.32653504058425042</v>
      </c>
      <c r="CS33" s="76">
        <f t="shared" si="13"/>
        <v>-0.30294937790051435</v>
      </c>
      <c r="CT33" s="76">
        <f t="shared" si="13"/>
        <v>-0.27936002682172401</v>
      </c>
      <c r="CU33" s="76">
        <f t="shared" si="13"/>
        <v>-0.25578575000005443</v>
      </c>
      <c r="CV33" s="76">
        <f t="shared" si="13"/>
        <v>-0.23221182289131903</v>
      </c>
      <c r="CW33" s="76">
        <f t="shared" si="13"/>
        <v>-0.20858495109531461</v>
      </c>
      <c r="CX33" s="76">
        <f t="shared" si="13"/>
        <v>-0.18480789359647432</v>
      </c>
      <c r="CY33" s="76">
        <f t="shared" si="13"/>
        <v>-0.16073378581904052</v>
      </c>
      <c r="CZ33" s="76">
        <f t="shared" si="13"/>
        <v>-0.13616015640629087</v>
      </c>
      <c r="DA33" s="76">
        <f t="shared" si="13"/>
        <v>-0.11082263163705619</v>
      </c>
      <c r="DB33" s="76">
        <f t="shared" si="13"/>
        <v>-8.4388321390036936E-2</v>
      </c>
      <c r="DC33" s="76">
        <f t="shared" si="13"/>
        <v>-5.6448880568744642E-2</v>
      </c>
      <c r="DD33" s="76">
        <f t="shared" si="13"/>
        <v>-2.6513239897170138E-2</v>
      </c>
    </row>
    <row r="34" spans="1:108" x14ac:dyDescent="0.2">
      <c r="A34" s="75" t="s">
        <v>561</v>
      </c>
      <c r="B34" s="3" t="s">
        <v>557</v>
      </c>
      <c r="C34" s="76">
        <f>176.11*C25^7-691.15*C25^6+1035.2*C25^5-734.89*C25^4+238.82*C25^3-18.781*C25^2-6.3442*C25+1</f>
        <v>0.93491147393061114</v>
      </c>
      <c r="D34" s="76">
        <f ca="1">176.11*D25^7-691.15*D25^6+1035.2*D25^5-734.89*D25^4+238.82*D25^3-18.781*D25^2-6.3442*D25+1</f>
        <v>0.93491147393061114</v>
      </c>
      <c r="E34" s="76">
        <f ca="1">176.11*E25^7-691.15*E25^6+1035.2*E25^5-734.89*E25^4+238.82*E25^3-18.781*E25^2-6.3442*E25+1</f>
        <v>9.8149365963161816E-2</v>
      </c>
      <c r="F34" s="10"/>
      <c r="I34" s="3" t="s">
        <v>557</v>
      </c>
      <c r="J34" s="76">
        <f t="shared" ref="J34:BU34" si="14">176.11*J25^7-691.15*J25^6+1035.2*J25^5-734.89*J25^4+238.82*J25^3-18.781*J25^2-6.3442*J25+1</f>
        <v>0.93491147393061114</v>
      </c>
      <c r="K34" s="76">
        <f t="shared" si="14"/>
        <v>0.86739984623182087</v>
      </c>
      <c r="L34" s="76">
        <f t="shared" si="14"/>
        <v>0.79864863446317569</v>
      </c>
      <c r="M34" s="76">
        <f t="shared" si="14"/>
        <v>0.72968876398346239</v>
      </c>
      <c r="N34" s="76">
        <f t="shared" si="14"/>
        <v>0.66140977586718752</v>
      </c>
      <c r="O34" s="76">
        <f t="shared" si="14"/>
        <v>0.59457056382088957</v>
      </c>
      <c r="P34" s="76">
        <f t="shared" si="14"/>
        <v>0.52980964897522731</v>
      </c>
      <c r="Q34" s="76">
        <f t="shared" si="14"/>
        <v>0.46765500142878724</v>
      </c>
      <c r="R34" s="76">
        <f t="shared" si="14"/>
        <v>0.40853341741955584</v>
      </c>
      <c r="S34" s="76">
        <f t="shared" si="14"/>
        <v>0.35277946100000002</v>
      </c>
      <c r="T34" s="76">
        <f t="shared" si="14"/>
        <v>0.30064397909169815</v>
      </c>
      <c r="U34" s="76">
        <f t="shared" si="14"/>
        <v>0.25230219879546889</v>
      </c>
      <c r="V34" s="76">
        <f t="shared" si="14"/>
        <v>0.20786141583293882</v>
      </c>
      <c r="W34" s="76">
        <f t="shared" si="14"/>
        <v>0.16736828299549456</v>
      </c>
      <c r="X34" s="76">
        <f t="shared" si="14"/>
        <v>0.13081570747656257</v>
      </c>
      <c r="Y34" s="76">
        <f t="shared" si="14"/>
        <v>9.8149365963161816E-2</v>
      </c>
      <c r="Z34" s="76">
        <f t="shared" si="14"/>
        <v>6.9273846362670533E-2</v>
      </c>
      <c r="AA34" s="76">
        <f t="shared" si="14"/>
        <v>4.4058425040755078E-2</v>
      </c>
      <c r="AB34" s="76">
        <f t="shared" si="14"/>
        <v>2.2342488446402742E-2</v>
      </c>
      <c r="AC34" s="76">
        <f t="shared" si="14"/>
        <v>3.9406079999998456E-3</v>
      </c>
      <c r="AD34" s="76">
        <f t="shared" si="14"/>
        <v>-1.1352722879594879E-2</v>
      </c>
      <c r="AE34" s="76">
        <f t="shared" si="14"/>
        <v>-2.3758680733043436E-2</v>
      </c>
      <c r="AF34" s="76">
        <f t="shared" si="14"/>
        <v>-3.3510024127638038E-2</v>
      </c>
      <c r="AG34" s="76">
        <f t="shared" si="14"/>
        <v>-4.0847316957593582E-2</v>
      </c>
      <c r="AH34" s="76">
        <f t="shared" si="14"/>
        <v>-4.6015454101562492E-2</v>
      </c>
      <c r="AI34" s="76">
        <f t="shared" si="14"/>
        <v>-4.9260480561447828E-2</v>
      </c>
      <c r="AJ34" s="76">
        <f t="shared" si="14"/>
        <v>-5.0826695206547035E-2</v>
      </c>
      <c r="AK34" s="76">
        <f t="shared" si="14"/>
        <v>-5.0954030247116533E-2</v>
      </c>
      <c r="AL34" s="76">
        <f t="shared" si="14"/>
        <v>-4.9875697561370114E-2</v>
      </c>
      <c r="AM34" s="76">
        <f t="shared" si="14"/>
        <v>-4.7816093000000226E-2</v>
      </c>
      <c r="AN34" s="76">
        <f t="shared" si="14"/>
        <v>-4.4988949792268418E-2</v>
      </c>
      <c r="AO34" s="76">
        <f t="shared" si="14"/>
        <v>-4.1595732177715616E-2</v>
      </c>
      <c r="AP34" s="76">
        <f t="shared" si="14"/>
        <v>-3.7824260387554709E-2</v>
      </c>
      <c r="AQ34" s="76">
        <f t="shared" si="14"/>
        <v>-3.3847558099802555E-2</v>
      </c>
      <c r="AR34" s="76">
        <f t="shared" si="14"/>
        <v>-2.9822913492185243E-2</v>
      </c>
      <c r="AS34" s="76">
        <f t="shared" si="14"/>
        <v>-2.5891145016932793E-2</v>
      </c>
      <c r="AT34" s="76">
        <f t="shared" si="14"/>
        <v>-2.2176063021423165E-2</v>
      </c>
      <c r="AU34" s="76">
        <f t="shared" si="14"/>
        <v>-1.8784118338825984E-2</v>
      </c>
      <c r="AV34" s="76">
        <f t="shared" si="14"/>
        <v>-1.5804228972760459E-2</v>
      </c>
      <c r="AW34" s="76">
        <f t="shared" si="14"/>
        <v>-1.3307776000000882E-2</v>
      </c>
      <c r="AX34" s="76">
        <f t="shared" si="14"/>
        <v>-1.1348759815317688E-2</v>
      </c>
      <c r="AY34" s="76">
        <f t="shared" si="14"/>
        <v>-9.9641078425452001E-3</v>
      </c>
      <c r="AZ34" s="76">
        <f t="shared" si="14"/>
        <v>-9.1741248358108152E-3</v>
      </c>
      <c r="BA34" s="76">
        <f t="shared" si="14"/>
        <v>-8.9830768951255635E-3</v>
      </c>
      <c r="BB34" s="76">
        <f t="shared" si="14"/>
        <v>-9.3799003203089981E-3</v>
      </c>
      <c r="BC34" s="76">
        <f t="shared" si="14"/>
        <v>-1.0339026427294229E-2</v>
      </c>
      <c r="BD34" s="76">
        <f t="shared" si="14"/>
        <v>-1.1821313450967708E-2</v>
      </c>
      <c r="BE34" s="76">
        <f t="shared" si="14"/>
        <v>-1.3775076658375518E-2</v>
      </c>
      <c r="BF34" s="76">
        <f t="shared" si="14"/>
        <v>-1.6137207796769193E-2</v>
      </c>
      <c r="BG34" s="76">
        <f t="shared" si="14"/>
        <v>-1.8834374999997294E-2</v>
      </c>
      <c r="BH34" s="76">
        <f t="shared" si="14"/>
        <v>-2.1784294277740202E-2</v>
      </c>
      <c r="BI34" s="76">
        <f t="shared" si="14"/>
        <v>-2.4897063711533551E-2</v>
      </c>
      <c r="BJ34" s="76">
        <f t="shared" si="14"/>
        <v>-2.8076551481408085E-2</v>
      </c>
      <c r="BK34" s="76">
        <f t="shared" si="14"/>
        <v>-3.1221828847573629E-2</v>
      </c>
      <c r="BL34" s="76">
        <f t="shared" si="14"/>
        <v>-3.422863921094077E-2</v>
      </c>
      <c r="BM34" s="76">
        <f t="shared" si="14"/>
        <v>-3.6990894376537575E-2</v>
      </c>
      <c r="BN34" s="76">
        <f t="shared" si="14"/>
        <v>-3.9402189144146504E-2</v>
      </c>
      <c r="BO34" s="76">
        <f t="shared" si="14"/>
        <v>-4.1357325349771212E-2</v>
      </c>
      <c r="BP34" s="76">
        <f t="shared" si="14"/>
        <v>-4.2753836482405827E-2</v>
      </c>
      <c r="BQ34" s="76">
        <f t="shared" si="14"/>
        <v>-4.3493504000002403E-2</v>
      </c>
      <c r="BR34" s="76">
        <f t="shared" si="14"/>
        <v>-4.3483856468566451E-2</v>
      </c>
      <c r="BS34" s="76">
        <f t="shared" si="14"/>
        <v>-4.2639642648686582E-2</v>
      </c>
      <c r="BT34" s="76">
        <f t="shared" si="14"/>
        <v>-4.0884269653306493E-2</v>
      </c>
      <c r="BU34" s="76">
        <f t="shared" si="14"/>
        <v>-3.8151197301132811E-2</v>
      </c>
      <c r="BV34" s="76">
        <f t="shared" ref="BV34:DD34" si="15">176.11*BV25^7-691.15*BV25^6+1035.2*BV25^5-734.89*BV25^4+238.82*BV25^3-18.781*BV25^2-6.3442*BV25+1</f>
        <v>-3.4385279789064249E-2</v>
      </c>
      <c r="BW34" s="76">
        <f t="shared" si="15"/>
        <v>-2.9544045808673758E-2</v>
      </c>
      <c r="BX34" s="76">
        <f t="shared" si="15"/>
        <v>-2.3598908230006543E-2</v>
      </c>
      <c r="BY34" s="76">
        <f t="shared" si="15"/>
        <v>-1.6536294476971136E-2</v>
      </c>
      <c r="BZ34" s="76">
        <f t="shared" si="15"/>
        <v>-8.3586887186513081E-3</v>
      </c>
      <c r="CA34" s="76">
        <f t="shared" si="15"/>
        <v>9.1442299998778509E-4</v>
      </c>
      <c r="CB34" s="76">
        <f t="shared" si="15"/>
        <v>1.1245713563268644E-2</v>
      </c>
      <c r="CC34" s="76">
        <f t="shared" si="15"/>
        <v>2.2579290402025443E-2</v>
      </c>
      <c r="CD34" s="76">
        <f t="shared" si="15"/>
        <v>3.4840094799387877E-2</v>
      </c>
      <c r="CE34" s="76">
        <f t="shared" si="15"/>
        <v>4.7933433760163346E-2</v>
      </c>
      <c r="CF34" s="76">
        <f t="shared" si="15"/>
        <v>6.1744653320346288E-2</v>
      </c>
      <c r="CG34" s="76">
        <f t="shared" si="15"/>
        <v>7.6138962172379365E-2</v>
      </c>
      <c r="CH34" s="76">
        <f t="shared" si="15"/>
        <v>9.0961414482501723E-2</v>
      </c>
      <c r="CI34" s="76">
        <f t="shared" si="15"/>
        <v>0.1060370607759662</v>
      </c>
      <c r="CJ34" s="76">
        <f t="shared" si="15"/>
        <v>0.12117127576543218</v>
      </c>
      <c r="CK34" s="76">
        <f t="shared" si="15"/>
        <v>0.13615027200002583</v>
      </c>
      <c r="CL34" s="76">
        <f t="shared" si="15"/>
        <v>0.15074180820867067</v>
      </c>
      <c r="CM34" s="76">
        <f t="shared" si="15"/>
        <v>0.1646961012165713</v>
      </c>
      <c r="CN34" s="76">
        <f t="shared" si="15"/>
        <v>0.17774695030778442</v>
      </c>
      <c r="CO34" s="76">
        <f t="shared" si="15"/>
        <v>0.18961308291237611</v>
      </c>
      <c r="CP34" s="76">
        <f t="shared" si="15"/>
        <v>0.1999997304921779</v>
      </c>
      <c r="CQ34" s="76">
        <f t="shared" si="15"/>
        <v>0.20860044350249574</v>
      </c>
      <c r="CR34" s="76">
        <f t="shared" si="15"/>
        <v>0.21509915430443627</v>
      </c>
      <c r="CS34" s="76">
        <f t="shared" si="15"/>
        <v>0.21917249690515916</v>
      </c>
      <c r="CT34" s="76">
        <f t="shared" si="15"/>
        <v>0.22049239240102736</v>
      </c>
      <c r="CU34" s="76">
        <f t="shared" si="15"/>
        <v>0.21872890900006148</v>
      </c>
      <c r="CV34" s="76">
        <f t="shared" si="15"/>
        <v>0.21355340549881152</v>
      </c>
      <c r="CW34" s="76">
        <f t="shared" si="15"/>
        <v>0.20464196709094207</v>
      </c>
      <c r="CX34" s="76">
        <f t="shared" si="15"/>
        <v>0.19167914238286432</v>
      </c>
      <c r="CY34" s="76">
        <f t="shared" si="15"/>
        <v>0.17436199049142243</v>
      </c>
      <c r="CZ34" s="76">
        <f t="shared" si="15"/>
        <v>0.15240444710165324</v>
      </c>
      <c r="DA34" s="76">
        <f t="shared" si="15"/>
        <v>0.12554201835765877</v>
      </c>
      <c r="DB34" s="76">
        <f t="shared" si="15"/>
        <v>9.353681146652626E-2</v>
      </c>
      <c r="DC34" s="76">
        <f t="shared" si="15"/>
        <v>5.6182910886366955E-2</v>
      </c>
      <c r="DD34" s="76">
        <f t="shared" si="15"/>
        <v>1.3312108979134152E-2</v>
      </c>
    </row>
    <row r="35" spans="1:108" x14ac:dyDescent="0.2">
      <c r="A35" s="75" t="s">
        <v>562</v>
      </c>
      <c r="B35" s="3" t="s">
        <v>557</v>
      </c>
      <c r="C35" s="76">
        <f>-64.975*C25^6+176.39*C25^5-182.68*C25^4+85.668*C25^3-12.048*C25^2-3.3532*C25+1</f>
        <v>0.96534705877402505</v>
      </c>
      <c r="D35" s="76">
        <f ca="1">-64.975*D25^6+176.39*D25^5-182.68*D25^4+85.668*D25^3-12.048*D25^2-3.3532*D25+1</f>
        <v>0.96534705877402505</v>
      </c>
      <c r="E35" s="76">
        <f ca="1">-64.975*E25^6+176.39*E25^5-182.68*E25^4+85.668*E25^3-12.048*E25^2-3.3532*E25+1</f>
        <v>0.40363989565440006</v>
      </c>
      <c r="F35" s="10"/>
      <c r="I35" s="3" t="s">
        <v>557</v>
      </c>
      <c r="J35" s="76">
        <f t="shared" ref="J35:BU35" si="16">-64.975*J25^6+176.39*J25^5-182.68*J25^4+85.668*J25^3-12.048*J25^2-3.3532*J25+1</f>
        <v>0.96534705877402505</v>
      </c>
      <c r="K35" s="76">
        <f t="shared" si="16"/>
        <v>0.92877347548959999</v>
      </c>
      <c r="L35" s="76">
        <f t="shared" si="16"/>
        <v>0.89073010411022502</v>
      </c>
      <c r="M35" s="76">
        <f t="shared" si="16"/>
        <v>0.85162808739840001</v>
      </c>
      <c r="N35" s="76">
        <f t="shared" si="16"/>
        <v>0.811840856640625</v>
      </c>
      <c r="O35" s="76">
        <f t="shared" si="16"/>
        <v>0.77170608459040002</v>
      </c>
      <c r="P35" s="76">
        <f t="shared" si="16"/>
        <v>0.73152759162922498</v>
      </c>
      <c r="Q35" s="76">
        <f t="shared" si="16"/>
        <v>0.69157720514559995</v>
      </c>
      <c r="R35" s="76">
        <f t="shared" si="16"/>
        <v>0.65209657213202499</v>
      </c>
      <c r="S35" s="76">
        <f t="shared" si="16"/>
        <v>0.61329892500000005</v>
      </c>
      <c r="T35" s="76">
        <f t="shared" si="16"/>
        <v>0.57537080061302504</v>
      </c>
      <c r="U35" s="76">
        <f t="shared" si="16"/>
        <v>0.53847371253760001</v>
      </c>
      <c r="V35" s="76">
        <f t="shared" si="16"/>
        <v>0.50274577651222507</v>
      </c>
      <c r="W35" s="76">
        <f t="shared" si="16"/>
        <v>0.4683032891344</v>
      </c>
      <c r="X35" s="76">
        <f t="shared" si="16"/>
        <v>0.43524225976562514</v>
      </c>
      <c r="Y35" s="76">
        <f t="shared" si="16"/>
        <v>0.40363989565440006</v>
      </c>
      <c r="Z35" s="76">
        <f t="shared" si="16"/>
        <v>0.37355604027722489</v>
      </c>
      <c r="AA35" s="76">
        <f t="shared" si="16"/>
        <v>0.34503456489759987</v>
      </c>
      <c r="AB35" s="76">
        <f t="shared" si="16"/>
        <v>0.31810471334302493</v>
      </c>
      <c r="AC35" s="76">
        <f t="shared" si="16"/>
        <v>0.29278239999999989</v>
      </c>
      <c r="AD35" s="76">
        <f t="shared" si="16"/>
        <v>0.26907146102702484</v>
      </c>
      <c r="AE35" s="76">
        <f t="shared" si="16"/>
        <v>0.24696485878559993</v>
      </c>
      <c r="AF35" s="76">
        <f t="shared" si="16"/>
        <v>0.22644583948922503</v>
      </c>
      <c r="AG35" s="76">
        <f t="shared" si="16"/>
        <v>0.20748904407040003</v>
      </c>
      <c r="AH35" s="76">
        <f t="shared" si="16"/>
        <v>0.19006157226562492</v>
      </c>
      <c r="AI35" s="76">
        <f t="shared" si="16"/>
        <v>0.17412399991839977</v>
      </c>
      <c r="AJ35" s="76">
        <f t="shared" si="16"/>
        <v>0.15963134950022484</v>
      </c>
      <c r="AK35" s="76">
        <f t="shared" si="16"/>
        <v>0.14653401384960008</v>
      </c>
      <c r="AL35" s="76">
        <f t="shared" si="16"/>
        <v>0.13477863312902516</v>
      </c>
      <c r="AM35" s="76">
        <f t="shared" si="16"/>
        <v>0.12430892499999979</v>
      </c>
      <c r="AN35" s="76">
        <f t="shared" si="16"/>
        <v>0.11506646801602449</v>
      </c>
      <c r="AO35" s="76">
        <f t="shared" si="16"/>
        <v>0.10699143823359947</v>
      </c>
      <c r="AP35" s="76">
        <f t="shared" si="16"/>
        <v>0.10002329904122464</v>
      </c>
      <c r="AQ35" s="76">
        <f t="shared" si="16"/>
        <v>9.4101444206399876E-2</v>
      </c>
      <c r="AR35" s="76">
        <f t="shared" si="16"/>
        <v>8.9165794140625421E-2</v>
      </c>
      <c r="AS35" s="76">
        <f t="shared" si="16"/>
        <v>8.5157345382400829E-2</v>
      </c>
      <c r="AT35" s="76">
        <f t="shared" si="16"/>
        <v>8.2018673298224432E-2</v>
      </c>
      <c r="AU35" s="76">
        <f t="shared" si="16"/>
        <v>7.9694388001600114E-2</v>
      </c>
      <c r="AV35" s="76">
        <f t="shared" si="16"/>
        <v>7.8131543490024935E-2</v>
      </c>
      <c r="AW35" s="76">
        <f t="shared" si="16"/>
        <v>7.7279999999999793E-2</v>
      </c>
      <c r="AX35" s="76">
        <f t="shared" si="16"/>
        <v>7.7092739580026048E-2</v>
      </c>
      <c r="AY35" s="76">
        <f t="shared" si="16"/>
        <v>7.7526134881601871E-2</v>
      </c>
      <c r="AZ35" s="76">
        <f t="shared" si="16"/>
        <v>7.8540171168225426E-2</v>
      </c>
      <c r="BA35" s="76">
        <f t="shared" si="16"/>
        <v>8.0098621542399107E-2</v>
      </c>
      <c r="BB35" s="76">
        <f t="shared" si="16"/>
        <v>8.2169175390624627E-2</v>
      </c>
      <c r="BC35" s="76">
        <f t="shared" si="16"/>
        <v>8.4723520046400935E-2</v>
      </c>
      <c r="BD35" s="76">
        <f t="shared" si="16"/>
        <v>8.7737375671224305E-2</v>
      </c>
      <c r="BE35" s="76">
        <f t="shared" si="16"/>
        <v>9.1190483353601026E-2</v>
      </c>
      <c r="BF35" s="76">
        <f t="shared" si="16"/>
        <v>9.5066546426026077E-2</v>
      </c>
      <c r="BG35" s="76">
        <f t="shared" si="16"/>
        <v>9.9353125000001485E-2</v>
      </c>
      <c r="BH35" s="76">
        <f t="shared" si="16"/>
        <v>0.10404148371902688</v>
      </c>
      <c r="BI35" s="76">
        <f t="shared" si="16"/>
        <v>0.10912639272960001</v>
      </c>
      <c r="BJ35" s="76">
        <f t="shared" si="16"/>
        <v>0.1146058818702258</v>
      </c>
      <c r="BK35" s="76">
        <f t="shared" si="16"/>
        <v>0.12048094807839949</v>
      </c>
      <c r="BL35" s="76">
        <f t="shared" si="16"/>
        <v>0.12675521601562578</v>
      </c>
      <c r="BM35" s="76">
        <f t="shared" si="16"/>
        <v>0.13343455191039655</v>
      </c>
      <c r="BN35" s="76">
        <f t="shared" si="16"/>
        <v>0.14052663061922632</v>
      </c>
      <c r="BO35" s="76">
        <f t="shared" si="16"/>
        <v>0.148040455905599</v>
      </c>
      <c r="BP35" s="76">
        <f t="shared" si="16"/>
        <v>0.15598583393702325</v>
      </c>
      <c r="BQ35" s="76">
        <f t="shared" si="16"/>
        <v>0.16437280000000198</v>
      </c>
      <c r="BR35" s="76">
        <f t="shared" si="16"/>
        <v>0.17321099843302123</v>
      </c>
      <c r="BS35" s="76">
        <f t="shared" si="16"/>
        <v>0.18250901577760015</v>
      </c>
      <c r="BT35" s="76">
        <f t="shared" si="16"/>
        <v>0.19227366714722915</v>
      </c>
      <c r="BU35" s="76">
        <f t="shared" si="16"/>
        <v>0.2025092358143965</v>
      </c>
      <c r="BV35" s="76">
        <f t="shared" ref="BV35:DD35" si="17">-64.975*BV25^6+176.39*BV25^5-182.68*BV25^4+85.668*BV25^3-12.048*BV25^2-3.3532*BV25+1</f>
        <v>0.21321666601562317</v>
      </c>
      <c r="BW35" s="76">
        <f t="shared" si="17"/>
        <v>0.22439270897439467</v>
      </c>
      <c r="BX35" s="76">
        <f t="shared" si="17"/>
        <v>0.23602902214222032</v>
      </c>
      <c r="BY35" s="76">
        <f t="shared" si="17"/>
        <v>0.24811122165759736</v>
      </c>
      <c r="BZ35" s="76">
        <f t="shared" si="17"/>
        <v>0.26061788802302077</v>
      </c>
      <c r="CA35" s="76">
        <f t="shared" si="17"/>
        <v>0.27351952499999976</v>
      </c>
      <c r="CB35" s="76">
        <f t="shared" si="17"/>
        <v>0.28677747172202972</v>
      </c>
      <c r="CC35" s="76">
        <f t="shared" si="17"/>
        <v>0.30034276802560278</v>
      </c>
      <c r="CD35" s="76">
        <f t="shared" si="17"/>
        <v>0.31415497299922635</v>
      </c>
      <c r="CE35" s="76">
        <f t="shared" si="17"/>
        <v>0.32814093675039846</v>
      </c>
      <c r="CF35" s="76">
        <f t="shared" si="17"/>
        <v>0.34221352539062888</v>
      </c>
      <c r="CG35" s="76">
        <f t="shared" si="17"/>
        <v>0.35627029923839704</v>
      </c>
      <c r="CH35" s="76">
        <f t="shared" si="17"/>
        <v>0.37019214424021252</v>
      </c>
      <c r="CI35" s="76">
        <f t="shared" si="17"/>
        <v>0.38384185660959647</v>
      </c>
      <c r="CJ35" s="76">
        <f t="shared" si="17"/>
        <v>0.39706268068401807</v>
      </c>
      <c r="CK35" s="76">
        <f t="shared" si="17"/>
        <v>0.40967680000000017</v>
      </c>
      <c r="CL35" s="76">
        <f t="shared" si="17"/>
        <v>0.42148378158601796</v>
      </c>
      <c r="CM35" s="76">
        <f t="shared" si="17"/>
        <v>0.43225897347360531</v>
      </c>
      <c r="CN35" s="76">
        <f t="shared" si="17"/>
        <v>0.44175185542622053</v>
      </c>
      <c r="CO35" s="76">
        <f t="shared" si="17"/>
        <v>0.44968434288638459</v>
      </c>
      <c r="CP35" s="76">
        <f t="shared" si="17"/>
        <v>0.45574904414060846</v>
      </c>
      <c r="CQ35" s="76">
        <f t="shared" si="17"/>
        <v>0.45960747070239005</v>
      </c>
      <c r="CR35" s="76">
        <f t="shared" si="17"/>
        <v>0.46088820091322624</v>
      </c>
      <c r="CS35" s="76">
        <f t="shared" si="17"/>
        <v>0.45918499676159241</v>
      </c>
      <c r="CT35" s="76">
        <f t="shared" si="17"/>
        <v>0.45405487392001875</v>
      </c>
      <c r="CU35" s="76">
        <f t="shared" si="17"/>
        <v>0.4450161249999911</v>
      </c>
      <c r="CV35" s="76">
        <f t="shared" si="17"/>
        <v>0.43154629602500494</v>
      </c>
      <c r="CW35" s="76">
        <f t="shared" si="17"/>
        <v>0.41308011612157669</v>
      </c>
      <c r="CX35" s="76">
        <f t="shared" si="17"/>
        <v>0.38900738042821548</v>
      </c>
      <c r="CY35" s="76">
        <f t="shared" si="17"/>
        <v>0.35867078622237791</v>
      </c>
      <c r="CZ35" s="76">
        <f t="shared" si="17"/>
        <v>0.32136372226565246</v>
      </c>
      <c r="DA35" s="76">
        <f t="shared" si="17"/>
        <v>0.27632801136640772</v>
      </c>
      <c r="DB35" s="76">
        <f t="shared" si="17"/>
        <v>0.22275160616120626</v>
      </c>
      <c r="DC35" s="76">
        <f t="shared" si="17"/>
        <v>0.15976623811358559</v>
      </c>
      <c r="DD35" s="76">
        <f t="shared" si="17"/>
        <v>8.6445019731017592E-2</v>
      </c>
    </row>
    <row r="36" spans="1:108" x14ac:dyDescent="0.2">
      <c r="A36" s="75" t="s">
        <v>563</v>
      </c>
      <c r="B36" s="3" t="s">
        <v>557</v>
      </c>
      <c r="C36" s="76">
        <f>-57.837*C25^6+156.6*C25^5-165.72*C25^4+83.553*C25^3-16.176*C25^2-1.4234*C25+1</f>
        <v>0.98423031140216299</v>
      </c>
      <c r="D36" s="76">
        <f ca="1">-57.837*D25^6+156.6*D25^5-165.72*D25^4+83.553*D25^3-16.176*D25^2-1.4234*D25+1</f>
        <v>0.98423031140216299</v>
      </c>
      <c r="E36" s="76">
        <f ca="1">-57.837*E25^6+156.6*E25^5-165.72*E25^4+83.553*E25^3-16.176*E25^2-1.4234*E25+1</f>
        <v>0.60722758511820807</v>
      </c>
      <c r="F36" s="10"/>
      <c r="I36" s="3" t="s">
        <v>557</v>
      </c>
      <c r="J36" s="76">
        <f t="shared" ref="J36:BU36" si="18">-57.837*J25^6+156.6*J25^5-165.72*J25^4+83.553*J25^3-16.176*J25^2-1.4234*J25+1</f>
        <v>0.98423031140216299</v>
      </c>
      <c r="K36" s="76">
        <f t="shared" si="18"/>
        <v>0.965704006218432</v>
      </c>
      <c r="L36" s="76">
        <f t="shared" si="18"/>
        <v>0.94486506101682699</v>
      </c>
      <c r="M36" s="76">
        <f t="shared" si="18"/>
        <v>0.92212134773964805</v>
      </c>
      <c r="N36" s="76">
        <f t="shared" si="18"/>
        <v>0.89784640879687494</v>
      </c>
      <c r="O36" s="76">
        <f t="shared" si="18"/>
        <v>0.87238119051692797</v>
      </c>
      <c r="P36" s="76">
        <f t="shared" si="18"/>
        <v>0.84603573495478701</v>
      </c>
      <c r="Q36" s="76">
        <f t="shared" si="18"/>
        <v>0.81909083005747196</v>
      </c>
      <c r="R36" s="76">
        <f t="shared" si="18"/>
        <v>0.79179961818688294</v>
      </c>
      <c r="S36" s="76">
        <f t="shared" si="18"/>
        <v>0.76438916300000004</v>
      </c>
      <c r="T36" s="76">
        <f t="shared" si="18"/>
        <v>0.73706197468644308</v>
      </c>
      <c r="U36" s="76">
        <f t="shared" si="18"/>
        <v>0.70999749356339203</v>
      </c>
      <c r="V36" s="76">
        <f t="shared" si="18"/>
        <v>0.68335353202786708</v>
      </c>
      <c r="W36" s="76">
        <f t="shared" si="18"/>
        <v>0.65726767486636806</v>
      </c>
      <c r="X36" s="76">
        <f t="shared" si="18"/>
        <v>0.63185863792187502</v>
      </c>
      <c r="Y36" s="76">
        <f t="shared" si="18"/>
        <v>0.60722758511820807</v>
      </c>
      <c r="Z36" s="76">
        <f t="shared" si="18"/>
        <v>0.5834594038417471</v>
      </c>
      <c r="AA36" s="76">
        <f t="shared" si="18"/>
        <v>0.56062393868051186</v>
      </c>
      <c r="AB36" s="76">
        <f t="shared" si="18"/>
        <v>0.538777183520603</v>
      </c>
      <c r="AC36" s="76">
        <f t="shared" si="18"/>
        <v>0.51796243199999992</v>
      </c>
      <c r="AD36" s="76">
        <f t="shared" si="18"/>
        <v>0.49821138631972306</v>
      </c>
      <c r="AE36" s="76">
        <f t="shared" si="18"/>
        <v>0.47954522441235181</v>
      </c>
      <c r="AF36" s="76">
        <f t="shared" si="18"/>
        <v>0.46197562546790683</v>
      </c>
      <c r="AG36" s="76">
        <f t="shared" si="18"/>
        <v>0.4455057538170879</v>
      </c>
      <c r="AH36" s="76">
        <f t="shared" si="18"/>
        <v>0.43013120117187498</v>
      </c>
      <c r="AI36" s="76">
        <f t="shared" si="18"/>
        <v>0.41584088722348778</v>
      </c>
      <c r="AJ36" s="76">
        <f t="shared" si="18"/>
        <v>0.40261791859770679</v>
      </c>
      <c r="AK36" s="76">
        <f t="shared" si="18"/>
        <v>0.39044040616755182</v>
      </c>
      <c r="AL36" s="76">
        <f t="shared" si="18"/>
        <v>0.37928224072332295</v>
      </c>
      <c r="AM36" s="76">
        <f t="shared" si="18"/>
        <v>0.36911382699999984</v>
      </c>
      <c r="AN36" s="76">
        <f t="shared" si="18"/>
        <v>0.35990277606200272</v>
      </c>
      <c r="AO36" s="76">
        <f t="shared" si="18"/>
        <v>0.35161455604531189</v>
      </c>
      <c r="AP36" s="76">
        <f t="shared" si="18"/>
        <v>0.34421310125694715</v>
      </c>
      <c r="AQ36" s="76">
        <f t="shared" si="18"/>
        <v>0.3376613796318082</v>
      </c>
      <c r="AR36" s="76">
        <f t="shared" si="18"/>
        <v>0.33192191854687536</v>
      </c>
      <c r="AS36" s="76">
        <f t="shared" si="18"/>
        <v>0.32695728899276788</v>
      </c>
      <c r="AT36" s="76">
        <f t="shared" si="18"/>
        <v>0.32273054810266688</v>
      </c>
      <c r="AU36" s="76">
        <f t="shared" si="18"/>
        <v>0.31920564003859175</v>
      </c>
      <c r="AV36" s="76">
        <f t="shared" si="18"/>
        <v>0.31634775523504355</v>
      </c>
      <c r="AW36" s="76">
        <f t="shared" si="18"/>
        <v>0.31412364800000003</v>
      </c>
      <c r="AX36" s="76">
        <f t="shared" si="18"/>
        <v>0.31250191247328318</v>
      </c>
      <c r="AY36" s="76">
        <f t="shared" si="18"/>
        <v>0.31145321694227235</v>
      </c>
      <c r="AZ36" s="76">
        <f t="shared" si="18"/>
        <v>0.31095049651498696</v>
      </c>
      <c r="BA36" s="76">
        <f t="shared" si="18"/>
        <v>0.31096910415052881</v>
      </c>
      <c r="BB36" s="76">
        <f t="shared" si="18"/>
        <v>0.31148692004687384</v>
      </c>
      <c r="BC36" s="76">
        <f t="shared" si="18"/>
        <v>0.31248441938604876</v>
      </c>
      <c r="BD36" s="76">
        <f t="shared" si="18"/>
        <v>0.31394469843662642</v>
      </c>
      <c r="BE36" s="76">
        <f t="shared" si="18"/>
        <v>0.31585345901363249</v>
      </c>
      <c r="BF36" s="76">
        <f t="shared" si="18"/>
        <v>0.31819895129576237</v>
      </c>
      <c r="BG36" s="76">
        <f t="shared" si="18"/>
        <v>0.32097187500000068</v>
      </c>
      <c r="BH36" s="76">
        <f t="shared" si="18"/>
        <v>0.32416523891356541</v>
      </c>
      <c r="BI36" s="76">
        <f t="shared" si="18"/>
        <v>0.3277741787832309</v>
      </c>
      <c r="BJ36" s="76">
        <f t="shared" si="18"/>
        <v>0.33179573356202796</v>
      </c>
      <c r="BK36" s="76">
        <f t="shared" si="18"/>
        <v>0.33622858001324696</v>
      </c>
      <c r="BL36" s="76">
        <f t="shared" si="18"/>
        <v>0.34107272567187374</v>
      </c>
      <c r="BM36" s="76">
        <f t="shared" si="18"/>
        <v>0.34632916016333015</v>
      </c>
      <c r="BN36" s="76">
        <f t="shared" si="18"/>
        <v>0.35199946487958977</v>
      </c>
      <c r="BO36" s="76">
        <f t="shared" si="18"/>
        <v>0.35808538101267096</v>
      </c>
      <c r="BP36" s="76">
        <f t="shared" si="18"/>
        <v>0.3645883359454779</v>
      </c>
      <c r="BQ36" s="76">
        <f t="shared" si="18"/>
        <v>0.37150892800000068</v>
      </c>
      <c r="BR36" s="76">
        <f t="shared" si="18"/>
        <v>0.37884636954284368</v>
      </c>
      <c r="BS36" s="76">
        <f t="shared" si="18"/>
        <v>0.38659788844819154</v>
      </c>
      <c r="BT36" s="76">
        <f t="shared" si="18"/>
        <v>0.39475808791807154</v>
      </c>
      <c r="BU36" s="76">
        <f t="shared" si="18"/>
        <v>0.40331826465996845</v>
      </c>
      <c r="BV36" s="76">
        <f t="shared" ref="BV36:DD36" si="19">-57.837*BV25^6+156.6*BV25^5-165.72*BV25^4+83.553*BV25^3-16.176*BV25^2-1.4234*BV25+1</f>
        <v>0.41226568542187114</v>
      </c>
      <c r="BW36" s="76">
        <f t="shared" si="19"/>
        <v>0.42158282188460861</v>
      </c>
      <c r="BX36" s="76">
        <f t="shared" si="19"/>
        <v>0.4312465439115426</v>
      </c>
      <c r="BY36" s="76">
        <f t="shared" si="19"/>
        <v>0.44122727115570948</v>
      </c>
      <c r="BZ36" s="76">
        <f t="shared" si="19"/>
        <v>0.45148808302420085</v>
      </c>
      <c r="CA36" s="76">
        <f t="shared" si="19"/>
        <v>0.46198378700000176</v>
      </c>
      <c r="CB36" s="76">
        <f t="shared" si="19"/>
        <v>0.47265994532113154</v>
      </c>
      <c r="CC36" s="76">
        <f t="shared" si="19"/>
        <v>0.48345186001715112</v>
      </c>
      <c r="CD36" s="76">
        <f t="shared" si="19"/>
        <v>0.49428351630310274</v>
      </c>
      <c r="CE36" s="76">
        <f t="shared" si="19"/>
        <v>0.50506648433068868</v>
      </c>
      <c r="CF36" s="76">
        <f t="shared" si="19"/>
        <v>0.51569877929687458</v>
      </c>
      <c r="CG36" s="76">
        <f t="shared" si="19"/>
        <v>0.52606367990988545</v>
      </c>
      <c r="CH36" s="76">
        <f t="shared" si="19"/>
        <v>0.53602850521249956</v>
      </c>
      <c r="CI36" s="76">
        <f t="shared" si="19"/>
        <v>0.54544334976275466</v>
      </c>
      <c r="CJ36" s="76">
        <f t="shared" si="19"/>
        <v>0.55413977717192631</v>
      </c>
      <c r="CK36" s="76">
        <f t="shared" si="19"/>
        <v>0.56192947199999077</v>
      </c>
      <c r="CL36" s="76">
        <f t="shared" si="19"/>
        <v>0.5686028500083915</v>
      </c>
      <c r="CM36" s="76">
        <f t="shared" si="19"/>
        <v>0.57392762677010944</v>
      </c>
      <c r="CN36" s="76">
        <f t="shared" si="19"/>
        <v>0.57764734463714329</v>
      </c>
      <c r="CO36" s="76">
        <f t="shared" si="19"/>
        <v>0.5794798580654017</v>
      </c>
      <c r="CP36" s="76">
        <f t="shared" si="19"/>
        <v>0.57911577729687802</v>
      </c>
      <c r="CQ36" s="76">
        <f t="shared" si="19"/>
        <v>0.57621687039916725</v>
      </c>
      <c r="CR36" s="76">
        <f t="shared" si="19"/>
        <v>0.57041442366247441</v>
      </c>
      <c r="CS36" s="76">
        <f t="shared" si="19"/>
        <v>0.56130756035379914</v>
      </c>
      <c r="CT36" s="76">
        <f t="shared" si="19"/>
        <v>0.54846151782863561</v>
      </c>
      <c r="CU36" s="76">
        <f t="shared" si="19"/>
        <v>0.53140588300000258</v>
      </c>
      <c r="CV36" s="76">
        <f t="shared" si="19"/>
        <v>0.50963278616467389</v>
      </c>
      <c r="CW36" s="76">
        <f t="shared" si="19"/>
        <v>0.48259505318707352</v>
      </c>
      <c r="CX36" s="76">
        <f t="shared" si="19"/>
        <v>0.44970431604017369</v>
      </c>
      <c r="CY36" s="76">
        <f t="shared" si="19"/>
        <v>0.41032908170411764</v>
      </c>
      <c r="CZ36" s="76">
        <f t="shared" si="19"/>
        <v>0.36379275942189571</v>
      </c>
      <c r="DA36" s="76">
        <f t="shared" si="19"/>
        <v>0.30937164631242964</v>
      </c>
      <c r="DB36" s="76">
        <f t="shared" si="19"/>
        <v>0.2462928713414223</v>
      </c>
      <c r="DC36" s="76">
        <f t="shared" si="19"/>
        <v>0.17373229764881315</v>
      </c>
      <c r="DD36" s="76">
        <f t="shared" si="19"/>
        <v>9.0812383234332605E-2</v>
      </c>
    </row>
    <row r="37" spans="1:108" x14ac:dyDescent="0.2">
      <c r="A37" s="75" t="s">
        <v>564</v>
      </c>
      <c r="B37" s="3" t="s">
        <v>557</v>
      </c>
      <c r="C37" s="76">
        <f>-40.625*C25^7+99.043*C25^6-78.199*C25^5+6.459*C25^4+19.619*C25^3-6.1008*C25^2-1.1966*C25+1</f>
        <v>0.98744359586873676</v>
      </c>
      <c r="D37" s="76">
        <f ca="1">-40.625*D25^7+99.043*D25^6-78.199*D25^5+6.459*D25^4+19.619*D25^3-6.1008*D25^2-1.1966*D25+1</f>
        <v>0.98744359586873676</v>
      </c>
      <c r="E37" s="76">
        <f ca="1">-40.625*E25^7+99.043*E25^6-78.199*E25^5+6.459*E25^4+19.619*E25^3-6.1008*E25^2-1.1966*E25+1</f>
        <v>0.73030876867788797</v>
      </c>
      <c r="F37" s="10"/>
      <c r="I37" s="3" t="s">
        <v>557</v>
      </c>
      <c r="J37" s="76">
        <f t="shared" ref="J37:BU37" si="20">-40.625*J25^7+99.043*J25^6-78.199*J25^5+6.459*J25^4+19.619*J25^3-6.1008*J25^2-1.1966*J25+1</f>
        <v>0.98744359586873676</v>
      </c>
      <c r="K37" s="76">
        <f t="shared" si="20"/>
        <v>0.97378542148995195</v>
      </c>
      <c r="L37" s="76">
        <f t="shared" si="20"/>
        <v>0.95914439586817823</v>
      </c>
      <c r="M37" s="76">
        <f t="shared" si="20"/>
        <v>0.94363926248652796</v>
      </c>
      <c r="N37" s="76">
        <f t="shared" si="20"/>
        <v>0.92738782237109374</v>
      </c>
      <c r="O37" s="76">
        <f t="shared" si="20"/>
        <v>0.91050623232380801</v>
      </c>
      <c r="P37" s="76">
        <f t="shared" si="20"/>
        <v>0.89310836627626322</v>
      </c>
      <c r="Q37" s="76">
        <f t="shared" si="20"/>
        <v>0.87530523771699198</v>
      </c>
      <c r="R37" s="76">
        <f t="shared" si="20"/>
        <v>0.85720448114470671</v>
      </c>
      <c r="S37" s="76">
        <f t="shared" si="20"/>
        <v>0.83890989049999998</v>
      </c>
      <c r="T37" s="76">
        <f t="shared" si="20"/>
        <v>0.82052101252800425</v>
      </c>
      <c r="U37" s="76">
        <f t="shared" si="20"/>
        <v>0.80213279302451201</v>
      </c>
      <c r="V37" s="76">
        <f t="shared" si="20"/>
        <v>0.78383527391805585</v>
      </c>
      <c r="W37" s="76">
        <f t="shared" si="20"/>
        <v>0.76571333914044803</v>
      </c>
      <c r="X37" s="76">
        <f t="shared" si="20"/>
        <v>0.74784650723828128</v>
      </c>
      <c r="Y37" s="76">
        <f t="shared" si="20"/>
        <v>0.73030876867788797</v>
      </c>
      <c r="Z37" s="76">
        <f t="shared" si="20"/>
        <v>0.7131684657962607</v>
      </c>
      <c r="AA37" s="76">
        <f t="shared" si="20"/>
        <v>0.69648821335043198</v>
      </c>
      <c r="AB37" s="76">
        <f t="shared" si="20"/>
        <v>0.68032485761781425</v>
      </c>
      <c r="AC37" s="76">
        <f t="shared" si="20"/>
        <v>0.66472947199999988</v>
      </c>
      <c r="AD37" s="76">
        <f t="shared" si="20"/>
        <v>0.64974738708252167</v>
      </c>
      <c r="AE37" s="76">
        <f t="shared" si="20"/>
        <v>0.63541825310307187</v>
      </c>
      <c r="AF37" s="76">
        <f t="shared" si="20"/>
        <v>0.62177613278068311</v>
      </c>
      <c r="AG37" s="76">
        <f t="shared" si="20"/>
        <v>0.60884962245836793</v>
      </c>
      <c r="AH37" s="76">
        <f t="shared" si="20"/>
        <v>0.59666199951171872</v>
      </c>
      <c r="AI37" s="76">
        <f t="shared" si="20"/>
        <v>0.58523139397596791</v>
      </c>
      <c r="AJ37" s="76">
        <f t="shared" si="20"/>
        <v>0.57457098234400816</v>
      </c>
      <c r="AK37" s="76">
        <f t="shared" si="20"/>
        <v>0.56468920148787194</v>
      </c>
      <c r="AL37" s="76">
        <f t="shared" si="20"/>
        <v>0.55558998065617171</v>
      </c>
      <c r="AM37" s="76">
        <f t="shared" si="20"/>
        <v>0.54727298949999992</v>
      </c>
      <c r="AN37" s="76">
        <f t="shared" si="20"/>
        <v>0.53973390007978916</v>
      </c>
      <c r="AO37" s="76">
        <f t="shared" si="20"/>
        <v>0.53296466080563198</v>
      </c>
      <c r="AP37" s="76">
        <f t="shared" si="20"/>
        <v>0.52695378026356066</v>
      </c>
      <c r="AQ37" s="76">
        <f t="shared" si="20"/>
        <v>0.521686618880288</v>
      </c>
      <c r="AR37" s="76">
        <f t="shared" si="20"/>
        <v>0.51714568637890612</v>
      </c>
      <c r="AS37" s="76">
        <f t="shared" si="20"/>
        <v>0.51331094297804802</v>
      </c>
      <c r="AT37" s="76">
        <f t="shared" si="20"/>
        <v>0.5101601022870057</v>
      </c>
      <c r="AU37" s="76">
        <f t="shared" si="20"/>
        <v>0.507668933849312</v>
      </c>
      <c r="AV37" s="76">
        <f t="shared" si="20"/>
        <v>0.50581156328727916</v>
      </c>
      <c r="AW37" s="76">
        <f t="shared" si="20"/>
        <v>0.50456076800000005</v>
      </c>
      <c r="AX37" s="76">
        <f t="shared" si="20"/>
        <v>0.50388826636730699</v>
      </c>
      <c r="AY37" s="76">
        <f t="shared" si="20"/>
        <v>0.50376499841219236</v>
      </c>
      <c r="AZ37" s="76">
        <f t="shared" si="20"/>
        <v>0.50416139587418829</v>
      </c>
      <c r="BA37" s="76">
        <f t="shared" si="20"/>
        <v>0.50504763964620802</v>
      </c>
      <c r="BB37" s="76">
        <f t="shared" si="20"/>
        <v>0.50639390252734373</v>
      </c>
      <c r="BC37" s="76">
        <f t="shared" si="20"/>
        <v>0.5081705752441279</v>
      </c>
      <c r="BD37" s="76">
        <f t="shared" si="20"/>
        <v>0.5103484736927536</v>
      </c>
      <c r="BE37" s="76">
        <f t="shared" si="20"/>
        <v>0.51289902535475262</v>
      </c>
      <c r="BF37" s="76">
        <f t="shared" si="20"/>
        <v>0.51579443283863657</v>
      </c>
      <c r="BG37" s="76">
        <f t="shared" si="20"/>
        <v>0.51900781250000017</v>
      </c>
      <c r="BH37" s="76">
        <f t="shared" si="20"/>
        <v>0.52251330609257496</v>
      </c>
      <c r="BI37" s="76">
        <f t="shared" si="20"/>
        <v>0.52628616340275269</v>
      </c>
      <c r="BJ37" s="76">
        <f t="shared" si="20"/>
        <v>0.53030279382006562</v>
      </c>
      <c r="BK37" s="76">
        <f t="shared" si="20"/>
        <v>0.53454078479612854</v>
      </c>
      <c r="BL37" s="76">
        <f t="shared" si="20"/>
        <v>0.53897888514453163</v>
      </c>
      <c r="BM37" s="76">
        <f t="shared" si="20"/>
        <v>0.54359695113420858</v>
      </c>
      <c r="BN37" s="76">
        <f t="shared" si="20"/>
        <v>0.54837585332875105</v>
      </c>
      <c r="BO37" s="76">
        <f t="shared" si="20"/>
        <v>0.55329734212419168</v>
      </c>
      <c r="BP37" s="76">
        <f t="shared" si="20"/>
        <v>0.55834386993774432</v>
      </c>
      <c r="BQ37" s="76">
        <f t="shared" si="20"/>
        <v>0.56349836800000042</v>
      </c>
      <c r="BR37" s="76">
        <f t="shared" si="20"/>
        <v>0.56874397570309199</v>
      </c>
      <c r="BS37" s="76">
        <f t="shared" si="20"/>
        <v>0.5740637204573118</v>
      </c>
      <c r="BT37" s="76">
        <f t="shared" si="20"/>
        <v>0.57944014600869276</v>
      </c>
      <c r="BU37" s="76">
        <f t="shared" si="20"/>
        <v>0.5848548871700483</v>
      </c>
      <c r="BV37" s="76">
        <f t="shared" ref="BV37:DD37" si="21">-40.625*BV25^7+99.043*BV25^6-78.199*BV25^5+6.459*BV25^4+19.619*BV25^3-6.1008*BV25^2-1.1966*BV25+1</f>
        <v>0.59028818891796975</v>
      </c>
      <c r="BW37" s="76">
        <f t="shared" si="21"/>
        <v>0.59571836780829079</v>
      </c>
      <c r="BX37" s="76">
        <f t="shared" si="21"/>
        <v>0.60112121366249993</v>
      </c>
      <c r="BY37" s="76">
        <f t="shared" si="21"/>
        <v>0.60646932947763277</v>
      </c>
      <c r="BZ37" s="76">
        <f t="shared" si="21"/>
        <v>0.61173140751210386</v>
      </c>
      <c r="CA37" s="76">
        <f t="shared" si="21"/>
        <v>0.61687143950000067</v>
      </c>
      <c r="CB37" s="76">
        <f t="shared" si="21"/>
        <v>0.62184785894635897</v>
      </c>
      <c r="CC37" s="76">
        <f t="shared" si="21"/>
        <v>0.62661261345587338</v>
      </c>
      <c r="CD37" s="76">
        <f t="shared" si="21"/>
        <v>0.631110165047574</v>
      </c>
      <c r="CE37" s="76">
        <f t="shared" si="21"/>
        <v>0.63527641640797028</v>
      </c>
      <c r="CF37" s="76">
        <f t="shared" si="21"/>
        <v>0.63903756103515652</v>
      </c>
      <c r="CG37" s="76">
        <f t="shared" si="21"/>
        <v>0.64230885522636738</v>
      </c>
      <c r="CH37" s="76">
        <f t="shared" si="21"/>
        <v>0.64499330986149617</v>
      </c>
      <c r="CI37" s="76">
        <f t="shared" si="21"/>
        <v>0.64698029993507411</v>
      </c>
      <c r="CJ37" s="76">
        <f t="shared" si="21"/>
        <v>0.64814408978921412</v>
      </c>
      <c r="CK37" s="76">
        <f t="shared" si="21"/>
        <v>0.6483422719999995</v>
      </c>
      <c r="CL37" s="76">
        <f t="shared" si="21"/>
        <v>0.64741411786988334</v>
      </c>
      <c r="CM37" s="76">
        <f t="shared" si="21"/>
        <v>0.6451788374784333</v>
      </c>
      <c r="CN37" s="76">
        <f t="shared" si="21"/>
        <v>0.64143374724420055</v>
      </c>
      <c r="CO37" s="76">
        <f t="shared" si="21"/>
        <v>0.63595234294989011</v>
      </c>
      <c r="CP37" s="76">
        <f t="shared" si="21"/>
        <v>0.62848227618359864</v>
      </c>
      <c r="CQ37" s="76">
        <f t="shared" si="21"/>
        <v>0.61874323214845006</v>
      </c>
      <c r="CR37" s="76">
        <f t="shared" si="21"/>
        <v>0.60642470679324689</v>
      </c>
      <c r="CS37" s="76">
        <f t="shared" si="21"/>
        <v>0.59118368121651277</v>
      </c>
      <c r="CT37" s="76">
        <f t="shared" si="21"/>
        <v>0.57264219129657201</v>
      </c>
      <c r="CU37" s="76">
        <f t="shared" si="21"/>
        <v>0.55038479050000744</v>
      </c>
      <c r="CV37" s="76">
        <f t="shared" si="21"/>
        <v>0.52395590382115009</v>
      </c>
      <c r="CW37" s="76">
        <f t="shared" si="21"/>
        <v>0.49285707080499375</v>
      </c>
      <c r="CX37" s="76">
        <f t="shared" si="21"/>
        <v>0.45654407560607702</v>
      </c>
      <c r="CY37" s="76">
        <f t="shared" si="21"/>
        <v>0.41442396203581411</v>
      </c>
      <c r="CZ37" s="76">
        <f t="shared" si="21"/>
        <v>0.36585193155078355</v>
      </c>
      <c r="DA37" s="76">
        <f t="shared" si="21"/>
        <v>0.31012812213453556</v>
      </c>
      <c r="DB37" s="76">
        <f t="shared" si="21"/>
        <v>0.24649426602524183</v>
      </c>
      <c r="DC37" s="76">
        <f t="shared" si="21"/>
        <v>0.17413022424195002</v>
      </c>
      <c r="DD37" s="76">
        <f t="shared" si="21"/>
        <v>9.2150395861677836E-2</v>
      </c>
    </row>
    <row r="38" spans="1:108" x14ac:dyDescent="0.2">
      <c r="A38" s="9" t="s">
        <v>565</v>
      </c>
      <c r="B38" s="3" t="s">
        <v>557</v>
      </c>
      <c r="C38" s="60">
        <f>IF($C$7=30,C31,IF($C$7=45,C30,IF($C$7=20,C32,IF($C$8=0,C33,IF($C$8=0.15,C34,IF($C$8=0.3,C35,IF($C$8=0.45,C36,C37)))))))</f>
        <v>0.80016565633963799</v>
      </c>
      <c r="D38" s="60">
        <f ca="1">IF($C$7=30,D31,IF($C$7=45,D30,IF($C$7=20,D32,IF($C$8=0,D33,IF($C$8=0.15,D34,IF($C$8=0.3,D35,IF($C$8=0.45,D36,D37)))))))</f>
        <v>0.80016565633963799</v>
      </c>
      <c r="E38" s="60">
        <f ca="1">IF($C$7=30,E31,IF($C$7=45,E30,IF($C$7=20,E32,IF($C$8=0,E33,IF($C$8=0.15,E34,IF($C$8=0.3,E35,IF($C$8=0.45,E36,E37)))))))</f>
        <v>-0.36286663979827205</v>
      </c>
      <c r="F38" s="10"/>
      <c r="I38" s="3" t="s">
        <v>557</v>
      </c>
      <c r="J38" s="60">
        <f t="shared" ref="J38:BU38" si="22">IF($C$7=30,J31,IF($C$7=45,J30,IF($C$7=20,J32,IF($C$8=0,J33,IF($C$8=0.15,J34,IF($C$8=0.3,J35,IF($C$8=0.45,J36,J37)))))))</f>
        <v>0.80016565633963799</v>
      </c>
      <c r="K38" s="60">
        <f t="shared" si="22"/>
        <v>0.62129238018214394</v>
      </c>
      <c r="L38" s="60">
        <f t="shared" si="22"/>
        <v>0.46206226989136601</v>
      </c>
      <c r="M38" s="60">
        <f t="shared" si="22"/>
        <v>0.32118311428915203</v>
      </c>
      <c r="N38" s="60">
        <f t="shared" si="22"/>
        <v>0.19739119484375001</v>
      </c>
      <c r="O38" s="60">
        <f t="shared" si="22"/>
        <v>8.945385227276792E-2</v>
      </c>
      <c r="P38" s="60">
        <f t="shared" si="22"/>
        <v>-3.828176350986201E-3</v>
      </c>
      <c r="Q38" s="60">
        <f t="shared" si="22"/>
        <v>-8.3618643902463985E-2</v>
      </c>
      <c r="R38" s="60">
        <f t="shared" si="22"/>
        <v>-0.15104389682781827</v>
      </c>
      <c r="S38" s="60">
        <f t="shared" si="22"/>
        <v>-0.20719118999999986</v>
      </c>
      <c r="T38" s="60">
        <f t="shared" si="22"/>
        <v>-0.25310720671820186</v>
      </c>
      <c r="U38" s="60">
        <f t="shared" si="22"/>
        <v>-0.28979677776281632</v>
      </c>
      <c r="V38" s="60">
        <f t="shared" si="22"/>
        <v>-0.31822179341759371</v>
      </c>
      <c r="W38" s="60">
        <f t="shared" si="22"/>
        <v>-0.3393003023706882</v>
      </c>
      <c r="X38" s="60">
        <f t="shared" si="22"/>
        <v>-0.35390579140625</v>
      </c>
      <c r="Y38" s="60">
        <f t="shared" si="22"/>
        <v>-0.36286663979827205</v>
      </c>
      <c r="Z38" s="60">
        <f t="shared" si="22"/>
        <v>-0.36696574231834633</v>
      </c>
      <c r="AA38" s="60">
        <f t="shared" si="22"/>
        <v>-0.36694029476902434</v>
      </c>
      <c r="AB38" s="60">
        <f t="shared" si="22"/>
        <v>-0.36348173595445754</v>
      </c>
      <c r="AC38" s="60">
        <f t="shared" si="22"/>
        <v>-0.35723583999999997</v>
      </c>
      <c r="AD38" s="60">
        <f t="shared" si="22"/>
        <v>-0.3488029529324419</v>
      </c>
      <c r="AE38" s="60">
        <f t="shared" si="22"/>
        <v>-0.33873836743257568</v>
      </c>
      <c r="AF38" s="60">
        <f t="shared" si="22"/>
        <v>-0.3275528296717547</v>
      </c>
      <c r="AG38" s="60">
        <f t="shared" si="22"/>
        <v>-0.31571317214412753</v>
      </c>
      <c r="AH38" s="60">
        <f t="shared" si="22"/>
        <v>-0.30364306640625038</v>
      </c>
      <c r="AI38" s="60">
        <f t="shared" si="22"/>
        <v>-0.29172388963571105</v>
      </c>
      <c r="AJ38" s="60">
        <f t="shared" si="22"/>
        <v>-0.28029569892050521</v>
      </c>
      <c r="AK38" s="60">
        <f t="shared" si="22"/>
        <v>-0.26965830719078543</v>
      </c>
      <c r="AL38" s="60">
        <f t="shared" si="22"/>
        <v>-0.26007245470469798</v>
      </c>
      <c r="AM38" s="60">
        <f t="shared" si="22"/>
        <v>-0.25176107000000059</v>
      </c>
      <c r="AN38" s="60">
        <f t="shared" si="22"/>
        <v>-0.24491061422308125</v>
      </c>
      <c r="AO38" s="60">
        <f t="shared" si="22"/>
        <v>-0.23967250274713425</v>
      </c>
      <c r="AP38" s="60">
        <f t="shared" si="22"/>
        <v>-0.236164597991114</v>
      </c>
      <c r="AQ38" s="60">
        <f t="shared" si="22"/>
        <v>-0.23447276735116862</v>
      </c>
      <c r="AR38" s="60">
        <f t="shared" si="22"/>
        <v>-0.23465250015625205</v>
      </c>
      <c r="AS38" s="60">
        <f t="shared" si="22"/>
        <v>-0.23673057755955451</v>
      </c>
      <c r="AT38" s="60">
        <f t="shared" si="22"/>
        <v>-0.2407067892774668</v>
      </c>
      <c r="AU38" s="60">
        <f t="shared" si="22"/>
        <v>-0.246555691087746</v>
      </c>
      <c r="AV38" s="60">
        <f t="shared" si="22"/>
        <v>-0.25422839699854016</v>
      </c>
      <c r="AW38" s="60">
        <f t="shared" si="22"/>
        <v>-0.26365439999999829</v>
      </c>
      <c r="AX38" s="60">
        <f t="shared" si="22"/>
        <v>-0.27474341531012492</v>
      </c>
      <c r="AY38" s="60">
        <f t="shared" si="22"/>
        <v>-0.28738724002650073</v>
      </c>
      <c r="AZ38" s="60">
        <f t="shared" si="22"/>
        <v>-0.30146162309567792</v>
      </c>
      <c r="BA38" s="60">
        <f t="shared" si="22"/>
        <v>-0.31682813951180755</v>
      </c>
      <c r="BB38" s="60">
        <f t="shared" si="22"/>
        <v>-0.33333606265624738</v>
      </c>
      <c r="BC38" s="60">
        <f t="shared" si="22"/>
        <v>-0.35082422868979179</v>
      </c>
      <c r="BD38" s="60">
        <f t="shared" si="22"/>
        <v>-0.36912288690923134</v>
      </c>
      <c r="BE38" s="60">
        <f t="shared" si="22"/>
        <v>-0.38805552997990489</v>
      </c>
      <c r="BF38" s="60">
        <f t="shared" si="22"/>
        <v>-0.40744069795597859</v>
      </c>
      <c r="BG38" s="60">
        <f t="shared" si="22"/>
        <v>-0.42709375000000271</v>
      </c>
      <c r="BH38" s="60">
        <f t="shared" si="22"/>
        <v>-0.44682859771356931</v>
      </c>
      <c r="BI38" s="60">
        <f t="shared" si="22"/>
        <v>-0.46645939399066094</v>
      </c>
      <c r="BJ38" s="60">
        <f t="shared" si="22"/>
        <v>-0.48580217130543701</v>
      </c>
      <c r="BK38" s="60">
        <f t="shared" si="22"/>
        <v>-0.504676423346055</v>
      </c>
      <c r="BL38" s="60">
        <f t="shared" si="22"/>
        <v>-0.52290662390625897</v>
      </c>
      <c r="BM38" s="60">
        <f t="shared" si="22"/>
        <v>-0.54032367694643568</v>
      </c>
      <c r="BN38" s="60">
        <f t="shared" si="22"/>
        <v>-0.55676629173579606</v>
      </c>
      <c r="BO38" s="60">
        <f t="shared" si="22"/>
        <v>-0.5720822769872651</v>
      </c>
      <c r="BP38" s="60">
        <f t="shared" si="22"/>
        <v>-0.58612974789701688</v>
      </c>
      <c r="BQ38" s="60">
        <f t="shared" si="22"/>
        <v>-0.59877824000000324</v>
      </c>
      <c r="BR38" s="60">
        <f t="shared" si="22"/>
        <v>-0.60990972375340213</v>
      </c>
      <c r="BS38" s="60">
        <f t="shared" si="22"/>
        <v>-0.61941951375961501</v>
      </c>
      <c r="BT38" s="60">
        <f t="shared" si="22"/>
        <v>-0.62721706654039266</v>
      </c>
      <c r="BU38" s="60">
        <f t="shared" si="22"/>
        <v>-0.63322666077388945</v>
      </c>
      <c r="BV38" s="60">
        <f t="shared" ref="BV38:DD38" si="23">IF($C$7=30,BV31,IF($C$7=45,BV30,IF($C$7=20,BV32,IF($C$8=0,BV33,IF($C$8=0.15,BV34,IF($C$8=0.3,BV35,IF($C$8=0.45,BV36,BV37)))))))</f>
        <v>-0.63738795390624503</v>
      </c>
      <c r="BW38" s="60">
        <f t="shared" si="23"/>
        <v>-0.63965640904947563</v>
      </c>
      <c r="BX38" s="60">
        <f t="shared" si="23"/>
        <v>-0.64000358607714602</v>
      </c>
      <c r="BY38" s="60">
        <f t="shared" si="23"/>
        <v>-0.6384172908298229</v>
      </c>
      <c r="BZ38" s="60">
        <f t="shared" si="23"/>
        <v>-0.63490157634166344</v>
      </c>
      <c r="CA38" s="60">
        <f t="shared" si="23"/>
        <v>-0.62947659000001188</v>
      </c>
      <c r="CB38" s="60">
        <f t="shared" si="23"/>
        <v>-0.62217826054964753</v>
      </c>
      <c r="CC38" s="60">
        <f t="shared" si="23"/>
        <v>-0.61305781885337218</v>
      </c>
      <c r="CD38" s="60">
        <f t="shared" si="23"/>
        <v>-0.60218114632056263</v>
      </c>
      <c r="CE38" s="60">
        <f t="shared" si="23"/>
        <v>-0.58962794491533543</v>
      </c>
      <c r="CF38" s="60">
        <f t="shared" si="23"/>
        <v>-0.57549072265626222</v>
      </c>
      <c r="CG38" s="60">
        <f t="shared" si="23"/>
        <v>-0.55987358851892566</v>
      </c>
      <c r="CH38" s="60">
        <f t="shared" si="23"/>
        <v>-0.54289085065330767</v>
      </c>
      <c r="CI38" s="60">
        <f t="shared" si="23"/>
        <v>-0.52466541182761262</v>
      </c>
      <c r="CJ38" s="60">
        <f t="shared" si="23"/>
        <v>-0.50532695600993094</v>
      </c>
      <c r="CK38" s="60">
        <f t="shared" si="23"/>
        <v>-0.48500992000000309</v>
      </c>
      <c r="CL38" s="60">
        <f t="shared" si="23"/>
        <v>-0.46385124402229394</v>
      </c>
      <c r="CM38" s="60">
        <f t="shared" si="23"/>
        <v>-0.44198789519195714</v>
      </c>
      <c r="CN38" s="60">
        <f t="shared" si="23"/>
        <v>-0.41955415776594762</v>
      </c>
      <c r="CO38" s="60">
        <f t="shared" si="23"/>
        <v>-0.39667868409034313</v>
      </c>
      <c r="CP38" s="60">
        <f t="shared" si="23"/>
        <v>-0.37348130015624648</v>
      </c>
      <c r="CQ38" s="60">
        <f t="shared" si="23"/>
        <v>-0.35006955967476117</v>
      </c>
      <c r="CR38" s="60">
        <f t="shared" si="23"/>
        <v>-0.32653504058425042</v>
      </c>
      <c r="CS38" s="60">
        <f t="shared" si="23"/>
        <v>-0.30294937790051435</v>
      </c>
      <c r="CT38" s="60">
        <f t="shared" si="23"/>
        <v>-0.27936002682172401</v>
      </c>
      <c r="CU38" s="60">
        <f t="shared" si="23"/>
        <v>-0.25578575000005443</v>
      </c>
      <c r="CV38" s="60">
        <f t="shared" si="23"/>
        <v>-0.23221182289131903</v>
      </c>
      <c r="CW38" s="60">
        <f t="shared" si="23"/>
        <v>-0.20858495109531461</v>
      </c>
      <c r="CX38" s="60">
        <f t="shared" si="23"/>
        <v>-0.18480789359647432</v>
      </c>
      <c r="CY38" s="60">
        <f t="shared" si="23"/>
        <v>-0.16073378581904052</v>
      </c>
      <c r="CZ38" s="60">
        <f t="shared" si="23"/>
        <v>-0.13616015640629087</v>
      </c>
      <c r="DA38" s="60">
        <f t="shared" si="23"/>
        <v>-0.11082263163705619</v>
      </c>
      <c r="DB38" s="60">
        <f t="shared" si="23"/>
        <v>-8.4388321390036936E-2</v>
      </c>
      <c r="DC38" s="60">
        <f t="shared" si="23"/>
        <v>-5.6448880568744642E-2</v>
      </c>
      <c r="DD38" s="60">
        <f t="shared" si="23"/>
        <v>-2.6513239897170138E-2</v>
      </c>
    </row>
    <row r="39" spans="1:108" x14ac:dyDescent="0.2">
      <c r="A39" s="9"/>
      <c r="B39" s="5"/>
      <c r="C39" s="9"/>
      <c r="D39" s="9"/>
      <c r="E39" s="9"/>
      <c r="F39" s="10"/>
      <c r="I39" s="5"/>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row>
    <row r="40" spans="1:108" x14ac:dyDescent="0.2">
      <c r="A40" s="9" t="s">
        <v>566</v>
      </c>
      <c r="B40" s="3" t="s">
        <v>567</v>
      </c>
      <c r="C40" s="74">
        <f>C29*C26</f>
        <v>2.1167717358466998E-2</v>
      </c>
      <c r="D40" s="74">
        <f ca="1">D29*D26</f>
        <v>2.1167717358466998E-2</v>
      </c>
      <c r="E40" s="74">
        <f ca="1">E29*E26</f>
        <v>0.33913019892531199</v>
      </c>
      <c r="F40" s="54" t="s">
        <v>653</v>
      </c>
      <c r="I40" s="3" t="s">
        <v>567</v>
      </c>
      <c r="J40" s="74">
        <f t="shared" ref="J40:BU40" si="24">J29*J26</f>
        <v>2.1167717358466998E-2</v>
      </c>
      <c r="K40" s="74">
        <f t="shared" si="24"/>
        <v>4.2331809737871998E-2</v>
      </c>
      <c r="L40" s="74">
        <f t="shared" si="24"/>
        <v>6.3493718352026995E-2</v>
      </c>
      <c r="M40" s="74">
        <f t="shared" si="24"/>
        <v>8.4654925425152003E-2</v>
      </c>
      <c r="N40" s="74">
        <f t="shared" si="24"/>
        <v>0.10581695419187499</v>
      </c>
      <c r="O40" s="74">
        <f t="shared" si="24"/>
        <v>0.12698136889723199</v>
      </c>
      <c r="P40" s="74">
        <f t="shared" si="24"/>
        <v>0.14814977479666702</v>
      </c>
      <c r="Q40" s="74">
        <f t="shared" si="24"/>
        <v>0.16932381815603198</v>
      </c>
      <c r="R40" s="74">
        <f t="shared" si="24"/>
        <v>0.19050518625158702</v>
      </c>
      <c r="S40" s="74">
        <f t="shared" si="24"/>
        <v>0.21169560736999996</v>
      </c>
      <c r="T40" s="74">
        <f t="shared" si="24"/>
        <v>0.23289685080834696</v>
      </c>
      <c r="U40" s="74">
        <f t="shared" si="24"/>
        <v>0.25411072687411196</v>
      </c>
      <c r="V40" s="74">
        <f t="shared" si="24"/>
        <v>0.27533908688518693</v>
      </c>
      <c r="W40" s="74">
        <f t="shared" si="24"/>
        <v>0.29658382316987197</v>
      </c>
      <c r="X40" s="74">
        <f t="shared" si="24"/>
        <v>0.31784686906687498</v>
      </c>
      <c r="Y40" s="74">
        <f t="shared" si="24"/>
        <v>0.33913019892531199</v>
      </c>
      <c r="Z40" s="74">
        <f t="shared" si="24"/>
        <v>0.36043582810470703</v>
      </c>
      <c r="AA40" s="74">
        <f t="shared" si="24"/>
        <v>0.38176581297499201</v>
      </c>
      <c r="AB40" s="74">
        <f t="shared" si="24"/>
        <v>0.403122250916507</v>
      </c>
      <c r="AC40" s="74">
        <f t="shared" si="24"/>
        <v>0.42450728032000001</v>
      </c>
      <c r="AD40" s="74">
        <f t="shared" si="24"/>
        <v>0.44592308058662705</v>
      </c>
      <c r="AE40" s="74">
        <f t="shared" si="24"/>
        <v>0.46737187212795206</v>
      </c>
      <c r="AF40" s="74">
        <f t="shared" si="24"/>
        <v>0.48885591636594711</v>
      </c>
      <c r="AG40" s="74">
        <f t="shared" si="24"/>
        <v>0.51037751573299206</v>
      </c>
      <c r="AH40" s="74">
        <f t="shared" si="24"/>
        <v>0.53193901367187502</v>
      </c>
      <c r="AI40" s="74">
        <f t="shared" si="24"/>
        <v>0.55354279463579203</v>
      </c>
      <c r="AJ40" s="74">
        <f t="shared" si="24"/>
        <v>0.57519128408834708</v>
      </c>
      <c r="AK40" s="74">
        <f t="shared" si="24"/>
        <v>0.59688694850355206</v>
      </c>
      <c r="AL40" s="74">
        <f t="shared" si="24"/>
        <v>0.61863229536582709</v>
      </c>
      <c r="AM40" s="74">
        <f t="shared" si="24"/>
        <v>0.64042987317000011</v>
      </c>
      <c r="AN40" s="74">
        <f t="shared" si="24"/>
        <v>0.66228227142130713</v>
      </c>
      <c r="AO40" s="74">
        <f t="shared" si="24"/>
        <v>0.68419212063539214</v>
      </c>
      <c r="AP40" s="74">
        <f t="shared" si="24"/>
        <v>0.70616209233830718</v>
      </c>
      <c r="AQ40" s="74">
        <f t="shared" si="24"/>
        <v>0.72819489906651225</v>
      </c>
      <c r="AR40" s="74">
        <f t="shared" si="24"/>
        <v>0.75029329436687531</v>
      </c>
      <c r="AS40" s="74">
        <f t="shared" si="24"/>
        <v>0.77246007279667239</v>
      </c>
      <c r="AT40" s="74">
        <f t="shared" si="24"/>
        <v>0.79469806992358727</v>
      </c>
      <c r="AU40" s="74">
        <f t="shared" si="24"/>
        <v>0.81701016232571233</v>
      </c>
      <c r="AV40" s="74">
        <f t="shared" si="24"/>
        <v>0.83939926759154726</v>
      </c>
      <c r="AW40" s="74">
        <f t="shared" si="24"/>
        <v>0.86186834432000037</v>
      </c>
      <c r="AX40" s="74">
        <f t="shared" si="24"/>
        <v>0.88442039212038737</v>
      </c>
      <c r="AY40" s="74">
        <f t="shared" si="24"/>
        <v>0.90705845161243248</v>
      </c>
      <c r="AZ40" s="74">
        <f t="shared" si="24"/>
        <v>0.92978560442626745</v>
      </c>
      <c r="BA40" s="74">
        <f t="shared" si="24"/>
        <v>0.95260497320243243</v>
      </c>
      <c r="BB40" s="74">
        <f t="shared" si="24"/>
        <v>0.97551972159187539</v>
      </c>
      <c r="BC40" s="74">
        <f t="shared" si="24"/>
        <v>0.99853305425595251</v>
      </c>
      <c r="BD40" s="74">
        <f t="shared" si="24"/>
        <v>1.0216482168664276</v>
      </c>
      <c r="BE40" s="74">
        <f t="shared" si="24"/>
        <v>1.0448684961054726</v>
      </c>
      <c r="BF40" s="74">
        <f t="shared" si="24"/>
        <v>1.0681972196656675</v>
      </c>
      <c r="BG40" s="74">
        <f t="shared" si="24"/>
        <v>1.0916377562500004</v>
      </c>
      <c r="BH40" s="74">
        <f t="shared" si="24"/>
        <v>1.1151935155718675</v>
      </c>
      <c r="BI40" s="74">
        <f t="shared" si="24"/>
        <v>1.1388679483550725</v>
      </c>
      <c r="BJ40" s="74">
        <f t="shared" si="24"/>
        <v>1.1626645463338274</v>
      </c>
      <c r="BK40" s="74">
        <f t="shared" si="24"/>
        <v>1.1865868422527526</v>
      </c>
      <c r="BL40" s="74">
        <f t="shared" si="24"/>
        <v>1.2106384098668754</v>
      </c>
      <c r="BM40" s="74">
        <f t="shared" si="24"/>
        <v>1.2348228639416328</v>
      </c>
      <c r="BN40" s="74">
        <f t="shared" si="24"/>
        <v>1.2591438602528677</v>
      </c>
      <c r="BO40" s="74">
        <f t="shared" si="24"/>
        <v>1.2836050955868326</v>
      </c>
      <c r="BP40" s="74">
        <f t="shared" si="24"/>
        <v>1.3082103077401877</v>
      </c>
      <c r="BQ40" s="74">
        <f t="shared" si="24"/>
        <v>1.3329632755200007</v>
      </c>
      <c r="BR40" s="74">
        <f t="shared" si="24"/>
        <v>1.3578678187437476</v>
      </c>
      <c r="BS40" s="74">
        <f t="shared" si="24"/>
        <v>1.3829277982393127</v>
      </c>
      <c r="BT40" s="74">
        <f t="shared" si="24"/>
        <v>1.4081471158449879</v>
      </c>
      <c r="BU40" s="74">
        <f t="shared" si="24"/>
        <v>1.4335297144094727</v>
      </c>
      <c r="BV40" s="74">
        <f t="shared" ref="BV40:DD40" si="25">BV29*BV26</f>
        <v>1.4590795777918757</v>
      </c>
      <c r="BW40" s="74">
        <f t="shared" si="25"/>
        <v>1.4848007308617128</v>
      </c>
      <c r="BX40" s="74">
        <f t="shared" si="25"/>
        <v>1.5106972394989078</v>
      </c>
      <c r="BY40" s="74">
        <f t="shared" si="25"/>
        <v>1.536773210593793</v>
      </c>
      <c r="BZ40" s="74">
        <f t="shared" si="25"/>
        <v>1.5630327920471079</v>
      </c>
      <c r="CA40" s="74">
        <f t="shared" si="25"/>
        <v>1.589480172770001</v>
      </c>
      <c r="CB40" s="74">
        <f t="shared" si="25"/>
        <v>1.616119582684028</v>
      </c>
      <c r="CC40" s="74">
        <f t="shared" si="25"/>
        <v>1.6429552927211528</v>
      </c>
      <c r="CD40" s="74">
        <f t="shared" si="25"/>
        <v>1.6699916148237484</v>
      </c>
      <c r="CE40" s="74">
        <f t="shared" si="25"/>
        <v>1.6972329019445931</v>
      </c>
      <c r="CF40" s="74">
        <f t="shared" si="25"/>
        <v>1.7246835480468761</v>
      </c>
      <c r="CG40" s="74">
        <f t="shared" si="25"/>
        <v>1.7523479881041932</v>
      </c>
      <c r="CH40" s="74">
        <f t="shared" si="25"/>
        <v>1.7802306981005485</v>
      </c>
      <c r="CI40" s="74">
        <f t="shared" si="25"/>
        <v>1.8083361950303531</v>
      </c>
      <c r="CJ40" s="74">
        <f t="shared" si="25"/>
        <v>1.8366690368984282</v>
      </c>
      <c r="CK40" s="74">
        <f t="shared" si="25"/>
        <v>1.8652338227200012</v>
      </c>
      <c r="CL40" s="74">
        <f t="shared" si="25"/>
        <v>1.8940351925207084</v>
      </c>
      <c r="CM40" s="74">
        <f t="shared" si="25"/>
        <v>1.9230778273365934</v>
      </c>
      <c r="CN40" s="74">
        <f t="shared" si="25"/>
        <v>1.9523664492141084</v>
      </c>
      <c r="CO40" s="74">
        <f t="shared" si="25"/>
        <v>1.9819058212101133</v>
      </c>
      <c r="CP40" s="74">
        <f t="shared" si="25"/>
        <v>2.0117007473918767</v>
      </c>
      <c r="CQ40" s="74">
        <f t="shared" si="25"/>
        <v>2.0417560728370736</v>
      </c>
      <c r="CR40" s="74">
        <f t="shared" si="25"/>
        <v>2.0720766836337887</v>
      </c>
      <c r="CS40" s="74">
        <f t="shared" si="25"/>
        <v>2.1026675068805134</v>
      </c>
      <c r="CT40" s="74">
        <f t="shared" si="25"/>
        <v>2.1335335106861488</v>
      </c>
      <c r="CU40" s="74">
        <f t="shared" si="25"/>
        <v>2.1646797041700019</v>
      </c>
      <c r="CV40" s="74">
        <f t="shared" si="25"/>
        <v>2.1961111374617888</v>
      </c>
      <c r="CW40" s="74">
        <f t="shared" si="25"/>
        <v>2.2278329017016336</v>
      </c>
      <c r="CX40" s="74">
        <f t="shared" si="25"/>
        <v>2.259850129040069</v>
      </c>
      <c r="CY40" s="74">
        <f t="shared" si="25"/>
        <v>2.2921679926380341</v>
      </c>
      <c r="CZ40" s="74">
        <f t="shared" si="25"/>
        <v>2.3247917066668768</v>
      </c>
      <c r="DA40" s="74">
        <f t="shared" si="25"/>
        <v>2.3577265263083538</v>
      </c>
      <c r="DB40" s="74">
        <f t="shared" si="25"/>
        <v>2.3909777477546292</v>
      </c>
      <c r="DC40" s="74">
        <f t="shared" si="25"/>
        <v>2.4245507082082742</v>
      </c>
      <c r="DD40" s="74">
        <f t="shared" si="25"/>
        <v>2.4584507858822691</v>
      </c>
    </row>
    <row r="41" spans="1:108" x14ac:dyDescent="0.2">
      <c r="A41" s="9" t="s">
        <v>568</v>
      </c>
      <c r="B41" s="3" t="s">
        <v>569</v>
      </c>
      <c r="C41" s="78">
        <f>IF(C40&gt;$J$23,$C$12/C40/(Lse/1),SQRT(2*9.81*(HB/1-C40)))</f>
        <v>12.137680560363513</v>
      </c>
      <c r="D41" s="78">
        <f ca="1">IF(D40&gt;$J$23,$C$12/D40/(Lse/1),SQRT(2*9.81*(HB/1-D40)))</f>
        <v>12.137680560363513</v>
      </c>
      <c r="E41" s="78">
        <f ca="1">IF(E40&gt;$J$23,$C$12/E40/(Lse/1),SQRT(2*9.81*(HB/1-E40)))</f>
        <v>11.877915031565298</v>
      </c>
      <c r="F41" s="54" t="s">
        <v>657</v>
      </c>
      <c r="I41" s="3" t="s">
        <v>569</v>
      </c>
      <c r="J41" s="78">
        <f t="shared" ref="J41" si="26">IF(J40&gt;$J$23,$C$12/J40/(Lse/1),SQRT(2*9.81*(HB/1-J40)))</f>
        <v>12.137680560363513</v>
      </c>
      <c r="K41" s="78">
        <f t="shared" ref="K41:BV41" si="27">IF(K40&gt;$J$23,$C$12/K40/(Lse/1),SQRT(2*9.81*(HB/1-K40)))</f>
        <v>12.120563101314328</v>
      </c>
      <c r="L41" s="78">
        <f t="shared" si="27"/>
        <v>12.103423203620235</v>
      </c>
      <c r="M41" s="78">
        <f t="shared" si="27"/>
        <v>12.086259568748224</v>
      </c>
      <c r="N41" s="78">
        <f t="shared" si="27"/>
        <v>12.069070857309393</v>
      </c>
      <c r="O41" s="78">
        <f t="shared" si="27"/>
        <v>12.051855688740874</v>
      </c>
      <c r="P41" s="78">
        <f t="shared" si="27"/>
        <v>12.034612640982212</v>
      </c>
      <c r="Q41" s="78">
        <f t="shared" si="27"/>
        <v>12.017340250145958</v>
      </c>
      <c r="R41" s="78">
        <f t="shared" si="27"/>
        <v>12.000037010182233</v>
      </c>
      <c r="S41" s="78">
        <f t="shared" si="27"/>
        <v>11.982701372536999</v>
      </c>
      <c r="T41" s="78">
        <f t="shared" si="27"/>
        <v>11.96533174580378</v>
      </c>
      <c r="U41" s="78">
        <f t="shared" si="27"/>
        <v>11.947926495368533</v>
      </c>
      <c r="V41" s="78">
        <f t="shared" si="27"/>
        <v>11.930483943047411</v>
      </c>
      <c r="W41" s="78">
        <f t="shared" si="27"/>
        <v>11.913002366717073</v>
      </c>
      <c r="X41" s="78">
        <f t="shared" si="27"/>
        <v>11.895479999937262</v>
      </c>
      <c r="Y41" s="78">
        <f t="shared" si="27"/>
        <v>11.877915031565298</v>
      </c>
      <c r="Z41" s="78">
        <f t="shared" si="27"/>
        <v>11.860305605362162</v>
      </c>
      <c r="AA41" s="78">
        <f t="shared" si="27"/>
        <v>11.842649819589791</v>
      </c>
      <c r="AB41" s="78">
        <f t="shared" si="27"/>
        <v>11.824945726599239</v>
      </c>
      <c r="AC41" s="78">
        <f t="shared" si="27"/>
        <v>11.807191332409291</v>
      </c>
      <c r="AD41" s="78">
        <f t="shared" si="27"/>
        <v>11.789384596275154</v>
      </c>
      <c r="AE41" s="78">
        <f t="shared" si="27"/>
        <v>11.771523430246786</v>
      </c>
      <c r="AF41" s="78">
        <f t="shared" si="27"/>
        <v>11.753605698716441</v>
      </c>
      <c r="AG41" s="78">
        <f t="shared" si="27"/>
        <v>11.73562921795496</v>
      </c>
      <c r="AH41" s="78">
        <f t="shared" si="27"/>
        <v>11.717591755636365</v>
      </c>
      <c r="AI41" s="78">
        <f t="shared" si="27"/>
        <v>11.699491030350218</v>
      </c>
      <c r="AJ41" s="78">
        <f t="shared" si="27"/>
        <v>11.681324711101309</v>
      </c>
      <c r="AK41" s="78">
        <f t="shared" si="27"/>
        <v>11.663090416796047</v>
      </c>
      <c r="AL41" s="78">
        <f t="shared" si="27"/>
        <v>11.644785715715079</v>
      </c>
      <c r="AM41" s="78">
        <f t="shared" si="27"/>
        <v>11.626408124971531</v>
      </c>
      <c r="AN41" s="78">
        <f t="shared" si="27"/>
        <v>11.607955109954268</v>
      </c>
      <c r="AO41" s="78">
        <f t="shared" si="27"/>
        <v>11.589424083755546</v>
      </c>
      <c r="AP41" s="78">
        <f t="shared" si="27"/>
        <v>11.57081240658243</v>
      </c>
      <c r="AQ41" s="78">
        <f t="shared" si="27"/>
        <v>11.552117385151282</v>
      </c>
      <c r="AR41" s="78">
        <f t="shared" si="27"/>
        <v>11.533336272064618</v>
      </c>
      <c r="AS41" s="78">
        <f t="shared" si="27"/>
        <v>11.514466265169601</v>
      </c>
      <c r="AT41" s="78">
        <f t="shared" si="27"/>
        <v>11.495504506897412</v>
      </c>
      <c r="AU41" s="78">
        <f t="shared" si="27"/>
        <v>11.476448083582698</v>
      </c>
      <c r="AV41" s="78">
        <f t="shared" si="27"/>
        <v>11.457294024762273</v>
      </c>
      <c r="AW41" s="78">
        <f t="shared" si="27"/>
        <v>11.438039302452195</v>
      </c>
      <c r="AX41" s="78">
        <f t="shared" si="27"/>
        <v>11.418680830402323</v>
      </c>
      <c r="AY41" s="78">
        <f t="shared" si="27"/>
        <v>11.399215463327446</v>
      </c>
      <c r="AZ41" s="78">
        <f t="shared" si="27"/>
        <v>11.379639996113943</v>
      </c>
      <c r="BA41" s="78">
        <f t="shared" si="27"/>
        <v>11.359951163000998</v>
      </c>
      <c r="BB41" s="78">
        <f t="shared" si="27"/>
        <v>11.34014563673531</v>
      </c>
      <c r="BC41" s="78">
        <f t="shared" si="27"/>
        <v>11.320220027698122</v>
      </c>
      <c r="BD41" s="78">
        <f t="shared" si="27"/>
        <v>11.300170883003503</v>
      </c>
      <c r="BE41" s="78">
        <f t="shared" si="27"/>
        <v>11.279994685566571</v>
      </c>
      <c r="BF41" s="78">
        <f t="shared" si="27"/>
        <v>11.259687853140472</v>
      </c>
      <c r="BG41" s="78">
        <f t="shared" si="27"/>
        <v>11.239246737320721</v>
      </c>
      <c r="BH41" s="78">
        <f t="shared" si="27"/>
        <v>11.218667622515582</v>
      </c>
      <c r="BI41" s="78">
        <f t="shared" si="27"/>
        <v>11.197946724880993</v>
      </c>
      <c r="BJ41" s="78">
        <f t="shared" si="27"/>
        <v>11.177080191218536</v>
      </c>
      <c r="BK41" s="78">
        <f t="shared" si="27"/>
        <v>11.156064097834884</v>
      </c>
      <c r="BL41" s="78">
        <f t="shared" si="27"/>
        <v>11.134894449361044</v>
      </c>
      <c r="BM41" s="78">
        <f t="shared" si="27"/>
        <v>11.113567177529664</v>
      </c>
      <c r="BN41" s="78">
        <f t="shared" si="27"/>
        <v>11.092078139908599</v>
      </c>
      <c r="BO41" s="78">
        <f t="shared" si="27"/>
        <v>11.07042311858882</v>
      </c>
      <c r="BP41" s="78">
        <f t="shared" si="27"/>
        <v>11.048597818824659</v>
      </c>
      <c r="BQ41" s="78">
        <f t="shared" si="27"/>
        <v>11.026597867624313</v>
      </c>
      <c r="BR41" s="78">
        <f t="shared" si="27"/>
        <v>11.004418812288414</v>
      </c>
      <c r="BS41" s="78">
        <f t="shared" si="27"/>
        <v>10.982056118894318</v>
      </c>
      <c r="BT41" s="78">
        <f t="shared" si="27"/>
        <v>10.959505170723759</v>
      </c>
      <c r="BU41" s="78">
        <f t="shared" si="27"/>
        <v>10.936761266631251</v>
      </c>
      <c r="BV41" s="78">
        <f t="shared" si="27"/>
        <v>10.913819619350637</v>
      </c>
      <c r="BW41" s="78">
        <f t="shared" ref="BW41:DD41" si="28">IF(BW40&gt;$J$23,$C$12/BW40/(Lse/1),SQRT(2*9.81*(HB/1-BW40)))</f>
        <v>10.890675353736915</v>
      </c>
      <c r="BX41" s="78">
        <f t="shared" si="28"/>
        <v>10.867323504940437</v>
      </c>
      <c r="BY41" s="78">
        <f t="shared" si="28"/>
        <v>10.843759016510338</v>
      </c>
      <c r="BZ41" s="78">
        <f t="shared" si="28"/>
        <v>10.819976738423943</v>
      </c>
      <c r="CA41" s="78">
        <f t="shared" si="28"/>
        <v>10.795971425038696</v>
      </c>
      <c r="CB41" s="78">
        <f t="shared" si="28"/>
        <v>10.771737732962999</v>
      </c>
      <c r="CC41" s="78">
        <f t="shared" si="28"/>
        <v>10.747270218842106</v>
      </c>
      <c r="CD41" s="78">
        <f t="shared" si="28"/>
        <v>10.722563337055067</v>
      </c>
      <c r="CE41" s="78">
        <f t="shared" si="28"/>
        <v>10.697611437318452</v>
      </c>
      <c r="CF41" s="78">
        <f t="shared" si="28"/>
        <v>10.672408762192337</v>
      </c>
      <c r="CG41" s="78">
        <f t="shared" si="28"/>
        <v>10.646949444483861</v>
      </c>
      <c r="CH41" s="78">
        <f t="shared" si="28"/>
        <v>10.621227504543281</v>
      </c>
      <c r="CI41" s="78">
        <f t="shared" si="28"/>
        <v>10.59523684744725</v>
      </c>
      <c r="CJ41" s="78">
        <f t="shared" si="28"/>
        <v>10.568971260063693</v>
      </c>
      <c r="CK41" s="78">
        <f t="shared" si="28"/>
        <v>10.542424407992359</v>
      </c>
      <c r="CL41" s="78">
        <f t="shared" si="28"/>
        <v>10.515589832374747</v>
      </c>
      <c r="CM41" s="78">
        <f t="shared" si="28"/>
        <v>10.488460946566732</v>
      </c>
      <c r="CN41" s="78">
        <f t="shared" si="28"/>
        <v>10.46103103266684</v>
      </c>
      <c r="CO41" s="78">
        <f t="shared" si="28"/>
        <v>10.433293237892677</v>
      </c>
      <c r="CP41" s="78">
        <f t="shared" si="28"/>
        <v>10.405240570797528</v>
      </c>
      <c r="CQ41" s="78">
        <f t="shared" si="28"/>
        <v>10.376865897318712</v>
      </c>
      <c r="CR41" s="78">
        <f t="shared" si="28"/>
        <v>10.348161936648678</v>
      </c>
      <c r="CS41" s="78">
        <f t="shared" si="28"/>
        <v>10.319121256919303</v>
      </c>
      <c r="CT41" s="78">
        <f t="shared" si="28"/>
        <v>10.289736270689216</v>
      </c>
      <c r="CU41" s="78">
        <f t="shared" si="28"/>
        <v>10.259999230223364</v>
      </c>
      <c r="CV41" s="78">
        <f t="shared" si="28"/>
        <v>10.229902222553214</v>
      </c>
      <c r="CW41" s="78">
        <f t="shared" si="28"/>
        <v>10.199437164305362</v>
      </c>
      <c r="CX41" s="78">
        <f t="shared" si="28"/>
        <v>10.168595796285411</v>
      </c>
      <c r="CY41" s="78">
        <f t="shared" si="28"/>
        <v>10.137369677803076</v>
      </c>
      <c r="CZ41" s="78">
        <f t="shared" si="28"/>
        <v>10.105750180723613</v>
      </c>
      <c r="DA41" s="78">
        <f t="shared" si="28"/>
        <v>10.073728483229512</v>
      </c>
      <c r="DB41" s="78">
        <f t="shared" si="28"/>
        <v>10.041295563275371</v>
      </c>
      <c r="DC41" s="78">
        <f t="shared" si="28"/>
        <v>10.008442191717606</v>
      </c>
      <c r="DD41" s="78">
        <f t="shared" si="28"/>
        <v>9.9751589250993575</v>
      </c>
    </row>
    <row r="42" spans="1:108" x14ac:dyDescent="0.2">
      <c r="A42" s="9" t="s">
        <v>570</v>
      </c>
      <c r="B42" s="3" t="s">
        <v>571</v>
      </c>
      <c r="C42" s="79">
        <f>C40*Lse*C41</f>
        <v>0.9249371693608831</v>
      </c>
      <c r="D42" s="79">
        <f ca="1">D40*Lse*D41</f>
        <v>0.9249371693608831</v>
      </c>
      <c r="E42" s="79">
        <f ca="1">E40*Lse*E41</f>
        <v>14.501374874901694</v>
      </c>
      <c r="F42" s="54" t="s">
        <v>655</v>
      </c>
      <c r="I42" s="3" t="s">
        <v>571</v>
      </c>
      <c r="J42" s="79">
        <f t="shared" ref="J42" si="29">J40*Lse*J41</f>
        <v>0.9249371693608831</v>
      </c>
      <c r="K42" s="79">
        <f t="shared" ref="K42:BV42" si="30">K40*Lse*K41</f>
        <v>1.8471073360345556</v>
      </c>
      <c r="L42" s="79">
        <f t="shared" si="30"/>
        <v>2.7665688383497855</v>
      </c>
      <c r="M42" s="79">
        <f t="shared" si="30"/>
        <v>3.6833810488610781</v>
      </c>
      <c r="N42" s="79">
        <f t="shared" si="30"/>
        <v>4.5976043449670456</v>
      </c>
      <c r="O42" s="79">
        <f t="shared" si="30"/>
        <v>5.5093000791895523</v>
      </c>
      <c r="P42" s="79">
        <f t="shared" si="30"/>
        <v>6.4185305490958928</v>
      </c>
      <c r="Q42" s="79">
        <f t="shared" si="30"/>
        <v>7.3253589668455614</v>
      </c>
      <c r="R42" s="79">
        <f t="shared" si="30"/>
        <v>8.2298494283425345</v>
      </c>
      <c r="S42" s="79">
        <f t="shared" si="30"/>
        <v>9.1320668819731878</v>
      </c>
      <c r="T42" s="79">
        <f t="shared" si="30"/>
        <v>10.032077096909426</v>
      </c>
      <c r="U42" s="79">
        <f t="shared" si="30"/>
        <v>10.929946630955612</v>
      </c>
      <c r="V42" s="79">
        <f t="shared" si="30"/>
        <v>11.825742797917412</v>
      </c>
      <c r="W42" s="79">
        <f t="shared" si="30"/>
        <v>12.719533634469657</v>
      </c>
      <c r="X42" s="79">
        <f t="shared" si="30"/>
        <v>13.61138786649968</v>
      </c>
      <c r="Y42" s="79">
        <f t="shared" si="30"/>
        <v>14.501374874901694</v>
      </c>
      <c r="Z42" s="79">
        <f t="shared" si="30"/>
        <v>15.389564660796994</v>
      </c>
      <c r="AA42" s="79">
        <f t="shared" si="30"/>
        <v>16.27602781015382</v>
      </c>
      <c r="AB42" s="79">
        <f t="shared" si="30"/>
        <v>17.160835457779978</v>
      </c>
      <c r="AC42" s="79">
        <f t="shared" si="30"/>
        <v>18.044059250660201</v>
      </c>
      <c r="AD42" s="79">
        <f t="shared" si="30"/>
        <v>18.925771310609562</v>
      </c>
      <c r="AE42" s="79">
        <f t="shared" si="30"/>
        <v>19.806044196212973</v>
      </c>
      <c r="AF42" s="79">
        <f t="shared" si="30"/>
        <v>20.684950864020159</v>
      </c>
      <c r="AG42" s="79">
        <f t="shared" si="30"/>
        <v>21.562564628964129</v>
      </c>
      <c r="AH42" s="79">
        <f t="shared" si="30"/>
        <v>22.438959123970449</v>
      </c>
      <c r="AI42" s="79">
        <f t="shared" si="30"/>
        <v>23.314208258723191</v>
      </c>
      <c r="AJ42" s="79">
        <f t="shared" si="30"/>
        <v>24.18838617755269</v>
      </c>
      <c r="AK42" s="79">
        <f t="shared" si="30"/>
        <v>25.06156721640869</v>
      </c>
      <c r="AL42" s="79">
        <f t="shared" si="30"/>
        <v>25.933825858881651</v>
      </c>
      <c r="AM42" s="79">
        <f t="shared" si="30"/>
        <v>26.805236691233436</v>
      </c>
      <c r="AN42" s="79">
        <f t="shared" si="30"/>
        <v>27.675874356397493</v>
      </c>
      <c r="AO42" s="79">
        <f t="shared" si="30"/>
        <v>28.545813506907336</v>
      </c>
      <c r="AP42" s="79">
        <f t="shared" si="30"/>
        <v>29.415128756710651</v>
      </c>
      <c r="AQ42" s="79">
        <f t="shared" si="30"/>
        <v>30.283894631825063</v>
      </c>
      <c r="AR42" s="79">
        <f t="shared" si="30"/>
        <v>31.15218551979002</v>
      </c>
      <c r="AS42" s="79">
        <f t="shared" si="30"/>
        <v>32.02007561786786</v>
      </c>
      <c r="AT42" s="79">
        <f t="shared" si="30"/>
        <v>32.887638879945378</v>
      </c>
      <c r="AU42" s="79">
        <f t="shared" si="30"/>
        <v>33.754948962085841</v>
      </c>
      <c r="AV42" s="79">
        <f t="shared" si="30"/>
        <v>34.622079166679264</v>
      </c>
      <c r="AW42" s="79">
        <f t="shared" si="30"/>
        <v>35.489102385137635</v>
      </c>
      <c r="AX42" s="79">
        <f t="shared" si="30"/>
        <v>36.356091039079104</v>
      </c>
      <c r="AY42" s="79">
        <f t="shared" si="30"/>
        <v>37.22311701994424</v>
      </c>
      <c r="AZ42" s="79">
        <f t="shared" si="30"/>
        <v>38.090251626984468</v>
      </c>
      <c r="BA42" s="79">
        <f t="shared" si="30"/>
        <v>38.957565503561426</v>
      </c>
      <c r="BB42" s="79">
        <f t="shared" si="30"/>
        <v>39.825128571693661</v>
      </c>
      <c r="BC42" s="79">
        <f t="shared" si="30"/>
        <v>40.693009964784515</v>
      </c>
      <c r="BD42" s="79">
        <f t="shared" si="30"/>
        <v>41.561277958463229</v>
      </c>
      <c r="BE42" s="79">
        <f t="shared" si="30"/>
        <v>42.429999899468399</v>
      </c>
      <c r="BF42" s="79">
        <f t="shared" si="30"/>
        <v>43.299242132500588</v>
      </c>
      <c r="BG42" s="79">
        <f t="shared" si="30"/>
        <v>44.169069924968149</v>
      </c>
      <c r="BH42" s="79">
        <f t="shared" si="30"/>
        <v>45.039547389547579</v>
      </c>
      <c r="BI42" s="79">
        <f t="shared" si="30"/>
        <v>45.910737404476635</v>
      </c>
      <c r="BJ42" s="79">
        <f t="shared" si="30"/>
        <v>46.782701531495675</v>
      </c>
      <c r="BK42" s="79">
        <f t="shared" si="30"/>
        <v>47.655499931349112</v>
      </c>
      <c r="BL42" s="79">
        <f t="shared" si="30"/>
        <v>48.529191276755824</v>
      </c>
      <c r="BM42" s="79">
        <f t="shared" si="30"/>
        <v>49.403832662753672</v>
      </c>
      <c r="BN42" s="79">
        <f t="shared" si="30"/>
        <v>50.279479514319469</v>
      </c>
      <c r="BO42" s="79">
        <f t="shared" si="30"/>
        <v>51.156185491162383</v>
      </c>
      <c r="BP42" s="79">
        <f t="shared" si="30"/>
        <v>52.034002389583826</v>
      </c>
      <c r="BQ42" s="79">
        <f t="shared" si="30"/>
        <v>52.912980041293295</v>
      </c>
      <c r="BR42" s="79">
        <f t="shared" si="30"/>
        <v>53.793166209065028</v>
      </c>
      <c r="BS42" s="79">
        <f t="shared" si="30"/>
        <v>54.674606479115127</v>
      </c>
      <c r="BT42" s="79">
        <f t="shared" si="30"/>
        <v>55.557344150074421</v>
      </c>
      <c r="BU42" s="79">
        <f t="shared" si="30"/>
        <v>56.441420118426535</v>
      </c>
      <c r="BV42" s="79">
        <f t="shared" si="30"/>
        <v>57.326872760275741</v>
      </c>
      <c r="BW42" s="79">
        <f t="shared" ref="BW42:DD42" si="31">BW40*Lse*BW41</f>
        <v>58.213737809302373</v>
      </c>
      <c r="BX42" s="79">
        <f t="shared" si="31"/>
        <v>59.102048230758406</v>
      </c>
      <c r="BY42" s="79">
        <f t="shared" si="31"/>
        <v>59.991834091348743</v>
      </c>
      <c r="BZ42" s="79">
        <f t="shared" si="31"/>
        <v>60.883122424836728</v>
      </c>
      <c r="CA42" s="79">
        <f t="shared" si="31"/>
        <v>61.775937093205798</v>
      </c>
      <c r="CB42" s="79">
        <f t="shared" si="31"/>
        <v>62.670298643200653</v>
      </c>
      <c r="CC42" s="79">
        <f t="shared" si="31"/>
        <v>63.566224158063811</v>
      </c>
      <c r="CD42" s="79">
        <f t="shared" si="31"/>
        <v>64.463727104274653</v>
      </c>
      <c r="CE42" s="79">
        <f t="shared" si="31"/>
        <v>65.362817173088402</v>
      </c>
      <c r="CF42" s="79">
        <f t="shared" si="31"/>
        <v>66.263500116664019</v>
      </c>
      <c r="CG42" s="79">
        <f t="shared" si="31"/>
        <v>67.165777578558064</v>
      </c>
      <c r="CH42" s="79">
        <f t="shared" si="31"/>
        <v>68.069646918352191</v>
      </c>
      <c r="CI42" s="79">
        <f t="shared" si="31"/>
        <v>68.975101030169355</v>
      </c>
      <c r="CJ42" s="79">
        <f t="shared" si="31"/>
        <v>69.882128154822055</v>
      </c>
      <c r="CK42" s="79">
        <f t="shared" si="31"/>
        <v>70.790711685322435</v>
      </c>
      <c r="CL42" s="79">
        <f t="shared" si="31"/>
        <v>71.700829965470547</v>
      </c>
      <c r="CM42" s="79">
        <f t="shared" si="31"/>
        <v>72.612456081221751</v>
      </c>
      <c r="CN42" s="79">
        <f t="shared" si="31"/>
        <v>73.525557644518884</v>
      </c>
      <c r="CO42" s="79">
        <f t="shared" si="31"/>
        <v>74.44009656925779</v>
      </c>
      <c r="CP42" s="79">
        <f t="shared" si="31"/>
        <v>75.356028839036398</v>
      </c>
      <c r="CQ42" s="79">
        <f t="shared" si="31"/>
        <v>76.273304266319073</v>
      </c>
      <c r="CR42" s="79">
        <f t="shared" si="31"/>
        <v>77.191866242627029</v>
      </c>
      <c r="CS42" s="79">
        <f t="shared" si="31"/>
        <v>78.111651479343195</v>
      </c>
      <c r="CT42" s="79">
        <f t="shared" si="31"/>
        <v>79.032589738697396</v>
      </c>
      <c r="CU42" s="79">
        <f t="shared" si="31"/>
        <v>79.954603554471703</v>
      </c>
      <c r="CV42" s="79">
        <f t="shared" si="31"/>
        <v>80.877607941939189</v>
      </c>
      <c r="CW42" s="79">
        <f t="shared" si="31"/>
        <v>81.801510096520431</v>
      </c>
      <c r="CX42" s="79">
        <f t="shared" si="31"/>
        <v>82.726209080610801</v>
      </c>
      <c r="CY42" s="79">
        <f t="shared" si="31"/>
        <v>83.651595497998386</v>
      </c>
      <c r="CZ42" s="79">
        <f t="shared" si="31"/>
        <v>84.577551155256771</v>
      </c>
      <c r="DA42" s="79">
        <f t="shared" si="31"/>
        <v>85.50394870945766</v>
      </c>
      <c r="DB42" s="79">
        <f t="shared" si="31"/>
        <v>86.430651301507311</v>
      </c>
      <c r="DC42" s="79">
        <f t="shared" si="31"/>
        <v>87.35751217436578</v>
      </c>
      <c r="DD42" s="79">
        <f t="shared" si="31"/>
        <v>88.284374275359781</v>
      </c>
    </row>
    <row r="43" spans="1:108" x14ac:dyDescent="0.2">
      <c r="A43" s="9" t="s">
        <v>545</v>
      </c>
      <c r="B43" s="3" t="s">
        <v>572</v>
      </c>
      <c r="C43" s="76">
        <f>1/SQRT(1.15849*C25+1.26922)</f>
        <v>0.883605702085969</v>
      </c>
      <c r="D43" s="76">
        <f ca="1">1/SQRT(1.15849*D25+1.26922)</f>
        <v>0.883605702085969</v>
      </c>
      <c r="E43" s="76">
        <f ca="1">1/SQRT(1.15849*E25+1.26922)</f>
        <v>0.82914680755442527</v>
      </c>
      <c r="F43" s="10"/>
      <c r="I43" s="3" t="s">
        <v>572</v>
      </c>
      <c r="J43" s="76">
        <f t="shared" ref="J43:BU43" si="32">1/SQRT(1.15849*J25+1.26922)</f>
        <v>0.883605702085969</v>
      </c>
      <c r="K43" s="76">
        <f t="shared" si="32"/>
        <v>0.87963649446360126</v>
      </c>
      <c r="L43" s="76">
        <f t="shared" si="32"/>
        <v>0.87572030046407201</v>
      </c>
      <c r="M43" s="76">
        <f t="shared" si="32"/>
        <v>0.87185595039569674</v>
      </c>
      <c r="N43" s="76">
        <f t="shared" si="32"/>
        <v>0.86804231038209589</v>
      </c>
      <c r="O43" s="76">
        <f t="shared" si="32"/>
        <v>0.86427828096444648</v>
      </c>
      <c r="P43" s="76">
        <f t="shared" si="32"/>
        <v>0.86056279576983241</v>
      </c>
      <c r="Q43" s="76">
        <f t="shared" si="32"/>
        <v>0.85689482024203112</v>
      </c>
      <c r="R43" s="76">
        <f t="shared" si="32"/>
        <v>0.85327335043130426</v>
      </c>
      <c r="S43" s="76">
        <f t="shared" si="32"/>
        <v>0.84969741183998082</v>
      </c>
      <c r="T43" s="76">
        <f t="shared" si="32"/>
        <v>0.84616605832081482</v>
      </c>
      <c r="U43" s="76">
        <f t="shared" si="32"/>
        <v>0.84267837102529197</v>
      </c>
      <c r="V43" s="76">
        <f t="shared" si="32"/>
        <v>0.83923345739923072</v>
      </c>
      <c r="W43" s="76">
        <f t="shared" si="32"/>
        <v>0.8358304502231837</v>
      </c>
      <c r="X43" s="76">
        <f t="shared" si="32"/>
        <v>0.83246850669529693</v>
      </c>
      <c r="Y43" s="76">
        <f t="shared" si="32"/>
        <v>0.82914680755442527</v>
      </c>
      <c r="Z43" s="76">
        <f t="shared" si="32"/>
        <v>0.82586455624143063</v>
      </c>
      <c r="AA43" s="76">
        <f t="shared" si="32"/>
        <v>0.82262097809671708</v>
      </c>
      <c r="AB43" s="76">
        <f t="shared" si="32"/>
        <v>0.81941531959216174</v>
      </c>
      <c r="AC43" s="76">
        <f t="shared" si="32"/>
        <v>0.81624684759571731</v>
      </c>
      <c r="AD43" s="76">
        <f t="shared" si="32"/>
        <v>0.81311484866705386</v>
      </c>
      <c r="AE43" s="76">
        <f t="shared" si="32"/>
        <v>0.81001862838270366</v>
      </c>
      <c r="AF43" s="76">
        <f t="shared" si="32"/>
        <v>0.80695751068926092</v>
      </c>
      <c r="AG43" s="76">
        <f t="shared" si="32"/>
        <v>0.80393083728326609</v>
      </c>
      <c r="AH43" s="76">
        <f t="shared" si="32"/>
        <v>0.8009379670164859</v>
      </c>
      <c r="AI43" s="76">
        <f t="shared" si="32"/>
        <v>0.79797827532536736</v>
      </c>
      <c r="AJ43" s="76">
        <f t="shared" si="32"/>
        <v>0.79505115368351365</v>
      </c>
      <c r="AK43" s="76">
        <f t="shared" si="32"/>
        <v>0.79215600907609185</v>
      </c>
      <c r="AL43" s="76">
        <f t="shared" si="32"/>
        <v>0.78929226349514103</v>
      </c>
      <c r="AM43" s="76">
        <f t="shared" si="32"/>
        <v>0.78645935345480855</v>
      </c>
      <c r="AN43" s="76">
        <f t="shared" si="32"/>
        <v>0.78365672952558652</v>
      </c>
      <c r="AO43" s="76">
        <f t="shared" si="32"/>
        <v>0.78088385588667786</v>
      </c>
      <c r="AP43" s="76">
        <f t="shared" si="32"/>
        <v>0.77814020989566446</v>
      </c>
      <c r="AQ43" s="76">
        <f t="shared" si="32"/>
        <v>0.77542528167468838</v>
      </c>
      <c r="AR43" s="76">
        <f t="shared" si="32"/>
        <v>0.77273857371240751</v>
      </c>
      <c r="AS43" s="76">
        <f t="shared" si="32"/>
        <v>0.77007960048101676</v>
      </c>
      <c r="AT43" s="76">
        <f t="shared" si="32"/>
        <v>0.76744788806766606</v>
      </c>
      <c r="AU43" s="76">
        <f t="shared" si="32"/>
        <v>0.76484297381964061</v>
      </c>
      <c r="AV43" s="76">
        <f t="shared" si="32"/>
        <v>0.76226440600269929</v>
      </c>
      <c r="AW43" s="76">
        <f t="shared" si="32"/>
        <v>0.75971174347199966</v>
      </c>
      <c r="AX43" s="76">
        <f t="shared" si="32"/>
        <v>0.75718455535506379</v>
      </c>
      <c r="AY43" s="76">
        <f t="shared" si="32"/>
        <v>0.75468242074626846</v>
      </c>
      <c r="AZ43" s="76">
        <f t="shared" si="32"/>
        <v>0.75220492841236775</v>
      </c>
      <c r="BA43" s="76">
        <f t="shared" si="32"/>
        <v>0.74975167650858054</v>
      </c>
      <c r="BB43" s="76">
        <f t="shared" si="32"/>
        <v>0.7473222723047972</v>
      </c>
      <c r="BC43" s="76">
        <f t="shared" si="32"/>
        <v>0.74491633192148232</v>
      </c>
      <c r="BD43" s="76">
        <f t="shared" si="32"/>
        <v>0.74253348007487141</v>
      </c>
      <c r="BE43" s="76">
        <f t="shared" si="32"/>
        <v>0.74017334983107441</v>
      </c>
      <c r="BF43" s="76">
        <f t="shared" si="32"/>
        <v>0.73783558236872449</v>
      </c>
      <c r="BG43" s="76">
        <f t="shared" si="32"/>
        <v>0.73551982674981975</v>
      </c>
      <c r="BH43" s="76">
        <f t="shared" si="32"/>
        <v>0.73322573969842797</v>
      </c>
      <c r="BI43" s="76">
        <f t="shared" si="32"/>
        <v>0.73095298538693643</v>
      </c>
      <c r="BJ43" s="76">
        <f t="shared" si="32"/>
        <v>0.72870123522954522</v>
      </c>
      <c r="BK43" s="76">
        <f t="shared" si="32"/>
        <v>0.72647016768271555</v>
      </c>
      <c r="BL43" s="76">
        <f t="shared" si="32"/>
        <v>0.72425946805229713</v>
      </c>
      <c r="BM43" s="76">
        <f t="shared" si="32"/>
        <v>0.72206882830707397</v>
      </c>
      <c r="BN43" s="76">
        <f t="shared" si="32"/>
        <v>0.7198979468984753</v>
      </c>
      <c r="BO43" s="76">
        <f t="shared" si="32"/>
        <v>0.71774652858621379</v>
      </c>
      <c r="BP43" s="76">
        <f t="shared" si="32"/>
        <v>0.71561428426962204</v>
      </c>
      <c r="BQ43" s="76">
        <f t="shared" si="32"/>
        <v>0.71350093082446764</v>
      </c>
      <c r="BR43" s="76">
        <f t="shared" si="32"/>
        <v>0.71140619094503776</v>
      </c>
      <c r="BS43" s="76">
        <f t="shared" si="32"/>
        <v>0.70932979299129539</v>
      </c>
      <c r="BT43" s="76">
        <f t="shared" si="32"/>
        <v>0.70727147084091269</v>
      </c>
      <c r="BU43" s="76">
        <f t="shared" si="32"/>
        <v>0.70523096374600136</v>
      </c>
      <c r="BV43" s="76">
        <f t="shared" ref="BV43:DD43" si="33">1/SQRT(1.15849*BV25+1.26922)</f>
        <v>0.70320801619436224</v>
      </c>
      <c r="BW43" s="76">
        <f t="shared" si="33"/>
        <v>0.7012023777750902</v>
      </c>
      <c r="BX43" s="76">
        <f t="shared" si="33"/>
        <v>0.69921380304836922</v>
      </c>
      <c r="BY43" s="76">
        <f t="shared" si="33"/>
        <v>0.69724205141930795</v>
      </c>
      <c r="BZ43" s="76">
        <f t="shared" si="33"/>
        <v>0.69528688701566654</v>
      </c>
      <c r="CA43" s="76">
        <f t="shared" si="33"/>
        <v>0.69334807856933356</v>
      </c>
      <c r="CB43" s="76">
        <f t="shared" si="33"/>
        <v>0.69142539930141911</v>
      </c>
      <c r="CC43" s="76">
        <f t="shared" si="33"/>
        <v>0.68951862681083276</v>
      </c>
      <c r="CD43" s="76">
        <f t="shared" si="33"/>
        <v>0.68762754296622364</v>
      </c>
      <c r="CE43" s="76">
        <f t="shared" si="33"/>
        <v>0.68575193380116284</v>
      </c>
      <c r="CF43" s="76">
        <f t="shared" si="33"/>
        <v>0.68389158941245365</v>
      </c>
      <c r="CG43" s="76">
        <f t="shared" si="33"/>
        <v>0.68204630386145859</v>
      </c>
      <c r="CH43" s="76">
        <f t="shared" si="33"/>
        <v>0.68021587507834247</v>
      </c>
      <c r="CI43" s="76">
        <f t="shared" si="33"/>
        <v>0.67840010476912438</v>
      </c>
      <c r="CJ43" s="76">
        <f t="shared" si="33"/>
        <v>0.67659879832544512</v>
      </c>
      <c r="CK43" s="76">
        <f t="shared" si="33"/>
        <v>0.67481176473695759</v>
      </c>
      <c r="CL43" s="76">
        <f t="shared" si="33"/>
        <v>0.67303881650624753</v>
      </c>
      <c r="CM43" s="76">
        <f t="shared" si="33"/>
        <v>0.67127976956620095</v>
      </c>
      <c r="CN43" s="76">
        <f t="shared" si="33"/>
        <v>0.66953444319973487</v>
      </c>
      <c r="CO43" s="76">
        <f t="shared" si="33"/>
        <v>0.66780265996181165</v>
      </c>
      <c r="CP43" s="76">
        <f t="shared" si="33"/>
        <v>0.66608424560366108</v>
      </c>
      <c r="CQ43" s="76">
        <f t="shared" si="33"/>
        <v>0.66437902899913648</v>
      </c>
      <c r="CR43" s="76">
        <f t="shared" si="33"/>
        <v>0.66268684207313344</v>
      </c>
      <c r="CS43" s="76">
        <f t="shared" si="33"/>
        <v>0.66100751973200444</v>
      </c>
      <c r="CT43" s="76">
        <f t="shared" si="33"/>
        <v>0.65934089979590382</v>
      </c>
      <c r="CU43" s="76">
        <f t="shared" si="33"/>
        <v>0.65768682293299907</v>
      </c>
      <c r="CV43" s="76">
        <f t="shared" si="33"/>
        <v>0.65604513259548825</v>
      </c>
      <c r="CW43" s="76">
        <f t="shared" si="33"/>
        <v>0.65441567495736686</v>
      </c>
      <c r="CX43" s="76">
        <f t="shared" si="33"/>
        <v>0.65279829885388474</v>
      </c>
      <c r="CY43" s="76">
        <f t="shared" si="33"/>
        <v>0.65119285572264307</v>
      </c>
      <c r="CZ43" s="76">
        <f t="shared" si="33"/>
        <v>0.64959919954627454</v>
      </c>
      <c r="DA43" s="76">
        <f t="shared" si="33"/>
        <v>0.6480171867966612</v>
      </c>
      <c r="DB43" s="76">
        <f t="shared" si="33"/>
        <v>0.64644667638063813</v>
      </c>
      <c r="DC43" s="76">
        <f t="shared" si="33"/>
        <v>0.64488752958713835</v>
      </c>
      <c r="DD43" s="76">
        <f t="shared" si="33"/>
        <v>0.64333961003573292</v>
      </c>
    </row>
    <row r="44" spans="1:108" x14ac:dyDescent="0.2">
      <c r="A44" s="9"/>
      <c r="B44" s="3" t="s">
        <v>573</v>
      </c>
      <c r="C44" s="76">
        <f>C29*C25</f>
        <v>7.2992128822299994E-3</v>
      </c>
      <c r="D44" s="76">
        <f ca="1">D29*D25</f>
        <v>7.2992128822299994E-3</v>
      </c>
      <c r="E44" s="76">
        <f ca="1">E29*E25</f>
        <v>0.11694144790528001</v>
      </c>
      <c r="F44" s="10"/>
      <c r="I44" s="3" t="s">
        <v>573</v>
      </c>
      <c r="J44" s="76">
        <f t="shared" ref="J44:BU44" si="34">J29*J25</f>
        <v>7.2992128822299994E-3</v>
      </c>
      <c r="K44" s="76">
        <f t="shared" si="34"/>
        <v>1.459717577168E-2</v>
      </c>
      <c r="L44" s="76">
        <f t="shared" si="34"/>
        <v>2.1894385638629998E-2</v>
      </c>
      <c r="M44" s="76">
        <f t="shared" si="34"/>
        <v>2.9191353594880003E-2</v>
      </c>
      <c r="N44" s="76">
        <f t="shared" si="34"/>
        <v>3.6488604893749998E-2</v>
      </c>
      <c r="O44" s="76">
        <f t="shared" si="34"/>
        <v>4.3786678930080002E-2</v>
      </c>
      <c r="P44" s="76">
        <f t="shared" si="34"/>
        <v>5.1086129240230004E-2</v>
      </c>
      <c r="Q44" s="76">
        <f t="shared" si="34"/>
        <v>5.8387523502079999E-2</v>
      </c>
      <c r="R44" s="76">
        <f t="shared" si="34"/>
        <v>6.5691443535029995E-2</v>
      </c>
      <c r="S44" s="76">
        <f t="shared" si="34"/>
        <v>7.2998485299999985E-2</v>
      </c>
      <c r="T44" s="76">
        <f t="shared" si="34"/>
        <v>8.0309258899429997E-2</v>
      </c>
      <c r="U44" s="76">
        <f t="shared" si="34"/>
        <v>8.7624388577279985E-2</v>
      </c>
      <c r="V44" s="76">
        <f t="shared" si="34"/>
        <v>9.4944512719029969E-2</v>
      </c>
      <c r="W44" s="76">
        <f t="shared" si="34"/>
        <v>0.10227028385167999</v>
      </c>
      <c r="X44" s="76">
        <f t="shared" si="34"/>
        <v>0.10960236864374999</v>
      </c>
      <c r="Y44" s="76">
        <f t="shared" si="34"/>
        <v>0.11694144790528001</v>
      </c>
      <c r="Z44" s="76">
        <f t="shared" si="34"/>
        <v>0.12428821658783001</v>
      </c>
      <c r="AA44" s="76">
        <f t="shared" si="34"/>
        <v>0.13164338378448001</v>
      </c>
      <c r="AB44" s="76">
        <f t="shared" si="34"/>
        <v>0.13900767272983003</v>
      </c>
      <c r="AC44" s="76">
        <f t="shared" si="34"/>
        <v>0.14638182080000003</v>
      </c>
      <c r="AD44" s="76">
        <f t="shared" si="34"/>
        <v>0.15376657951263004</v>
      </c>
      <c r="AE44" s="76">
        <f t="shared" si="34"/>
        <v>0.16116271452688002</v>
      </c>
      <c r="AF44" s="76">
        <f t="shared" si="34"/>
        <v>0.16857100564343006</v>
      </c>
      <c r="AG44" s="76">
        <f t="shared" si="34"/>
        <v>0.17599224680448003</v>
      </c>
      <c r="AH44" s="76">
        <f t="shared" si="34"/>
        <v>0.18342724609375002</v>
      </c>
      <c r="AI44" s="76">
        <f t="shared" si="34"/>
        <v>0.19087682573648004</v>
      </c>
      <c r="AJ44" s="76">
        <f t="shared" si="34"/>
        <v>0.19834182209943005</v>
      </c>
      <c r="AK44" s="76">
        <f t="shared" si="34"/>
        <v>0.20582308569088004</v>
      </c>
      <c r="AL44" s="76">
        <f t="shared" si="34"/>
        <v>0.21332148116063007</v>
      </c>
      <c r="AM44" s="76">
        <f t="shared" si="34"/>
        <v>0.22083788730000006</v>
      </c>
      <c r="AN44" s="76">
        <f t="shared" si="34"/>
        <v>0.22837319704183009</v>
      </c>
      <c r="AO44" s="76">
        <f t="shared" si="34"/>
        <v>0.23592831746048007</v>
      </c>
      <c r="AP44" s="76">
        <f t="shared" si="34"/>
        <v>0.24350416977183009</v>
      </c>
      <c r="AQ44" s="76">
        <f t="shared" si="34"/>
        <v>0.25110168933328009</v>
      </c>
      <c r="AR44" s="76">
        <f t="shared" si="34"/>
        <v>0.25872182564375013</v>
      </c>
      <c r="AS44" s="76">
        <f t="shared" si="34"/>
        <v>0.26636554234368015</v>
      </c>
      <c r="AT44" s="76">
        <f t="shared" si="34"/>
        <v>0.27403381721503012</v>
      </c>
      <c r="AU44" s="76">
        <f t="shared" si="34"/>
        <v>0.2817276421812801</v>
      </c>
      <c r="AV44" s="76">
        <f t="shared" si="34"/>
        <v>0.28944802330743014</v>
      </c>
      <c r="AW44" s="76">
        <f t="shared" si="34"/>
        <v>0.29719598080000015</v>
      </c>
      <c r="AX44" s="76">
        <f t="shared" si="34"/>
        <v>0.30497254900703014</v>
      </c>
      <c r="AY44" s="76">
        <f t="shared" si="34"/>
        <v>0.31277877641808016</v>
      </c>
      <c r="AZ44" s="76">
        <f t="shared" si="34"/>
        <v>0.32061572566423013</v>
      </c>
      <c r="BA44" s="76">
        <f t="shared" si="34"/>
        <v>0.32848447351808013</v>
      </c>
      <c r="BB44" s="76">
        <f t="shared" si="34"/>
        <v>0.33638611089375015</v>
      </c>
      <c r="BC44" s="76">
        <f t="shared" si="34"/>
        <v>0.34432174284688016</v>
      </c>
      <c r="BD44" s="76">
        <f t="shared" si="34"/>
        <v>0.35229248857463019</v>
      </c>
      <c r="BE44" s="76">
        <f t="shared" si="34"/>
        <v>0.36029948141568025</v>
      </c>
      <c r="BF44" s="76">
        <f t="shared" si="34"/>
        <v>0.36834386885023018</v>
      </c>
      <c r="BG44" s="76">
        <f t="shared" si="34"/>
        <v>0.37642681250000015</v>
      </c>
      <c r="BH44" s="76">
        <f t="shared" si="34"/>
        <v>0.3845494881282302</v>
      </c>
      <c r="BI44" s="76">
        <f t="shared" si="34"/>
        <v>0.39271308563968021</v>
      </c>
      <c r="BJ44" s="76">
        <f t="shared" si="34"/>
        <v>0.40091880908063021</v>
      </c>
      <c r="BK44" s="76">
        <f t="shared" si="34"/>
        <v>0.40916787663888016</v>
      </c>
      <c r="BL44" s="76">
        <f t="shared" si="34"/>
        <v>0.41746152064375019</v>
      </c>
      <c r="BM44" s="76">
        <f t="shared" si="34"/>
        <v>0.42580098756608026</v>
      </c>
      <c r="BN44" s="76">
        <f t="shared" si="34"/>
        <v>0.43418753801823023</v>
      </c>
      <c r="BO44" s="76">
        <f t="shared" si="34"/>
        <v>0.44262244675408025</v>
      </c>
      <c r="BP44" s="76">
        <f t="shared" si="34"/>
        <v>0.45110700266903025</v>
      </c>
      <c r="BQ44" s="76">
        <f t="shared" si="34"/>
        <v>0.45964250880000024</v>
      </c>
      <c r="BR44" s="76">
        <f t="shared" si="34"/>
        <v>0.46823028232543029</v>
      </c>
      <c r="BS44" s="76">
        <f t="shared" si="34"/>
        <v>0.47687165456528025</v>
      </c>
      <c r="BT44" s="76">
        <f t="shared" si="34"/>
        <v>0.48556797098103033</v>
      </c>
      <c r="BU44" s="76">
        <f t="shared" si="34"/>
        <v>0.49432059117568028</v>
      </c>
      <c r="BV44" s="76">
        <f t="shared" ref="BV44:DD44" si="35">BV29*BV25</f>
        <v>0.50313088889375024</v>
      </c>
      <c r="BW44" s="76">
        <f t="shared" si="35"/>
        <v>0.5120002520212803</v>
      </c>
      <c r="BX44" s="76">
        <f t="shared" si="35"/>
        <v>0.52093008258583029</v>
      </c>
      <c r="BY44" s="76">
        <f t="shared" si="35"/>
        <v>0.52992179675648032</v>
      </c>
      <c r="BZ44" s="76">
        <f t="shared" si="35"/>
        <v>0.53897682484383036</v>
      </c>
      <c r="CA44" s="76">
        <f t="shared" si="35"/>
        <v>0.54809661130000031</v>
      </c>
      <c r="CB44" s="76">
        <f t="shared" si="35"/>
        <v>0.55728261471863039</v>
      </c>
      <c r="CC44" s="76">
        <f t="shared" si="35"/>
        <v>0.5665363078348804</v>
      </c>
      <c r="CD44" s="76">
        <f t="shared" si="35"/>
        <v>0.57585917752543048</v>
      </c>
      <c r="CE44" s="76">
        <f t="shared" si="35"/>
        <v>0.58525272480848034</v>
      </c>
      <c r="CF44" s="76">
        <f t="shared" si="35"/>
        <v>0.59471846484375035</v>
      </c>
      <c r="CG44" s="76">
        <f t="shared" si="35"/>
        <v>0.60425792693248048</v>
      </c>
      <c r="CH44" s="76">
        <f t="shared" si="35"/>
        <v>0.61387265451743045</v>
      </c>
      <c r="CI44" s="76">
        <f t="shared" si="35"/>
        <v>0.62356420518288047</v>
      </c>
      <c r="CJ44" s="76">
        <f t="shared" si="35"/>
        <v>0.6333341506546305</v>
      </c>
      <c r="CK44" s="76">
        <f t="shared" si="35"/>
        <v>0.64318407680000045</v>
      </c>
      <c r="CL44" s="76">
        <f t="shared" si="35"/>
        <v>0.6531155836278304</v>
      </c>
      <c r="CM44" s="76">
        <f t="shared" si="35"/>
        <v>0.6631302852884805</v>
      </c>
      <c r="CN44" s="76">
        <f t="shared" si="35"/>
        <v>0.67322981007383054</v>
      </c>
      <c r="CO44" s="76">
        <f t="shared" si="35"/>
        <v>0.68341580041728045</v>
      </c>
      <c r="CP44" s="76">
        <f t="shared" si="35"/>
        <v>0.69368991289375048</v>
      </c>
      <c r="CQ44" s="76">
        <f t="shared" si="35"/>
        <v>0.7040538182196806</v>
      </c>
      <c r="CR44" s="76">
        <f t="shared" si="35"/>
        <v>0.71450920125303052</v>
      </c>
      <c r="CS44" s="76">
        <f t="shared" si="35"/>
        <v>0.72505776099328056</v>
      </c>
      <c r="CT44" s="76">
        <f t="shared" si="35"/>
        <v>0.73570121058143056</v>
      </c>
      <c r="CU44" s="76">
        <f t="shared" si="35"/>
        <v>0.74644127730000065</v>
      </c>
      <c r="CV44" s="76">
        <f t="shared" si="35"/>
        <v>0.75727970257303068</v>
      </c>
      <c r="CW44" s="76">
        <f t="shared" si="35"/>
        <v>0.76821824196608057</v>
      </c>
      <c r="CX44" s="76">
        <f t="shared" si="35"/>
        <v>0.77925866518623066</v>
      </c>
      <c r="CY44" s="76">
        <f t="shared" si="35"/>
        <v>0.79040275608208066</v>
      </c>
      <c r="CZ44" s="76">
        <f t="shared" si="35"/>
        <v>0.8016523126437507</v>
      </c>
      <c r="DA44" s="76">
        <f t="shared" si="35"/>
        <v>0.81300914700288074</v>
      </c>
      <c r="DB44" s="76">
        <f t="shared" si="35"/>
        <v>0.82447508543263071</v>
      </c>
      <c r="DC44" s="76">
        <f t="shared" si="35"/>
        <v>0.83605196834768081</v>
      </c>
      <c r="DD44" s="76">
        <f t="shared" si="35"/>
        <v>0.84774165030423076</v>
      </c>
    </row>
    <row r="45" spans="1:108" x14ac:dyDescent="0.2">
      <c r="A45" s="9" t="s">
        <v>574</v>
      </c>
      <c r="B45" s="3" t="s">
        <v>575</v>
      </c>
      <c r="C45" s="76">
        <f>104.16659*C44^6-287.91644*C44^5+323.5414*C44^4-187.02067*C44^3+58.50411*C44^2-9.36599*C44+1.13</f>
        <v>1.0646808386370108</v>
      </c>
      <c r="D45" s="76">
        <f ca="1">104.16659*D44^6-287.91644*D44^5+323.5414*D44^4-187.02067*D44^3+58.50411*D44^2-9.36599*D44+1.13</f>
        <v>1.0646808386370108</v>
      </c>
      <c r="E45" s="76">
        <f ca="1">104.16659*E44^6-287.91644*E44^5+323.5414*E44^4-187.02067*E44^3+58.50411*E44^2-9.36599*E44+1.13</f>
        <v>0.59018019587741366</v>
      </c>
      <c r="F45" s="10"/>
      <c r="I45" s="3" t="s">
        <v>575</v>
      </c>
      <c r="J45" s="76">
        <f t="shared" ref="J45:BU45" si="36">104.16659*J44^6-287.91644*J44^5+323.5414*J44^4-187.02067*J44^3+58.50411*J44^2-9.36599*J44+1.13</f>
        <v>1.0646808386370108</v>
      </c>
      <c r="K45" s="76">
        <f t="shared" si="36"/>
        <v>1.0051817131364187</v>
      </c>
      <c r="L45" s="76">
        <f t="shared" si="36"/>
        <v>0.95109223035286705</v>
      </c>
      <c r="M45" s="76">
        <f t="shared" si="36"/>
        <v>0.90202424224567457</v>
      </c>
      <c r="N45" s="76">
        <f t="shared" si="36"/>
        <v>0.85761092713132436</v>
      </c>
      <c r="O45" s="76">
        <f t="shared" si="36"/>
        <v>0.81750590033983883</v>
      </c>
      <c r="P45" s="76">
        <f t="shared" si="36"/>
        <v>0.78138235379618626</v>
      </c>
      <c r="Q45" s="76">
        <f t="shared" si="36"/>
        <v>0.7489322240180748</v>
      </c>
      <c r="R45" s="76">
        <f t="shared" si="36"/>
        <v>0.71986538799437083</v>
      </c>
      <c r="S45" s="76">
        <f t="shared" si="36"/>
        <v>0.69390888638376769</v>
      </c>
      <c r="T45" s="76">
        <f t="shared" si="36"/>
        <v>0.67080617345111904</v>
      </c>
      <c r="U45" s="76">
        <f t="shared" si="36"/>
        <v>0.65031639313889433</v>
      </c>
      <c r="V45" s="76">
        <f t="shared" si="36"/>
        <v>0.63221368065340089</v>
      </c>
      <c r="W45" s="76">
        <f t="shared" si="36"/>
        <v>0.61628648892961824</v>
      </c>
      <c r="X45" s="76">
        <f t="shared" si="36"/>
        <v>0.60233693932461208</v>
      </c>
      <c r="Y45" s="76">
        <f t="shared" si="36"/>
        <v>0.59018019587741366</v>
      </c>
      <c r="Z45" s="76">
        <f t="shared" si="36"/>
        <v>0.57964386246289235</v>
      </c>
      <c r="AA45" s="76">
        <f t="shared" si="36"/>
        <v>0.57056740215839696</v>
      </c>
      <c r="AB45" s="76">
        <f t="shared" si="36"/>
        <v>0.5628015781347484</v>
      </c>
      <c r="AC45" s="76">
        <f t="shared" si="36"/>
        <v>0.55620791537742964</v>
      </c>
      <c r="AD45" s="76">
        <f t="shared" si="36"/>
        <v>0.55065818253949672</v>
      </c>
      <c r="AE45" s="76">
        <f t="shared" si="36"/>
        <v>0.54603389322476636</v>
      </c>
      <c r="AF45" s="76">
        <f t="shared" si="36"/>
        <v>0.54222582599819025</v>
      </c>
      <c r="AG45" s="76">
        <f t="shared" si="36"/>
        <v>0.5391335624199538</v>
      </c>
      <c r="AH45" s="76">
        <f t="shared" si="36"/>
        <v>0.53666504240075863</v>
      </c>
      <c r="AI45" s="76">
        <f t="shared" si="36"/>
        <v>0.53473613617791149</v>
      </c>
      <c r="AJ45" s="76">
        <f t="shared" si="36"/>
        <v>0.53327023221531777</v>
      </c>
      <c r="AK45" s="76">
        <f t="shared" si="36"/>
        <v>0.53219784033525386</v>
      </c>
      <c r="AL45" s="76">
        <f t="shared" si="36"/>
        <v>0.53145620939590765</v>
      </c>
      <c r="AM45" s="76">
        <f t="shared" si="36"/>
        <v>0.5309889588362755</v>
      </c>
      <c r="AN45" s="76">
        <f t="shared" si="36"/>
        <v>0.5307457234190438</v>
      </c>
      <c r="AO45" s="76">
        <f t="shared" si="36"/>
        <v>0.53068181051280372</v>
      </c>
      <c r="AP45" s="76">
        <f t="shared" si="36"/>
        <v>0.53075786926740109</v>
      </c>
      <c r="AQ45" s="76">
        <f t="shared" si="36"/>
        <v>0.53093957105059841</v>
      </c>
      <c r="AR45" s="76">
        <f t="shared" si="36"/>
        <v>0.53119730053071335</v>
      </c>
      <c r="AS45" s="76">
        <f t="shared" si="36"/>
        <v>0.53150585680870188</v>
      </c>
      <c r="AT45" s="76">
        <f t="shared" si="36"/>
        <v>0.53184416402458989</v>
      </c>
      <c r="AU45" s="76">
        <f t="shared" si="36"/>
        <v>0.53219499088740196</v>
      </c>
      <c r="AV45" s="76">
        <f t="shared" si="36"/>
        <v>0.53254467860529031</v>
      </c>
      <c r="AW45" s="76">
        <f t="shared" si="36"/>
        <v>0.5328828767236331</v>
      </c>
      <c r="AX45" s="76">
        <f t="shared" si="36"/>
        <v>0.53320228641404022</v>
      </c>
      <c r="AY45" s="76">
        <f t="shared" si="36"/>
        <v>0.53349841079685767</v>
      </c>
      <c r="AZ45" s="76">
        <f t="shared" si="36"/>
        <v>0.53376931192448529</v>
      </c>
      <c r="BA45" s="76">
        <f t="shared" si="36"/>
        <v>0.53401537410320143</v>
      </c>
      <c r="BB45" s="76">
        <f t="shared" si="36"/>
        <v>0.53423907328797648</v>
      </c>
      <c r="BC45" s="76">
        <f t="shared" si="36"/>
        <v>0.53444475234856759</v>
      </c>
      <c r="BD45" s="76">
        <f t="shared" si="36"/>
        <v>0.53463840207705005</v>
      </c>
      <c r="BE45" s="76">
        <f t="shared" si="36"/>
        <v>0.53482744788759584</v>
      </c>
      <c r="BF45" s="76">
        <f t="shared" si="36"/>
        <v>0.53502054225000339</v>
      </c>
      <c r="BG45" s="76">
        <f t="shared" si="36"/>
        <v>0.53522736300008678</v>
      </c>
      <c r="BH45" s="76">
        <f t="shared" si="36"/>
        <v>0.53545841778421854</v>
      </c>
      <c r="BI45" s="76">
        <f t="shared" si="36"/>
        <v>0.53572485502296452</v>
      </c>
      <c r="BJ45" s="76">
        <f t="shared" si="36"/>
        <v>0.53603828192192138</v>
      </c>
      <c r="BK45" s="76">
        <f t="shared" si="36"/>
        <v>0.5364105902178733</v>
      </c>
      <c r="BL45" s="76">
        <f t="shared" si="36"/>
        <v>0.53685379052737847</v>
      </c>
      <c r="BM45" s="76">
        <f t="shared" si="36"/>
        <v>0.53737985636465346</v>
      </c>
      <c r="BN45" s="76">
        <f t="shared" si="36"/>
        <v>0.53800057911873989</v>
      </c>
      <c r="BO45" s="76">
        <f t="shared" si="36"/>
        <v>0.53872743552864399</v>
      </c>
      <c r="BP45" s="76">
        <f t="shared" si="36"/>
        <v>0.53957146947220291</v>
      </c>
      <c r="BQ45" s="76">
        <f t="shared" si="36"/>
        <v>0.54054319019315411</v>
      </c>
      <c r="BR45" s="76">
        <f t="shared" si="36"/>
        <v>0.54165248943378685</v>
      </c>
      <c r="BS45" s="76">
        <f t="shared" si="36"/>
        <v>0.54290858032257283</v>
      </c>
      <c r="BT45" s="76">
        <f t="shared" si="36"/>
        <v>0.54431996128936344</v>
      </c>
      <c r="BU45" s="76">
        <f t="shared" si="36"/>
        <v>0.54589440875163131</v>
      </c>
      <c r="BV45" s="76">
        <f t="shared" ref="BV45:DD45" si="37">104.16659*BV44^6-287.91644*BV44^5+323.5414*BV44^4-187.02067*BV44^3+58.50411*BV44^2-9.36599*BV44+1.13</f>
        <v>0.54763900283637135</v>
      </c>
      <c r="BW45" s="76">
        <f t="shared" si="37"/>
        <v>0.5495601909805945</v>
      </c>
      <c r="BX45" s="76">
        <f t="shared" si="37"/>
        <v>0.55166389489332612</v>
      </c>
      <c r="BY45" s="76">
        <f t="shared" si="37"/>
        <v>0.55395566707030852</v>
      </c>
      <c r="BZ45" s="76">
        <f t="shared" si="37"/>
        <v>0.55644090383613332</v>
      </c>
      <c r="CA45" s="76">
        <f t="shared" si="37"/>
        <v>0.55912512275375548</v>
      </c>
      <c r="CB45" s="76">
        <f t="shared" si="37"/>
        <v>0.56201431319762118</v>
      </c>
      <c r="CC45" s="76">
        <f t="shared" si="37"/>
        <v>0.56511536994127187</v>
      </c>
      <c r="CD45" s="76">
        <f t="shared" si="37"/>
        <v>0.56843662077402701</v>
      </c>
      <c r="CE45" s="76">
        <f t="shared" si="37"/>
        <v>0.57198846044352436</v>
      </c>
      <c r="CF45" s="76">
        <f t="shared" si="37"/>
        <v>0.57578410463373153</v>
      </c>
      <c r="CG45" s="76">
        <f t="shared" si="37"/>
        <v>0.57984047924310378</v>
      </c>
      <c r="CH45" s="76">
        <f t="shared" si="37"/>
        <v>0.58417926193835701</v>
      </c>
      <c r="CI45" s="76">
        <f t="shared" si="37"/>
        <v>0.58882809484134935</v>
      </c>
      <c r="CJ45" s="76">
        <f t="shared" si="37"/>
        <v>0.59382198927343222</v>
      </c>
      <c r="CK45" s="76">
        <f t="shared" si="37"/>
        <v>0.59920494575365435</v>
      </c>
      <c r="CL45" s="76">
        <f t="shared" si="37"/>
        <v>0.6050318149398386</v>
      </c>
      <c r="CM45" s="76">
        <f t="shared" si="37"/>
        <v>0.61137042793783358</v>
      </c>
      <c r="CN45" s="76">
        <f t="shared" si="37"/>
        <v>0.61830402740406143</v>
      </c>
      <c r="CO45" s="76">
        <f t="shared" si="37"/>
        <v>0.62593403415561255</v>
      </c>
      <c r="CP45" s="76">
        <f t="shared" si="37"/>
        <v>0.63438318760488066</v>
      </c>
      <c r="CQ45" s="76">
        <f t="shared" si="37"/>
        <v>0.64379910228180481</v>
      </c>
      <c r="CR45" s="76">
        <f t="shared" si="37"/>
        <v>0.65435828702536458</v>
      </c>
      <c r="CS45" s="76">
        <f t="shared" si="37"/>
        <v>0.66627067815078433</v>
      </c>
      <c r="CT45" s="76">
        <f t="shared" si="37"/>
        <v>0.67978474306715331</v>
      </c>
      <c r="CU45" s="76">
        <f t="shared" si="37"/>
        <v>0.69519321646707866</v>
      </c>
      <c r="CV45" s="76">
        <f t="shared" si="37"/>
        <v>0.71283953738224781</v>
      </c>
      <c r="CW45" s="76">
        <f t="shared" si="37"/>
        <v>0.73312506213889694</v>
      </c>
      <c r="CX45" s="76">
        <f t="shared" si="37"/>
        <v>0.75651713560517297</v>
      </c>
      <c r="CY45" s="76">
        <f t="shared" si="37"/>
        <v>0.78355811115167207</v>
      </c>
      <c r="CZ45" s="76">
        <f t="shared" si="37"/>
        <v>0.81487541850692935</v>
      </c>
      <c r="DA45" s="76">
        <f t="shared" si="37"/>
        <v>0.85119278823822597</v>
      </c>
      <c r="DB45" s="76">
        <f t="shared" si="37"/>
        <v>0.89334275199995883</v>
      </c>
      <c r="DC45" s="76">
        <f t="shared" si="37"/>
        <v>0.94228054903276881</v>
      </c>
      <c r="DD45" s="76">
        <f t="shared" si="37"/>
        <v>0.99909958175050928</v>
      </c>
    </row>
    <row r="46" spans="1:108" x14ac:dyDescent="0.2">
      <c r="A46" s="9" t="s">
        <v>576</v>
      </c>
      <c r="B46" s="3" t="s">
        <v>577</v>
      </c>
      <c r="C46" s="76">
        <f>IF($C$6="Face",1,1/(1+($C$20*$C$9/C43/$C$10)^2))</f>
        <v>0.88386573429544113</v>
      </c>
      <c r="D46" s="76">
        <f ca="1">IF($C$6="Face",1,1/(1+($C$20*$C$9/D43/$C$10)^2))</f>
        <v>0.88386573429544113</v>
      </c>
      <c r="E46" s="76">
        <f ca="1">IF($C$6="Face",1,1/(1+($C$20*$C$9/E43/$C$10)^2))</f>
        <v>0.87015509784856493</v>
      </c>
      <c r="F46" s="10"/>
      <c r="I46" s="3" t="s">
        <v>577</v>
      </c>
      <c r="J46" s="76">
        <f>IF($C$6="Face",1,1/(1+($C$20*$C$9*1/J43/$C$10*1)^2))</f>
        <v>0.88386573429544113</v>
      </c>
      <c r="K46" s="76">
        <f t="shared" ref="K46:BV46" si="38">IF($C$6="Face",1,1/(1+($C$20*$C$9*1/K43/$C$10*1)^2))</f>
        <v>0.88293826396498376</v>
      </c>
      <c r="L46" s="76">
        <f t="shared" si="38"/>
        <v>0.88201273804641722</v>
      </c>
      <c r="M46" s="76">
        <f t="shared" si="38"/>
        <v>0.88108915043154779</v>
      </c>
      <c r="N46" s="76">
        <f t="shared" si="38"/>
        <v>0.88016749503774017</v>
      </c>
      <c r="O46" s="76">
        <f t="shared" si="38"/>
        <v>0.87924776580778319</v>
      </c>
      <c r="P46" s="76">
        <f t="shared" si="38"/>
        <v>0.87832995670975655</v>
      </c>
      <c r="Q46" s="76">
        <f t="shared" si="38"/>
        <v>0.87741406173690017</v>
      </c>
      <c r="R46" s="76">
        <f t="shared" si="38"/>
        <v>0.87650007490748205</v>
      </c>
      <c r="S46" s="76">
        <f t="shared" si="38"/>
        <v>0.87558799026466905</v>
      </c>
      <c r="T46" s="76">
        <f t="shared" si="38"/>
        <v>0.87467780187639621</v>
      </c>
      <c r="U46" s="76">
        <f t="shared" si="38"/>
        <v>0.87376950383523955</v>
      </c>
      <c r="V46" s="76">
        <f t="shared" si="38"/>
        <v>0.87286309025828723</v>
      </c>
      <c r="W46" s="76">
        <f t="shared" si="38"/>
        <v>0.87195855528701294</v>
      </c>
      <c r="X46" s="76">
        <f t="shared" si="38"/>
        <v>0.87105589308715003</v>
      </c>
      <c r="Y46" s="76">
        <f t="shared" si="38"/>
        <v>0.87015509784856493</v>
      </c>
      <c r="Z46" s="76">
        <f t="shared" si="38"/>
        <v>0.86925616378513382</v>
      </c>
      <c r="AA46" s="76">
        <f t="shared" si="38"/>
        <v>0.86835908513461835</v>
      </c>
      <c r="AB46" s="76">
        <f t="shared" si="38"/>
        <v>0.86746385615854149</v>
      </c>
      <c r="AC46" s="76">
        <f t="shared" si="38"/>
        <v>0.86657047114206698</v>
      </c>
      <c r="AD46" s="76">
        <f t="shared" si="38"/>
        <v>0.86567892439387595</v>
      </c>
      <c r="AE46" s="76">
        <f t="shared" si="38"/>
        <v>0.86478921024604738</v>
      </c>
      <c r="AF46" s="76">
        <f t="shared" si="38"/>
        <v>0.86390132305393752</v>
      </c>
      <c r="AG46" s="76">
        <f t="shared" si="38"/>
        <v>0.86301525719605998</v>
      </c>
      <c r="AH46" s="76">
        <f t="shared" si="38"/>
        <v>0.86213100707396817</v>
      </c>
      <c r="AI46" s="76">
        <f t="shared" si="38"/>
        <v>0.86124856711213638</v>
      </c>
      <c r="AJ46" s="76">
        <f t="shared" si="38"/>
        <v>0.8603679317578431</v>
      </c>
      <c r="AK46" s="76">
        <f t="shared" si="38"/>
        <v>0.8594890954810549</v>
      </c>
      <c r="AL46" s="76">
        <f t="shared" si="38"/>
        <v>0.85861205277430963</v>
      </c>
      <c r="AM46" s="76">
        <f t="shared" si="38"/>
        <v>0.85773679815260251</v>
      </c>
      <c r="AN46" s="76">
        <f t="shared" si="38"/>
        <v>0.85686332615327065</v>
      </c>
      <c r="AO46" s="76">
        <f t="shared" si="38"/>
        <v>0.85599163133588074</v>
      </c>
      <c r="AP46" s="76">
        <f t="shared" si="38"/>
        <v>0.8551217082821152</v>
      </c>
      <c r="AQ46" s="76">
        <f t="shared" si="38"/>
        <v>0.85425355159565963</v>
      </c>
      <c r="AR46" s="76">
        <f t="shared" si="38"/>
        <v>0.85338715590209213</v>
      </c>
      <c r="AS46" s="76">
        <f t="shared" si="38"/>
        <v>0.85252251584877181</v>
      </c>
      <c r="AT46" s="76">
        <f t="shared" si="38"/>
        <v>0.85165962610472878</v>
      </c>
      <c r="AU46" s="76">
        <f t="shared" si="38"/>
        <v>0.85079848136055469</v>
      </c>
      <c r="AV46" s="76">
        <f t="shared" si="38"/>
        <v>0.84993907632829302</v>
      </c>
      <c r="AW46" s="76">
        <f t="shared" si="38"/>
        <v>0.8490814057413324</v>
      </c>
      <c r="AX46" s="76">
        <f t="shared" si="38"/>
        <v>0.84822546435429713</v>
      </c>
      <c r="AY46" s="76">
        <f t="shared" si="38"/>
        <v>0.84737124694294208</v>
      </c>
      <c r="AZ46" s="76">
        <f t="shared" si="38"/>
        <v>0.84651874830404505</v>
      </c>
      <c r="BA46" s="76">
        <f t="shared" si="38"/>
        <v>0.84566796325530202</v>
      </c>
      <c r="BB46" s="76">
        <f t="shared" si="38"/>
        <v>0.8448188866352212</v>
      </c>
      <c r="BC46" s="76">
        <f t="shared" si="38"/>
        <v>0.84397151330301945</v>
      </c>
      <c r="BD46" s="76">
        <f t="shared" si="38"/>
        <v>0.84312583813851849</v>
      </c>
      <c r="BE46" s="76">
        <f t="shared" si="38"/>
        <v>0.84228185604204131</v>
      </c>
      <c r="BF46" s="76">
        <f t="shared" si="38"/>
        <v>0.8414395619343098</v>
      </c>
      <c r="BG46" s="76">
        <f t="shared" si="38"/>
        <v>0.84059895075634339</v>
      </c>
      <c r="BH46" s="76">
        <f t="shared" si="38"/>
        <v>0.8397600174693568</v>
      </c>
      <c r="BI46" s="76">
        <f t="shared" si="38"/>
        <v>0.83892275705466035</v>
      </c>
      <c r="BJ46" s="76">
        <f t="shared" si="38"/>
        <v>0.83808716451355914</v>
      </c>
      <c r="BK46" s="76">
        <f t="shared" si="38"/>
        <v>0.83725323486725389</v>
      </c>
      <c r="BL46" s="76">
        <f t="shared" si="38"/>
        <v>0.83642096315674241</v>
      </c>
      <c r="BM46" s="76">
        <f t="shared" si="38"/>
        <v>0.83559034444272018</v>
      </c>
      <c r="BN46" s="76">
        <f t="shared" si="38"/>
        <v>0.8347613738054841</v>
      </c>
      <c r="BO46" s="76">
        <f t="shared" si="38"/>
        <v>0.83393404634483415</v>
      </c>
      <c r="BP46" s="76">
        <f t="shared" si="38"/>
        <v>0.83310835717997767</v>
      </c>
      <c r="BQ46" s="76">
        <f t="shared" si="38"/>
        <v>0.83228430144943288</v>
      </c>
      <c r="BR46" s="76">
        <f t="shared" si="38"/>
        <v>0.83146187431093332</v>
      </c>
      <c r="BS46" s="76">
        <f t="shared" si="38"/>
        <v>0.83064107094133399</v>
      </c>
      <c r="BT46" s="76">
        <f t="shared" si="38"/>
        <v>0.82982188653651556</v>
      </c>
      <c r="BU46" s="76">
        <f t="shared" si="38"/>
        <v>0.82900431631129212</v>
      </c>
      <c r="BV46" s="76">
        <f t="shared" si="38"/>
        <v>0.82818835549931702</v>
      </c>
      <c r="BW46" s="76">
        <f t="shared" ref="BW46:DD46" si="39">IF($C$6="Face",1,1/(1+($C$20*$C$9*1/BW43/$C$10*1)^2))</f>
        <v>0.82737399935299094</v>
      </c>
      <c r="BX46" s="76">
        <f t="shared" si="39"/>
        <v>0.82656124314336865</v>
      </c>
      <c r="BY46" s="76">
        <f t="shared" si="39"/>
        <v>0.82575008216006929</v>
      </c>
      <c r="BZ46" s="76">
        <f t="shared" si="39"/>
        <v>0.82494051171118332</v>
      </c>
      <c r="CA46" s="76">
        <f t="shared" si="39"/>
        <v>0.82413252712318408</v>
      </c>
      <c r="CB46" s="76">
        <f t="shared" si="39"/>
        <v>0.82332612374083591</v>
      </c>
      <c r="CC46" s="76">
        <f t="shared" si="39"/>
        <v>0.82252129692710652</v>
      </c>
      <c r="CD46" s="76">
        <f t="shared" si="39"/>
        <v>0.82171804206307664</v>
      </c>
      <c r="CE46" s="76">
        <f t="shared" si="39"/>
        <v>0.82091635454785272</v>
      </c>
      <c r="CF46" s="76">
        <f t="shared" si="39"/>
        <v>0.82011622979847876</v>
      </c>
      <c r="CG46" s="76">
        <f t="shared" si="39"/>
        <v>0.81931766324984823</v>
      </c>
      <c r="CH46" s="76">
        <f t="shared" si="39"/>
        <v>0.81852065035461863</v>
      </c>
      <c r="CI46" s="76">
        <f t="shared" si="39"/>
        <v>0.81772518658312421</v>
      </c>
      <c r="CJ46" s="76">
        <f t="shared" si="39"/>
        <v>0.81693126742329036</v>
      </c>
      <c r="CK46" s="76">
        <f t="shared" si="39"/>
        <v>0.81613888838054816</v>
      </c>
      <c r="CL46" s="76">
        <f t="shared" si="39"/>
        <v>0.81534804497775004</v>
      </c>
      <c r="CM46" s="76">
        <f t="shared" si="39"/>
        <v>0.81455873275508528</v>
      </c>
      <c r="CN46" s="76">
        <f t="shared" si="39"/>
        <v>0.81377094726999544</v>
      </c>
      <c r="CO46" s="76">
        <f t="shared" si="39"/>
        <v>0.81298468409709224</v>
      </c>
      <c r="CP46" s="76">
        <f t="shared" si="39"/>
        <v>0.81219993882807406</v>
      </c>
      <c r="CQ46" s="76">
        <f t="shared" si="39"/>
        <v>0.81141670707164293</v>
      </c>
      <c r="CR46" s="76">
        <f t="shared" si="39"/>
        <v>0.81063498445342408</v>
      </c>
      <c r="CS46" s="76">
        <f t="shared" si="39"/>
        <v>0.80985476661588307</v>
      </c>
      <c r="CT46" s="76">
        <f t="shared" si="39"/>
        <v>0.80907604921824583</v>
      </c>
      <c r="CU46" s="76">
        <f t="shared" si="39"/>
        <v>0.80829882793641783</v>
      </c>
      <c r="CV46" s="76">
        <f t="shared" si="39"/>
        <v>0.80752309846290338</v>
      </c>
      <c r="CW46" s="76">
        <f t="shared" si="39"/>
        <v>0.80674885650672745</v>
      </c>
      <c r="CX46" s="76">
        <f t="shared" si="39"/>
        <v>0.805976097793355</v>
      </c>
      <c r="CY46" s="76">
        <f t="shared" si="39"/>
        <v>0.80520481806461375</v>
      </c>
      <c r="CZ46" s="76">
        <f t="shared" si="39"/>
        <v>0.80443501307861487</v>
      </c>
      <c r="DA46" s="76">
        <f t="shared" si="39"/>
        <v>0.80366667860967567</v>
      </c>
      <c r="DB46" s="76">
        <f t="shared" si="39"/>
        <v>0.80289981044824255</v>
      </c>
      <c r="DC46" s="76">
        <f t="shared" si="39"/>
        <v>0.80213440440081329</v>
      </c>
      <c r="DD46" s="76">
        <f t="shared" si="39"/>
        <v>0.80137045628986181</v>
      </c>
    </row>
    <row r="47" spans="1:108" x14ac:dyDescent="0.2">
      <c r="A47" s="9"/>
      <c r="B47" s="3" t="s">
        <v>578</v>
      </c>
      <c r="C47" s="78">
        <f>$C$20*$C$9*Lse*SQRT(2*9.81*C50)</f>
        <v>2.0051417025577956</v>
      </c>
      <c r="D47" s="78">
        <f ca="1">$C$20*$C$9*Lse*SQRT(2*9.81*D50)</f>
        <v>2.0051417025577956</v>
      </c>
      <c r="E47" s="78">
        <f ca="1">$C$20*$C$9*Lse*SQRT(2*9.81*E50)</f>
        <v>1.9411217974991839</v>
      </c>
      <c r="F47" s="54" t="s">
        <v>655</v>
      </c>
      <c r="I47" s="3" t="s">
        <v>578</v>
      </c>
      <c r="J47" s="78">
        <f t="shared" ref="J47" si="40">$C$20*$C$9/1*Lse*SQRT(2*9.81*J50)</f>
        <v>2.0051417025577956</v>
      </c>
      <c r="K47" s="78">
        <f t="shared" ref="K47:BV47" si="41">$C$20*$C$9/1*Lse*SQRT(2*9.81*K50)</f>
        <v>2.0013390056456823</v>
      </c>
      <c r="L47" s="78">
        <f t="shared" si="41"/>
        <v>1.9974274477361624</v>
      </c>
      <c r="M47" s="78">
        <f t="shared" si="41"/>
        <v>1.9934241897343974</v>
      </c>
      <c r="N47" s="78">
        <f t="shared" si="41"/>
        <v>1.9893431560191621</v>
      </c>
      <c r="O47" s="78">
        <f t="shared" si="41"/>
        <v>1.985195446169961</v>
      </c>
      <c r="P47" s="78">
        <f t="shared" si="41"/>
        <v>1.9809897079913403</v>
      </c>
      <c r="Q47" s="78">
        <f t="shared" si="41"/>
        <v>1.9767324748780211</v>
      </c>
      <c r="R47" s="78">
        <f t="shared" si="41"/>
        <v>1.9724284702656674</v>
      </c>
      <c r="S47" s="78">
        <f t="shared" si="41"/>
        <v>1.9680808816653157</v>
      </c>
      <c r="T47" s="78">
        <f t="shared" si="41"/>
        <v>1.9636916065728938</v>
      </c>
      <c r="U47" s="78">
        <f t="shared" si="41"/>
        <v>1.9592614723696127</v>
      </c>
      <c r="V47" s="78">
        <f t="shared" si="41"/>
        <v>1.954790432177149</v>
      </c>
      <c r="W47" s="78">
        <f t="shared" si="41"/>
        <v>1.950277738497755</v>
      </c>
      <c r="X47" s="78">
        <f t="shared" si="41"/>
        <v>1.9457220963496873</v>
      </c>
      <c r="Y47" s="78">
        <f t="shared" si="41"/>
        <v>1.9411217974991839</v>
      </c>
      <c r="Z47" s="78">
        <f t="shared" si="41"/>
        <v>1.9364748372895251</v>
      </c>
      <c r="AA47" s="78">
        <f t="shared" si="41"/>
        <v>1.9317790154735759</v>
      </c>
      <c r="AB47" s="78">
        <f t="shared" si="41"/>
        <v>1.927032022367583</v>
      </c>
      <c r="AC47" s="78">
        <f t="shared" si="41"/>
        <v>1.9222315115600157</v>
      </c>
      <c r="AD47" s="78">
        <f t="shared" si="41"/>
        <v>1.9173751603293652</v>
      </c>
      <c r="AE47" s="78">
        <f t="shared" si="41"/>
        <v>1.9124607188488727</v>
      </c>
      <c r="AF47" s="78">
        <f t="shared" si="41"/>
        <v>1.9074860491838574</v>
      </c>
      <c r="AG47" s="78">
        <f t="shared" si="41"/>
        <v>1.9024491550187301</v>
      </c>
      <c r="AH47" s="78">
        <f t="shared" si="41"/>
        <v>1.8973482029859181</v>
      </c>
      <c r="AI47" s="78">
        <f t="shared" si="41"/>
        <v>1.8921815364077681</v>
      </c>
      <c r="AJ47" s="78">
        <f t="shared" si="41"/>
        <v>1.8869476822052538</v>
      </c>
      <c r="AK47" s="78">
        <f t="shared" si="41"/>
        <v>1.8816453516738849</v>
      </c>
      <c r="AL47" s="78">
        <f t="shared" si="41"/>
        <v>1.8762734357778046</v>
      </c>
      <c r="AM47" s="78">
        <f t="shared" si="41"/>
        <v>1.8708309955675713</v>
      </c>
      <c r="AN47" s="78">
        <f t="shared" si="41"/>
        <v>1.8653172482855878</v>
      </c>
      <c r="AO47" s="78">
        <f t="shared" si="41"/>
        <v>1.8597315496855582</v>
      </c>
      <c r="AP47" s="78">
        <f t="shared" si="41"/>
        <v>1.8540733730585364</v>
      </c>
      <c r="AQ47" s="78">
        <f t="shared" si="41"/>
        <v>1.8483422854281002</v>
      </c>
      <c r="AR47" s="78">
        <f t="shared" si="41"/>
        <v>1.8425379213506441</v>
      </c>
      <c r="AS47" s="78">
        <f t="shared" si="41"/>
        <v>1.8366599547336784</v>
      </c>
      <c r="AT47" s="78">
        <f t="shared" si="41"/>
        <v>1.8307080690649811</v>
      </c>
      <c r="AU47" s="78">
        <f t="shared" si="41"/>
        <v>1.8246819264283527</v>
      </c>
      <c r="AV47" s="78">
        <f t="shared" si="41"/>
        <v>1.818581135667114</v>
      </c>
      <c r="AW47" s="78">
        <f t="shared" si="41"/>
        <v>1.8124052200441358</v>
      </c>
      <c r="AX47" s="78">
        <f t="shared" si="41"/>
        <v>1.8061535847366212</v>
      </c>
      <c r="AY47" s="78">
        <f t="shared" si="41"/>
        <v>1.7998254844946733</v>
      </c>
      <c r="AZ47" s="78">
        <f t="shared" si="41"/>
        <v>1.7934199917843467</v>
      </c>
      <c r="BA47" s="78">
        <f t="shared" si="41"/>
        <v>1.7869359657278823</v>
      </c>
      <c r="BB47" s="78">
        <f t="shared" si="41"/>
        <v>1.7803720221454957</v>
      </c>
      <c r="BC47" s="78">
        <f t="shared" si="41"/>
        <v>1.7737265049937512</v>
      </c>
      <c r="BD47" s="78">
        <f t="shared" si="41"/>
        <v>1.7669974594844122</v>
      </c>
      <c r="BE47" s="78">
        <f t="shared" si="41"/>
        <v>1.76018260715382</v>
      </c>
      <c r="BF47" s="78">
        <f t="shared" si="41"/>
        <v>1.7532793231352763</v>
      </c>
      <c r="BG47" s="78">
        <f t="shared" si="41"/>
        <v>1.7462846158644527</v>
      </c>
      <c r="BH47" s="78">
        <f t="shared" si="41"/>
        <v>1.7391951094191522</v>
      </c>
      <c r="BI47" s="78">
        <f t="shared" si="41"/>
        <v>1.7320070286582714</v>
      </c>
      <c r="BJ47" s="78">
        <f t="shared" si="41"/>
        <v>1.7247161872787218</v>
      </c>
      <c r="BK47" s="78">
        <f t="shared" si="41"/>
        <v>1.7173179788513255</v>
      </c>
      <c r="BL47" s="78">
        <f t="shared" si="41"/>
        <v>1.7098073708247401</v>
      </c>
      <c r="BM47" s="78">
        <f t="shared" si="41"/>
        <v>1.7021789013975057</v>
      </c>
      <c r="BN47" s="78">
        <f t="shared" si="41"/>
        <v>1.6944266790488489</v>
      </c>
      <c r="BO47" s="78">
        <f t="shared" si="41"/>
        <v>1.6865443843849184</v>
      </c>
      <c r="BP47" s="78">
        <f t="shared" si="41"/>
        <v>1.6785252737939356</v>
      </c>
      <c r="BQ47" s="78">
        <f t="shared" si="41"/>
        <v>1.6703621842055558</v>
      </c>
      <c r="BR47" s="78">
        <f t="shared" si="41"/>
        <v>1.6620475380100261</v>
      </c>
      <c r="BS47" s="78">
        <f t="shared" si="41"/>
        <v>1.6535733469032514</v>
      </c>
      <c r="BT47" s="78">
        <f t="shared" si="41"/>
        <v>1.6449312130755174</v>
      </c>
      <c r="BU47" s="78">
        <f t="shared" si="41"/>
        <v>1.6361123257426824</v>
      </c>
      <c r="BV47" s="78">
        <f t="shared" si="41"/>
        <v>1.6271074505161178</v>
      </c>
      <c r="BW47" s="78">
        <f t="shared" ref="BW47:DD47" si="42">$C$20*$C$9/1*Lse*SQRT(2*9.81*BW50)</f>
        <v>1.6179069085051712</v>
      </c>
      <c r="BX47" s="78">
        <f t="shared" si="42"/>
        <v>1.6085005413245463</v>
      </c>
      <c r="BY47" s="78">
        <f t="shared" si="42"/>
        <v>1.5988776573156518</v>
      </c>
      <c r="BZ47" s="78">
        <f t="shared" si="42"/>
        <v>1.5890269532579715</v>
      </c>
      <c r="CA47" s="78">
        <f t="shared" si="42"/>
        <v>1.578936404610658</v>
      </c>
      <c r="CB47" s="78">
        <f t="shared" si="42"/>
        <v>1.5685931158446627</v>
      </c>
      <c r="CC47" s="78">
        <f t="shared" si="42"/>
        <v>1.5579831206520831</v>
      </c>
      <c r="CD47" s="78">
        <f t="shared" si="42"/>
        <v>1.5470911196893098</v>
      </c>
      <c r="CE47" s="78">
        <f t="shared" si="42"/>
        <v>1.5359001409456978</v>
      </c>
      <c r="CF47" s="78">
        <f t="shared" si="42"/>
        <v>1.524391104729087</v>
      </c>
      <c r="CG47" s="78">
        <f t="shared" si="42"/>
        <v>1.5125422714929044</v>
      </c>
      <c r="CH47" s="78">
        <f t="shared" si="42"/>
        <v>1.5003285461233624</v>
      </c>
      <c r="CI47" s="78">
        <f t="shared" si="42"/>
        <v>1.4877206066248918</v>
      </c>
      <c r="CJ47" s="78">
        <f t="shared" si="42"/>
        <v>1.474683818065742</v>
      </c>
      <c r="CK47" s="78">
        <f t="shared" si="42"/>
        <v>1.4611768837204124</v>
      </c>
      <c r="CL47" s="78">
        <f t="shared" si="42"/>
        <v>1.4471501739266666</v>
      </c>
      <c r="CM47" s="78">
        <f t="shared" si="42"/>
        <v>1.4325436583231566</v>
      </c>
      <c r="CN47" s="78">
        <f t="shared" si="42"/>
        <v>1.4172843474636994</v>
      </c>
      <c r="CO47" s="78">
        <f t="shared" si="42"/>
        <v>1.4012831232318923</v>
      </c>
      <c r="CP47" s="78">
        <f t="shared" si="42"/>
        <v>1.3844308008208446</v>
      </c>
      <c r="CQ47" s="78">
        <f t="shared" si="42"/>
        <v>1.3665932133372918</v>
      </c>
      <c r="CR47" s="78">
        <f t="shared" si="42"/>
        <v>1.3476050354595774</v>
      </c>
      <c r="CS47" s="78">
        <f t="shared" si="42"/>
        <v>1.3272619522258582</v>
      </c>
      <c r="CT47" s="78">
        <f t="shared" si="42"/>
        <v>1.305310611623012</v>
      </c>
      <c r="CU47" s="78">
        <f t="shared" si="42"/>
        <v>1.2814355385947205</v>
      </c>
      <c r="CV47" s="78">
        <f t="shared" si="42"/>
        <v>1.2552417684539547</v>
      </c>
      <c r="CW47" s="78">
        <f t="shared" si="42"/>
        <v>1.2262312596970069</v>
      </c>
      <c r="CX47" s="78">
        <f t="shared" si="42"/>
        <v>1.1937699387459908</v>
      </c>
      <c r="CY47" s="78">
        <f t="shared" si="42"/>
        <v>1.1570400420169189</v>
      </c>
      <c r="CZ47" s="78">
        <f t="shared" si="42"/>
        <v>1.1149682357401653</v>
      </c>
      <c r="DA47" s="78">
        <f t="shared" si="42"/>
        <v>1.0661114339048705</v>
      </c>
      <c r="DB47" s="78">
        <f t="shared" si="42"/>
        <v>1.0084632102599607</v>
      </c>
      <c r="DC47" s="78">
        <f t="shared" si="42"/>
        <v>0.93909666726119356</v>
      </c>
      <c r="DD47" s="78">
        <f t="shared" si="42"/>
        <v>0.8534255116806112</v>
      </c>
    </row>
    <row r="48" spans="1:108" x14ac:dyDescent="0.2">
      <c r="A48" s="9"/>
      <c r="B48" s="3" t="s">
        <v>579</v>
      </c>
      <c r="C48" s="76">
        <f>1-C45*(C29*C25)^2*(1-C63/C42)^2</f>
        <v>0.99992263241786694</v>
      </c>
      <c r="D48" s="76">
        <f ca="1">1-D45*(D29*D25)^2*(1-D63/D42)^2</f>
        <v>0.99992263241786694</v>
      </c>
      <c r="E48" s="76">
        <f ca="1">1-E45*(E29*E25)^2*(1-E63/E42)^2</f>
        <v>0.99394519742948306</v>
      </c>
      <c r="F48" s="10"/>
      <c r="I48" s="3" t="s">
        <v>579</v>
      </c>
      <c r="J48" s="76">
        <f t="shared" ref="J48:BU48" si="43">1-J45*(J29*J25)^2*(1-J63/J42)^2</f>
        <v>0.99992263241786694</v>
      </c>
      <c r="K48" s="76">
        <f t="shared" si="43"/>
        <v>0.99999850670672963</v>
      </c>
      <c r="L48" s="76">
        <f t="shared" si="43"/>
        <v>0.99996476148771196</v>
      </c>
      <c r="M48" s="76">
        <f t="shared" si="43"/>
        <v>0.99983819772845073</v>
      </c>
      <c r="N48" s="76">
        <f t="shared" si="43"/>
        <v>0.99963251146645293</v>
      </c>
      <c r="O48" s="76">
        <f t="shared" si="43"/>
        <v>0.99935867282608226</v>
      </c>
      <c r="P48" s="76">
        <f t="shared" si="43"/>
        <v>0.99902527277652364</v>
      </c>
      <c r="Q48" s="76">
        <f t="shared" si="43"/>
        <v>0.998638839471508</v>
      </c>
      <c r="R48" s="76">
        <f t="shared" si="43"/>
        <v>0.9982041259740605</v>
      </c>
      <c r="S48" s="76">
        <f t="shared" si="43"/>
        <v>0.99772437112114543</v>
      </c>
      <c r="T48" s="76">
        <f t="shared" si="43"/>
        <v>0.99720153522636723</v>
      </c>
      <c r="U48" s="76">
        <f t="shared" si="43"/>
        <v>0.99663651225604455</v>
      </c>
      <c r="V48" s="76">
        <f t="shared" si="43"/>
        <v>0.99602932004680744</v>
      </c>
      <c r="W48" s="76">
        <f t="shared" si="43"/>
        <v>0.99537927006290128</v>
      </c>
      <c r="X48" s="76">
        <f t="shared" si="43"/>
        <v>0.99468511811988958</v>
      </c>
      <c r="Y48" s="76">
        <f t="shared" si="43"/>
        <v>0.99394519742948306</v>
      </c>
      <c r="Z48" s="76">
        <f t="shared" si="43"/>
        <v>0.99315753524864903</v>
      </c>
      <c r="AA48" s="76">
        <f t="shared" si="43"/>
        <v>0.99231995434569864</v>
      </c>
      <c r="AB48" s="76">
        <f t="shared" si="43"/>
        <v>0.99143016042726306</v>
      </c>
      <c r="AC48" s="76">
        <f t="shared" si="43"/>
        <v>0.99048581660344137</v>
      </c>
      <c r="AD48" s="76">
        <f t="shared" si="43"/>
        <v>0.989484605904276</v>
      </c>
      <c r="AE48" s="76">
        <f t="shared" si="43"/>
        <v>0.988424282799375</v>
      </c>
      <c r="AF48" s="76">
        <f t="shared" si="43"/>
        <v>0.98730271461417196</v>
      </c>
      <c r="AG48" s="76">
        <f t="shared" si="43"/>
        <v>0.98611791368113155</v>
      </c>
      <c r="AH48" s="76">
        <f t="shared" si="43"/>
        <v>0.98486806101229807</v>
      </c>
      <c r="AI48" s="76">
        <f t="shared" si="43"/>
        <v>0.98355152223098496</v>
      </c>
      <c r="AJ48" s="76">
        <f t="shared" si="43"/>
        <v>0.98216685645516977</v>
      </c>
      <c r="AK48" s="76">
        <f t="shared" si="43"/>
        <v>0.98071281878326844</v>
      </c>
      <c r="AL48" s="76">
        <f t="shared" si="43"/>
        <v>0.97918835699441709</v>
      </c>
      <c r="AM48" s="76">
        <f t="shared" si="43"/>
        <v>0.97759260304011864</v>
      </c>
      <c r="AN48" s="76">
        <f t="shared" si="43"/>
        <v>0.97592485987207755</v>
      </c>
      <c r="AO48" s="76">
        <f t="shared" si="43"/>
        <v>0.9741845841221547</v>
      </c>
      <c r="AP48" s="76">
        <f t="shared" si="43"/>
        <v>0.97237136512453126</v>
      </c>
      <c r="AQ48" s="76">
        <f t="shared" si="43"/>
        <v>0.97048490074727434</v>
      </c>
      <c r="AR48" s="76">
        <f t="shared" si="43"/>
        <v>0.9685249704804012</v>
      </c>
      <c r="AS48" s="76">
        <f t="shared" si="43"/>
        <v>0.9664914062101132</v>
      </c>
      <c r="AT48" s="76">
        <f t="shared" si="43"/>
        <v>0.96438406109391972</v>
      </c>
      <c r="AU48" s="76">
        <f t="shared" si="43"/>
        <v>0.96220277693872769</v>
      </c>
      <c r="AV48" s="76">
        <f t="shared" si="43"/>
        <v>0.95994735047337154</v>
      </c>
      <c r="AW48" s="76">
        <f t="shared" si="43"/>
        <v>0.95761749889827097</v>
      </c>
      <c r="AX48" s="76">
        <f t="shared" si="43"/>
        <v>0.95521282508758665</v>
      </c>
      <c r="AY48" s="76">
        <f t="shared" si="43"/>
        <v>0.95273278281307261</v>
      </c>
      <c r="AZ48" s="76">
        <f t="shared" si="43"/>
        <v>0.95017664235334343</v>
      </c>
      <c r="BA48" s="76">
        <f t="shared" si="43"/>
        <v>0.94754345684702257</v>
      </c>
      <c r="BB48" s="76">
        <f t="shared" si="43"/>
        <v>0.94483202974261338</v>
      </c>
      <c r="BC48" s="76">
        <f t="shared" si="43"/>
        <v>0.94204088369128158</v>
      </c>
      <c r="BD48" s="76">
        <f t="shared" si="43"/>
        <v>0.9391682312202404</v>
      </c>
      <c r="BE48" s="76">
        <f t="shared" si="43"/>
        <v>0.93621194751318515</v>
      </c>
      <c r="BF48" s="76">
        <f t="shared" si="43"/>
        <v>0.93316954560911303</v>
      </c>
      <c r="BG48" s="76">
        <f t="shared" si="43"/>
        <v>0.93003815431064851</v>
      </c>
      <c r="BH48" s="76">
        <f t="shared" si="43"/>
        <v>0.92681449906613933</v>
      </c>
      <c r="BI48" s="76">
        <f t="shared" si="43"/>
        <v>0.92349488605461527</v>
      </c>
      <c r="BJ48" s="76">
        <f t="shared" si="43"/>
        <v>0.92007518965712709</v>
      </c>
      <c r="BK48" s="76">
        <f t="shared" si="43"/>
        <v>0.91655084343969673</v>
      </c>
      <c r="BL48" s="76">
        <f t="shared" si="43"/>
        <v>0.9129168346993386</v>
      </c>
      <c r="BM48" s="76">
        <f t="shared" si="43"/>
        <v>0.9091677025322159</v>
      </c>
      <c r="BN48" s="76">
        <f t="shared" si="43"/>
        <v>0.90529753926825152</v>
      </c>
      <c r="BO48" s="76">
        <f t="shared" si="43"/>
        <v>0.90129999497518909</v>
      </c>
      <c r="BP48" s="76">
        <f t="shared" si="43"/>
        <v>0.89716828456228159</v>
      </c>
      <c r="BQ48" s="76">
        <f t="shared" si="43"/>
        <v>0.89289519680372909</v>
      </c>
      <c r="BR48" s="76">
        <f t="shared" si="43"/>
        <v>0.88847310434829585</v>
      </c>
      <c r="BS48" s="76">
        <f t="shared" si="43"/>
        <v>0.88389397347642829</v>
      </c>
      <c r="BT48" s="76">
        <f t="shared" si="43"/>
        <v>0.87914937200137189</v>
      </c>
      <c r="BU48" s="76">
        <f t="shared" si="43"/>
        <v>0.8742304732758901</v>
      </c>
      <c r="BV48" s="76">
        <f t="shared" ref="BV48:DD48" si="44">1-BV45*(BV29*BV25)^2*(1-BV63/BV42)^2</f>
        <v>0.86912805375024371</v>
      </c>
      <c r="BW48" s="76">
        <f t="shared" si="44"/>
        <v>0.86383248091670894</v>
      </c>
      <c r="BX48" s="76">
        <f t="shared" si="44"/>
        <v>0.85833368775637175</v>
      </c>
      <c r="BY48" s="76">
        <f t="shared" si="44"/>
        <v>0.85262112895806874</v>
      </c>
      <c r="BZ48" s="76">
        <f t="shared" si="44"/>
        <v>0.84668371318755753</v>
      </c>
      <c r="CA48" s="76">
        <f t="shared" si="44"/>
        <v>0.84050970452518292</v>
      </c>
      <c r="CB48" s="76">
        <f t="shared" si="44"/>
        <v>0.83408658483661879</v>
      </c>
      <c r="CC48" s="76">
        <f t="shared" si="44"/>
        <v>0.82740086726489737</v>
      </c>
      <c r="CD48" s="76">
        <f t="shared" si="44"/>
        <v>0.82043784919918428</v>
      </c>
      <c r="CE48" s="76">
        <f t="shared" si="44"/>
        <v>0.81318129094864111</v>
      </c>
      <c r="CF48" s="76">
        <f t="shared" si="44"/>
        <v>0.80561300388402624</v>
      </c>
      <c r="CG48" s="76">
        <f t="shared" si="44"/>
        <v>0.79771232895498345</v>
      </c>
      <c r="CH48" s="76">
        <f t="shared" si="44"/>
        <v>0.78945548318863512</v>
      </c>
      <c r="CI48" s="76">
        <f t="shared" si="44"/>
        <v>0.78081474795660222</v>
      </c>
      <c r="CJ48" s="76">
        <f t="shared" si="44"/>
        <v>0.77175746838374359</v>
      </c>
      <c r="CK48" s="76">
        <f t="shared" si="44"/>
        <v>0.76224482816709949</v>
      </c>
      <c r="CL48" s="76">
        <f t="shared" si="44"/>
        <v>0.75223035816576833</v>
      </c>
      <c r="CM48" s="76">
        <f t="shared" si="44"/>
        <v>0.74165813027352334</v>
      </c>
      <c r="CN48" s="76">
        <f t="shared" si="44"/>
        <v>0.73046058012745962</v>
      </c>
      <c r="CO48" s="76">
        <f t="shared" si="44"/>
        <v>0.71855589292417799</v>
      </c>
      <c r="CP48" s="76">
        <f t="shared" si="44"/>
        <v>0.7058448757364425</v>
      </c>
      <c r="CQ48" s="76">
        <f t="shared" si="44"/>
        <v>0.69220722688448966</v>
      </c>
      <c r="CR48" s="76">
        <f t="shared" si="44"/>
        <v>0.67749709762296317</v>
      </c>
      <c r="CS48" s="76">
        <f t="shared" si="44"/>
        <v>0.66153782295756292</v>
      </c>
      <c r="CT48" s="76">
        <f t="shared" si="44"/>
        <v>0.64411567577764339</v>
      </c>
      <c r="CU48" s="76">
        <f t="shared" si="44"/>
        <v>0.62497247010964174</v>
      </c>
      <c r="CV48" s="76">
        <f t="shared" si="44"/>
        <v>0.60379680262735447</v>
      </c>
      <c r="CW48" s="76">
        <f t="shared" si="44"/>
        <v>0.58021367231011323</v>
      </c>
      <c r="CX48" s="76">
        <f t="shared" si="44"/>
        <v>0.55377214862018898</v>
      </c>
      <c r="CY48" s="76">
        <f t="shared" si="44"/>
        <v>0.52393065405371675</v>
      </c>
      <c r="CZ48" s="76">
        <f t="shared" si="44"/>
        <v>0.49003925715575025</v>
      </c>
      <c r="DA48" s="76">
        <f t="shared" si="44"/>
        <v>0.45131806957825149</v>
      </c>
      <c r="DB48" s="76">
        <f t="shared" si="44"/>
        <v>0.40683023925528539</v>
      </c>
      <c r="DC48" s="76">
        <f t="shared" si="44"/>
        <v>0.35544666879761755</v>
      </c>
      <c r="DD48" s="76">
        <f t="shared" si="44"/>
        <v>0.29579595565468808</v>
      </c>
    </row>
    <row r="49" spans="1:108" x14ac:dyDescent="0.2">
      <c r="A49" s="9"/>
      <c r="B49" s="3" t="s">
        <v>580</v>
      </c>
      <c r="C49" s="76">
        <f>C48*C46</f>
        <v>0.88379735174064844</v>
      </c>
      <c r="D49" s="76">
        <f ca="1">D48*D46</f>
        <v>0.88379735174064844</v>
      </c>
      <c r="E49" s="76">
        <f ca="1">E48*E46</f>
        <v>0.86488648052536299</v>
      </c>
      <c r="F49" s="10"/>
      <c r="I49" s="3" t="s">
        <v>580</v>
      </c>
      <c r="J49" s="76">
        <f t="shared" ref="J49:BU49" si="45">J48*J46</f>
        <v>0.88379735174064844</v>
      </c>
      <c r="K49" s="76">
        <f t="shared" si="45"/>
        <v>0.88293694547921597</v>
      </c>
      <c r="L49" s="76">
        <f t="shared" si="45"/>
        <v>0.88198165722970934</v>
      </c>
      <c r="M49" s="76">
        <f t="shared" si="45"/>
        <v>0.88094658820557059</v>
      </c>
      <c r="N49" s="76">
        <f t="shared" si="45"/>
        <v>0.879844043575713</v>
      </c>
      <c r="O49" s="76">
        <f t="shared" si="45"/>
        <v>0.87868388032296418</v>
      </c>
      <c r="P49" s="76">
        <f t="shared" si="45"/>
        <v>0.87747382458975676</v>
      </c>
      <c r="Q49" s="76">
        <f t="shared" si="45"/>
        <v>0.87621976034892002</v>
      </c>
      <c r="R49" s="76">
        <f t="shared" si="45"/>
        <v>0.87492599118922165</v>
      </c>
      <c r="S49" s="76">
        <f t="shared" si="45"/>
        <v>0.87359547694804451</v>
      </c>
      <c r="T49" s="76">
        <f t="shared" si="45"/>
        <v>0.87223004685956662</v>
      </c>
      <c r="U49" s="76">
        <f t="shared" si="45"/>
        <v>0.8708305908180477</v>
      </c>
      <c r="V49" s="76">
        <f t="shared" si="45"/>
        <v>0.86939723028391691</v>
      </c>
      <c r="W49" s="76">
        <f t="shared" si="45"/>
        <v>0.86792947028668888</v>
      </c>
      <c r="X49" s="76">
        <f t="shared" si="45"/>
        <v>0.8664263339044177</v>
      </c>
      <c r="Y49" s="76">
        <f t="shared" si="45"/>
        <v>0.86488648052536299</v>
      </c>
      <c r="Z49" s="76">
        <f t="shared" si="45"/>
        <v>0.86330830912453949</v>
      </c>
      <c r="AA49" s="76">
        <f t="shared" si="45"/>
        <v>0.86169004771645707</v>
      </c>
      <c r="AB49" s="76">
        <f t="shared" si="45"/>
        <v>0.860029830076115</v>
      </c>
      <c r="AC49" s="76">
        <f t="shared" si="45"/>
        <v>0.85832576075357914</v>
      </c>
      <c r="AD49" s="76">
        <f t="shared" si="45"/>
        <v>0.85657596934351188</v>
      </c>
      <c r="AE49" s="76">
        <f t="shared" si="45"/>
        <v>0.85477865491008731</v>
      </c>
      <c r="AF49" s="76">
        <f t="shared" si="45"/>
        <v>0.85293212140992725</v>
      </c>
      <c r="AG49" s="76">
        <f t="shared" si="45"/>
        <v>0.85103480490116379</v>
      </c>
      <c r="AH49" s="76">
        <f t="shared" si="45"/>
        <v>0.84908529327551885</v>
      </c>
      <c r="AI49" s="76">
        <f t="shared" si="45"/>
        <v>0.84708233920239639</v>
      </c>
      <c r="AJ49" s="76">
        <f t="shared" si="45"/>
        <v>0.84502486692943679</v>
      </c>
      <c r="AK49" s="76">
        <f t="shared" si="45"/>
        <v>0.84291197354270708</v>
      </c>
      <c r="AL49" s="76">
        <f t="shared" si="45"/>
        <v>0.84074292525167993</v>
      </c>
      <c r="AM49" s="76">
        <f t="shared" si="45"/>
        <v>0.83851714922929954</v>
      </c>
      <c r="AN49" s="76">
        <f t="shared" si="45"/>
        <v>0.83623422150565296</v>
      </c>
      <c r="AO49" s="76">
        <f t="shared" si="45"/>
        <v>0.83389385138498973</v>
      </c>
      <c r="AP49" s="76">
        <f t="shared" si="45"/>
        <v>0.83149586282990151</v>
      </c>
      <c r="AQ49" s="76">
        <f t="shared" si="45"/>
        <v>0.82904017323332035</v>
      </c>
      <c r="AR49" s="76">
        <f t="shared" si="45"/>
        <v>0.82652676997842733</v>
      </c>
      <c r="AS49" s="76">
        <f t="shared" si="45"/>
        <v>0.82395568516846296</v>
      </c>
      <c r="AT49" s="76">
        <f t="shared" si="45"/>
        <v>0.82132696889260759</v>
      </c>
      <c r="AU49" s="76">
        <f t="shared" si="45"/>
        <v>0.81864066138037805</v>
      </c>
      <c r="AV49" s="76">
        <f t="shared" si="45"/>
        <v>0.81589676438512959</v>
      </c>
      <c r="AW49" s="76">
        <f t="shared" si="45"/>
        <v>0.81309521212704272</v>
      </c>
      <c r="AX49" s="76">
        <f t="shared" si="45"/>
        <v>0.8102358421170982</v>
      </c>
      <c r="AY49" s="76">
        <f t="shared" si="45"/>
        <v>0.8073183661757326</v>
      </c>
      <c r="AZ49" s="76">
        <f t="shared" si="45"/>
        <v>0.80434234195269261</v>
      </c>
      <c r="BA49" s="76">
        <f t="shared" si="45"/>
        <v>0.80130714524770974</v>
      </c>
      <c r="BB49" s="76">
        <f t="shared" si="45"/>
        <v>0.79821194342445079</v>
      </c>
      <c r="BC49" s="76">
        <f t="shared" si="45"/>
        <v>0.79505567020224466</v>
      </c>
      <c r="BD49" s="76">
        <f t="shared" si="45"/>
        <v>0.79183700210063512</v>
      </c>
      <c r="BE49" s="76">
        <f t="shared" si="45"/>
        <v>0.78855433680013975</v>
      </c>
      <c r="BF49" s="76">
        <f t="shared" si="45"/>
        <v>0.785205773667771</v>
      </c>
      <c r="BG49" s="76">
        <f t="shared" si="45"/>
        <v>0.78178909667689733</v>
      </c>
      <c r="BH49" s="76">
        <f t="shared" si="45"/>
        <v>0.77830175992663431</v>
      </c>
      <c r="BI49" s="76">
        <f t="shared" si="45"/>
        <v>0.77474087593481722</v>
      </c>
      <c r="BJ49" s="76">
        <f t="shared" si="45"/>
        <v>0.77110320683901679</v>
      </c>
      <c r="BK49" s="76">
        <f t="shared" si="45"/>
        <v>0.76738515859019607</v>
      </c>
      <c r="BL49" s="76">
        <f t="shared" si="45"/>
        <v>0.76358277816122544</v>
      </c>
      <c r="BM49" s="76">
        <f t="shared" si="45"/>
        <v>0.7596917537150909</v>
      </c>
      <c r="BN49" s="76">
        <f t="shared" si="45"/>
        <v>0.75570741758228988</v>
      </c>
      <c r="BO49" s="76">
        <f t="shared" si="45"/>
        <v>0.75162475178023813</v>
      </c>
      <c r="BP49" s="76">
        <f t="shared" si="45"/>
        <v>0.74743839566566117</v>
      </c>
      <c r="BQ49" s="76">
        <f t="shared" si="45"/>
        <v>0.74314265513934552</v>
      </c>
      <c r="BR49" s="76">
        <f t="shared" si="45"/>
        <v>0.73873151261628756</v>
      </c>
      <c r="BS49" s="76">
        <f t="shared" si="45"/>
        <v>0.73419863672705143</v>
      </c>
      <c r="BT49" s="76">
        <f t="shared" si="45"/>
        <v>0.72953739042157129</v>
      </c>
      <c r="BU49" s="76">
        <f t="shared" si="45"/>
        <v>0.72474083579657655</v>
      </c>
      <c r="BV49" s="76">
        <f t="shared" ref="BV49:DD49" si="46">BV48*BV46</f>
        <v>0.71980173355373633</v>
      </c>
      <c r="BW49" s="76">
        <f t="shared" si="46"/>
        <v>0.71471253450707373</v>
      </c>
      <c r="BX49" s="76">
        <f t="shared" si="46"/>
        <v>0.70946535998373861</v>
      </c>
      <c r="BY49" s="76">
        <f t="shared" si="46"/>
        <v>0.70405196728853625</v>
      </c>
      <c r="BZ49" s="76">
        <f t="shared" si="46"/>
        <v>0.69846369561446853</v>
      </c>
      <c r="CA49" s="76">
        <f t="shared" si="46"/>
        <v>0.69269138686189979</v>
      </c>
      <c r="CB49" s="76">
        <f t="shared" si="46"/>
        <v>0.68672527475776524</v>
      </c>
      <c r="CC49" s="76">
        <f t="shared" si="46"/>
        <v>0.68055483442133613</v>
      </c>
      <c r="CD49" s="76">
        <f t="shared" si="46"/>
        <v>0.67416858307839544</v>
      </c>
      <c r="CE49" s="76">
        <f t="shared" si="46"/>
        <v>0.66755382095207527</v>
      </c>
      <c r="CF49" s="76">
        <f t="shared" si="46"/>
        <v>0.66069629942199481</v>
      </c>
      <c r="CG49" s="76">
        <f t="shared" si="46"/>
        <v>0.65357980130499127</v>
      </c>
      <c r="CH49" s="76">
        <f t="shared" si="46"/>
        <v>0.64618561552558129</v>
      </c>
      <c r="CI49" s="76">
        <f t="shared" si="46"/>
        <v>0.63849188545966762</v>
      </c>
      <c r="CJ49" s="76">
        <f t="shared" si="46"/>
        <v>0.63047280679012163</v>
      </c>
      <c r="CK49" s="76">
        <f t="shared" si="46"/>
        <v>0.62209764673411849</v>
      </c>
      <c r="CL49" s="76">
        <f t="shared" si="46"/>
        <v>0.61332955190337191</v>
      </c>
      <c r="CM49" s="76">
        <f t="shared" si="46"/>
        <v>0.60412410673310712</v>
      </c>
      <c r="CN49" s="76">
        <f t="shared" si="46"/>
        <v>0.59442759823371327</v>
      </c>
      <c r="CO49" s="76">
        <f t="shared" si="46"/>
        <v>0.58417493561506684</v>
      </c>
      <c r="CP49" s="76">
        <f t="shared" si="46"/>
        <v>0.57328716489524811</v>
      </c>
      <c r="CQ49" s="76">
        <f t="shared" si="46"/>
        <v>0.56166850864980622</v>
      </c>
      <c r="CR49" s="76">
        <f t="shared" si="46"/>
        <v>0.54920284919883067</v>
      </c>
      <c r="CS49" s="76">
        <f t="shared" si="46"/>
        <v>0.53574955921887646</v>
      </c>
      <c r="CT49" s="76">
        <f t="shared" si="46"/>
        <v>0.52113856619771626</v>
      </c>
      <c r="CU49" s="76">
        <f t="shared" si="46"/>
        <v>0.50516451508215132</v>
      </c>
      <c r="CV49" s="76">
        <f t="shared" si="46"/>
        <v>0.4875798648996354</v>
      </c>
      <c r="CW49" s="76">
        <f t="shared" si="46"/>
        <v>0.46808671666575291</v>
      </c>
      <c r="CX49" s="76">
        <f t="shared" si="46"/>
        <v>0.44632711541154174</v>
      </c>
      <c r="CY49" s="76">
        <f t="shared" si="46"/>
        <v>0.42187148697579707</v>
      </c>
      <c r="CZ49" s="76">
        <f t="shared" si="46"/>
        <v>0.39420473623912067</v>
      </c>
      <c r="DA49" s="76">
        <f t="shared" si="46"/>
        <v>0.36270929397448387</v>
      </c>
      <c r="DB49" s="76">
        <f t="shared" si="46"/>
        <v>0.32664392198268177</v>
      </c>
      <c r="DC49" s="76">
        <f t="shared" si="46"/>
        <v>0.28511600197223008</v>
      </c>
      <c r="DD49" s="76">
        <f t="shared" si="46"/>
        <v>0.23704213995169313</v>
      </c>
    </row>
    <row r="50" spans="1:108" x14ac:dyDescent="0.2">
      <c r="A50" s="9"/>
      <c r="B50" s="3" t="s">
        <v>581</v>
      </c>
      <c r="C50" s="76">
        <f>IF((C45*C40^2*(C46*($C$20*(Lse/1)*C41*($C$9/1))^2-C42^2)+(C42*$C$17)^2)&gt;0,C49*C41^2/2/9.81,0)</f>
        <v>6.63628608606325</v>
      </c>
      <c r="D50" s="76">
        <f ca="1">IF((D45*D40^2*(D46*($C$20*(Lse/1)*D41*($C$9/1))^2-D42^2)+(D42*$C$17)^2)&gt;0,D49*D41^2/2/9.81,0)</f>
        <v>6.63628608606325</v>
      </c>
      <c r="E50" s="76">
        <f ca="1">IF((E45*E40^2*(E46*($C$20*(Lse/1)*E41*($C$9/1))^2-E42^2)+(E42*$C$17)^2)&gt;0,E49*E41^2/2/9.81,0)</f>
        <v>6.2192860741675799</v>
      </c>
      <c r="F50" s="54" t="s">
        <v>653</v>
      </c>
      <c r="I50" s="3" t="s">
        <v>581</v>
      </c>
      <c r="J50" s="76">
        <f t="shared" ref="J50" si="47">IF((J45*J40^2*(J46*($C$20*(Lse/1)*J41*($C$9/1))^2-J42^2)+(J42*$C$17)^2)&gt;0,J49*J41^2/2/9.81,0)</f>
        <v>6.63628608606325</v>
      </c>
      <c r="K50" s="76">
        <f t="shared" ref="K50:BV50" si="48">IF((K45*K40^2*(K46*($C$20*(Lse/1)*K41*($C$9/1))^2-K42^2)+(K42*$C$17)^2)&gt;0,K49*K41^2/2/9.81,0)</f>
        <v>6.6111388806719074</v>
      </c>
      <c r="L50" s="76">
        <f t="shared" si="48"/>
        <v>6.5853215840038901</v>
      </c>
      <c r="M50" s="76">
        <f t="shared" si="48"/>
        <v>6.5589513414598386</v>
      </c>
      <c r="N50" s="76">
        <f t="shared" si="48"/>
        <v>6.5321232312700488</v>
      </c>
      <c r="O50" s="76">
        <f t="shared" si="48"/>
        <v>6.5049131368805533</v>
      </c>
      <c r="P50" s="76">
        <f t="shared" si="48"/>
        <v>6.4773803496579019</v>
      </c>
      <c r="Q50" s="76">
        <f t="shared" si="48"/>
        <v>6.4495699200613013</v>
      </c>
      <c r="R50" s="76">
        <f t="shared" si="48"/>
        <v>6.4215147747469583</v>
      </c>
      <c r="S50" s="76">
        <f t="shared" si="48"/>
        <v>6.3932376163305502</v>
      </c>
      <c r="T50" s="76">
        <f t="shared" si="48"/>
        <v>6.3647526217585053</v>
      </c>
      <c r="U50" s="76">
        <f t="shared" si="48"/>
        <v>6.336066954442888</v>
      </c>
      <c r="V50" s="76">
        <f t="shared" si="48"/>
        <v>6.3071821045109866</v>
      </c>
      <c r="W50" s="76">
        <f t="shared" si="48"/>
        <v>6.2780950707193153</v>
      </c>
      <c r="X50" s="76">
        <f t="shared" si="48"/>
        <v>6.2487993967916333</v>
      </c>
      <c r="Y50" s="76">
        <f t="shared" si="48"/>
        <v>6.2192860741675799</v>
      </c>
      <c r="Z50" s="76">
        <f t="shared" si="48"/>
        <v>6.1895443223987812</v>
      </c>
      <c r="AA50" s="76">
        <f t="shared" si="48"/>
        <v>6.1595622577059652</v>
      </c>
      <c r="AB50" s="76">
        <f t="shared" si="48"/>
        <v>6.1293274595174978</v>
      </c>
      <c r="AC50" s="76">
        <f t="shared" si="48"/>
        <v>6.0988274441483314</v>
      </c>
      <c r="AD50" s="76">
        <f t="shared" si="48"/>
        <v>6.0680500541504871</v>
      </c>
      <c r="AE50" s="76">
        <f t="shared" si="48"/>
        <v>6.0369837712725944</v>
      </c>
      <c r="AF50" s="76">
        <f t="shared" si="48"/>
        <v>6.0056179604069291</v>
      </c>
      <c r="AG50" s="76">
        <f t="shared" si="48"/>
        <v>5.9739430513779723</v>
      </c>
      <c r="AH50" s="76">
        <f t="shared" si="48"/>
        <v>5.9419506649363605</v>
      </c>
      <c r="AI50" s="76">
        <f t="shared" si="48"/>
        <v>5.9096336888653029</v>
      </c>
      <c r="AJ50" s="76">
        <f t="shared" si="48"/>
        <v>5.8769863096829074</v>
      </c>
      <c r="AK50" s="76">
        <f t="shared" si="48"/>
        <v>5.8440040050315485</v>
      </c>
      <c r="AL50" s="76">
        <f t="shared" si="48"/>
        <v>5.8106835014840996</v>
      </c>
      <c r="AM50" s="76">
        <f t="shared" si="48"/>
        <v>5.7770227021648122</v>
      </c>
      <c r="AN50" s="76">
        <f t="shared" si="48"/>
        <v>5.7430205882785499</v>
      </c>
      <c r="AO50" s="76">
        <f t="shared" si="48"/>
        <v>5.7086770983650394</v>
      </c>
      <c r="AP50" s="76">
        <f t="shared" si="48"/>
        <v>5.6739929888425253</v>
      </c>
      <c r="AQ50" s="76">
        <f t="shared" si="48"/>
        <v>5.6389696791771593</v>
      </c>
      <c r="AR50" s="76">
        <f t="shared" si="48"/>
        <v>5.6036090848080091</v>
      </c>
      <c r="AS50" s="76">
        <f t="shared" si="48"/>
        <v>5.567913440772041</v>
      </c>
      <c r="AT50" s="76">
        <f t="shared" si="48"/>
        <v>5.5318851188061684</v>
      </c>
      <c r="AU50" s="76">
        <f t="shared" si="48"/>
        <v>5.4955264405534123</v>
      </c>
      <c r="AV50" s="76">
        <f t="shared" si="48"/>
        <v>5.458839489364812</v>
      </c>
      <c r="AW50" s="76">
        <f t="shared" si="48"/>
        <v>5.421825923066157</v>
      </c>
      <c r="AX50" s="76">
        <f t="shared" si="48"/>
        <v>5.3844867899465321</v>
      </c>
      <c r="AY50" s="76">
        <f t="shared" si="48"/>
        <v>5.3468223501216059</v>
      </c>
      <c r="AZ50" s="76">
        <f t="shared" si="48"/>
        <v>5.30883190432563</v>
      </c>
      <c r="BA50" s="76">
        <f t="shared" si="48"/>
        <v>5.27051363208962</v>
      </c>
      <c r="BB50" s="76">
        <f t="shared" si="48"/>
        <v>5.2318644411653619</v>
      </c>
      <c r="BC50" s="76">
        <f t="shared" si="48"/>
        <v>5.1928798299523189</v>
      </c>
      <c r="BD50" s="76">
        <f t="shared" si="48"/>
        <v>5.1535537645727896</v>
      </c>
      <c r="BE50" s="76">
        <f t="shared" si="48"/>
        <v>5.1138785721152198</v>
      </c>
      <c r="BF50" s="76">
        <f t="shared" si="48"/>
        <v>5.0738448514209527</v>
      </c>
      <c r="BG50" s="76">
        <f t="shared" si="48"/>
        <v>5.0334414026199337</v>
      </c>
      <c r="BH50" s="76">
        <f t="shared" si="48"/>
        <v>4.9926551764191798</v>
      </c>
      <c r="BI50" s="76">
        <f t="shared" si="48"/>
        <v>4.9514712439064548</v>
      </c>
      <c r="BJ50" s="76">
        <f t="shared" si="48"/>
        <v>4.9098727873417314</v>
      </c>
      <c r="BK50" s="76">
        <f t="shared" si="48"/>
        <v>4.8678411120609866</v>
      </c>
      <c r="BL50" s="76">
        <f t="shared" si="48"/>
        <v>4.8253556791991699</v>
      </c>
      <c r="BM50" s="76">
        <f t="shared" si="48"/>
        <v>4.7823941584393044</v>
      </c>
      <c r="BN50" s="76">
        <f t="shared" si="48"/>
        <v>4.7389324993983317</v>
      </c>
      <c r="BO50" s="76">
        <f t="shared" si="48"/>
        <v>4.6949450195508717</v>
      </c>
      <c r="BP50" s="76">
        <f t="shared" si="48"/>
        <v>4.6504045057518022</v>
      </c>
      <c r="BQ50" s="76">
        <f t="shared" si="48"/>
        <v>4.6052823254260788</v>
      </c>
      <c r="BR50" s="76">
        <f t="shared" si="48"/>
        <v>4.5595485423270778</v>
      </c>
      <c r="BS50" s="76">
        <f t="shared" si="48"/>
        <v>4.5131720303954301</v>
      </c>
      <c r="BT50" s="76">
        <f t="shared" si="48"/>
        <v>4.4661205776511972</v>
      </c>
      <c r="BU50" s="76">
        <f t="shared" si="48"/>
        <v>4.4183609701878526</v>
      </c>
      <c r="BV50" s="76">
        <f t="shared" si="48"/>
        <v>4.369859044172169</v>
      </c>
      <c r="BW50" s="76">
        <f t="shared" ref="BW50:DD50" si="49">IF((BW45*BW40^2*(BW46*($C$20*(Lse/1)*BW41*($C$9/1))^2-BW42^2)+(BW42*$C$17)^2)&gt;0,BW49*BW41^2/2/9.81,0)</f>
        <v>4.3205796912461158</v>
      </c>
      <c r="BX50" s="76">
        <f t="shared" si="49"/>
        <v>4.2704867998299996</v>
      </c>
      <c r="BY50" s="76">
        <f t="shared" si="49"/>
        <v>4.2195431114877788</v>
      </c>
      <c r="BZ50" s="76">
        <f t="shared" si="49"/>
        <v>4.167709967677105</v>
      </c>
      <c r="CA50" s="76">
        <f t="shared" si="49"/>
        <v>4.1149469178045415</v>
      </c>
      <c r="CB50" s="76">
        <f t="shared" si="49"/>
        <v>4.0612111544658589</v>
      </c>
      <c r="CC50" s="76">
        <f t="shared" si="49"/>
        <v>4.0064567359931402</v>
      </c>
      <c r="CD50" s="76">
        <f t="shared" si="49"/>
        <v>3.9506335498617702</v>
      </c>
      <c r="CE50" s="76">
        <f t="shared" si="49"/>
        <v>3.8936859630304164</v>
      </c>
      <c r="CF50" s="76">
        <f t="shared" si="49"/>
        <v>3.8355510967790356</v>
      </c>
      <c r="CG50" s="76">
        <f t="shared" si="49"/>
        <v>3.7761566539442262</v>
      </c>
      <c r="CH50" s="76">
        <f t="shared" si="49"/>
        <v>3.7154182154779707</v>
      </c>
      <c r="CI50" s="76">
        <f t="shared" si="49"/>
        <v>3.6532359108013881</v>
      </c>
      <c r="CJ50" s="76">
        <f t="shared" si="49"/>
        <v>3.5894903522917381</v>
      </c>
      <c r="CK50" s="76">
        <f t="shared" si="49"/>
        <v>3.5240377081848977</v>
      </c>
      <c r="CL50" s="76">
        <f t="shared" si="49"/>
        <v>3.456703769914431</v>
      </c>
      <c r="CM50" s="76">
        <f t="shared" si="49"/>
        <v>3.3872768490823169</v>
      </c>
      <c r="CN50" s="76">
        <f t="shared" si="49"/>
        <v>3.3154993154214192</v>
      </c>
      <c r="CO50" s="76">
        <f t="shared" si="49"/>
        <v>3.2410575596808937</v>
      </c>
      <c r="CP50" s="76">
        <f t="shared" si="49"/>
        <v>3.163570133571262</v>
      </c>
      <c r="CQ50" s="76">
        <f t="shared" si="49"/>
        <v>3.0825737816759413</v>
      </c>
      <c r="CR50" s="76">
        <f t="shared" si="49"/>
        <v>2.9975070360570384</v>
      </c>
      <c r="CS50" s="76">
        <f t="shared" si="49"/>
        <v>2.9076909909230362</v>
      </c>
      <c r="CT50" s="76">
        <f t="shared" si="49"/>
        <v>2.8123068087750296</v>
      </c>
      <c r="CU50" s="76">
        <f t="shared" si="49"/>
        <v>2.7103694255033717</v>
      </c>
      <c r="CV50" s="76">
        <f t="shared" si="49"/>
        <v>2.6006968109860384</v>
      </c>
      <c r="CW50" s="76">
        <f t="shared" si="49"/>
        <v>2.4818739882556513</v>
      </c>
      <c r="CX50" s="76">
        <f t="shared" si="49"/>
        <v>2.3522107896920432</v>
      </c>
      <c r="CY50" s="76">
        <f t="shared" si="49"/>
        <v>2.2096919774752051</v>
      </c>
      <c r="CZ50" s="76">
        <f t="shared" si="49"/>
        <v>2.0519177623430562</v>
      </c>
      <c r="DA50" s="76">
        <f t="shared" si="49"/>
        <v>1.8760316598856384</v>
      </c>
      <c r="DB50" s="76">
        <f t="shared" si="49"/>
        <v>1.6786303836296936</v>
      </c>
      <c r="DC50" s="76">
        <f t="shared" si="49"/>
        <v>1.4556452903476023</v>
      </c>
      <c r="DD50" s="76">
        <f t="shared" si="49"/>
        <v>1.2021708785847882</v>
      </c>
    </row>
    <row r="51" spans="1:108" x14ac:dyDescent="0.2">
      <c r="A51" s="9" t="s">
        <v>582</v>
      </c>
      <c r="B51" s="3" t="s">
        <v>535</v>
      </c>
      <c r="C51" s="79">
        <f>MIN($C$12,C42+C47)</f>
        <v>2.9300788719186786</v>
      </c>
      <c r="D51" s="79">
        <f ca="1">MIN($C$12,D42+D47)</f>
        <v>2.9300788719186786</v>
      </c>
      <c r="E51" s="79">
        <f ca="1">MIN($C$12,E42+E47)</f>
        <v>16.442496672400878</v>
      </c>
      <c r="F51" s="54" t="s">
        <v>655</v>
      </c>
      <c r="I51" s="3" t="s">
        <v>535</v>
      </c>
      <c r="J51" s="79">
        <f t="shared" ref="J51:BU51" si="50">MIN($C$12,J42+J47)</f>
        <v>2.9300788719186786</v>
      </c>
      <c r="K51" s="79">
        <f t="shared" si="50"/>
        <v>3.8484463416802379</v>
      </c>
      <c r="L51" s="79">
        <f t="shared" si="50"/>
        <v>4.7639962860859484</v>
      </c>
      <c r="M51" s="79">
        <f t="shared" si="50"/>
        <v>5.6768052385954757</v>
      </c>
      <c r="N51" s="79">
        <f t="shared" si="50"/>
        <v>6.5869475009862075</v>
      </c>
      <c r="O51" s="79">
        <f t="shared" si="50"/>
        <v>7.4944955253595129</v>
      </c>
      <c r="P51" s="79">
        <f t="shared" si="50"/>
        <v>8.3995202570872323</v>
      </c>
      <c r="Q51" s="79">
        <f t="shared" si="50"/>
        <v>9.3020914417235829</v>
      </c>
      <c r="R51" s="79">
        <f t="shared" si="50"/>
        <v>10.202277898608202</v>
      </c>
      <c r="S51" s="79">
        <f t="shared" si="50"/>
        <v>11.100147763638503</v>
      </c>
      <c r="T51" s="79">
        <f t="shared" si="50"/>
        <v>11.995768703482319</v>
      </c>
      <c r="U51" s="79">
        <f t="shared" si="50"/>
        <v>12.889208103325226</v>
      </c>
      <c r="V51" s="79">
        <f t="shared" si="50"/>
        <v>13.78053323009456</v>
      </c>
      <c r="W51" s="79">
        <f t="shared" si="50"/>
        <v>14.669811372967413</v>
      </c>
      <c r="X51" s="79">
        <f t="shared" si="50"/>
        <v>15.557109962849367</v>
      </c>
      <c r="Y51" s="79">
        <f t="shared" si="50"/>
        <v>16.442496672400878</v>
      </c>
      <c r="Z51" s="79">
        <f t="shared" si="50"/>
        <v>17.326039498086519</v>
      </c>
      <c r="AA51" s="79">
        <f t="shared" si="50"/>
        <v>18.207806825627397</v>
      </c>
      <c r="AB51" s="79">
        <f t="shared" si="50"/>
        <v>19.087867480147562</v>
      </c>
      <c r="AC51" s="79">
        <f t="shared" si="50"/>
        <v>19.966290762220218</v>
      </c>
      <c r="AD51" s="79">
        <f t="shared" si="50"/>
        <v>20.843146470938926</v>
      </c>
      <c r="AE51" s="79">
        <f t="shared" si="50"/>
        <v>21.718504915061846</v>
      </c>
      <c r="AF51" s="79">
        <f t="shared" si="50"/>
        <v>22.592436913204018</v>
      </c>
      <c r="AG51" s="79">
        <f t="shared" si="50"/>
        <v>23.465013783982858</v>
      </c>
      <c r="AH51" s="79">
        <f t="shared" si="50"/>
        <v>24.336307326956366</v>
      </c>
      <c r="AI51" s="79">
        <f t="shared" si="50"/>
        <v>25.20638979513096</v>
      </c>
      <c r="AJ51" s="79">
        <f t="shared" si="50"/>
        <v>26.075333859757944</v>
      </c>
      <c r="AK51" s="79">
        <f t="shared" si="50"/>
        <v>26.943212568082576</v>
      </c>
      <c r="AL51" s="79">
        <f t="shared" si="50"/>
        <v>27.810099294659455</v>
      </c>
      <c r="AM51" s="79">
        <f t="shared" si="50"/>
        <v>28.676067686801005</v>
      </c>
      <c r="AN51" s="79">
        <f t="shared" si="50"/>
        <v>29.541191604683082</v>
      </c>
      <c r="AO51" s="79">
        <f t="shared" si="50"/>
        <v>30.405545056592896</v>
      </c>
      <c r="AP51" s="79">
        <f t="shared" si="50"/>
        <v>31.269202129769187</v>
      </c>
      <c r="AQ51" s="79">
        <f t="shared" si="50"/>
        <v>32.132236917253167</v>
      </c>
      <c r="AR51" s="79">
        <f t="shared" si="50"/>
        <v>32.994723441140664</v>
      </c>
      <c r="AS51" s="79">
        <f t="shared" si="50"/>
        <v>33.856735572601536</v>
      </c>
      <c r="AT51" s="79">
        <f t="shared" si="50"/>
        <v>34.71834694901036</v>
      </c>
      <c r="AU51" s="79">
        <f t="shared" si="50"/>
        <v>35.579630888514195</v>
      </c>
      <c r="AV51" s="79">
        <f t="shared" si="50"/>
        <v>36.44066030234638</v>
      </c>
      <c r="AW51" s="79">
        <f t="shared" si="50"/>
        <v>37.301507605181769</v>
      </c>
      <c r="AX51" s="79">
        <f t="shared" si="50"/>
        <v>38.162244623815724</v>
      </c>
      <c r="AY51" s="79">
        <f t="shared" si="50"/>
        <v>39.022942504438916</v>
      </c>
      <c r="AZ51" s="79">
        <f t="shared" si="50"/>
        <v>39.883671618768815</v>
      </c>
      <c r="BA51" s="79">
        <f t="shared" si="50"/>
        <v>40.744501469289311</v>
      </c>
      <c r="BB51" s="79">
        <f t="shared" si="50"/>
        <v>41.605500593839153</v>
      </c>
      <c r="BC51" s="79">
        <f t="shared" si="50"/>
        <v>42.466736469778269</v>
      </c>
      <c r="BD51" s="79">
        <f t="shared" si="50"/>
        <v>43.328275417947644</v>
      </c>
      <c r="BE51" s="79">
        <f t="shared" si="50"/>
        <v>44.190182506622222</v>
      </c>
      <c r="BF51" s="79">
        <f t="shared" si="50"/>
        <v>45.052521455635862</v>
      </c>
      <c r="BG51" s="79">
        <f t="shared" si="50"/>
        <v>45.915354540832602</v>
      </c>
      <c r="BH51" s="79">
        <f t="shared" si="50"/>
        <v>46.778742498966729</v>
      </c>
      <c r="BI51" s="79">
        <f t="shared" si="50"/>
        <v>47.642744433134908</v>
      </c>
      <c r="BJ51" s="79">
        <f t="shared" si="50"/>
        <v>48.507417718774398</v>
      </c>
      <c r="BK51" s="79">
        <f t="shared" si="50"/>
        <v>49.372817910200439</v>
      </c>
      <c r="BL51" s="79">
        <f t="shared" si="50"/>
        <v>50.238998647580566</v>
      </c>
      <c r="BM51" s="79">
        <f t="shared" si="50"/>
        <v>51.106011564151174</v>
      </c>
      <c r="BN51" s="79">
        <f t="shared" si="50"/>
        <v>51.973906193368315</v>
      </c>
      <c r="BO51" s="79">
        <f t="shared" si="50"/>
        <v>52.842729875547299</v>
      </c>
      <c r="BP51" s="79">
        <f t="shared" si="50"/>
        <v>53.712527663377763</v>
      </c>
      <c r="BQ51" s="79">
        <f t="shared" si="50"/>
        <v>54.583342225498853</v>
      </c>
      <c r="BR51" s="79">
        <f t="shared" si="50"/>
        <v>55.455213747075057</v>
      </c>
      <c r="BS51" s="79">
        <f t="shared" si="50"/>
        <v>56.328179826018378</v>
      </c>
      <c r="BT51" s="79">
        <f t="shared" si="50"/>
        <v>57.202275363149937</v>
      </c>
      <c r="BU51" s="79">
        <f t="shared" si="50"/>
        <v>58.077532444169215</v>
      </c>
      <c r="BV51" s="79">
        <f t="shared" ref="BV51:DD51" si="51">MIN($C$12,BV42+BV47)</f>
        <v>58.953980210791862</v>
      </c>
      <c r="BW51" s="79">
        <f t="shared" si="51"/>
        <v>59.831644717807542</v>
      </c>
      <c r="BX51" s="79">
        <f t="shared" si="51"/>
        <v>60.710548772082952</v>
      </c>
      <c r="BY51" s="79">
        <f t="shared" si="51"/>
        <v>61.590711748664397</v>
      </c>
      <c r="BZ51" s="79">
        <f t="shared" si="51"/>
        <v>62.472149378094699</v>
      </c>
      <c r="CA51" s="79">
        <f t="shared" si="51"/>
        <v>63.354873497816456</v>
      </c>
      <c r="CB51" s="79">
        <f t="shared" si="51"/>
        <v>64.238891759045316</v>
      </c>
      <c r="CC51" s="79">
        <f t="shared" si="51"/>
        <v>65.1242072787159</v>
      </c>
      <c r="CD51" s="79">
        <f t="shared" si="51"/>
        <v>66.010818223963966</v>
      </c>
      <c r="CE51" s="79">
        <f t="shared" si="51"/>
        <v>66.898717314034101</v>
      </c>
      <c r="CF51" s="79">
        <f t="shared" si="51"/>
        <v>67.78789122139311</v>
      </c>
      <c r="CG51" s="79">
        <f t="shared" si="51"/>
        <v>68.678319850050968</v>
      </c>
      <c r="CH51" s="79">
        <f t="shared" si="51"/>
        <v>69.569975464475547</v>
      </c>
      <c r="CI51" s="79">
        <f t="shared" si="51"/>
        <v>70.462821636794246</v>
      </c>
      <c r="CJ51" s="79">
        <f t="shared" si="51"/>
        <v>71.356811972887797</v>
      </c>
      <c r="CK51" s="79">
        <f t="shared" si="51"/>
        <v>72.251888569042848</v>
      </c>
      <c r="CL51" s="79">
        <f t="shared" si="51"/>
        <v>73.14798013939722</v>
      </c>
      <c r="CM51" s="79">
        <f t="shared" si="51"/>
        <v>74.044999739544906</v>
      </c>
      <c r="CN51" s="79">
        <f t="shared" si="51"/>
        <v>74.94284199198259</v>
      </c>
      <c r="CO51" s="79">
        <f t="shared" si="51"/>
        <v>75.841379692489681</v>
      </c>
      <c r="CP51" s="79">
        <f t="shared" si="51"/>
        <v>76.740459639857249</v>
      </c>
      <c r="CQ51" s="79">
        <f t="shared" si="51"/>
        <v>77.639897479656369</v>
      </c>
      <c r="CR51" s="79">
        <f t="shared" si="51"/>
        <v>78.539471278086609</v>
      </c>
      <c r="CS51" s="79">
        <f t="shared" si="51"/>
        <v>79.438913431569048</v>
      </c>
      <c r="CT51" s="79">
        <f t="shared" si="51"/>
        <v>80.33790035032041</v>
      </c>
      <c r="CU51" s="79">
        <f t="shared" si="51"/>
        <v>81.236039093066424</v>
      </c>
      <c r="CV51" s="79">
        <f t="shared" si="51"/>
        <v>82.132849710393145</v>
      </c>
      <c r="CW51" s="79">
        <f t="shared" si="51"/>
        <v>83.027741356217433</v>
      </c>
      <c r="CX51" s="79">
        <f t="shared" si="51"/>
        <v>83.919979019356788</v>
      </c>
      <c r="CY51" s="79">
        <f t="shared" si="51"/>
        <v>84.808635540015302</v>
      </c>
      <c r="CZ51" s="79">
        <f t="shared" si="51"/>
        <v>85.692519390996935</v>
      </c>
      <c r="DA51" s="79">
        <f t="shared" si="51"/>
        <v>86.570060143362525</v>
      </c>
      <c r="DB51" s="79">
        <f t="shared" si="51"/>
        <v>87.439114511767272</v>
      </c>
      <c r="DC51" s="79">
        <f t="shared" si="51"/>
        <v>88.296608841626977</v>
      </c>
      <c r="DD51" s="79">
        <f t="shared" si="51"/>
        <v>89.137799787040393</v>
      </c>
    </row>
    <row r="52" spans="1:108" x14ac:dyDescent="0.2">
      <c r="A52" s="9" t="s">
        <v>583</v>
      </c>
      <c r="B52" s="3" t="s">
        <v>584</v>
      </c>
      <c r="C52" s="78">
        <f>C51/$C$21</f>
        <v>0.28065889577765124</v>
      </c>
      <c r="D52" s="78">
        <f ca="1">D51/$C$21</f>
        <v>0.28065889577765124</v>
      </c>
      <c r="E52" s="78">
        <f ca="1">E51/$C$21</f>
        <v>1.5749517885441455</v>
      </c>
      <c r="F52" s="54" t="s">
        <v>658</v>
      </c>
      <c r="I52" s="3" t="s">
        <v>584</v>
      </c>
      <c r="J52" s="78">
        <f t="shared" ref="J52:BU52" si="52">J51/$C$21</f>
        <v>0.28065889577765124</v>
      </c>
      <c r="K52" s="78">
        <f t="shared" si="52"/>
        <v>0.36862512851343276</v>
      </c>
      <c r="L52" s="78">
        <f t="shared" si="52"/>
        <v>0.45632148334156597</v>
      </c>
      <c r="M52" s="78">
        <f t="shared" si="52"/>
        <v>0.54375529105320652</v>
      </c>
      <c r="N52" s="78">
        <f t="shared" si="52"/>
        <v>0.63093366867683986</v>
      </c>
      <c r="O52" s="78">
        <f t="shared" si="52"/>
        <v>0.71786355606891894</v>
      </c>
      <c r="P52" s="78">
        <f t="shared" si="52"/>
        <v>0.80455174876314484</v>
      </c>
      <c r="Q52" s="78">
        <f t="shared" si="52"/>
        <v>0.89100492736815928</v>
      </c>
      <c r="R52" s="78">
        <f t="shared" si="52"/>
        <v>0.97722968377473196</v>
      </c>
      <c r="S52" s="78">
        <f t="shared" si="52"/>
        <v>1.0632325444098183</v>
      </c>
      <c r="T52" s="78">
        <f t="shared" si="52"/>
        <v>1.1490199907550116</v>
      </c>
      <c r="U52" s="78">
        <f t="shared" si="52"/>
        <v>1.2345984773300025</v>
      </c>
      <c r="V52" s="78">
        <f t="shared" si="52"/>
        <v>1.3199744473270651</v>
      </c>
      <c r="W52" s="78">
        <f t="shared" si="52"/>
        <v>1.4051543460696756</v>
      </c>
      <c r="X52" s="78">
        <f t="shared" si="52"/>
        <v>1.4901446324568359</v>
      </c>
      <c r="Y52" s="78">
        <f t="shared" si="52"/>
        <v>1.5749517885441455</v>
      </c>
      <c r="Z52" s="78">
        <f t="shared" si="52"/>
        <v>1.6595823274029233</v>
      </c>
      <c r="AA52" s="78">
        <f t="shared" si="52"/>
        <v>1.7440427993895975</v>
      </c>
      <c r="AB52" s="78">
        <f t="shared" si="52"/>
        <v>1.8283397969490003</v>
      </c>
      <c r="AC52" s="78">
        <f t="shared" si="52"/>
        <v>1.9124799580670708</v>
      </c>
      <c r="AD52" s="78">
        <f t="shared" si="52"/>
        <v>1.9964699684807401</v>
      </c>
      <c r="AE52" s="78">
        <f t="shared" si="52"/>
        <v>2.0803165627453875</v>
      </c>
      <c r="AF52" s="78">
        <f t="shared" si="52"/>
        <v>2.1640265242532584</v>
      </c>
      <c r="AG52" s="78">
        <f t="shared" si="52"/>
        <v>2.2476066842895457</v>
      </c>
      <c r="AH52" s="78">
        <f t="shared" si="52"/>
        <v>2.3310639202065486</v>
      </c>
      <c r="AI52" s="78">
        <f t="shared" si="52"/>
        <v>2.4144051527903221</v>
      </c>
      <c r="AJ52" s="78">
        <f t="shared" si="52"/>
        <v>2.4976373428886922</v>
      </c>
      <c r="AK52" s="78">
        <f t="shared" si="52"/>
        <v>2.5807674873642314</v>
      </c>
      <c r="AL52" s="78">
        <f t="shared" si="52"/>
        <v>2.6638026144309825</v>
      </c>
      <c r="AM52" s="78">
        <f t="shared" si="52"/>
        <v>2.7467497784292152</v>
      </c>
      <c r="AN52" s="78">
        <f t="shared" si="52"/>
        <v>2.8296160540884179</v>
      </c>
      <c r="AO52" s="78">
        <f t="shared" si="52"/>
        <v>2.9124085303249903</v>
      </c>
      <c r="AP52" s="78">
        <f t="shared" si="52"/>
        <v>2.9951343036177382</v>
      </c>
      <c r="AQ52" s="78">
        <f t="shared" si="52"/>
        <v>3.0778004710012614</v>
      </c>
      <c r="AR52" s="78">
        <f t="shared" si="52"/>
        <v>3.1604141227146232</v>
      </c>
      <c r="AS52" s="78">
        <f t="shared" si="52"/>
        <v>3.2429823345403772</v>
      </c>
      <c r="AT52" s="78">
        <f t="shared" si="52"/>
        <v>3.3255121598668929</v>
      </c>
      <c r="AU52" s="78">
        <f t="shared" si="52"/>
        <v>3.4080106215051913</v>
      </c>
      <c r="AV52" s="78">
        <f t="shared" si="52"/>
        <v>3.4904847032898831</v>
      </c>
      <c r="AW52" s="78">
        <f t="shared" si="52"/>
        <v>3.5729413414925069</v>
      </c>
      <c r="AX52" s="78">
        <f t="shared" si="52"/>
        <v>3.6553874160743032</v>
      </c>
      <c r="AY52" s="78">
        <f t="shared" si="52"/>
        <v>3.7378297418044939</v>
      </c>
      <c r="AZ52" s="78">
        <f t="shared" si="52"/>
        <v>3.820275059269044</v>
      </c>
      <c r="BA52" s="78">
        <f t="shared" si="52"/>
        <v>3.9027300257939954</v>
      </c>
      <c r="BB52" s="78">
        <f t="shared" si="52"/>
        <v>3.9852012063064324</v>
      </c>
      <c r="BC52" s="78">
        <f t="shared" si="52"/>
        <v>4.0676950641550071</v>
      </c>
      <c r="BD52" s="78">
        <f t="shared" si="52"/>
        <v>4.1502179519106939</v>
      </c>
      <c r="BE52" s="78">
        <f t="shared" si="52"/>
        <v>4.2327761021668797</v>
      </c>
      <c r="BF52" s="78">
        <f t="shared" si="52"/>
        <v>4.315375618355926</v>
      </c>
      <c r="BG52" s="78">
        <f t="shared" si="52"/>
        <v>4.3980224655969931</v>
      </c>
      <c r="BH52" s="78">
        <f t="shared" si="52"/>
        <v>4.4807224615868515</v>
      </c>
      <c r="BI52" s="78">
        <f t="shared" si="52"/>
        <v>4.5634812675416585</v>
      </c>
      <c r="BJ52" s="78">
        <f t="shared" si="52"/>
        <v>4.6463043791929506</v>
      </c>
      <c r="BK52" s="78">
        <f t="shared" si="52"/>
        <v>4.729197117835291</v>
      </c>
      <c r="BL52" s="78">
        <f t="shared" si="52"/>
        <v>4.8121646214157634</v>
      </c>
      <c r="BM52" s="78">
        <f t="shared" si="52"/>
        <v>4.8952118356466645</v>
      </c>
      <c r="BN52" s="78">
        <f t="shared" si="52"/>
        <v>4.9783435051119076</v>
      </c>
      <c r="BO52" s="78">
        <f t="shared" si="52"/>
        <v>5.0615641643244542</v>
      </c>
      <c r="BP52" s="78">
        <f t="shared" si="52"/>
        <v>5.144878128676031</v>
      </c>
      <c r="BQ52" s="78">
        <f t="shared" si="52"/>
        <v>5.2282894852010395</v>
      </c>
      <c r="BR52" s="78">
        <f t="shared" si="52"/>
        <v>5.3118020830531663</v>
      </c>
      <c r="BS52" s="78">
        <f t="shared" si="52"/>
        <v>5.3954195235649793</v>
      </c>
      <c r="BT52" s="78">
        <f t="shared" si="52"/>
        <v>5.4791451497270058</v>
      </c>
      <c r="BU52" s="78">
        <f t="shared" si="52"/>
        <v>5.5629820348821086</v>
      </c>
      <c r="BV52" s="78">
        <f t="shared" ref="BV52:DD52" si="53">BV51/$C$21</f>
        <v>5.6469329703823625</v>
      </c>
      <c r="BW52" s="78">
        <f t="shared" si="53"/>
        <v>5.7310004518972741</v>
      </c>
      <c r="BX52" s="78">
        <f t="shared" si="53"/>
        <v>5.8151866639926197</v>
      </c>
      <c r="BY52" s="78">
        <f t="shared" si="53"/>
        <v>5.8994934625157471</v>
      </c>
      <c r="BZ52" s="78">
        <f t="shared" si="53"/>
        <v>5.9839223542236306</v>
      </c>
      <c r="CA52" s="78">
        <f t="shared" si="53"/>
        <v>6.0684744729709248</v>
      </c>
      <c r="CB52" s="78">
        <f t="shared" si="53"/>
        <v>6.1531505516326934</v>
      </c>
      <c r="CC52" s="78">
        <f t="shared" si="53"/>
        <v>6.2379508887658908</v>
      </c>
      <c r="CD52" s="78">
        <f t="shared" si="53"/>
        <v>6.3228753088088094</v>
      </c>
      <c r="CE52" s="78">
        <f t="shared" si="53"/>
        <v>6.4079231143710826</v>
      </c>
      <c r="CF52" s="78">
        <f t="shared" si="53"/>
        <v>6.4930930288690725</v>
      </c>
      <c r="CG52" s="78">
        <f t="shared" si="53"/>
        <v>6.5783831273995181</v>
      </c>
      <c r="CH52" s="78">
        <f t="shared" si="53"/>
        <v>6.6637907533022558</v>
      </c>
      <c r="CI52" s="78">
        <f t="shared" si="53"/>
        <v>6.7493124173174568</v>
      </c>
      <c r="CJ52" s="78">
        <f t="shared" si="53"/>
        <v>6.8349436755639656</v>
      </c>
      <c r="CK52" s="78">
        <f t="shared" si="53"/>
        <v>6.9206789817090852</v>
      </c>
      <c r="CL52" s="78">
        <f t="shared" si="53"/>
        <v>7.0065115076050981</v>
      </c>
      <c r="CM52" s="78">
        <f t="shared" si="53"/>
        <v>7.0924329252437657</v>
      </c>
      <c r="CN52" s="78">
        <f t="shared" si="53"/>
        <v>7.1784331409945015</v>
      </c>
      <c r="CO52" s="78">
        <f t="shared" si="53"/>
        <v>7.2644999705449891</v>
      </c>
      <c r="CP52" s="78">
        <f t="shared" si="53"/>
        <v>7.3506187394499287</v>
      </c>
      <c r="CQ52" s="78">
        <f t="shared" si="53"/>
        <v>7.4367717892391161</v>
      </c>
      <c r="CR52" s="78">
        <f t="shared" si="53"/>
        <v>7.5229378618856906</v>
      </c>
      <c r="CS52" s="78">
        <f t="shared" si="53"/>
        <v>7.6090913248629359</v>
      </c>
      <c r="CT52" s="78">
        <f t="shared" si="53"/>
        <v>7.6952011829808828</v>
      </c>
      <c r="CU52" s="78">
        <f t="shared" si="53"/>
        <v>7.7812297981864393</v>
      </c>
      <c r="CV52" s="78">
        <f t="shared" si="53"/>
        <v>7.8671311983135199</v>
      </c>
      <c r="CW52" s="78">
        <f t="shared" si="53"/>
        <v>7.9528487889097166</v>
      </c>
      <c r="CX52" s="78">
        <f t="shared" si="53"/>
        <v>8.0383121666050563</v>
      </c>
      <c r="CY52" s="78">
        <f t="shared" si="53"/>
        <v>8.1234325229899724</v>
      </c>
      <c r="CZ52" s="78">
        <f t="shared" si="53"/>
        <v>8.2080957271069863</v>
      </c>
      <c r="DA52" s="78">
        <f t="shared" si="53"/>
        <v>8.2921513547282117</v>
      </c>
      <c r="DB52" s="78">
        <f t="shared" si="53"/>
        <v>8.3753941103225369</v>
      </c>
      <c r="DC52" s="78">
        <f t="shared" si="53"/>
        <v>8.4575295825313201</v>
      </c>
      <c r="DD52" s="78">
        <f t="shared" si="53"/>
        <v>8.5381034278774326</v>
      </c>
    </row>
    <row r="53" spans="1:108" x14ac:dyDescent="0.2">
      <c r="A53" s="9" t="s">
        <v>585</v>
      </c>
      <c r="B53" s="3" t="s">
        <v>586</v>
      </c>
      <c r="C53" s="76">
        <f>C45*C52^2/2/9.81</f>
        <v>4.274428524499085E-3</v>
      </c>
      <c r="D53" s="76">
        <f ca="1">D45*D52^2/2/9.81</f>
        <v>4.274428524499085E-3</v>
      </c>
      <c r="E53" s="76">
        <f ca="1">E45*E52^2/2/9.81</f>
        <v>7.4613971529757545E-2</v>
      </c>
      <c r="F53" s="54" t="s">
        <v>653</v>
      </c>
      <c r="I53" s="3" t="s">
        <v>586</v>
      </c>
      <c r="J53" s="76">
        <f>J45*J52^2/2/9.81</f>
        <v>4.274428524499085E-3</v>
      </c>
      <c r="K53" s="76">
        <f t="shared" ref="K53:BV53" si="54">K45*K52^2/2/9.81</f>
        <v>6.9617023340688101E-3</v>
      </c>
      <c r="L53" s="76">
        <f t="shared" si="54"/>
        <v>1.0094050239995706E-2</v>
      </c>
      <c r="M53" s="76">
        <f t="shared" si="54"/>
        <v>1.3593340582413335E-2</v>
      </c>
      <c r="N53" s="76">
        <f t="shared" si="54"/>
        <v>1.7400379072825573E-2</v>
      </c>
      <c r="O53" s="76">
        <f t="shared" si="54"/>
        <v>2.1472158522230906E-2</v>
      </c>
      <c r="P53" s="76">
        <f t="shared" si="54"/>
        <v>2.5779385590965521E-2</v>
      </c>
      <c r="Q53" s="76">
        <f t="shared" si="54"/>
        <v>3.0304262946266029E-2</v>
      </c>
      <c r="R53" s="76">
        <f t="shared" si="54"/>
        <v>3.5038506830171262E-2</v>
      </c>
      <c r="S53" s="76">
        <f t="shared" si="54"/>
        <v>3.9981581507197515E-2</v>
      </c>
      <c r="T53" s="76">
        <f t="shared" si="54"/>
        <v>4.5139133397802296E-2</v>
      </c>
      <c r="U53" s="76">
        <f t="shared" si="54"/>
        <v>5.0521608926428097E-2</v>
      </c>
      <c r="V53" s="76">
        <f t="shared" si="54"/>
        <v>5.6143041235721156E-2</v>
      </c>
      <c r="W53" s="76">
        <f t="shared" si="54"/>
        <v>6.2019991952980948E-2</v>
      </c>
      <c r="X53" s="76">
        <f t="shared" si="54"/>
        <v>6.8170635150830272E-2</v>
      </c>
      <c r="Y53" s="76">
        <f t="shared" si="54"/>
        <v>7.4613971529757545E-2</v>
      </c>
      <c r="Z53" s="76">
        <f t="shared" si="54"/>
        <v>8.1369161672539908E-2</v>
      </c>
      <c r="AA53" s="76">
        <f t="shared" si="54"/>
        <v>8.8454967985476057E-2</v>
      </c>
      <c r="AB53" s="76">
        <f t="shared" si="54"/>
        <v>9.5889295653793463E-2</v>
      </c>
      <c r="AC53" s="76">
        <f t="shared" si="54"/>
        <v>0.10368882360272724</v>
      </c>
      <c r="AD53" s="76">
        <f t="shared" si="54"/>
        <v>0.11186871707514062</v>
      </c>
      <c r="AE53" s="76">
        <f t="shared" si="54"/>
        <v>0.12044241401417675</v>
      </c>
      <c r="AF53" s="76">
        <f t="shared" si="54"/>
        <v>0.12942147797787706</v>
      </c>
      <c r="AG53" s="76">
        <f t="shared" si="54"/>
        <v>0.1388155108141777</v>
      </c>
      <c r="AH53" s="76">
        <f t="shared" si="54"/>
        <v>0.14863211879114976</v>
      </c>
      <c r="AI53" s="76">
        <f t="shared" si="54"/>
        <v>0.15887692631045455</v>
      </c>
      <c r="AJ53" s="76">
        <f t="shared" si="54"/>
        <v>0.16955363173330623</v>
      </c>
      <c r="AK53" s="76">
        <f t="shared" si="54"/>
        <v>0.1806641002191236</v>
      </c>
      <c r="AL53" s="76">
        <f t="shared" si="54"/>
        <v>0.19220848881884173</v>
      </c>
      <c r="AM53" s="76">
        <f t="shared" si="54"/>
        <v>0.20418539937878455</v>
      </c>
      <c r="AN53" s="76">
        <f t="shared" si="54"/>
        <v>0.21659205509826707</v>
      </c>
      <c r="AO53" s="76">
        <f t="shared" si="54"/>
        <v>0.22942449684595254</v>
      </c>
      <c r="AP53" s="76">
        <f t="shared" si="54"/>
        <v>0.24267779557766248</v>
      </c>
      <c r="AQ53" s="76">
        <f t="shared" si="54"/>
        <v>0.25634627741313953</v>
      </c>
      <c r="AR53" s="76">
        <f t="shared" si="54"/>
        <v>0.27042375812257557</v>
      </c>
      <c r="AS53" s="76">
        <f t="shared" si="54"/>
        <v>0.28490378394704169</v>
      </c>
      <c r="AT53" s="76">
        <f t="shared" si="54"/>
        <v>0.29977987583192073</v>
      </c>
      <c r="AU53" s="76">
        <f t="shared" si="54"/>
        <v>0.31504577429083208</v>
      </c>
      <c r="AV53" s="76">
        <f t="shared" si="54"/>
        <v>0.33069568224137857</v>
      </c>
      <c r="AW53" s="76">
        <f t="shared" si="54"/>
        <v>0.34672450326553006</v>
      </c>
      <c r="AX53" s="76">
        <f t="shared" si="54"/>
        <v>0.36312807284913029</v>
      </c>
      <c r="AY53" s="76">
        <f t="shared" si="54"/>
        <v>0.37990338024970471</v>
      </c>
      <c r="AZ53" s="76">
        <f t="shared" si="54"/>
        <v>0.39704877873261635</v>
      </c>
      <c r="BA53" s="76">
        <f t="shared" si="54"/>
        <v>0.41456418200634459</v>
      </c>
      <c r="BB53" s="76">
        <f t="shared" si="54"/>
        <v>0.43245124478236813</v>
      </c>
      <c r="BC53" s="76">
        <f t="shared" si="54"/>
        <v>0.45071352548842214</v>
      </c>
      <c r="BD53" s="76">
        <f t="shared" si="54"/>
        <v>0.46935662928121435</v>
      </c>
      <c r="BE53" s="76">
        <f t="shared" si="54"/>
        <v>0.48838832964193157</v>
      </c>
      <c r="BF53" s="76">
        <f t="shared" si="54"/>
        <v>0.5078186670020447</v>
      </c>
      <c r="BG53" s="76">
        <f t="shared" si="54"/>
        <v>0.52766002304563386</v>
      </c>
      <c r="BH53" s="76">
        <f t="shared" si="54"/>
        <v>0.54792716957684096</v>
      </c>
      <c r="BI53" s="76">
        <f t="shared" si="54"/>
        <v>0.56863729113670836</v>
      </c>
      <c r="BJ53" s="76">
        <f t="shared" si="54"/>
        <v>0.58980998091434289</v>
      </c>
      <c r="BK53" s="76">
        <f t="shared" si="54"/>
        <v>0.61146720993555637</v>
      </c>
      <c r="BL53" s="76">
        <f t="shared" si="54"/>
        <v>0.63363327004258463</v>
      </c>
      <c r="BM53" s="76">
        <f t="shared" si="54"/>
        <v>0.65633469181723969</v>
      </c>
      <c r="BN53" s="76">
        <f t="shared" si="54"/>
        <v>0.67960013936565034</v>
      </c>
      <c r="BO53" s="76">
        <f t="shared" si="54"/>
        <v>0.70346028479602218</v>
      </c>
      <c r="BP53" s="76">
        <f t="shared" si="54"/>
        <v>0.72794766630489049</v>
      </c>
      <c r="BQ53" s="76">
        <f t="shared" si="54"/>
        <v>0.75309653506867325</v>
      </c>
      <c r="BR53" s="76">
        <f t="shared" si="54"/>
        <v>0.77894269764423985</v>
      </c>
      <c r="BS53" s="76">
        <f t="shared" si="54"/>
        <v>0.80552336234918498</v>
      </c>
      <c r="BT53" s="76">
        <f t="shared" si="54"/>
        <v>0.832877000153741</v>
      </c>
      <c r="BU53" s="76">
        <f t="shared" si="54"/>
        <v>0.86104323301557129</v>
      </c>
      <c r="BV53" s="76">
        <f t="shared" si="54"/>
        <v>0.89006276536876516</v>
      </c>
      <c r="BW53" s="76">
        <f t="shared" ref="BW53:DD53" si="55">BW45*BW52^2/2/9.81</f>
        <v>0.91997737769231669</v>
      </c>
      <c r="BX53" s="76">
        <f t="shared" si="55"/>
        <v>0.95083000478609003</v>
      </c>
      <c r="BY53" s="76">
        <f t="shared" si="55"/>
        <v>0.98266492563678276</v>
      </c>
      <c r="BZ53" s="76">
        <f t="shared" si="55"/>
        <v>1.0155280966324016</v>
      </c>
      <c r="CA53" s="76">
        <f t="shared" si="55"/>
        <v>1.0494676654560213</v>
      </c>
      <c r="CB53" s="76">
        <f t="shared" si="55"/>
        <v>1.0845347093443167</v>
      </c>
      <c r="CC53" s="76">
        <f t="shared" si="55"/>
        <v>1.1207842486230855</v>
      </c>
      <c r="CD53" s="76">
        <f t="shared" si="55"/>
        <v>1.1582765946330311</v>
      </c>
      <c r="CE53" s="76">
        <f t="shared" si="55"/>
        <v>1.1970791004409596</v>
      </c>
      <c r="CF53" s="76">
        <f t="shared" si="55"/>
        <v>1.2372683932123922</v>
      </c>
      <c r="CG53" s="76">
        <f t="shared" si="55"/>
        <v>1.2789331789230063</v>
      </c>
      <c r="CH53" s="76">
        <f t="shared" si="55"/>
        <v>1.3221777233368748</v>
      </c>
      <c r="CI53" s="76">
        <f t="shared" si="55"/>
        <v>1.3671261280109888</v>
      </c>
      <c r="CJ53" s="76">
        <f t="shared" si="55"/>
        <v>1.4139275366200066</v>
      </c>
      <c r="CK53" s="76">
        <f t="shared" si="55"/>
        <v>1.4627624252540006</v>
      </c>
      <c r="CL53" s="76">
        <f t="shared" si="55"/>
        <v>1.5138501506084998</v>
      </c>
      <c r="CM53" s="76">
        <f t="shared" si="55"/>
        <v>1.5674579522121501</v>
      </c>
      <c r="CN53" s="76">
        <f t="shared" si="55"/>
        <v>1.6239116289886841</v>
      </c>
      <c r="CO53" s="76">
        <f t="shared" si="55"/>
        <v>1.6836081363785247</v>
      </c>
      <c r="CP53" s="76">
        <f t="shared" si="55"/>
        <v>1.7470303775967255</v>
      </c>
      <c r="CQ53" s="76">
        <f t="shared" si="55"/>
        <v>1.8147644907122202</v>
      </c>
      <c r="CR53" s="76">
        <f t="shared" si="55"/>
        <v>1.8875199609084199</v>
      </c>
      <c r="CS53" s="76">
        <f t="shared" si="55"/>
        <v>1.9661529124913659</v>
      </c>
      <c r="CT53" s="76">
        <f t="shared" si="55"/>
        <v>2.0516929544862204</v>
      </c>
      <c r="CU53" s="76">
        <f t="shared" si="55"/>
        <v>2.1453739610545872</v>
      </c>
      <c r="CV53" s="76">
        <f t="shared" si="55"/>
        <v>2.24866915311281</v>
      </c>
      <c r="CW53" s="76">
        <f t="shared" si="55"/>
        <v>2.3633307917671131</v>
      </c>
      <c r="CX53" s="76">
        <f t="shared" si="55"/>
        <v>2.4914346625857005</v>
      </c>
      <c r="CY53" s="76">
        <f t="shared" si="55"/>
        <v>2.6354292535755173</v>
      </c>
      <c r="CZ53" s="76">
        <f t="shared" si="55"/>
        <v>2.7981889651288063</v>
      </c>
      <c r="DA53" s="76">
        <f t="shared" si="55"/>
        <v>2.9830695120316042</v>
      </c>
      <c r="DB53" s="76">
        <f t="shared" si="55"/>
        <v>3.1939610789783819</v>
      </c>
      <c r="DC53" s="76">
        <f t="shared" si="55"/>
        <v>3.4353285154115425</v>
      </c>
      <c r="DD53" s="76">
        <f t="shared" si="55"/>
        <v>3.7122105181419074</v>
      </c>
    </row>
    <row r="54" spans="1:108" x14ac:dyDescent="0.2">
      <c r="A54" s="9"/>
      <c r="B54" s="3" t="s">
        <v>587</v>
      </c>
      <c r="C54" s="76">
        <f>C41^2/2/9.81-C53-C50</f>
        <v>0.86827176805375572</v>
      </c>
      <c r="D54" s="76">
        <f ca="1">D41^2/2/9.81-D53-D50</f>
        <v>0.86827176805375572</v>
      </c>
      <c r="E54" s="76">
        <f ca="1">E41^2/2/9.81-E53-E50</f>
        <v>0.89696975537732371</v>
      </c>
      <c r="F54" s="54" t="s">
        <v>653</v>
      </c>
      <c r="I54" s="3" t="s">
        <v>587</v>
      </c>
      <c r="J54" s="76">
        <f>J41^2/2/9.81-J53-J50</f>
        <v>0.86827176805375572</v>
      </c>
      <c r="K54" s="76">
        <f t="shared" ref="K54:BV54" si="56">K41^2/2/9.81-K53-K50</f>
        <v>0.86956760725612448</v>
      </c>
      <c r="L54" s="76">
        <f t="shared" si="56"/>
        <v>0.87109064740405984</v>
      </c>
      <c r="M54" s="76">
        <f t="shared" si="56"/>
        <v>0.8728003925325698</v>
      </c>
      <c r="N54" s="76">
        <f t="shared" si="56"/>
        <v>0.87465943546522329</v>
      </c>
      <c r="O54" s="76">
        <f t="shared" si="56"/>
        <v>0.87663333569995494</v>
      </c>
      <c r="P54" s="76">
        <f t="shared" si="56"/>
        <v>0.87869048995443766</v>
      </c>
      <c r="Q54" s="76">
        <f t="shared" si="56"/>
        <v>0.88080199883637356</v>
      </c>
      <c r="R54" s="76">
        <f t="shared" si="56"/>
        <v>0.88294153217125704</v>
      </c>
      <c r="S54" s="76">
        <f t="shared" si="56"/>
        <v>0.88508519479222603</v>
      </c>
      <c r="T54" s="76">
        <f t="shared" si="56"/>
        <v>0.88721139403532057</v>
      </c>
      <c r="U54" s="76">
        <f t="shared" si="56"/>
        <v>0.88930070975654374</v>
      </c>
      <c r="V54" s="76">
        <f t="shared" si="56"/>
        <v>0.89133576736807729</v>
      </c>
      <c r="W54" s="76">
        <f t="shared" si="56"/>
        <v>0.89330111415780333</v>
      </c>
      <c r="X54" s="76">
        <f t="shared" si="56"/>
        <v>0.89518309899063553</v>
      </c>
      <c r="Y54" s="76">
        <f t="shared" si="56"/>
        <v>0.89696975537732371</v>
      </c>
      <c r="Z54" s="76">
        <f t="shared" si="56"/>
        <v>0.89865068782394442</v>
      </c>
      <c r="AA54" s="76">
        <f t="shared" si="56"/>
        <v>0.90021696133353846</v>
      </c>
      <c r="AB54" s="76">
        <f t="shared" si="56"/>
        <v>0.90166099391217447</v>
      </c>
      <c r="AC54" s="76">
        <f t="shared" si="56"/>
        <v>0.90297645192891451</v>
      </c>
      <c r="AD54" s="76">
        <f t="shared" si="56"/>
        <v>0.90415814818771967</v>
      </c>
      <c r="AE54" s="76">
        <f t="shared" si="56"/>
        <v>0.90520194258524977</v>
      </c>
      <c r="AF54" s="76">
        <f t="shared" si="56"/>
        <v>0.90610464524922119</v>
      </c>
      <c r="AG54" s="76">
        <f t="shared" si="56"/>
        <v>0.90686392207482935</v>
      </c>
      <c r="AH54" s="76">
        <f t="shared" si="56"/>
        <v>0.90747820260058898</v>
      </c>
      <c r="AI54" s="76">
        <f t="shared" si="56"/>
        <v>0.90794659018842339</v>
      </c>
      <c r="AJ54" s="76">
        <f t="shared" si="56"/>
        <v>0.90826877449541055</v>
      </c>
      <c r="AK54" s="76">
        <f t="shared" si="56"/>
        <v>0.90844494624574956</v>
      </c>
      <c r="AL54" s="76">
        <f t="shared" si="56"/>
        <v>0.90847571433120411</v>
      </c>
      <c r="AM54" s="76">
        <f t="shared" si="56"/>
        <v>0.90836202528637422</v>
      </c>
      <c r="AN54" s="76">
        <f t="shared" si="56"/>
        <v>0.9081050852018473</v>
      </c>
      <c r="AO54" s="76">
        <f t="shared" si="56"/>
        <v>0.90770628415358878</v>
      </c>
      <c r="AP54" s="76">
        <f t="shared" si="56"/>
        <v>0.90716712324147686</v>
      </c>
      <c r="AQ54" s="76">
        <f t="shared" si="56"/>
        <v>0.90648914434316286</v>
      </c>
      <c r="AR54" s="76">
        <f t="shared" si="56"/>
        <v>0.90567386270251404</v>
      </c>
      <c r="AS54" s="76">
        <f t="shared" si="56"/>
        <v>0.90472270248421793</v>
      </c>
      <c r="AT54" s="76">
        <f t="shared" si="56"/>
        <v>0.90363693543829715</v>
      </c>
      <c r="AU54" s="76">
        <f t="shared" si="56"/>
        <v>0.90241762283001581</v>
      </c>
      <c r="AV54" s="76">
        <f t="shared" si="56"/>
        <v>0.90106556080223399</v>
      </c>
      <c r="AW54" s="76">
        <f t="shared" si="56"/>
        <v>0.89958122934828744</v>
      </c>
      <c r="AX54" s="76">
        <f t="shared" si="56"/>
        <v>0.89796474508392521</v>
      </c>
      <c r="AY54" s="76">
        <f t="shared" si="56"/>
        <v>0.89621581801623051</v>
      </c>
      <c r="AZ54" s="76">
        <f t="shared" si="56"/>
        <v>0.89433371251545957</v>
      </c>
      <c r="BA54" s="76">
        <f t="shared" si="56"/>
        <v>0.89231721270157571</v>
      </c>
      <c r="BB54" s="76">
        <f t="shared" si="56"/>
        <v>0.89016459246036739</v>
      </c>
      <c r="BC54" s="76">
        <f t="shared" si="56"/>
        <v>0.88787359030327817</v>
      </c>
      <c r="BD54" s="76">
        <f t="shared" si="56"/>
        <v>0.88544138927954119</v>
      </c>
      <c r="BE54" s="76">
        <f t="shared" si="56"/>
        <v>0.88286460213734852</v>
      </c>
      <c r="BF54" s="76">
        <f t="shared" si="56"/>
        <v>0.88013926191130842</v>
      </c>
      <c r="BG54" s="76">
        <f t="shared" si="56"/>
        <v>0.87726081808440615</v>
      </c>
      <c r="BH54" s="76">
        <f t="shared" si="56"/>
        <v>0.87422413843208346</v>
      </c>
      <c r="BI54" s="76">
        <f t="shared" si="56"/>
        <v>0.8710235166017366</v>
      </c>
      <c r="BJ54" s="76">
        <f t="shared" si="56"/>
        <v>0.86765268541007146</v>
      </c>
      <c r="BK54" s="76">
        <f t="shared" si="56"/>
        <v>0.86410483575067687</v>
      </c>
      <c r="BL54" s="76">
        <f t="shared" si="56"/>
        <v>0.86037264089134347</v>
      </c>
      <c r="BM54" s="76">
        <f t="shared" si="56"/>
        <v>0.85644828580179677</v>
      </c>
      <c r="BN54" s="76">
        <f t="shared" si="56"/>
        <v>0.85232350098312359</v>
      </c>
      <c r="BO54" s="76">
        <f t="shared" si="56"/>
        <v>0.84798960006624657</v>
      </c>
      <c r="BP54" s="76">
        <f t="shared" si="56"/>
        <v>0.84343752020309282</v>
      </c>
      <c r="BQ54" s="76">
        <f t="shared" si="56"/>
        <v>0.83865786398521891</v>
      </c>
      <c r="BR54" s="76">
        <f t="shared" si="56"/>
        <v>0.83364094128490773</v>
      </c>
      <c r="BS54" s="76">
        <f t="shared" si="56"/>
        <v>0.82837680901604394</v>
      </c>
      <c r="BT54" s="76">
        <f t="shared" si="56"/>
        <v>0.82285530635004633</v>
      </c>
      <c r="BU54" s="76">
        <f t="shared" si="56"/>
        <v>0.81706608238707634</v>
      </c>
      <c r="BV54" s="76">
        <f t="shared" si="56"/>
        <v>0.81099861266716289</v>
      </c>
      <c r="BW54" s="76">
        <f t="shared" ref="BW54:DD54" si="57">BW41^2/2/9.81-BW53-BW50</f>
        <v>0.80464220019982857</v>
      </c>
      <c r="BX54" s="76">
        <f t="shared" si="57"/>
        <v>0.79798595588497534</v>
      </c>
      <c r="BY54" s="76">
        <f t="shared" si="57"/>
        <v>0.79101875228161855</v>
      </c>
      <c r="BZ54" s="76">
        <f t="shared" si="57"/>
        <v>0.78372914364335955</v>
      </c>
      <c r="CA54" s="76">
        <f t="shared" si="57"/>
        <v>0.77610524396940761</v>
      </c>
      <c r="CB54" s="76">
        <f t="shared" si="57"/>
        <v>0.76813455350576909</v>
      </c>
      <c r="CC54" s="76">
        <f t="shared" si="57"/>
        <v>0.75980372266259355</v>
      </c>
      <c r="CD54" s="76">
        <f t="shared" si="57"/>
        <v>0.75109824068142217</v>
      </c>
      <c r="CE54" s="76">
        <f t="shared" si="57"/>
        <v>0.74200203458400393</v>
      </c>
      <c r="CF54" s="76">
        <f t="shared" si="57"/>
        <v>0.73249696196166836</v>
      </c>
      <c r="CG54" s="76">
        <f t="shared" si="57"/>
        <v>0.72256217902854569</v>
      </c>
      <c r="CH54" s="76">
        <f t="shared" si="57"/>
        <v>0.7121733630845779</v>
      </c>
      <c r="CI54" s="76">
        <f t="shared" si="57"/>
        <v>0.70130176615724205</v>
      </c>
      <c r="CJ54" s="76">
        <f t="shared" si="57"/>
        <v>0.68991307418980119</v>
      </c>
      <c r="CK54" s="76">
        <f t="shared" si="57"/>
        <v>0.67796604384107217</v>
      </c>
      <c r="CL54" s="76">
        <f t="shared" si="57"/>
        <v>0.66541088695633377</v>
      </c>
      <c r="CM54" s="76">
        <f t="shared" si="57"/>
        <v>0.65218737136891258</v>
      </c>
      <c r="CN54" s="76">
        <f t="shared" si="57"/>
        <v>0.63822260637576056</v>
      </c>
      <c r="CO54" s="76">
        <f t="shared" si="57"/>
        <v>0.62342848273044149</v>
      </c>
      <c r="CP54" s="76">
        <f t="shared" si="57"/>
        <v>0.60769874144010849</v>
      </c>
      <c r="CQ54" s="76">
        <f t="shared" si="57"/>
        <v>0.59090565477473733</v>
      </c>
      <c r="CR54" s="76">
        <f t="shared" si="57"/>
        <v>0.57289631940072505</v>
      </c>
      <c r="CS54" s="76">
        <f t="shared" si="57"/>
        <v>0.55348858970505743</v>
      </c>
      <c r="CT54" s="76">
        <f t="shared" si="57"/>
        <v>0.5324667260525735</v>
      </c>
      <c r="CU54" s="76">
        <f t="shared" si="57"/>
        <v>0.50957690927201194</v>
      </c>
      <c r="CV54" s="76">
        <f t="shared" si="57"/>
        <v>0.48452289843933638</v>
      </c>
      <c r="CW54" s="76">
        <f t="shared" si="57"/>
        <v>0.45696231827557376</v>
      </c>
      <c r="CX54" s="76">
        <f t="shared" si="57"/>
        <v>0.42650441868216049</v>
      </c>
      <c r="CY54" s="76">
        <f t="shared" si="57"/>
        <v>0.39271077631121631</v>
      </c>
      <c r="CZ54" s="76">
        <f t="shared" si="57"/>
        <v>0.35510156586123287</v>
      </c>
      <c r="DA54" s="76">
        <f t="shared" si="57"/>
        <v>0.31317230177437638</v>
      </c>
      <c r="DB54" s="76">
        <f t="shared" si="57"/>
        <v>0.26643078963726796</v>
      </c>
      <c r="DC54" s="76">
        <f t="shared" si="57"/>
        <v>0.21447548603255284</v>
      </c>
      <c r="DD54" s="76">
        <f t="shared" si="57"/>
        <v>0.15716781739100938</v>
      </c>
    </row>
    <row r="55" spans="1:108" x14ac:dyDescent="0.2">
      <c r="A55" s="9" t="s">
        <v>588</v>
      </c>
      <c r="B55" s="3" t="s">
        <v>589</v>
      </c>
      <c r="C55" s="80">
        <f>HB/1-C53-C54</f>
        <v>6.6574538034217179</v>
      </c>
      <c r="D55" s="80">
        <f ca="1">HB/1-D53-D54</f>
        <v>6.6574538034217179</v>
      </c>
      <c r="E55" s="80">
        <f ca="1">HB/1-E53-E54</f>
        <v>6.5584162730928917</v>
      </c>
      <c r="F55" s="54" t="s">
        <v>653</v>
      </c>
      <c r="I55" s="3" t="s">
        <v>589</v>
      </c>
      <c r="J55" s="80">
        <f t="shared" ref="J55" si="58">HB/1-J53-J54</f>
        <v>6.6574538034217179</v>
      </c>
      <c r="K55" s="80">
        <f t="shared" ref="K55:BV55" si="59">HB/1-K53-K54</f>
        <v>6.6534706904097796</v>
      </c>
      <c r="L55" s="80">
        <f t="shared" si="59"/>
        <v>6.6488153023559171</v>
      </c>
      <c r="M55" s="80">
        <f t="shared" si="59"/>
        <v>6.6436062668849898</v>
      </c>
      <c r="N55" s="80">
        <f t="shared" si="59"/>
        <v>6.6379401854619235</v>
      </c>
      <c r="O55" s="80">
        <f t="shared" si="59"/>
        <v>6.6318945057777867</v>
      </c>
      <c r="P55" s="80">
        <f t="shared" si="59"/>
        <v>6.6255301244545697</v>
      </c>
      <c r="Q55" s="80">
        <f t="shared" si="59"/>
        <v>6.6188937382173334</v>
      </c>
      <c r="R55" s="80">
        <f t="shared" si="59"/>
        <v>6.6120199609985448</v>
      </c>
      <c r="S55" s="80">
        <f t="shared" si="59"/>
        <v>6.6049332237005496</v>
      </c>
      <c r="T55" s="80">
        <f t="shared" si="59"/>
        <v>6.5976494725668502</v>
      </c>
      <c r="U55" s="80">
        <f t="shared" si="59"/>
        <v>6.5901776813170008</v>
      </c>
      <c r="V55" s="80">
        <f t="shared" si="59"/>
        <v>6.5825211913961743</v>
      </c>
      <c r="W55" s="80">
        <f t="shared" si="59"/>
        <v>6.574678893889188</v>
      </c>
      <c r="X55" s="80">
        <f t="shared" si="59"/>
        <v>6.5666462658585072</v>
      </c>
      <c r="Y55" s="80">
        <f t="shared" si="59"/>
        <v>6.5584162730928917</v>
      </c>
      <c r="Z55" s="80">
        <f t="shared" si="59"/>
        <v>6.5499801505034885</v>
      </c>
      <c r="AA55" s="80">
        <f t="shared" si="59"/>
        <v>6.541328070680958</v>
      </c>
      <c r="AB55" s="80">
        <f t="shared" si="59"/>
        <v>6.5324497104340047</v>
      </c>
      <c r="AC55" s="80">
        <f t="shared" si="59"/>
        <v>6.5233347244683308</v>
      </c>
      <c r="AD55" s="80">
        <f t="shared" si="59"/>
        <v>6.5139731347371121</v>
      </c>
      <c r="AE55" s="80">
        <f t="shared" si="59"/>
        <v>6.5043556434005465</v>
      </c>
      <c r="AF55" s="80">
        <f t="shared" si="59"/>
        <v>6.4944738767728749</v>
      </c>
      <c r="AG55" s="80">
        <f t="shared" si="59"/>
        <v>6.4843205671109656</v>
      </c>
      <c r="AH55" s="80">
        <f t="shared" si="59"/>
        <v>6.4738896786082343</v>
      </c>
      <c r="AI55" s="80">
        <f t="shared" si="59"/>
        <v>6.463176483501095</v>
      </c>
      <c r="AJ55" s="80">
        <f t="shared" si="59"/>
        <v>6.452177593771256</v>
      </c>
      <c r="AK55" s="80">
        <f t="shared" si="59"/>
        <v>6.4408909535350993</v>
      </c>
      <c r="AL55" s="80">
        <f t="shared" si="59"/>
        <v>6.4293157968499273</v>
      </c>
      <c r="AM55" s="80">
        <f t="shared" si="59"/>
        <v>6.4174525753348135</v>
      </c>
      <c r="AN55" s="80">
        <f t="shared" si="59"/>
        <v>6.4053028596998587</v>
      </c>
      <c r="AO55" s="80">
        <f t="shared" si="59"/>
        <v>6.3928692190004313</v>
      </c>
      <c r="AP55" s="80">
        <f t="shared" si="59"/>
        <v>6.380155081180833</v>
      </c>
      <c r="AQ55" s="80">
        <f t="shared" si="59"/>
        <v>6.3671645782436705</v>
      </c>
      <c r="AR55" s="80">
        <f t="shared" si="59"/>
        <v>6.3539023791748832</v>
      </c>
      <c r="AS55" s="80">
        <f t="shared" si="59"/>
        <v>6.3403735135687134</v>
      </c>
      <c r="AT55" s="80">
        <f t="shared" si="59"/>
        <v>6.3265831887297548</v>
      </c>
      <c r="AU55" s="80">
        <f t="shared" si="59"/>
        <v>6.312536602879125</v>
      </c>
      <c r="AV55" s="80">
        <f t="shared" si="59"/>
        <v>6.2982387569563603</v>
      </c>
      <c r="AW55" s="80">
        <f t="shared" si="59"/>
        <v>6.2836942673861556</v>
      </c>
      <c r="AX55" s="80">
        <f t="shared" si="59"/>
        <v>6.2689071820669175</v>
      </c>
      <c r="AY55" s="80">
        <f t="shared" si="59"/>
        <v>6.2538808017340379</v>
      </c>
      <c r="AZ55" s="80">
        <f t="shared" si="59"/>
        <v>6.2386175087518971</v>
      </c>
      <c r="BA55" s="80">
        <f t="shared" si="59"/>
        <v>6.2231186052920524</v>
      </c>
      <c r="BB55" s="80">
        <f t="shared" si="59"/>
        <v>6.2073841627572373</v>
      </c>
      <c r="BC55" s="80">
        <f t="shared" si="59"/>
        <v>6.1914128842082725</v>
      </c>
      <c r="BD55" s="80">
        <f t="shared" si="59"/>
        <v>6.1752019814392174</v>
      </c>
      <c r="BE55" s="80">
        <f t="shared" si="59"/>
        <v>6.1587470682206922</v>
      </c>
      <c r="BF55" s="80">
        <f t="shared" si="59"/>
        <v>6.1420420710866193</v>
      </c>
      <c r="BG55" s="80">
        <f t="shared" si="59"/>
        <v>6.1250791588699327</v>
      </c>
      <c r="BH55" s="80">
        <f t="shared" si="59"/>
        <v>6.1078486919910482</v>
      </c>
      <c r="BI55" s="80">
        <f t="shared" si="59"/>
        <v>6.0903391922615278</v>
      </c>
      <c r="BJ55" s="80">
        <f t="shared" si="59"/>
        <v>6.0725373336755588</v>
      </c>
      <c r="BK55" s="80">
        <f t="shared" si="59"/>
        <v>6.0544279543137396</v>
      </c>
      <c r="BL55" s="80">
        <f t="shared" si="59"/>
        <v>6.0359940890660448</v>
      </c>
      <c r="BM55" s="80">
        <f t="shared" si="59"/>
        <v>6.0172170223809367</v>
      </c>
      <c r="BN55" s="80">
        <f t="shared" si="59"/>
        <v>5.9980763596511988</v>
      </c>
      <c r="BO55" s="80">
        <f t="shared" si="59"/>
        <v>5.9785501151377041</v>
      </c>
      <c r="BP55" s="80">
        <f t="shared" si="59"/>
        <v>5.9586148134919892</v>
      </c>
      <c r="BQ55" s="80">
        <f t="shared" si="59"/>
        <v>5.9382456009460807</v>
      </c>
      <c r="BR55" s="80">
        <f t="shared" si="59"/>
        <v>5.917416361070825</v>
      </c>
      <c r="BS55" s="80">
        <f t="shared" si="59"/>
        <v>5.8960998286347435</v>
      </c>
      <c r="BT55" s="80">
        <f t="shared" si="59"/>
        <v>5.8742676934961855</v>
      </c>
      <c r="BU55" s="80">
        <f t="shared" si="59"/>
        <v>5.8518906845973246</v>
      </c>
      <c r="BV55" s="80">
        <f t="shared" si="59"/>
        <v>5.8289386219640447</v>
      </c>
      <c r="BW55" s="80">
        <f t="shared" ref="BW55:DD55" si="60">HB/1-BW53-BW54</f>
        <v>5.8053804221078273</v>
      </c>
      <c r="BX55" s="80">
        <f t="shared" si="60"/>
        <v>5.7811840393289078</v>
      </c>
      <c r="BY55" s="80">
        <f t="shared" si="60"/>
        <v>5.7563163220815712</v>
      </c>
      <c r="BZ55" s="80">
        <f t="shared" si="60"/>
        <v>5.7307427597242118</v>
      </c>
      <c r="CA55" s="80">
        <f t="shared" si="60"/>
        <v>5.7044270905745442</v>
      </c>
      <c r="CB55" s="80">
        <f t="shared" si="60"/>
        <v>5.6773307371498873</v>
      </c>
      <c r="CC55" s="80">
        <f t="shared" si="60"/>
        <v>5.6494120287142939</v>
      </c>
      <c r="CD55" s="80">
        <f t="shared" si="60"/>
        <v>5.620625164685519</v>
      </c>
      <c r="CE55" s="80">
        <f t="shared" si="60"/>
        <v>5.5909188649750092</v>
      </c>
      <c r="CF55" s="80">
        <f t="shared" si="60"/>
        <v>5.5602346448259112</v>
      </c>
      <c r="CG55" s="80">
        <f t="shared" si="60"/>
        <v>5.5285046420484205</v>
      </c>
      <c r="CH55" s="80">
        <f t="shared" si="60"/>
        <v>5.4956489135785205</v>
      </c>
      <c r="CI55" s="80">
        <f t="shared" si="60"/>
        <v>5.4615721058317419</v>
      </c>
      <c r="CJ55" s="80">
        <f t="shared" si="60"/>
        <v>5.4261593891901647</v>
      </c>
      <c r="CK55" s="80">
        <f t="shared" si="60"/>
        <v>5.3892715309048995</v>
      </c>
      <c r="CL55" s="80">
        <f t="shared" si="60"/>
        <v>5.3507389624351394</v>
      </c>
      <c r="CM55" s="80">
        <f t="shared" si="60"/>
        <v>5.3103546764189105</v>
      </c>
      <c r="CN55" s="80">
        <f t="shared" si="60"/>
        <v>5.2678657646355287</v>
      </c>
      <c r="CO55" s="80">
        <f t="shared" si="60"/>
        <v>5.2229633808910059</v>
      </c>
      <c r="CP55" s="80">
        <f t="shared" si="60"/>
        <v>5.1752708809631383</v>
      </c>
      <c r="CQ55" s="80">
        <f t="shared" si="60"/>
        <v>5.1243298545130145</v>
      </c>
      <c r="CR55" s="80">
        <f t="shared" si="60"/>
        <v>5.0695837196908276</v>
      </c>
      <c r="CS55" s="80">
        <f t="shared" si="60"/>
        <v>5.0103584978035496</v>
      </c>
      <c r="CT55" s="80">
        <f t="shared" si="60"/>
        <v>4.945840319461178</v>
      </c>
      <c r="CU55" s="80">
        <f t="shared" si="60"/>
        <v>4.8750491296733731</v>
      </c>
      <c r="CV55" s="80">
        <f t="shared" si="60"/>
        <v>4.7968079484478263</v>
      </c>
      <c r="CW55" s="80">
        <f t="shared" si="60"/>
        <v>4.7097068899572854</v>
      </c>
      <c r="CX55" s="80">
        <f t="shared" si="60"/>
        <v>4.6120609187321122</v>
      </c>
      <c r="CY55" s="80">
        <f t="shared" si="60"/>
        <v>4.5018599701132391</v>
      </c>
      <c r="CZ55" s="80">
        <f t="shared" si="60"/>
        <v>4.3767094690099331</v>
      </c>
      <c r="DA55" s="80">
        <f t="shared" si="60"/>
        <v>4.2337581861939917</v>
      </c>
      <c r="DB55" s="80">
        <f t="shared" si="60"/>
        <v>4.0696081313843226</v>
      </c>
      <c r="DC55" s="80">
        <f t="shared" si="60"/>
        <v>3.8801959985558767</v>
      </c>
      <c r="DD55" s="80">
        <f t="shared" si="60"/>
        <v>3.6606216644670559</v>
      </c>
    </row>
    <row r="56" spans="1:108" x14ac:dyDescent="0.2">
      <c r="A56" s="9"/>
      <c r="B56" s="3"/>
      <c r="C56" s="9"/>
      <c r="D56" s="9"/>
      <c r="E56" s="9"/>
      <c r="F56" s="10"/>
      <c r="I56" s="3"/>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row>
    <row r="57" spans="1:108" x14ac:dyDescent="0.2">
      <c r="A57" s="3"/>
      <c r="B57" s="3" t="s">
        <v>590</v>
      </c>
      <c r="C57" s="81">
        <f ca="1">IF(C40=0,0,(C49-C38)*Lse*$C$14*Rw*1*C41^2/2/9.81)</f>
        <v>7.7621647719148417</v>
      </c>
      <c r="D57" s="81">
        <f ca="1">IF(D40=0,0,(D49-D38)*Lse*$C$14*Rw*1*D41^2/2/9.81)</f>
        <v>7.7621647719148417</v>
      </c>
      <c r="E57" s="81">
        <f ca="1">IF(E40=0,0,(E49-E38)*Lse*$C$14*Rw*1*E41^2/2/9.81)</f>
        <v>109.12695182202637</v>
      </c>
      <c r="F57" s="54" t="s">
        <v>659</v>
      </c>
      <c r="G57" s="8" t="s">
        <v>591</v>
      </c>
      <c r="I57" s="3" t="s">
        <v>590</v>
      </c>
      <c r="J57" s="81">
        <f t="shared" ref="J57:AO57" ca="1" si="61">IF(J40=0,0,(J49-J38)*Lse*$C$14*Rw*1*J41^2/2/9.81)</f>
        <v>7.7621647719148417</v>
      </c>
      <c r="K57" s="81">
        <f t="shared" ca="1" si="61"/>
        <v>24.215746497314075</v>
      </c>
      <c r="L57" s="81">
        <f t="shared" ca="1" si="61"/>
        <v>38.754569186221076</v>
      </c>
      <c r="M57" s="81">
        <f t="shared" ca="1" si="61"/>
        <v>51.514434861182245</v>
      </c>
      <c r="N57" s="81">
        <f t="shared" ca="1" si="61"/>
        <v>62.626894175235748</v>
      </c>
      <c r="O57" s="81">
        <f t="shared" ca="1" si="61"/>
        <v>72.2190872900145</v>
      </c>
      <c r="P57" s="81">
        <f t="shared" ca="1" si="61"/>
        <v>80.413606047704988</v>
      </c>
      <c r="Q57" s="81">
        <f t="shared" ca="1" si="61"/>
        <v>87.328376687928653</v>
      </c>
      <c r="R57" s="81">
        <f t="shared" ca="1" si="61"/>
        <v>93.076562368338912</v>
      </c>
      <c r="S57" s="81">
        <f t="shared" ca="1" si="61"/>
        <v>97.766484754548543</v>
      </c>
      <c r="T57" s="81">
        <f t="shared" ca="1" si="61"/>
        <v>101.50156395114472</v>
      </c>
      <c r="U57" s="81">
        <f t="shared" ca="1" si="61"/>
        <v>104.38027605119368</v>
      </c>
      <c r="V57" s="81">
        <f t="shared" ca="1" si="61"/>
        <v>106.49612758694408</v>
      </c>
      <c r="W57" s="81">
        <f t="shared" ca="1" si="61"/>
        <v>107.93764616951826</v>
      </c>
      <c r="X57" s="81">
        <f t="shared" ca="1" si="61"/>
        <v>108.78838661034742</v>
      </c>
      <c r="Y57" s="81">
        <f t="shared" ca="1" si="61"/>
        <v>109.12695182202637</v>
      </c>
      <c r="Z57" s="81">
        <f t="shared" ca="1" si="61"/>
        <v>109.0270278012061</v>
      </c>
      <c r="AA57" s="81">
        <f t="shared" ca="1" si="61"/>
        <v>108.55743200115509</v>
      </c>
      <c r="AB57" s="81">
        <f t="shared" ca="1" si="61"/>
        <v>107.78217440673627</v>
      </c>
      <c r="AC57" s="81">
        <f t="shared" ca="1" si="61"/>
        <v>106.76053062979949</v>
      </c>
      <c r="AD57" s="81">
        <f t="shared" ca="1" si="61"/>
        <v>105.54712634838978</v>
      </c>
      <c r="AE57" s="81">
        <f t="shared" ca="1" si="61"/>
        <v>104.19203241874496</v>
      </c>
      <c r="AF57" s="81">
        <f t="shared" ca="1" si="61"/>
        <v>102.74086999479694</v>
      </c>
      <c r="AG57" s="81">
        <f t="shared" ca="1" si="61"/>
        <v>101.23492499581204</v>
      </c>
      <c r="AH57" s="81">
        <f t="shared" ca="1" si="61"/>
        <v>99.711271268912995</v>
      </c>
      <c r="AI57" s="81">
        <f t="shared" ca="1" si="61"/>
        <v>98.202901799495947</v>
      </c>
      <c r="AJ57" s="81">
        <f t="shared" ca="1" si="61"/>
        <v>96.738867329025481</v>
      </c>
      <c r="AK57" s="81">
        <f t="shared" ca="1" si="61"/>
        <v>95.344421746307177</v>
      </c>
      <c r="AL57" s="81">
        <f t="shared" ca="1" si="61"/>
        <v>94.041173625146612</v>
      </c>
      <c r="AM57" s="81">
        <f t="shared" ca="1" si="61"/>
        <v>92.847243288265076</v>
      </c>
      <c r="AN57" s="81">
        <f t="shared" ca="1" si="61"/>
        <v>91.777424784457637</v>
      </c>
      <c r="AO57" s="81">
        <f t="shared" ca="1" si="61"/>
        <v>90.843352173274312</v>
      </c>
      <c r="AP57" s="81">
        <f t="shared" ref="AP57:BU57" ca="1" si="62">IF(AP40=0,0,(AP49-AP38)*Lse*$C$14*Rw*1*AP41^2/2/9.81)</f>
        <v>90.053669518920969</v>
      </c>
      <c r="AQ57" s="81">
        <f t="shared" ca="1" si="62"/>
        <v>89.414204002665855</v>
      </c>
      <c r="AR57" s="81">
        <f t="shared" ca="1" si="62"/>
        <v>88.92814157075918</v>
      </c>
      <c r="AS57" s="81">
        <f t="shared" ca="1" si="62"/>
        <v>88.596204542733332</v>
      </c>
      <c r="AT57" s="81">
        <f t="shared" ca="1" si="62"/>
        <v>88.416830612958179</v>
      </c>
      <c r="AU57" s="81">
        <f t="shared" ca="1" si="62"/>
        <v>88.386352686456661</v>
      </c>
      <c r="AV57" s="81">
        <f t="shared" ca="1" si="62"/>
        <v>88.499178998248311</v>
      </c>
      <c r="AW57" s="81">
        <f t="shared" ca="1" si="62"/>
        <v>88.74797297388136</v>
      </c>
      <c r="AX57" s="81">
        <f t="shared" ca="1" si="62"/>
        <v>89.123832297312219</v>
      </c>
      <c r="AY57" s="81">
        <f t="shared" ca="1" si="62"/>
        <v>89.616466660905061</v>
      </c>
      <c r="AZ57" s="81">
        <f t="shared" ca="1" si="62"/>
        <v>90.214373681052237</v>
      </c>
      <c r="BA57" s="81">
        <f t="shared" ca="1" si="62"/>
        <v>90.905012471701056</v>
      </c>
      <c r="BB57" s="81">
        <f t="shared" ca="1" si="62"/>
        <v>91.67497437696332</v>
      </c>
      <c r="BC57" s="81">
        <f t="shared" ca="1" si="62"/>
        <v>92.510150372906153</v>
      </c>
      <c r="BD57" s="81">
        <f t="shared" ca="1" si="62"/>
        <v>93.395894657587107</v>
      </c>
      <c r="BE57" s="81">
        <f t="shared" ca="1" si="62"/>
        <v>94.317183957354843</v>
      </c>
      <c r="BF57" s="81">
        <f t="shared" ca="1" si="62"/>
        <v>95.258772086368666</v>
      </c>
      <c r="BG57" s="81">
        <f t="shared" ca="1" si="62"/>
        <v>96.205339305122962</v>
      </c>
      <c r="BH57" s="81">
        <f t="shared" ca="1" si="62"/>
        <v>97.141636032504337</v>
      </c>
      <c r="BI57" s="81">
        <f t="shared" ca="1" si="62"/>
        <v>98.052620474416045</v>
      </c>
      <c r="BJ57" s="81">
        <f t="shared" ca="1" si="62"/>
        <v>98.923589740278345</v>
      </c>
      <c r="BK57" s="81">
        <f t="shared" ca="1" si="62"/>
        <v>99.740304026610588</v>
      </c>
      <c r="BL57" s="81">
        <f t="shared" ca="1" si="62"/>
        <v>100.48910345436468</v>
      </c>
      <c r="BM57" s="81">
        <f t="shared" ca="1" si="62"/>
        <v>101.15701715355559</v>
      </c>
      <c r="BN57" s="81">
        <f t="shared" ca="1" si="62"/>
        <v>101.73186419489896</v>
      </c>
      <c r="BO57" s="81">
        <f t="shared" ca="1" si="62"/>
        <v>102.20234597344847</v>
      </c>
      <c r="BP57" s="81">
        <f t="shared" ca="1" si="62"/>
        <v>102.55812965348511</v>
      </c>
      <c r="BQ57" s="81">
        <f t="shared" ca="1" si="62"/>
        <v>102.78992228681732</v>
      </c>
      <c r="BR57" s="81">
        <f t="shared" ca="1" si="62"/>
        <v>102.8895352181321</v>
      </c>
      <c r="BS57" s="81">
        <f t="shared" ca="1" si="62"/>
        <v>102.84993839064185</v>
      </c>
      <c r="BT57" s="81">
        <f t="shared" ca="1" si="62"/>
        <v>102.66530416278337</v>
      </c>
      <c r="BU57" s="81">
        <f t="shared" ca="1" si="62"/>
        <v>102.33104024176001</v>
      </c>
      <c r="BV57" s="81">
        <f t="shared" ref="BV57:DD57" ca="1" si="63">IF(BV40=0,0,(BV49-BV38)*Lse*$C$14*Rw*1*BV41^2/2/9.81)</f>
        <v>101.84381133183452</v>
      </c>
      <c r="BW57" s="81">
        <f t="shared" ca="1" si="63"/>
        <v>101.20154908405136</v>
      </c>
      <c r="BX57" s="81">
        <f t="shared" ca="1" si="63"/>
        <v>100.40344991891281</v>
      </c>
      <c r="BY57" s="81">
        <f t="shared" ca="1" si="63"/>
        <v>99.449960273958595</v>
      </c>
      <c r="BZ57" s="81">
        <f t="shared" ca="1" si="63"/>
        <v>98.342748803371876</v>
      </c>
      <c r="CA57" s="81">
        <f t="shared" ca="1" si="63"/>
        <v>97.084665026101177</v>
      </c>
      <c r="CB57" s="81">
        <f t="shared" ca="1" si="63"/>
        <v>95.679683881532426</v>
      </c>
      <c r="CC57" s="81">
        <f t="shared" ca="1" si="63"/>
        <v>94.13283560661435</v>
      </c>
      <c r="CD57" s="81">
        <f t="shared" ca="1" si="63"/>
        <v>92.450120294423911</v>
      </c>
      <c r="CE57" s="81">
        <f t="shared" ca="1" si="63"/>
        <v>90.638406430264851</v>
      </c>
      <c r="CF57" s="81">
        <f t="shared" ca="1" si="63"/>
        <v>88.705312626162168</v>
      </c>
      <c r="CG57" s="81">
        <f t="shared" ca="1" si="63"/>
        <v>86.659071686407145</v>
      </c>
      <c r="CH57" s="81">
        <f t="shared" ca="1" si="63"/>
        <v>84.508376033999497</v>
      </c>
      <c r="CI57" s="81">
        <f t="shared" ca="1" si="63"/>
        <v>82.262203408158399</v>
      </c>
      <c r="CJ57" s="81">
        <f t="shared" ca="1" si="63"/>
        <v>79.929621604245469</v>
      </c>
      <c r="CK57" s="81">
        <f t="shared" ca="1" si="63"/>
        <v>77.519570866565971</v>
      </c>
      <c r="CL57" s="81">
        <f t="shared" ca="1" si="63"/>
        <v>75.040622357955598</v>
      </c>
      <c r="CM57" s="81">
        <f t="shared" ca="1" si="63"/>
        <v>72.500710913668101</v>
      </c>
      <c r="CN57" s="81">
        <f t="shared" ca="1" si="63"/>
        <v>69.906840035352431</v>
      </c>
      <c r="CO57" s="81">
        <f t="shared" ca="1" si="63"/>
        <v>67.264756786528935</v>
      </c>
      <c r="CP57" s="81">
        <f t="shared" ca="1" si="63"/>
        <v>64.578593904777946</v>
      </c>
      <c r="CQ57" s="81">
        <f t="shared" ca="1" si="63"/>
        <v>61.85047603428886</v>
      </c>
      <c r="CR57" s="81">
        <f t="shared" ca="1" si="63"/>
        <v>59.080086487379432</v>
      </c>
      <c r="CS57" s="81">
        <f t="shared" ca="1" si="63"/>
        <v>56.264190336884134</v>
      </c>
      <c r="CT57" s="81">
        <f t="shared" ca="1" si="63"/>
        <v>53.396108881476501</v>
      </c>
      <c r="CU57" s="81">
        <f t="shared" ca="1" si="63"/>
        <v>50.465139545984471</v>
      </c>
      <c r="CV57" s="81">
        <f t="shared" ca="1" si="63"/>
        <v>47.45591396765699</v>
      </c>
      <c r="CW57" s="81">
        <f t="shared" ca="1" si="63"/>
        <v>44.347685184727879</v>
      </c>
      <c r="CX57" s="81">
        <f t="shared" ca="1" si="63"/>
        <v>41.113532132095735</v>
      </c>
      <c r="CY57" s="81">
        <f t="shared" ca="1" si="63"/>
        <v>37.719465375539869</v>
      </c>
      <c r="CZ57" s="81">
        <f t="shared" ca="1" si="63"/>
        <v>34.123410753698593</v>
      </c>
      <c r="DA57" s="81">
        <f t="shared" ca="1" si="63"/>
        <v>30.274034137814052</v>
      </c>
      <c r="DB57" s="81">
        <f t="shared" ca="1" si="63"/>
        <v>26.109342907529534</v>
      </c>
      <c r="DC57" s="81">
        <f t="shared" ca="1" si="63"/>
        <v>21.554935744910516</v>
      </c>
      <c r="DD57" s="81">
        <f t="shared" ca="1" si="63"/>
        <v>16.521599203673315</v>
      </c>
    </row>
    <row r="58" spans="1:108" x14ac:dyDescent="0.2">
      <c r="A58" s="9"/>
      <c r="B58" s="3" t="s">
        <v>592</v>
      </c>
      <c r="C58" s="79">
        <f ca="1">IF(C40=0,0,C49*Lse*OFFSET(SecProp!$I$28,SProw*(N-1),0)/1*Rw*1*C41^2/2/9.81)</f>
        <v>2.8124049529849171</v>
      </c>
      <c r="D58" s="79">
        <f ca="1">IF(D40=0,0,D49*Lse*OFFSET(SecProp!$I$28,SProw*(N-1),0)/1*Rw*1*D41^2/2/9.81)</f>
        <v>2.8124049529849171</v>
      </c>
      <c r="E58" s="79">
        <f ca="1">IF(E40=0,0,E49*Lse*OFFSET(SecProp!$I$28,SProw*(N-1),0)/1*Rw*1*E41^2/2/9.81)</f>
        <v>2.6356836839436277</v>
      </c>
      <c r="F58" s="54" t="s">
        <v>659</v>
      </c>
      <c r="G58" s="8" t="s">
        <v>593</v>
      </c>
      <c r="I58" s="3" t="s">
        <v>592</v>
      </c>
      <c r="J58" s="79">
        <f ca="1">IF(J40=0,0,J49*Lse*OFFSET(SecProp!$I$28,SProw*(N-1),0)/1*Rw*1*J41^2/2/9.81)</f>
        <v>2.8124049529849171</v>
      </c>
      <c r="K58" s="79">
        <f ca="1">IF(K40=0,0,K49*Lse*OFFSET(SecProp!$I$28,SProw*(N-1),0)/1*Rw*1*K41^2/2/9.81)</f>
        <v>2.8017477685177092</v>
      </c>
      <c r="L58" s="79">
        <f ca="1">IF(L40=0,0,L49*Lse*OFFSET(SecProp!$I$28,SProw*(N-1),0)/1*Rw*1*L41^2/2/9.81)</f>
        <v>2.7908066047281768</v>
      </c>
      <c r="M58" s="79">
        <f ca="1">IF(M40=0,0,M49*Lse*OFFSET(SecProp!$I$28,SProw*(N-1),0)/1*Rw*1*M41^2/2/9.81)</f>
        <v>2.7796311068999482</v>
      </c>
      <c r="N58" s="79">
        <f ca="1">IF(N40=0,0,N49*Lse*OFFSET(SecProp!$I$28,SProw*(N-1),0)/1*Rw*1*N41^2/2/9.81)</f>
        <v>2.7682615684263974</v>
      </c>
      <c r="O58" s="79">
        <f ca="1">IF(O40=0,0,O49*Lse*OFFSET(SecProp!$I$28,SProw*(N-1),0)/1*Rw*1*O41^2/2/9.81)</f>
        <v>2.756730148104884</v>
      </c>
      <c r="P58" s="79">
        <f ca="1">IF(P40=0,0,P49*Lse*OFFSET(SecProp!$I$28,SProw*(N-1),0)/1*Rw*1*P41^2/2/9.81)</f>
        <v>2.7450619731422221</v>
      </c>
      <c r="Q58" s="79">
        <f ca="1">IF(Q40=0,0,Q49*Lse*OFFSET(SecProp!$I$28,SProw*(N-1),0)/1*Rw*1*Q41^2/2/9.81)</f>
        <v>2.7332761355626194</v>
      </c>
      <c r="R58" s="79">
        <f ca="1">IF(R40=0,0,R49*Lse*OFFSET(SecProp!$I$28,SProw*(N-1),0)/1*Rw*1*R41^2/2/9.81)</f>
        <v>2.7213865894195632</v>
      </c>
      <c r="S58" s="79">
        <f ca="1">IF(S40=0,0,S49*Lse*OFFSET(SecProp!$I$28,SProw*(N-1),0)/1*Rw*1*S41^2/2/9.81)</f>
        <v>2.7094029558999568</v>
      </c>
      <c r="T58" s="79">
        <f ca="1">IF(T40=0,0,T49*Lse*OFFSET(SecProp!$I$28,SProw*(N-1),0)/1*Rw*1*T41^2/2/9.81)</f>
        <v>2.6973312430802805</v>
      </c>
      <c r="U58" s="79">
        <f ca="1">IF(U40=0,0,U49*Lse*OFFSET(SecProp!$I$28,SProw*(N-1),0)/1*Rw*1*U41^2/2/9.81)</f>
        <v>2.6851744867572607</v>
      </c>
      <c r="V58" s="79">
        <f ca="1">IF(V40=0,0,V49*Lse*OFFSET(SecProp!$I$28,SProw*(N-1),0)/1*Rw*1*V41^2/2/9.81)</f>
        <v>2.6729333184349198</v>
      </c>
      <c r="W58" s="79">
        <f ca="1">IF(W40=0,0,W49*Lse*OFFSET(SecProp!$I$28,SProw*(N-1),0)/1*Rw*1*W41^2/2/9.81)</f>
        <v>2.6606064662102797</v>
      </c>
      <c r="X58" s="79">
        <f ca="1">IF(X40=0,0,X49*Lse*OFFSET(SecProp!$I$28,SProw*(N-1),0)/1*Rw*1*X41^2/2/9.81)</f>
        <v>2.6481911939651201</v>
      </c>
      <c r="Y58" s="79">
        <f ca="1">IF(Y40=0,0,Y49*Lse*OFFSET(SecProp!$I$28,SProw*(N-1),0)/1*Rw*1*Y41^2/2/9.81)</f>
        <v>2.6356836839436277</v>
      </c>
      <c r="Z58" s="79">
        <f ca="1">IF(Z40=0,0,Z49*Lse*OFFSET(SecProp!$I$28,SProw*(N-1),0)/1*Rw*1*Z41^2/2/9.81)</f>
        <v>2.6230793674780242</v>
      </c>
      <c r="AA58" s="79">
        <f ca="1">IF(AA40=0,0,AA49*Lse*OFFSET(SecProp!$I$28,SProw*(N-1),0)/1*Rw*1*AA41^2/2/9.81)</f>
        <v>2.6103732083177267</v>
      </c>
      <c r="AB58" s="79">
        <f ca="1">IF(AB40=0,0,AB49*Lse*OFFSET(SecProp!$I$28,SProw*(N-1),0)/1*Rw*1*AB41^2/2/9.81)</f>
        <v>2.5975599427238398</v>
      </c>
      <c r="AC58" s="79">
        <f ca="1">IF(AC40=0,0,AC49*Lse*OFFSET(SecProp!$I$28,SProw*(N-1),0)/1*Rw*1*AC41^2/2/9.81)</f>
        <v>2.5846342802105102</v>
      </c>
      <c r="AD58" s="79">
        <f ca="1">IF(AD40=0,0,AD49*Lse*OFFSET(SecProp!$I$28,SProw*(N-1),0)/1*Rw*1*AD41^2/2/9.81)</f>
        <v>2.5715910685485435</v>
      </c>
      <c r="AE58" s="79">
        <f ca="1">IF(AE40=0,0,AE49*Lse*OFFSET(SecProp!$I$28,SProw*(N-1),0)/1*Rw*1*AE41^2/2/9.81)</f>
        <v>2.5584254263951558</v>
      </c>
      <c r="AF58" s="79">
        <f ca="1">IF(AF40=0,0,AF49*Lse*OFFSET(SecProp!$I$28,SProw*(N-1),0)/1*Rw*1*AF41^2/2/9.81)</f>
        <v>2.5451328466767729</v>
      </c>
      <c r="AG58" s="79">
        <f ca="1">IF(AG40=0,0,AG49*Lse*OFFSET(SecProp!$I$28,SProw*(N-1),0)/1*Rw*1*AG41^2/2/9.81)</f>
        <v>2.5317092736295734</v>
      </c>
      <c r="AH58" s="79">
        <f ca="1">IF(AH40=0,0,AH49*Lse*OFFSET(SecProp!$I$28,SProw*(N-1),0)/1*Rw*1*AH41^2/2/9.81)</f>
        <v>2.518151156194711</v>
      </c>
      <c r="AI58" s="79">
        <f ca="1">IF(AI40=0,0,AI49*Lse*OFFSET(SecProp!$I$28,SProw*(N-1),0)/1*Rw*1*AI41^2/2/9.81)</f>
        <v>2.5044554802716048</v>
      </c>
      <c r="AJ58" s="79">
        <f ca="1">IF(AJ40=0,0,AJ49*Lse*OFFSET(SecProp!$I$28,SProw*(N-1),0)/1*Rw*1*AJ41^2/2/9.81)</f>
        <v>2.4906197821531388</v>
      </c>
      <c r="AK58" s="79">
        <f ca="1">IF(AK40=0,0,AK49*Lse*OFFSET(SecProp!$I$28,SProw*(N-1),0)/1*Rw*1*AK41^2/2/9.81)</f>
        <v>2.4766421453003304</v>
      </c>
      <c r="AL58" s="79">
        <f ca="1">IF(AL40=0,0,AL49*Lse*OFFSET(SecProp!$I$28,SProw*(N-1),0)/1*Rw*1*AL41^2/2/9.81)</f>
        <v>2.4625211824609496</v>
      </c>
      <c r="AM58" s="79">
        <f ca="1">IF(AM40=0,0,AM49*Lse*OFFSET(SecProp!$I$28,SProw*(N-1),0)/1*Rw*1*AM41^2/2/9.81)</f>
        <v>2.4482560049958302</v>
      </c>
      <c r="AN58" s="79">
        <f ca="1">IF(AN40=0,0,AN49*Lse*OFFSET(SecProp!$I$28,SProw*(N-1),0)/1*Rw*1*AN41^2/2/9.81)</f>
        <v>2.4338461811477439</v>
      </c>
      <c r="AO58" s="79">
        <f ca="1">IF(AO40=0,0,AO49*Lse*OFFSET(SecProp!$I$28,SProw*(N-1),0)/1*Rw*1*AO41^2/2/9.81)</f>
        <v>2.4192916848703172</v>
      </c>
      <c r="AP58" s="79">
        <f ca="1">IF(AP40=0,0,AP49*Lse*OFFSET(SecProp!$I$28,SProw*(N-1),0)/1*Rw*1*AP41^2/2/9.81)</f>
        <v>2.4045928367275518</v>
      </c>
      <c r="AQ58" s="79">
        <f ca="1">IF(AQ40=0,0,AQ49*Lse*OFFSET(SecProp!$I$28,SProw*(N-1),0)/1*Rw*1*AQ41^2/2/9.81)</f>
        <v>2.3897502382778466</v>
      </c>
      <c r="AR58" s="79">
        <f ca="1">IF(AR40=0,0,AR49*Lse*OFFSET(SecProp!$I$28,SProw*(N-1),0)/1*Rw*1*AR41^2/2/9.81)</f>
        <v>2.3747647012689561</v>
      </c>
      <c r="AS58" s="79">
        <f ca="1">IF(AS40=0,0,AS49*Lse*OFFSET(SecProp!$I$28,SProw*(N-1),0)/1*Rw*1*AS41^2/2/9.81)</f>
        <v>2.3596371728916647</v>
      </c>
      <c r="AT58" s="79">
        <f ca="1">IF(AT40=0,0,AT49*Lse*OFFSET(SecProp!$I$28,SProw*(N-1),0)/1*Rw*1*AT41^2/2/9.81)</f>
        <v>2.3443686582691043</v>
      </c>
      <c r="AU58" s="79">
        <f ca="1">IF(AU40=0,0,AU49*Lse*OFFSET(SecProp!$I$28,SProw*(N-1),0)/1*Rw*1*AU41^2/2/9.81)</f>
        <v>2.3289601412950125</v>
      </c>
      <c r="AV58" s="79">
        <f ca="1">IF(AV40=0,0,AV49*Lse*OFFSET(SecProp!$I$28,SProw*(N-1),0)/1*Rw*1*AV41^2/2/9.81)</f>
        <v>2.3134125048768928</v>
      </c>
      <c r="AW58" s="79">
        <f ca="1">IF(AW40=0,0,AW49*Lse*OFFSET(SecProp!$I$28,SProw*(N-1),0)/1*Rw*1*AW41^2/2/9.81)</f>
        <v>2.2977264515880531</v>
      </c>
      <c r="AX58" s="79">
        <f ca="1">IF(AX40=0,0,AX49*Lse*OFFSET(SecProp!$I$28,SProw*(N-1),0)/1*Rw*1*AX41^2/2/9.81)</f>
        <v>2.2819024256850211</v>
      </c>
      <c r="AY58" s="79">
        <f ca="1">IF(AY40=0,0,AY49*Lse*OFFSET(SecProp!$I$28,SProw*(N-1),0)/1*Rw*1*AY41^2/2/9.81)</f>
        <v>2.2659405374027357</v>
      </c>
      <c r="AZ58" s="79">
        <f ca="1">IF(AZ40=0,0,AZ49*Lse*OFFSET(SecProp!$I$28,SProw*(N-1),0)/1*Rw*1*AZ41^2/2/9.81)</f>
        <v>2.2498404903979674</v>
      </c>
      <c r="BA58" s="79">
        <f ca="1">IF(BA40=0,0,BA49*Lse*OFFSET(SecProp!$I$28,SProw*(N-1),0)/1*Rw*1*BA41^2/2/9.81)</f>
        <v>2.2336015131705245</v>
      </c>
      <c r="BB58" s="79">
        <f ca="1">IF(BB40=0,0,BB49*Lse*OFFSET(SecProp!$I$28,SProw*(N-1),0)/1*Rw*1*BB41^2/2/9.81)</f>
        <v>2.2172222952503517</v>
      </c>
      <c r="BC58" s="79">
        <f ca="1">IF(BC40=0,0,BC49*Lse*OFFSET(SecProp!$I$28,SProw*(N-1),0)/1*Rw*1*BC41^2/2/9.81)</f>
        <v>2.2007009288951536</v>
      </c>
      <c r="BD58" s="79">
        <f ca="1">IF(BD40=0,0,BD49*Lse*OFFSET(SecProp!$I$28,SProw*(N-1),0)/1*Rw*1*BD41^2/2/9.81)</f>
        <v>2.1840348569958312</v>
      </c>
      <c r="BE58" s="79">
        <f ca="1">IF(BE40=0,0,BE49*Lse*OFFSET(SecProp!$I$28,SProw*(N-1),0)/1*Rw*1*BE41^2/2/9.81)</f>
        <v>2.1672208278338538</v>
      </c>
      <c r="BF58" s="79">
        <f ca="1">IF(BF40=0,0,BF49*Lse*OFFSET(SecProp!$I$28,SProw*(N-1),0)/1*Rw*1*BF41^2/2/9.81)</f>
        <v>2.1502548572733886</v>
      </c>
      <c r="BG58" s="79">
        <f ca="1">IF(BG40=0,0,BG49*Lse*OFFSET(SecProp!$I$28,SProw*(N-1),0)/1*Rw*1*BG41^2/2/9.81)</f>
        <v>2.1331321988991068</v>
      </c>
      <c r="BH58" s="79">
        <f ca="1">IF(BH40=0,0,BH49*Lse*OFFSET(SecProp!$I$28,SProw*(N-1),0)/1*Rw*1*BH41^2/2/9.81)</f>
        <v>2.1158473225250374</v>
      </c>
      <c r="BI58" s="79">
        <f ca="1">IF(BI40=0,0,BI49*Lse*OFFSET(SecProp!$I$28,SProw*(N-1),0)/1*Rw*1*BI41^2/2/9.81)</f>
        <v>2.0983939013976047</v>
      </c>
      <c r="BJ58" s="79">
        <f ca="1">IF(BJ40=0,0,BJ49*Lse*OFFSET(SecProp!$I$28,SProw*(N-1),0)/1*Rw*1*BJ41^2/2/9.81)</f>
        <v>2.0807648082931269</v>
      </c>
      <c r="BK58" s="79">
        <f ca="1">IF(BK40=0,0,BK49*Lse*OFFSET(SecProp!$I$28,SProw*(N-1),0)/1*Rw*1*BK41^2/2/9.81)</f>
        <v>2.0629521205625498</v>
      </c>
      <c r="BL58" s="79">
        <f ca="1">IF(BL40=0,0,BL49*Lse*OFFSET(SecProp!$I$28,SProw*(N-1),0)/1*Rw*1*BL41^2/2/9.81)</f>
        <v>2.0449471339991749</v>
      </c>
      <c r="BM58" s="79">
        <f ca="1">IF(BM40=0,0,BM49*Lse*OFFSET(SecProp!$I$28,SProw*(N-1),0)/1*Rw*1*BM41^2/2/9.81)</f>
        <v>2.0267403851933095</v>
      </c>
      <c r="BN58" s="79">
        <f ca="1">IF(BN40=0,0,BN49*Lse*OFFSET(SecProp!$I$28,SProw*(N-1),0)/1*Rw*1*BN41^2/2/9.81)</f>
        <v>2.0083216817850182</v>
      </c>
      <c r="BO58" s="79">
        <f ca="1">IF(BO40=0,0,BO49*Lse*OFFSET(SecProp!$I$28,SProw*(N-1),0)/1*Rw*1*BO41^2/2/9.81)</f>
        <v>1.9896801397255033</v>
      </c>
      <c r="BP58" s="79">
        <f ca="1">IF(BP40=0,0,BP49*Lse*OFFSET(SecProp!$I$28,SProw*(N-1),0)/1*Rw*1*BP41^2/2/9.81)</f>
        <v>1.9708042263015682</v>
      </c>
      <c r="BQ58" s="79">
        <f ca="1">IF(BQ40=0,0,BQ49*Lse*OFFSET(SecProp!$I$28,SProw*(N-1),0)/1*Rw*1*BQ41^2/2/9.81)</f>
        <v>1.9516818072569688</v>
      </c>
      <c r="BR58" s="79">
        <f ca="1">IF(BR40=0,0,BR49*Lse*OFFSET(SecProp!$I$28,SProw*(N-1),0)/1*Rw*1*BR41^2/2/9.81)</f>
        <v>1.9323001958498769</v>
      </c>
      <c r="BS58" s="79">
        <f ca="1">IF(BS40=0,0,BS49*Lse*OFFSET(SecProp!$I$28,SProw*(N-1),0)/1*Rw*1*BS41^2/2/9.81)</f>
        <v>1.9126462011053402</v>
      </c>
      <c r="BT58" s="79">
        <f ca="1">IF(BT40=0,0,BT49*Lse*OFFSET(SecProp!$I$28,SProw*(N-1),0)/1*Rw*1*BT41^2/2/9.81)</f>
        <v>1.8927061718439566</v>
      </c>
      <c r="BU58" s="79">
        <f ca="1">IF(BU40=0,0,BU49*Lse*OFFSET(SecProp!$I$28,SProw*(N-1),0)/1*Rw*1*BU41^2/2/9.81)</f>
        <v>1.8724660322778501</v>
      </c>
      <c r="BV58" s="79">
        <f ca="1">IF(BV40=0,0,BV49*Lse*OFFSET(SecProp!$I$28,SProw*(N-1),0)/1*Rw*1*BV41^2/2/9.81)</f>
        <v>1.8519113040478121</v>
      </c>
      <c r="BW58" s="79">
        <f ca="1">IF(BW40=0,0,BW49*Lse*OFFSET(SecProp!$I$28,SProw*(N-1),0)/1*Rw*1*BW41^2/2/9.81)</f>
        <v>1.8310271085125742</v>
      </c>
      <c r="BX58" s="79">
        <f ca="1">IF(BX40=0,0,BX49*Lse*OFFSET(SecProp!$I$28,SProw*(N-1),0)/1*Rw*1*BX41^2/2/9.81)</f>
        <v>1.8097981418735554</v>
      </c>
      <c r="BY58" s="79">
        <f ca="1">IF(BY40=0,0,BY49*Lse*OFFSET(SecProp!$I$28,SProw*(N-1),0)/1*Rw*1*BY41^2/2/9.81)</f>
        <v>1.7882086143036291</v>
      </c>
      <c r="BZ58" s="79">
        <f ca="1">IF(BZ40=0,0,BZ49*Lse*OFFSET(SecProp!$I$28,SProw*(N-1),0)/1*Rw*1*BZ41^2/2/9.81)</f>
        <v>1.766242142621816</v>
      </c>
      <c r="CA58" s="79">
        <f ca="1">IF(CA40=0,0,CA49*Lse*OFFSET(SecProp!$I$28,SProw*(N-1),0)/1*Rw*1*CA41^2/2/9.81)</f>
        <v>1.7438815841902227</v>
      </c>
      <c r="CB58" s="79">
        <f ca="1">IF(CB40=0,0,CB49*Lse*OFFSET(SecProp!$I$28,SProw*(N-1),0)/1*Rw*1*CB41^2/2/9.81)</f>
        <v>1.7211087975733959</v>
      </c>
      <c r="CC58" s="79">
        <f ca="1">IF(CC40=0,0,CC49*Lse*OFFSET(SecProp!$I$28,SProw*(N-1),0)/1*Rw*1*CC41^2/2/9.81)</f>
        <v>1.6979043130600049</v>
      </c>
      <c r="CD58" s="79">
        <f ca="1">IF(CD40=0,0,CD49*Lse*OFFSET(SecProp!$I$28,SProw*(N-1),0)/1*Rw*1*CD41^2/2/9.81)</f>
        <v>1.6742468933630197</v>
      </c>
      <c r="CE58" s="79">
        <f ca="1">IF(CE40=0,0,CE49*Lse*OFFSET(SecProp!$I$28,SProw*(N-1),0)/1*Rw*1*CE41^2/2/9.81)</f>
        <v>1.6501129616445864</v>
      </c>
      <c r="CF58" s="79">
        <f ca="1">IF(CF40=0,0,CF49*Lse*OFFSET(SecProp!$I$28,SProw*(N-1),0)/1*Rw*1*CF41^2/2/9.81)</f>
        <v>1.6254758704061814</v>
      </c>
      <c r="CG58" s="79">
        <f ca="1">IF(CG40=0,0,CG49*Lse*OFFSET(SecProp!$I$28,SProw*(N-1),0)/1*Rw*1*CG41^2/2/9.81)</f>
        <v>1.6003049806883316</v>
      </c>
      <c r="CH58" s="79">
        <f ca="1">IF(CH40=0,0,CH49*Lse*OFFSET(SecProp!$I$28,SProw*(N-1),0)/1*Rw*1*CH41^2/2/9.81)</f>
        <v>1.5745645163738402</v>
      </c>
      <c r="CI58" s="79">
        <f ca="1">IF(CI40=0,0,CI49*Lse*OFFSET(SecProp!$I$28,SProw*(N-1),0)/1*Rw*1*CI41^2/2/9.81)</f>
        <v>1.5482121531103421</v>
      </c>
      <c r="CJ58" s="79">
        <f ca="1">IF(CJ40=0,0,CJ49*Lse*OFFSET(SecProp!$I$28,SProw*(N-1),0)/1*Rw*1*CJ41^2/2/9.81)</f>
        <v>1.5211972953784203</v>
      </c>
      <c r="CK58" s="79">
        <f ca="1">IF(CK40=0,0,CK49*Lse*OFFSET(SecProp!$I$28,SProw*(N-1),0)/1*Rw*1*CK41^2/2/9.81)</f>
        <v>1.4934589884270943</v>
      </c>
      <c r="CL58" s="79">
        <f ca="1">IF(CL40=0,0,CL49*Lse*OFFSET(SecProp!$I$28,SProw*(N-1),0)/1*Rw*1*CL41^2/2/9.81)</f>
        <v>1.4649234040595764</v>
      </c>
      <c r="CM58" s="79">
        <f ca="1">IF(CM40=0,0,CM49*Lse*OFFSET(SecProp!$I$28,SProw*(N-1),0)/1*Rw*1*CM41^2/2/9.81)</f>
        <v>1.4355008304262933</v>
      </c>
      <c r="CN58" s="79">
        <f ca="1">IF(CN40=0,0,CN49*Lse*OFFSET(SecProp!$I$28,SProw*(N-1),0)/1*Rw*1*CN41^2/2/9.81)</f>
        <v>1.4050820858810742</v>
      </c>
      <c r="CO58" s="79">
        <f ca="1">IF(CO40=0,0,CO49*Lse*OFFSET(SecProp!$I$28,SProw*(N-1),0)/1*Rw*1*CO41^2/2/9.81)</f>
        <v>1.3735342653322853</v>
      </c>
      <c r="CP58" s="79">
        <f ca="1">IF(CP40=0,0,CP49*Lse*OFFSET(SecProp!$I$28,SProw*(N-1),0)/1*Rw*1*CP41^2/2/9.81)</f>
        <v>1.3406957140464326</v>
      </c>
      <c r="CQ58" s="79">
        <f ca="1">IF(CQ40=0,0,CQ49*Lse*OFFSET(SecProp!$I$28,SProw*(N-1),0)/1*Rw*1*CQ41^2/2/9.81)</f>
        <v>1.3063701080840104</v>
      </c>
      <c r="CR58" s="79">
        <f ca="1">IF(CR40=0,0,CR49*Lse*OFFSET(SecProp!$I$28,SProw*(N-1),0)/1*Rw*1*CR41^2/2/9.81)</f>
        <v>1.2703195018246847</v>
      </c>
      <c r="CS58" s="79">
        <f ca="1">IF(CS40=0,0,CS49*Lse*OFFSET(SecProp!$I$28,SProw*(N-1),0)/1*Rw*1*CS41^2/2/9.81)</f>
        <v>1.2322561804252556</v>
      </c>
      <c r="CT58" s="79">
        <f ca="1">IF(CT40=0,0,CT49*Lse*OFFSET(SecProp!$I$28,SProw*(N-1),0)/1*Rw*1*CT41^2/2/9.81)</f>
        <v>1.1918331271043872</v>
      </c>
      <c r="CU58" s="79">
        <f ca="1">IF(CU40=0,0,CU49*Lse*OFFSET(SecProp!$I$28,SProw*(N-1),0)/1*Rw*1*CU41^2/2/9.81)</f>
        <v>1.1486328795729253</v>
      </c>
      <c r="CV58" s="79">
        <f ca="1">IF(CV40=0,0,CV49*Lse*OFFSET(SecProp!$I$28,SProw*(N-1),0)/1*Rw*1*CV41^2/2/9.81)</f>
        <v>1.1021545029213951</v>
      </c>
      <c r="CW58" s="79">
        <f ca="1">IF(CW40=0,0,CW49*Lse*OFFSET(SecProp!$I$28,SProw*(N-1),0)/1*Rw*1*CW41^2/2/9.81)</f>
        <v>1.0517983412308392</v>
      </c>
      <c r="CX58" s="79">
        <f ca="1">IF(CX40=0,0,CX49*Lse*OFFSET(SecProp!$I$28,SProw*(N-1),0)/1*Rw*1*CX41^2/2/9.81)</f>
        <v>0.99684811498517023</v>
      </c>
      <c r="CY58" s="79">
        <f ca="1">IF(CY40=0,0,CY49*Lse*OFFSET(SecProp!$I$28,SProw*(N-1),0)/1*Rw*1*CY41^2/2/9.81)</f>
        <v>0.93644978251817212</v>
      </c>
      <c r="CZ58" s="79">
        <f ca="1">IF(CZ40=0,0,CZ49*Lse*OFFSET(SecProp!$I$28,SProw*(N-1),0)/1*Rw*1*CZ41^2/2/9.81)</f>
        <v>0.86958633233888871</v>
      </c>
      <c r="DA58" s="79">
        <f ca="1">IF(DA40=0,0,DA49*Lse*OFFSET(SecProp!$I$28,SProw*(N-1),0)/1*Rw*1*DA41^2/2/9.81)</f>
        <v>0.79504720920625449</v>
      </c>
      <c r="DB58" s="79">
        <f ca="1">IF(DB40=0,0,DB49*Lse*OFFSET(SecProp!$I$28,SProw*(N-1),0)/1*Rw*1*DB41^2/2/9.81)</f>
        <v>0.71139012753919517</v>
      </c>
      <c r="DC58" s="79">
        <f ca="1">IF(DC40=0,0,DC49*Lse*OFFSET(SecProp!$I$28,SProw*(N-1),0)/1*Rw*1*DC41^2/2/9.81)</f>
        <v>0.61689082888699109</v>
      </c>
      <c r="DD58" s="79">
        <f ca="1">IF(DD40=0,0,DD49*Lse*OFFSET(SecProp!$I$28,SProw*(N-1),0)/1*Rw*1*DD41^2/2/9.81)</f>
        <v>0.50947040097720464</v>
      </c>
    </row>
    <row r="59" spans="1:108" x14ac:dyDescent="0.2">
      <c r="A59" s="9"/>
      <c r="B59" s="3" t="s">
        <v>594</v>
      </c>
      <c r="C59" s="82">
        <f>IF(OR(C40=0,$C$11&gt;0),0,C49*$C$18/1*Rw*1*C41^2/2/9.81)</f>
        <v>0</v>
      </c>
      <c r="D59" s="82">
        <f ca="1">IF(OR(D40=0,$C$11&gt;0),0,D49*$C$18/1*Rw*1*D41^2/2/9.81)</f>
        <v>0</v>
      </c>
      <c r="E59" s="82">
        <f ca="1">IF(OR(E40=0,$C$11&gt;0),0,E49*$C$18/1*Rw*1*E41^2/2/9.81)</f>
        <v>0</v>
      </c>
      <c r="F59" s="54" t="s">
        <v>659</v>
      </c>
      <c r="G59" s="8" t="s">
        <v>595</v>
      </c>
      <c r="I59" s="3" t="s">
        <v>594</v>
      </c>
      <c r="J59" s="82">
        <f t="shared" ref="J59:AO59" si="64">IF(OR(J40=0,$C$11&gt;0),0,J49*$C$18/1*Rw*1*J41^2/2/9.81)</f>
        <v>0</v>
      </c>
      <c r="K59" s="82">
        <f t="shared" si="64"/>
        <v>0</v>
      </c>
      <c r="L59" s="82">
        <f t="shared" si="64"/>
        <v>0</v>
      </c>
      <c r="M59" s="82">
        <f t="shared" si="64"/>
        <v>0</v>
      </c>
      <c r="N59" s="82">
        <f t="shared" si="64"/>
        <v>0</v>
      </c>
      <c r="O59" s="82">
        <f t="shared" si="64"/>
        <v>0</v>
      </c>
      <c r="P59" s="82">
        <f t="shared" si="64"/>
        <v>0</v>
      </c>
      <c r="Q59" s="82">
        <f t="shared" si="64"/>
        <v>0</v>
      </c>
      <c r="R59" s="82">
        <f t="shared" si="64"/>
        <v>0</v>
      </c>
      <c r="S59" s="82">
        <f t="shared" si="64"/>
        <v>0</v>
      </c>
      <c r="T59" s="82">
        <f t="shared" si="64"/>
        <v>0</v>
      </c>
      <c r="U59" s="82">
        <f t="shared" si="64"/>
        <v>0</v>
      </c>
      <c r="V59" s="82">
        <f t="shared" si="64"/>
        <v>0</v>
      </c>
      <c r="W59" s="82">
        <f t="shared" si="64"/>
        <v>0</v>
      </c>
      <c r="X59" s="82">
        <f t="shared" si="64"/>
        <v>0</v>
      </c>
      <c r="Y59" s="82">
        <f t="shared" si="64"/>
        <v>0</v>
      </c>
      <c r="Z59" s="82">
        <f t="shared" si="64"/>
        <v>0</v>
      </c>
      <c r="AA59" s="82">
        <f t="shared" si="64"/>
        <v>0</v>
      </c>
      <c r="AB59" s="82">
        <f t="shared" si="64"/>
        <v>0</v>
      </c>
      <c r="AC59" s="82">
        <f t="shared" si="64"/>
        <v>0</v>
      </c>
      <c r="AD59" s="82">
        <f t="shared" si="64"/>
        <v>0</v>
      </c>
      <c r="AE59" s="82">
        <f t="shared" si="64"/>
        <v>0</v>
      </c>
      <c r="AF59" s="82">
        <f t="shared" si="64"/>
        <v>0</v>
      </c>
      <c r="AG59" s="82">
        <f t="shared" si="64"/>
        <v>0</v>
      </c>
      <c r="AH59" s="82">
        <f t="shared" si="64"/>
        <v>0</v>
      </c>
      <c r="AI59" s="82">
        <f t="shared" si="64"/>
        <v>0</v>
      </c>
      <c r="AJ59" s="82">
        <f t="shared" si="64"/>
        <v>0</v>
      </c>
      <c r="AK59" s="82">
        <f t="shared" si="64"/>
        <v>0</v>
      </c>
      <c r="AL59" s="82">
        <f t="shared" si="64"/>
        <v>0</v>
      </c>
      <c r="AM59" s="82">
        <f t="shared" si="64"/>
        <v>0</v>
      </c>
      <c r="AN59" s="82">
        <f t="shared" si="64"/>
        <v>0</v>
      </c>
      <c r="AO59" s="82">
        <f t="shared" si="64"/>
        <v>0</v>
      </c>
      <c r="AP59" s="82">
        <f t="shared" ref="AP59:BU59" si="65">IF(OR(AP40=0,$C$11&gt;0),0,AP49*$C$18/1*Rw*1*AP41^2/2/9.81)</f>
        <v>0</v>
      </c>
      <c r="AQ59" s="82">
        <f t="shared" si="65"/>
        <v>0</v>
      </c>
      <c r="AR59" s="82">
        <f t="shared" si="65"/>
        <v>0</v>
      </c>
      <c r="AS59" s="82">
        <f t="shared" si="65"/>
        <v>0</v>
      </c>
      <c r="AT59" s="82">
        <f t="shared" si="65"/>
        <v>0</v>
      </c>
      <c r="AU59" s="82">
        <f t="shared" si="65"/>
        <v>0</v>
      </c>
      <c r="AV59" s="82">
        <f t="shared" si="65"/>
        <v>0</v>
      </c>
      <c r="AW59" s="82">
        <f t="shared" si="65"/>
        <v>0</v>
      </c>
      <c r="AX59" s="82">
        <f t="shared" si="65"/>
        <v>0</v>
      </c>
      <c r="AY59" s="82">
        <f t="shared" si="65"/>
        <v>0</v>
      </c>
      <c r="AZ59" s="82">
        <f t="shared" si="65"/>
        <v>0</v>
      </c>
      <c r="BA59" s="82">
        <f t="shared" si="65"/>
        <v>0</v>
      </c>
      <c r="BB59" s="82">
        <f t="shared" si="65"/>
        <v>0</v>
      </c>
      <c r="BC59" s="82">
        <f t="shared" si="65"/>
        <v>0</v>
      </c>
      <c r="BD59" s="82">
        <f t="shared" si="65"/>
        <v>0</v>
      </c>
      <c r="BE59" s="82">
        <f t="shared" si="65"/>
        <v>0</v>
      </c>
      <c r="BF59" s="82">
        <f t="shared" si="65"/>
        <v>0</v>
      </c>
      <c r="BG59" s="82">
        <f t="shared" si="65"/>
        <v>0</v>
      </c>
      <c r="BH59" s="82">
        <f t="shared" si="65"/>
        <v>0</v>
      </c>
      <c r="BI59" s="82">
        <f t="shared" si="65"/>
        <v>0</v>
      </c>
      <c r="BJ59" s="82">
        <f t="shared" si="65"/>
        <v>0</v>
      </c>
      <c r="BK59" s="82">
        <f t="shared" si="65"/>
        <v>0</v>
      </c>
      <c r="BL59" s="82">
        <f t="shared" si="65"/>
        <v>0</v>
      </c>
      <c r="BM59" s="82">
        <f t="shared" si="65"/>
        <v>0</v>
      </c>
      <c r="BN59" s="82">
        <f t="shared" si="65"/>
        <v>0</v>
      </c>
      <c r="BO59" s="82">
        <f t="shared" si="65"/>
        <v>0</v>
      </c>
      <c r="BP59" s="82">
        <f t="shared" si="65"/>
        <v>0</v>
      </c>
      <c r="BQ59" s="82">
        <f t="shared" si="65"/>
        <v>0</v>
      </c>
      <c r="BR59" s="82">
        <f t="shared" si="65"/>
        <v>0</v>
      </c>
      <c r="BS59" s="82">
        <f t="shared" si="65"/>
        <v>0</v>
      </c>
      <c r="BT59" s="82">
        <f t="shared" si="65"/>
        <v>0</v>
      </c>
      <c r="BU59" s="82">
        <f t="shared" si="65"/>
        <v>0</v>
      </c>
      <c r="BV59" s="82">
        <f t="shared" ref="BV59:DD59" si="66">IF(OR(BV40=0,$C$11&gt;0),0,BV49*$C$18/1*Rw*1*BV41^2/2/9.81)</f>
        <v>0</v>
      </c>
      <c r="BW59" s="82">
        <f t="shared" si="66"/>
        <v>0</v>
      </c>
      <c r="BX59" s="82">
        <f t="shared" si="66"/>
        <v>0</v>
      </c>
      <c r="BY59" s="82">
        <f t="shared" si="66"/>
        <v>0</v>
      </c>
      <c r="BZ59" s="82">
        <f t="shared" si="66"/>
        <v>0</v>
      </c>
      <c r="CA59" s="82">
        <f t="shared" si="66"/>
        <v>0</v>
      </c>
      <c r="CB59" s="82">
        <f t="shared" si="66"/>
        <v>0</v>
      </c>
      <c r="CC59" s="82">
        <f t="shared" si="66"/>
        <v>0</v>
      </c>
      <c r="CD59" s="82">
        <f t="shared" si="66"/>
        <v>0</v>
      </c>
      <c r="CE59" s="82">
        <f t="shared" si="66"/>
        <v>0</v>
      </c>
      <c r="CF59" s="82">
        <f t="shared" si="66"/>
        <v>0</v>
      </c>
      <c r="CG59" s="82">
        <f t="shared" si="66"/>
        <v>0</v>
      </c>
      <c r="CH59" s="82">
        <f t="shared" si="66"/>
        <v>0</v>
      </c>
      <c r="CI59" s="82">
        <f t="shared" si="66"/>
        <v>0</v>
      </c>
      <c r="CJ59" s="82">
        <f t="shared" si="66"/>
        <v>0</v>
      </c>
      <c r="CK59" s="82">
        <f t="shared" si="66"/>
        <v>0</v>
      </c>
      <c r="CL59" s="82">
        <f t="shared" si="66"/>
        <v>0</v>
      </c>
      <c r="CM59" s="82">
        <f t="shared" si="66"/>
        <v>0</v>
      </c>
      <c r="CN59" s="82">
        <f t="shared" si="66"/>
        <v>0</v>
      </c>
      <c r="CO59" s="82">
        <f t="shared" si="66"/>
        <v>0</v>
      </c>
      <c r="CP59" s="82">
        <f t="shared" si="66"/>
        <v>0</v>
      </c>
      <c r="CQ59" s="82">
        <f t="shared" si="66"/>
        <v>0</v>
      </c>
      <c r="CR59" s="82">
        <f t="shared" si="66"/>
        <v>0</v>
      </c>
      <c r="CS59" s="82">
        <f t="shared" si="66"/>
        <v>0</v>
      </c>
      <c r="CT59" s="82">
        <f t="shared" si="66"/>
        <v>0</v>
      </c>
      <c r="CU59" s="82">
        <f t="shared" si="66"/>
        <v>0</v>
      </c>
      <c r="CV59" s="82">
        <f t="shared" si="66"/>
        <v>0</v>
      </c>
      <c r="CW59" s="82">
        <f t="shared" si="66"/>
        <v>0</v>
      </c>
      <c r="CX59" s="82">
        <f t="shared" si="66"/>
        <v>0</v>
      </c>
      <c r="CY59" s="82">
        <f t="shared" si="66"/>
        <v>0</v>
      </c>
      <c r="CZ59" s="82">
        <f t="shared" si="66"/>
        <v>0</v>
      </c>
      <c r="DA59" s="82">
        <f t="shared" si="66"/>
        <v>0</v>
      </c>
      <c r="DB59" s="82">
        <f t="shared" si="66"/>
        <v>0</v>
      </c>
      <c r="DC59" s="82">
        <f t="shared" si="66"/>
        <v>0</v>
      </c>
      <c r="DD59" s="82">
        <f t="shared" si="66"/>
        <v>0</v>
      </c>
    </row>
    <row r="60" spans="1:108" x14ac:dyDescent="0.2">
      <c r="A60" s="61"/>
      <c r="B60" s="61" t="s">
        <v>160</v>
      </c>
      <c r="C60" s="55">
        <f ca="1">SUM(C57:C59)</f>
        <v>10.574569724899758</v>
      </c>
      <c r="D60" s="55">
        <f t="shared" ref="D60:E60" ca="1" si="67">SUM(D57:D59)</f>
        <v>10.574569724899758</v>
      </c>
      <c r="E60" s="55">
        <f t="shared" ca="1" si="67"/>
        <v>111.76263550597</v>
      </c>
      <c r="F60" s="62" t="s">
        <v>659</v>
      </c>
      <c r="G60" s="7" t="s">
        <v>596</v>
      </c>
      <c r="I60" s="61" t="s">
        <v>160</v>
      </c>
      <c r="J60" s="55">
        <f ca="1">SUM(J57:J59)</f>
        <v>10.574569724899758</v>
      </c>
      <c r="K60" s="55">
        <f t="shared" ref="K60:BV60" ca="1" si="68">SUM(K57:K59)</f>
        <v>27.017494265831786</v>
      </c>
      <c r="L60" s="55">
        <f t="shared" ca="1" si="68"/>
        <v>41.545375790949251</v>
      </c>
      <c r="M60" s="55">
        <f t="shared" ca="1" si="68"/>
        <v>54.294065968082194</v>
      </c>
      <c r="N60" s="55">
        <f t="shared" ca="1" si="68"/>
        <v>65.395155743662144</v>
      </c>
      <c r="O60" s="55">
        <f t="shared" ca="1" si="68"/>
        <v>74.975817438119378</v>
      </c>
      <c r="P60" s="55">
        <f t="shared" ca="1" si="68"/>
        <v>83.158668020847216</v>
      </c>
      <c r="Q60" s="55">
        <f t="shared" ca="1" si="68"/>
        <v>90.061652823491272</v>
      </c>
      <c r="R60" s="55">
        <f t="shared" ca="1" si="68"/>
        <v>95.797948957758479</v>
      </c>
      <c r="S60" s="55">
        <f t="shared" ca="1" si="68"/>
        <v>100.4758877104485</v>
      </c>
      <c r="T60" s="55">
        <f t="shared" ca="1" si="68"/>
        <v>104.198895194225</v>
      </c>
      <c r="U60" s="55">
        <f t="shared" ca="1" si="68"/>
        <v>107.06545053795094</v>
      </c>
      <c r="V60" s="55">
        <f t="shared" ca="1" si="68"/>
        <v>109.169060905379</v>
      </c>
      <c r="W60" s="55">
        <f t="shared" ca="1" si="68"/>
        <v>110.59825263572854</v>
      </c>
      <c r="X60" s="55">
        <f t="shared" ca="1" si="68"/>
        <v>111.43657780431253</v>
      </c>
      <c r="Y60" s="55">
        <f t="shared" ca="1" si="68"/>
        <v>111.76263550597</v>
      </c>
      <c r="Z60" s="55">
        <f t="shared" ca="1" si="68"/>
        <v>111.65010716868413</v>
      </c>
      <c r="AA60" s="55">
        <f t="shared" ca="1" si="68"/>
        <v>111.16780520947282</v>
      </c>
      <c r="AB60" s="55">
        <f t="shared" ca="1" si="68"/>
        <v>110.37973434946011</v>
      </c>
      <c r="AC60" s="55">
        <f t="shared" ca="1" si="68"/>
        <v>109.34516491001</v>
      </c>
      <c r="AD60" s="55">
        <f t="shared" ca="1" si="68"/>
        <v>108.11871741693832</v>
      </c>
      <c r="AE60" s="55">
        <f t="shared" ca="1" si="68"/>
        <v>106.75045784514012</v>
      </c>
      <c r="AF60" s="55">
        <f t="shared" ca="1" si="68"/>
        <v>105.28600284147372</v>
      </c>
      <c r="AG60" s="55">
        <f t="shared" ca="1" si="68"/>
        <v>103.76663426944161</v>
      </c>
      <c r="AH60" s="55">
        <f t="shared" ca="1" si="68"/>
        <v>102.2294224251077</v>
      </c>
      <c r="AI60" s="55">
        <f t="shared" ca="1" si="68"/>
        <v>100.70735727976755</v>
      </c>
      <c r="AJ60" s="55">
        <f t="shared" ca="1" si="68"/>
        <v>99.229487111178614</v>
      </c>
      <c r="AK60" s="55">
        <f t="shared" ca="1" si="68"/>
        <v>97.821063891607508</v>
      </c>
      <c r="AL60" s="55">
        <f t="shared" ca="1" si="68"/>
        <v>96.503694807607559</v>
      </c>
      <c r="AM60" s="55">
        <f t="shared" ca="1" si="68"/>
        <v>95.295499293260903</v>
      </c>
      <c r="AN60" s="55">
        <f t="shared" ca="1" si="68"/>
        <v>94.21127096560538</v>
      </c>
      <c r="AO60" s="55">
        <f t="shared" ca="1" si="68"/>
        <v>93.262643858144628</v>
      </c>
      <c r="AP60" s="55">
        <f t="shared" ca="1" si="68"/>
        <v>92.458262355648515</v>
      </c>
      <c r="AQ60" s="55">
        <f t="shared" ca="1" si="68"/>
        <v>91.803954240943696</v>
      </c>
      <c r="AR60" s="55">
        <f t="shared" ca="1" si="68"/>
        <v>91.302906272028139</v>
      </c>
      <c r="AS60" s="55">
        <f t="shared" ca="1" si="68"/>
        <v>90.955841715624999</v>
      </c>
      <c r="AT60" s="55">
        <f t="shared" ca="1" si="68"/>
        <v>90.761199271227284</v>
      </c>
      <c r="AU60" s="55">
        <f t="shared" ca="1" si="68"/>
        <v>90.715312827751674</v>
      </c>
      <c r="AV60" s="55">
        <f t="shared" ca="1" si="68"/>
        <v>90.812591503125205</v>
      </c>
      <c r="AW60" s="55">
        <f t="shared" ca="1" si="68"/>
        <v>91.045699425469408</v>
      </c>
      <c r="AX60" s="55">
        <f t="shared" ca="1" si="68"/>
        <v>91.405734722997238</v>
      </c>
      <c r="AY60" s="55">
        <f t="shared" ca="1" si="68"/>
        <v>91.882407198307803</v>
      </c>
      <c r="AZ60" s="55">
        <f t="shared" ca="1" si="68"/>
        <v>92.464214171450209</v>
      </c>
      <c r="BA60" s="55">
        <f t="shared" ca="1" si="68"/>
        <v>93.138613984871583</v>
      </c>
      <c r="BB60" s="55">
        <f t="shared" ca="1" si="68"/>
        <v>93.892196672213672</v>
      </c>
      <c r="BC60" s="55">
        <f t="shared" ca="1" si="68"/>
        <v>94.710851301801313</v>
      </c>
      <c r="BD60" s="55">
        <f t="shared" ca="1" si="68"/>
        <v>95.579929514582943</v>
      </c>
      <c r="BE60" s="55">
        <f t="shared" ca="1" si="68"/>
        <v>96.484404785188701</v>
      </c>
      <c r="BF60" s="55">
        <f t="shared" ca="1" si="68"/>
        <v>97.409026943642061</v>
      </c>
      <c r="BG60" s="55">
        <f t="shared" ca="1" si="68"/>
        <v>98.338471504022067</v>
      </c>
      <c r="BH60" s="55">
        <f t="shared" ca="1" si="68"/>
        <v>99.257483355029379</v>
      </c>
      <c r="BI60" s="55">
        <f t="shared" ca="1" si="68"/>
        <v>100.15101437581365</v>
      </c>
      <c r="BJ60" s="55">
        <f t="shared" ca="1" si="68"/>
        <v>101.00435454857147</v>
      </c>
      <c r="BK60" s="55">
        <f t="shared" ca="1" si="68"/>
        <v>101.80325614717314</v>
      </c>
      <c r="BL60" s="55">
        <f t="shared" ca="1" si="68"/>
        <v>102.53405058836385</v>
      </c>
      <c r="BM60" s="55">
        <f t="shared" ca="1" si="68"/>
        <v>103.18375753874889</v>
      </c>
      <c r="BN60" s="55">
        <f t="shared" ca="1" si="68"/>
        <v>103.74018587668398</v>
      </c>
      <c r="BO60" s="55">
        <f t="shared" ca="1" si="68"/>
        <v>104.19202611317398</v>
      </c>
      <c r="BP60" s="55">
        <f t="shared" ca="1" si="68"/>
        <v>104.52893387978668</v>
      </c>
      <c r="BQ60" s="55">
        <f t="shared" ca="1" si="68"/>
        <v>104.74160409407429</v>
      </c>
      <c r="BR60" s="55">
        <f t="shared" ca="1" si="68"/>
        <v>104.82183541398197</v>
      </c>
      <c r="BS60" s="55">
        <f t="shared" ca="1" si="68"/>
        <v>104.7625845917472</v>
      </c>
      <c r="BT60" s="55">
        <f t="shared" ca="1" si="68"/>
        <v>104.55801033462733</v>
      </c>
      <c r="BU60" s="55">
        <f t="shared" ca="1" si="68"/>
        <v>104.20350627403786</v>
      </c>
      <c r="BV60" s="55">
        <f t="shared" ca="1" si="68"/>
        <v>103.69572263588233</v>
      </c>
      <c r="BW60" s="55">
        <f t="shared" ref="BW60:DD60" ca="1" si="69">SUM(BW57:BW59)</f>
        <v>103.03257619256394</v>
      </c>
      <c r="BX60" s="55">
        <f t="shared" ca="1" si="69"/>
        <v>102.21324806078637</v>
      </c>
      <c r="BY60" s="55">
        <f t="shared" ca="1" si="69"/>
        <v>101.23816888826222</v>
      </c>
      <c r="BZ60" s="55">
        <f t="shared" ca="1" si="69"/>
        <v>100.1089909459937</v>
      </c>
      <c r="CA60" s="55">
        <f t="shared" ca="1" si="69"/>
        <v>98.828546610291397</v>
      </c>
      <c r="CB60" s="55">
        <f t="shared" ca="1" si="69"/>
        <v>97.40079267910582</v>
      </c>
      <c r="CC60" s="55">
        <f t="shared" ca="1" si="69"/>
        <v>95.830739919674357</v>
      </c>
      <c r="CD60" s="55">
        <f t="shared" ca="1" si="69"/>
        <v>94.12436718778693</v>
      </c>
      <c r="CE60" s="55">
        <f t="shared" ca="1" si="69"/>
        <v>92.288519391909432</v>
      </c>
      <c r="CF60" s="55">
        <f t="shared" ca="1" si="69"/>
        <v>90.330788496568346</v>
      </c>
      <c r="CG60" s="55">
        <f t="shared" ca="1" si="69"/>
        <v>88.259376667095481</v>
      </c>
      <c r="CH60" s="55">
        <f t="shared" ca="1" si="69"/>
        <v>86.082940550373337</v>
      </c>
      <c r="CI60" s="55">
        <f t="shared" ca="1" si="69"/>
        <v>83.810415561268741</v>
      </c>
      <c r="CJ60" s="55">
        <f t="shared" ca="1" si="69"/>
        <v>81.450818899623883</v>
      </c>
      <c r="CK60" s="55">
        <f t="shared" ca="1" si="69"/>
        <v>79.013029854993064</v>
      </c>
      <c r="CL60" s="55">
        <f t="shared" ca="1" si="69"/>
        <v>76.505545762015174</v>
      </c>
      <c r="CM60" s="55">
        <f t="shared" ca="1" si="69"/>
        <v>73.936211744094393</v>
      </c>
      <c r="CN60" s="55">
        <f t="shared" ca="1" si="69"/>
        <v>71.311922121233508</v>
      </c>
      <c r="CO60" s="55">
        <f t="shared" ca="1" si="69"/>
        <v>68.638291051861216</v>
      </c>
      <c r="CP60" s="55">
        <f t="shared" ca="1" si="69"/>
        <v>65.919289618824379</v>
      </c>
      <c r="CQ60" s="55">
        <f t="shared" ca="1" si="69"/>
        <v>63.156846142372871</v>
      </c>
      <c r="CR60" s="55">
        <f t="shared" ca="1" si="69"/>
        <v>60.35040598920412</v>
      </c>
      <c r="CS60" s="55">
        <f t="shared" ca="1" si="69"/>
        <v>57.496446517309387</v>
      </c>
      <c r="CT60" s="55">
        <f t="shared" ca="1" si="69"/>
        <v>54.587942008580889</v>
      </c>
      <c r="CU60" s="55">
        <f t="shared" ca="1" si="69"/>
        <v>51.613772425557393</v>
      </c>
      <c r="CV60" s="55">
        <f t="shared" ca="1" si="69"/>
        <v>48.558068470578384</v>
      </c>
      <c r="CW60" s="55">
        <f t="shared" ca="1" si="69"/>
        <v>45.399483525958722</v>
      </c>
      <c r="CX60" s="55">
        <f t="shared" ca="1" si="69"/>
        <v>42.110380247080904</v>
      </c>
      <c r="CY60" s="55">
        <f t="shared" ca="1" si="69"/>
        <v>38.655915158058043</v>
      </c>
      <c r="CZ60" s="55">
        <f t="shared" ca="1" si="69"/>
        <v>34.992997086037484</v>
      </c>
      <c r="DA60" s="55">
        <f t="shared" ca="1" si="69"/>
        <v>31.069081347020308</v>
      </c>
      <c r="DB60" s="55">
        <f t="shared" ca="1" si="69"/>
        <v>26.820733035068731</v>
      </c>
      <c r="DC60" s="55">
        <f t="shared" ca="1" si="69"/>
        <v>22.171826573797507</v>
      </c>
      <c r="DD60" s="55">
        <f t="shared" ca="1" si="69"/>
        <v>17.031069604650519</v>
      </c>
    </row>
    <row r="62" spans="1:108" x14ac:dyDescent="0.2">
      <c r="B62" s="3" t="s">
        <v>597</v>
      </c>
      <c r="C62" s="83">
        <f>C45*C40^2*(C46*($C$20*(Lse/1)*C41*($C$9/1))^2-C42^2)+(C42*$C$17)^2</f>
        <v>7.1963387971526487</v>
      </c>
      <c r="D62" s="83">
        <f ca="1">D45*D40^2*(D46*($C$20*(Lse/1)*D41*($C$9/1))^2-D42^2)+(D42*$C$17)^2</f>
        <v>7.1963387971526487</v>
      </c>
      <c r="E62" s="83">
        <f ca="1">E45*E40^2*(E46*($C$20*(Lse/1)*E41*($C$9/1))^2-E42^2)+(E42*$C$17)^2</f>
        <v>1754.5214676883875</v>
      </c>
      <c r="I62" s="3" t="s">
        <v>597</v>
      </c>
      <c r="J62" s="83">
        <f t="shared" ref="J62:AO62" si="70">J45*J40^2*(J46*($C$20*(Lse/1)*J41*($C$9/1))^2-J42^2)+(J42*$C$17)^2</f>
        <v>7.1963387971526487</v>
      </c>
      <c r="K62" s="83">
        <f t="shared" si="70"/>
        <v>28.694353503443253</v>
      </c>
      <c r="L62" s="83">
        <f t="shared" si="70"/>
        <v>64.355276395387151</v>
      </c>
      <c r="M62" s="83">
        <f t="shared" si="70"/>
        <v>114.03894731511058</v>
      </c>
      <c r="N62" s="83">
        <f t="shared" si="70"/>
        <v>177.60532379210207</v>
      </c>
      <c r="O62" s="83">
        <f t="shared" si="70"/>
        <v>254.91546450019658</v>
      </c>
      <c r="P62" s="83">
        <f t="shared" si="70"/>
        <v>345.83209226955057</v>
      </c>
      <c r="Q62" s="83">
        <f t="shared" si="70"/>
        <v>450.21982839869969</v>
      </c>
      <c r="R62" s="83">
        <f t="shared" si="70"/>
        <v>567.94517697244385</v>
      </c>
      <c r="S62" s="83">
        <f t="shared" si="70"/>
        <v>698.87632617508882</v>
      </c>
      <c r="T62" s="83">
        <f t="shared" si="70"/>
        <v>842.88282308942894</v>
      </c>
      <c r="U62" s="83">
        <f t="shared" si="70"/>
        <v>999.83516908961758</v>
      </c>
      <c r="V62" s="83">
        <f t="shared" si="70"/>
        <v>1169.6043745767051</v>
      </c>
      <c r="W62" s="83">
        <f t="shared" si="70"/>
        <v>1352.0615043806563</v>
      </c>
      <c r="X62" s="83">
        <f t="shared" si="70"/>
        <v>1547.0772385795685</v>
      </c>
      <c r="Y62" s="83">
        <f t="shared" si="70"/>
        <v>1754.5214676883875</v>
      </c>
      <c r="Z62" s="83">
        <f t="shared" si="70"/>
        <v>1974.2629360740373</v>
      </c>
      <c r="AA62" s="83">
        <f t="shared" si="70"/>
        <v>2206.1689429949465</v>
      </c>
      <c r="AB62" s="83">
        <f t="shared" si="70"/>
        <v>2450.1051067790954</v>
      </c>
      <c r="AC62" s="83">
        <f t="shared" si="70"/>
        <v>2705.9351942892281</v>
      </c>
      <c r="AD62" s="83">
        <f t="shared" si="70"/>
        <v>2973.521014924972</v>
      </c>
      <c r="AE62" s="83">
        <f t="shared" si="70"/>
        <v>3252.7223759317017</v>
      </c>
      <c r="AF62" s="83">
        <f t="shared" si="70"/>
        <v>3543.3970936821761</v>
      </c>
      <c r="AG62" s="83">
        <f t="shared" si="70"/>
        <v>3845.4010538300295</v>
      </c>
      <c r="AH62" s="83">
        <f t="shared" si="70"/>
        <v>4158.588311769412</v>
      </c>
      <c r="AI62" s="83">
        <f t="shared" si="70"/>
        <v>4482.811223640867</v>
      </c>
      <c r="AJ62" s="83">
        <f t="shared" si="70"/>
        <v>4817.9205971726396</v>
      </c>
      <c r="AK62" s="83">
        <f t="shared" si="70"/>
        <v>5163.765850914514</v>
      </c>
      <c r="AL62" s="83">
        <f t="shared" si="70"/>
        <v>5520.19516988737</v>
      </c>
      <c r="AM62" s="83">
        <f t="shared" si="70"/>
        <v>5887.0556453177587</v>
      </c>
      <c r="AN62" s="83">
        <f t="shared" si="70"/>
        <v>6264.193385938509</v>
      </c>
      <c r="AO62" s="83">
        <f t="shared" si="70"/>
        <v>6651.4535883010003</v>
      </c>
      <c r="AP62" s="83">
        <f t="shared" ref="AP62:BU62" si="71">AP45*AP40^2*(AP46*($C$20*(Lse/1)*AP41*($C$9/1))^2-AP42^2)+(AP42*$C$17)^2</f>
        <v>7048.6805536531392</v>
      </c>
      <c r="AQ62" s="83">
        <f t="shared" si="71"/>
        <v>7455.7176391817875</v>
      </c>
      <c r="AR62" s="83">
        <f t="shared" si="71"/>
        <v>7872.4071317942935</v>
      </c>
      <c r="AS62" s="83">
        <f t="shared" si="71"/>
        <v>8298.590033117971</v>
      </c>
      <c r="AT62" s="83">
        <f t="shared" si="71"/>
        <v>8734.1057450266399</v>
      </c>
      <c r="AU62" s="83">
        <f t="shared" si="71"/>
        <v>9178.7916457602223</v>
      </c>
      <c r="AV62" s="83">
        <f t="shared" si="71"/>
        <v>9632.4825475864636</v>
      </c>
      <c r="AW62" s="83">
        <f t="shared" si="71"/>
        <v>10095.010027965305</v>
      </c>
      <c r="AX62" s="83">
        <f t="shared" si="71"/>
        <v>10566.201627315844</v>
      </c>
      <c r="AY62" s="83">
        <f t="shared" si="71"/>
        <v>11045.879907755256</v>
      </c>
      <c r="AZ62" s="83">
        <f t="shared" si="71"/>
        <v>11533.861368575097</v>
      </c>
      <c r="BA62" s="83">
        <f t="shared" si="71"/>
        <v>12029.955215741878</v>
      </c>
      <c r="BB62" s="83">
        <f t="shared" si="71"/>
        <v>12533.961984346908</v>
      </c>
      <c r="BC62" s="83">
        <f t="shared" si="71"/>
        <v>13045.672014674175</v>
      </c>
      <c r="BD62" s="83">
        <f t="shared" si="71"/>
        <v>13564.863784386853</v>
      </c>
      <c r="BE62" s="83">
        <f t="shared" si="71"/>
        <v>14091.30210122616</v>
      </c>
      <c r="BF62" s="83">
        <f t="shared" si="71"/>
        <v>14624.736162534751</v>
      </c>
      <c r="BG62" s="83">
        <f t="shared" si="71"/>
        <v>15164.897489811949</v>
      </c>
      <c r="BH62" s="83">
        <f t="shared" si="71"/>
        <v>15711.497748313775</v>
      </c>
      <c r="BI62" s="83">
        <f t="shared" si="71"/>
        <v>16264.226463343624</v>
      </c>
      <c r="BJ62" s="83">
        <f t="shared" si="71"/>
        <v>16822.74864623027</v>
      </c>
      <c r="BK62" s="83">
        <f t="shared" si="71"/>
        <v>17386.702343922145</v>
      </c>
      <c r="BL62" s="83">
        <f t="shared" si="71"/>
        <v>17955.69612646805</v>
      </c>
      <c r="BM62" s="83">
        <f t="shared" si="71"/>
        <v>18529.306526192424</v>
      </c>
      <c r="BN62" s="83">
        <f t="shared" si="71"/>
        <v>19107.075440843564</v>
      </c>
      <c r="BO62" s="83">
        <f t="shared" si="71"/>
        <v>19688.507510074931</v>
      </c>
      <c r="BP62" s="83">
        <f t="shared" si="71"/>
        <v>20273.067469920112</v>
      </c>
      <c r="BQ62" s="83">
        <f t="shared" si="71"/>
        <v>20860.177482966155</v>
      </c>
      <c r="BR62" s="83">
        <f t="shared" si="71"/>
        <v>21449.214432147786</v>
      </c>
      <c r="BS62" s="83">
        <f t="shared" si="71"/>
        <v>22039.507152783652</v>
      </c>
      <c r="BT62" s="83">
        <f t="shared" si="71"/>
        <v>22630.333559843115</v>
      </c>
      <c r="BU62" s="83">
        <f t="shared" si="71"/>
        <v>23220.917604477843</v>
      </c>
      <c r="BV62" s="83">
        <f t="shared" ref="BV62:DD62" si="72">BV45*BV40^2*(BV46*($C$20*(Lse/1)*BV41*($C$9/1))^2-BV42^2)+(BV42*$C$17)^2</f>
        <v>23810.425964425285</v>
      </c>
      <c r="BW62" s="83">
        <f t="shared" si="72"/>
        <v>24397.964335604742</v>
      </c>
      <c r="BX62" s="83">
        <f t="shared" si="72"/>
        <v>24982.573145462091</v>
      </c>
      <c r="BY62" s="83">
        <f t="shared" si="72"/>
        <v>25563.222450458754</v>
      </c>
      <c r="BZ62" s="83">
        <f t="shared" si="72"/>
        <v>26138.805708292472</v>
      </c>
      <c r="CA62" s="83">
        <f t="shared" si="72"/>
        <v>26708.132027352709</v>
      </c>
      <c r="CB62" s="83">
        <f t="shared" si="72"/>
        <v>27269.916388456149</v>
      </c>
      <c r="CC62" s="83">
        <f t="shared" si="72"/>
        <v>27822.767203491665</v>
      </c>
      <c r="CD62" s="83">
        <f t="shared" si="72"/>
        <v>28365.170418024922</v>
      </c>
      <c r="CE62" s="83">
        <f t="shared" si="72"/>
        <v>28895.469175306571</v>
      </c>
      <c r="CF62" s="83">
        <f t="shared" si="72"/>
        <v>29411.837831831006</v>
      </c>
      <c r="CG62" s="83">
        <f t="shared" si="72"/>
        <v>29912.248843059064</v>
      </c>
      <c r="CH62" s="83">
        <f t="shared" si="72"/>
        <v>30394.430714576381</v>
      </c>
      <c r="CI62" s="83">
        <f t="shared" si="72"/>
        <v>30855.814830049963</v>
      </c>
      <c r="CJ62" s="83">
        <f t="shared" si="72"/>
        <v>31293.468512824722</v>
      </c>
      <c r="CK62" s="83">
        <f t="shared" si="72"/>
        <v>31704.011141234761</v>
      </c>
      <c r="CL62" s="83">
        <f t="shared" si="72"/>
        <v>32083.509505420039</v>
      </c>
      <c r="CM62" s="83">
        <f t="shared" si="72"/>
        <v>32427.347850328006</v>
      </c>
      <c r="CN62" s="83">
        <f t="shared" si="72"/>
        <v>32730.067178190431</v>
      </c>
      <c r="CO62" s="83">
        <f t="shared" si="72"/>
        <v>32985.167364076922</v>
      </c>
      <c r="CP62" s="83">
        <f t="shared" si="72"/>
        <v>33184.864447349893</v>
      </c>
      <c r="CQ62" s="83">
        <f t="shared" si="72"/>
        <v>33319.794073950747</v>
      </c>
      <c r="CR62" s="83">
        <f t="shared" si="72"/>
        <v>33378.650449866327</v>
      </c>
      <c r="CS62" s="83">
        <f t="shared" si="72"/>
        <v>33347.748291238808</v>
      </c>
      <c r="CT62" s="83">
        <f t="shared" si="72"/>
        <v>33210.493083224232</v>
      </c>
      <c r="CU62" s="83">
        <f t="shared" si="72"/>
        <v>32946.742444792668</v>
      </c>
      <c r="CV62" s="83">
        <f t="shared" si="72"/>
        <v>32532.038491275543</v>
      </c>
      <c r="CW62" s="83">
        <f t="shared" si="72"/>
        <v>31936.687735593852</v>
      </c>
      <c r="CX62" s="83">
        <f t="shared" si="72"/>
        <v>31124.661210672064</v>
      </c>
      <c r="CY62" s="83">
        <f t="shared" si="72"/>
        <v>30052.283059780366</v>
      </c>
      <c r="CZ62" s="83">
        <f t="shared" si="72"/>
        <v>28666.670750040965</v>
      </c>
      <c r="DA62" s="83">
        <f t="shared" si="72"/>
        <v>26903.884229526171</v>
      </c>
      <c r="DB62" s="83">
        <f t="shared" si="72"/>
        <v>24686.734671908511</v>
      </c>
      <c r="DC62" s="83">
        <f t="shared" si="72"/>
        <v>21922.195825302966</v>
      </c>
      <c r="DD62" s="83">
        <f t="shared" si="72"/>
        <v>18498.352281784573</v>
      </c>
    </row>
    <row r="63" spans="1:108" x14ac:dyDescent="0.2">
      <c r="B63" s="3" t="s">
        <v>578</v>
      </c>
      <c r="C63" s="70">
        <f>IF($C$11=0,0,($C$17*SQRT(IF(C62&gt;0,C62,0))/$C$20/(Lse/1)/C41/($C$9/1)/SQRT(C46)+C45*C40^2)/(C45*C40^2/C42+C42/C46*($C$17/($C$9/1)/C41/$C$20/(Lse/1))^2))</f>
        <v>2.0051417025577947</v>
      </c>
      <c r="D63" s="70">
        <f ca="1">IF($C$11=0,0,($C$17*SQRT(IF(D62&gt;0,D62,0))/$C$20/(Lse/1)/D41/($C$9/1)/SQRT(D46)+D45*D40^2)/(D45*D40^2/D42+D42/D46*($C$17/($C$9/1)/D41/$C$20/(Lse/1))^2))</f>
        <v>2.0051417025577947</v>
      </c>
      <c r="E63" s="70">
        <f ca="1">IF($C$11=0,0,($C$17*SQRT(IF(E62&gt;0,E62,0))/$C$20/(Lse/1)/E41/($C$9/1)/SQRT(E46)+E45*E40^2)/(E45*E40^2/E42+E42/E46*($C$17/($C$9/1)/E41/$C$20/(Lse/1))^2))</f>
        <v>1.9411217974991837</v>
      </c>
      <c r="I63" s="3" t="s">
        <v>578</v>
      </c>
      <c r="J63" s="70">
        <f t="shared" ref="J63:AO63" si="73">IF($C$11=0,0,($C$17*SQRT(IF(J62&gt;0,J62,0))/$C$20/(Lse/1)/J41/($C$9/1)/SQRT(J46)+J45*J40^2)/(J45*J40^2/J42+J42/J46*($C$17/($C$9/1)/J41/$C$20/(Lse/1))^2))</f>
        <v>2.0051417025577947</v>
      </c>
      <c r="K63" s="70">
        <f t="shared" si="73"/>
        <v>2.0013390056456832</v>
      </c>
      <c r="L63" s="70">
        <f t="shared" si="73"/>
        <v>1.9974274477361622</v>
      </c>
      <c r="M63" s="70">
        <f t="shared" si="73"/>
        <v>1.9934241897343983</v>
      </c>
      <c r="N63" s="70">
        <f t="shared" si="73"/>
        <v>1.9893431560191628</v>
      </c>
      <c r="O63" s="70">
        <f t="shared" si="73"/>
        <v>1.9851954461699608</v>
      </c>
      <c r="P63" s="70">
        <f t="shared" si="73"/>
        <v>1.9809897079913399</v>
      </c>
      <c r="Q63" s="70">
        <f t="shared" si="73"/>
        <v>1.97673247487802</v>
      </c>
      <c r="R63" s="70">
        <f t="shared" si="73"/>
        <v>1.9724284702656669</v>
      </c>
      <c r="S63" s="70">
        <f t="shared" si="73"/>
        <v>1.9680808816653164</v>
      </c>
      <c r="T63" s="70">
        <f t="shared" si="73"/>
        <v>1.9636916065728933</v>
      </c>
      <c r="U63" s="70">
        <f t="shared" si="73"/>
        <v>1.9592614723696122</v>
      </c>
      <c r="V63" s="70">
        <f t="shared" si="73"/>
        <v>1.9547904321771481</v>
      </c>
      <c r="W63" s="70">
        <f t="shared" si="73"/>
        <v>1.950277738497755</v>
      </c>
      <c r="X63" s="70">
        <f t="shared" si="73"/>
        <v>1.9457220963496875</v>
      </c>
      <c r="Y63" s="70">
        <f t="shared" si="73"/>
        <v>1.9411217974991837</v>
      </c>
      <c r="Z63" s="70">
        <f t="shared" si="73"/>
        <v>1.9364748372895251</v>
      </c>
      <c r="AA63" s="70">
        <f t="shared" si="73"/>
        <v>1.9317790154735748</v>
      </c>
      <c r="AB63" s="70">
        <f t="shared" si="73"/>
        <v>1.9270320223675832</v>
      </c>
      <c r="AC63" s="70">
        <f t="shared" si="73"/>
        <v>1.9222315115600161</v>
      </c>
      <c r="AD63" s="70">
        <f t="shared" si="73"/>
        <v>1.9173751603293647</v>
      </c>
      <c r="AE63" s="70">
        <f t="shared" si="73"/>
        <v>1.9124607188488738</v>
      </c>
      <c r="AF63" s="70">
        <f t="shared" si="73"/>
        <v>1.9074860491838568</v>
      </c>
      <c r="AG63" s="70">
        <f t="shared" si="73"/>
        <v>1.9024491550187306</v>
      </c>
      <c r="AH63" s="70">
        <f t="shared" si="73"/>
        <v>1.8973482029859179</v>
      </c>
      <c r="AI63" s="70">
        <f t="shared" si="73"/>
        <v>1.8921815364077681</v>
      </c>
      <c r="AJ63" s="70">
        <f t="shared" si="73"/>
        <v>1.8869476822052542</v>
      </c>
      <c r="AK63" s="70">
        <f t="shared" si="73"/>
        <v>1.8816453516738847</v>
      </c>
      <c r="AL63" s="70">
        <f t="shared" si="73"/>
        <v>1.8762734357778053</v>
      </c>
      <c r="AM63" s="70">
        <f t="shared" si="73"/>
        <v>1.8708309955675715</v>
      </c>
      <c r="AN63" s="70">
        <f t="shared" si="73"/>
        <v>1.8653172482855884</v>
      </c>
      <c r="AO63" s="70">
        <f t="shared" si="73"/>
        <v>1.8597315496855582</v>
      </c>
      <c r="AP63" s="70">
        <f t="shared" ref="AP63:BU63" si="74">IF($C$11=0,0,($C$17*SQRT(IF(AP62&gt;0,AP62,0))/$C$20/(Lse/1)/AP41/($C$9/1)/SQRT(AP46)+AP45*AP40^2)/(AP45*AP40^2/AP42+AP42/AP46*($C$17/($C$9/1)/AP41/$C$20/(Lse/1))^2))</f>
        <v>1.8540733730585366</v>
      </c>
      <c r="AQ63" s="70">
        <f t="shared" si="74"/>
        <v>1.8483422854281006</v>
      </c>
      <c r="AR63" s="70">
        <f t="shared" si="74"/>
        <v>1.8425379213506443</v>
      </c>
      <c r="AS63" s="70">
        <f t="shared" si="74"/>
        <v>1.8366599547336782</v>
      </c>
      <c r="AT63" s="70">
        <f t="shared" si="74"/>
        <v>1.8307080690649811</v>
      </c>
      <c r="AU63" s="70">
        <f t="shared" si="74"/>
        <v>1.8246819264283531</v>
      </c>
      <c r="AV63" s="70">
        <f t="shared" si="74"/>
        <v>1.8185811356671138</v>
      </c>
      <c r="AW63" s="70">
        <f t="shared" si="74"/>
        <v>1.8124052200441347</v>
      </c>
      <c r="AX63" s="70">
        <f t="shared" si="74"/>
        <v>1.806153584736621</v>
      </c>
      <c r="AY63" s="70">
        <f t="shared" si="74"/>
        <v>1.7998254844946728</v>
      </c>
      <c r="AZ63" s="70">
        <f t="shared" si="74"/>
        <v>1.7934199917843472</v>
      </c>
      <c r="BA63" s="70">
        <f t="shared" si="74"/>
        <v>1.7869359657278825</v>
      </c>
      <c r="BB63" s="70">
        <f t="shared" si="74"/>
        <v>1.7803720221454962</v>
      </c>
      <c r="BC63" s="70">
        <f t="shared" si="74"/>
        <v>1.7737265049937507</v>
      </c>
      <c r="BD63" s="70">
        <f t="shared" si="74"/>
        <v>1.7669974594844118</v>
      </c>
      <c r="BE63" s="70">
        <f t="shared" si="74"/>
        <v>1.7601826071538205</v>
      </c>
      <c r="BF63" s="70">
        <f t="shared" si="74"/>
        <v>1.7532793231352759</v>
      </c>
      <c r="BG63" s="70">
        <f t="shared" si="74"/>
        <v>1.7462846158644523</v>
      </c>
      <c r="BH63" s="70">
        <f t="shared" si="74"/>
        <v>1.7391951094191518</v>
      </c>
      <c r="BI63" s="70">
        <f t="shared" si="74"/>
        <v>1.7320070286582718</v>
      </c>
      <c r="BJ63" s="70">
        <f t="shared" si="74"/>
        <v>1.7247161872787213</v>
      </c>
      <c r="BK63" s="70">
        <f t="shared" si="74"/>
        <v>1.7173179788513251</v>
      </c>
      <c r="BL63" s="70">
        <f t="shared" si="74"/>
        <v>1.7098073708247397</v>
      </c>
      <c r="BM63" s="70">
        <f t="shared" si="74"/>
        <v>1.7021789013975051</v>
      </c>
      <c r="BN63" s="70">
        <f t="shared" si="74"/>
        <v>1.6944266790488482</v>
      </c>
      <c r="BO63" s="70">
        <f t="shared" si="74"/>
        <v>1.6865443843849188</v>
      </c>
      <c r="BP63" s="70">
        <f t="shared" si="74"/>
        <v>1.6785252737939362</v>
      </c>
      <c r="BQ63" s="70">
        <f t="shared" si="74"/>
        <v>1.6703621842055549</v>
      </c>
      <c r="BR63" s="70">
        <f t="shared" si="74"/>
        <v>1.6620475380100264</v>
      </c>
      <c r="BS63" s="70">
        <f t="shared" si="74"/>
        <v>1.6535733469032514</v>
      </c>
      <c r="BT63" s="70">
        <f t="shared" si="74"/>
        <v>1.6449312130755174</v>
      </c>
      <c r="BU63" s="70">
        <f t="shared" si="74"/>
        <v>1.6361123257426828</v>
      </c>
      <c r="BV63" s="70">
        <f t="shared" ref="BV63:DA63" si="75">IF($C$11=0,0,($C$17*SQRT(IF(BV62&gt;0,BV62,0))/$C$20/(Lse/1)/BV41/($C$9/1)/SQRT(BV46)+BV45*BV40^2)/(BV45*BV40^2/BV42+BV42/BV46*($C$17/($C$9/1)/BV41/$C$20/(Lse/1))^2))</f>
        <v>1.6271074505161183</v>
      </c>
      <c r="BW63" s="70">
        <f t="shared" si="75"/>
        <v>1.6179069085051709</v>
      </c>
      <c r="BX63" s="70">
        <f t="shared" si="75"/>
        <v>1.6085005413245468</v>
      </c>
      <c r="BY63" s="70">
        <f t="shared" si="75"/>
        <v>1.5988776573156509</v>
      </c>
      <c r="BZ63" s="70">
        <f t="shared" si="75"/>
        <v>1.5890269532579717</v>
      </c>
      <c r="CA63" s="70">
        <f t="shared" si="75"/>
        <v>1.5789364046106584</v>
      </c>
      <c r="CB63" s="70">
        <f t="shared" si="75"/>
        <v>1.568593115844662</v>
      </c>
      <c r="CC63" s="70">
        <f t="shared" si="75"/>
        <v>1.5579831206520838</v>
      </c>
      <c r="CD63" s="70">
        <f t="shared" si="75"/>
        <v>1.5470911196893096</v>
      </c>
      <c r="CE63" s="70">
        <f t="shared" si="75"/>
        <v>1.5359001409456985</v>
      </c>
      <c r="CF63" s="70">
        <f t="shared" si="75"/>
        <v>1.5243911047290875</v>
      </c>
      <c r="CG63" s="70">
        <f t="shared" si="75"/>
        <v>1.512542271492904</v>
      </c>
      <c r="CH63" s="70">
        <f t="shared" si="75"/>
        <v>1.5003285461233624</v>
      </c>
      <c r="CI63" s="70">
        <f t="shared" si="75"/>
        <v>1.4877206066248918</v>
      </c>
      <c r="CJ63" s="70">
        <f t="shared" si="75"/>
        <v>1.4746838180657424</v>
      </c>
      <c r="CK63" s="70">
        <f t="shared" si="75"/>
        <v>1.4611768837204129</v>
      </c>
      <c r="CL63" s="70">
        <f t="shared" si="75"/>
        <v>1.4471501739266657</v>
      </c>
      <c r="CM63" s="70">
        <f t="shared" si="75"/>
        <v>1.4325436583231566</v>
      </c>
      <c r="CN63" s="70">
        <f t="shared" si="75"/>
        <v>1.4172843474636994</v>
      </c>
      <c r="CO63" s="70">
        <f t="shared" si="75"/>
        <v>1.4012831232318921</v>
      </c>
      <c r="CP63" s="70">
        <f t="shared" si="75"/>
        <v>1.3844308008208441</v>
      </c>
      <c r="CQ63" s="70">
        <f t="shared" si="75"/>
        <v>1.3665932133372918</v>
      </c>
      <c r="CR63" s="70">
        <f t="shared" si="75"/>
        <v>1.3476050354595779</v>
      </c>
      <c r="CS63" s="70">
        <f t="shared" si="75"/>
        <v>1.3272619522258584</v>
      </c>
      <c r="CT63" s="70">
        <f t="shared" si="75"/>
        <v>1.305310611623012</v>
      </c>
      <c r="CU63" s="70">
        <f t="shared" si="75"/>
        <v>1.2814355385947207</v>
      </c>
      <c r="CV63" s="70">
        <f t="shared" si="75"/>
        <v>1.2552417684539547</v>
      </c>
      <c r="CW63" s="70">
        <f t="shared" si="75"/>
        <v>1.2262312596970066</v>
      </c>
      <c r="CX63" s="70">
        <f t="shared" si="75"/>
        <v>1.1937699387459906</v>
      </c>
      <c r="CY63" s="70">
        <f t="shared" si="75"/>
        <v>1.1570400420169185</v>
      </c>
      <c r="CZ63" s="70">
        <f t="shared" si="75"/>
        <v>1.1149682357401653</v>
      </c>
      <c r="DA63" s="70">
        <f t="shared" si="75"/>
        <v>1.0661114339048707</v>
      </c>
      <c r="DB63" s="70">
        <f t="shared" ref="DB63:DD63" si="76">IF($C$11=0,0,($C$17*SQRT(IF(DB62&gt;0,DB62,0))/$C$20/(Lse/1)/DB41/($C$9/1)/SQRT(DB46)+DB45*DB40^2)/(DB45*DB40^2/DB42+DB42/DB46*($C$17/($C$9/1)/DB41/$C$20/(Lse/1))^2))</f>
        <v>1.0084632102599604</v>
      </c>
      <c r="DC63" s="70">
        <f t="shared" si="76"/>
        <v>0.93909666726119378</v>
      </c>
      <c r="DD63" s="70">
        <f t="shared" si="76"/>
        <v>0.85342551168061109</v>
      </c>
    </row>
  </sheetData>
  <sheetProtection algorithmName="SHA-512" hashValue="AIHCkTgd5liFg0kwDc8J3BJfiU34LgFOiujVm009QMvN2IebmqxhRqqD6HuMVIcAZ8tpMjO3DuQ75R8JerY2eA==" saltValue="t7H0kUU11I/r8ksGyB+T9A==" spinCount="100000" sheet="1" objects="1" scenarios="1" selectLockedCells="1"/>
  <mergeCells count="3">
    <mergeCell ref="A3:G3"/>
    <mergeCell ref="A1:G1"/>
    <mergeCell ref="A2:G2"/>
  </mergeCells>
  <dataValidations count="7">
    <dataValidation type="decimal" operator="greaterThan" allowBlank="1" showInputMessage="1" showErrorMessage="1" errorTitle="Maximum Total Flow" error="Value must be &gt; 0" sqref="C12">
      <formula1>0</formula1>
    </dataValidation>
    <dataValidation type="decimal" allowBlank="1" showInputMessage="1" showErrorMessage="1" errorTitle="Recess Depth" error="Value between 0 and 24 required" sqref="C11">
      <formula1>0</formula1>
      <formula2>24*25.4</formula2>
    </dataValidation>
    <dataValidation type="decimal" allowBlank="1" showInputMessage="1" showErrorMessage="1" errorTitle="Gate Opening Ratio" error="Valid range is 1% to 99%" sqref="C25">
      <formula1>0.01</formula1>
      <formula2>0.99</formula2>
    </dataValidation>
    <dataValidation type="list" allowBlank="1" showInputMessage="1" showErrorMessage="1" sqref="C7">
      <formula1>"0,20,30,45"</formula1>
    </dataValidation>
    <dataValidation type="list" allowBlank="1" showInputMessage="1" showErrorMessage="1" sqref="C6">
      <formula1>"Face,Tunnel"</formula1>
    </dataValidation>
    <dataValidation type="list" allowBlank="1" showInputMessage="1" showErrorMessage="1" sqref="C8">
      <formula1>"0,0.15,0.30,0.45,0.60"</formula1>
    </dataValidation>
    <dataValidation type="decimal" allowBlank="1" showInputMessage="1" showErrorMessage="1" errorTitle="Upstream Clearance" error="Value between 0 and 24 required" promptTitle="Warning" prompt="For a &quot;tunnel&quot; type gate, this clearance needs to be greater than a&quot;2 to avoid a pressure reduction on top of the gate.  Such a pressure reduction will cause the gate to uplift." sqref="C10">
      <formula1>0</formula1>
      <formula2>100*25.4</formula2>
    </dataValidation>
  </dataValidations>
  <pageMargins left="0.7" right="0.7" top="0.75" bottom="0.75" header="0.3" footer="0.3"/>
  <pageSetup scale="47" orientation="portrait" r:id="rId1"/>
  <drawing r:id="rId2"/>
  <legacyDrawing r:id="rId3"/>
  <oleObjects>
    <mc:AlternateContent xmlns:mc="http://schemas.openxmlformats.org/markup-compatibility/2006">
      <mc:Choice Requires="x14">
        <oleObject progId="AutoCAD.Drawing.19" shapeId="33793" r:id="rId4">
          <objectPr defaultSize="0" autoPict="0" r:id="rId5">
            <anchor moveWithCells="1">
              <from>
                <xdr:col>4</xdr:col>
                <xdr:colOff>238125</xdr:colOff>
                <xdr:row>6</xdr:row>
                <xdr:rowOff>28575</xdr:rowOff>
              </from>
              <to>
                <xdr:col>6</xdr:col>
                <xdr:colOff>2438400</xdr:colOff>
                <xdr:row>18</xdr:row>
                <xdr:rowOff>123825</xdr:rowOff>
              </to>
            </anchor>
          </objectPr>
        </oleObject>
      </mc:Choice>
      <mc:Fallback>
        <oleObject progId="AutoCAD.Drawing.19" shapeId="33793" r:id="rId4"/>
      </mc:Fallback>
    </mc:AlternateContent>
    <mc:AlternateContent xmlns:mc="http://schemas.openxmlformats.org/markup-compatibility/2006">
      <mc:Choice Requires="x14">
        <oleObject progId="AutoCAD.Drawing.19" shapeId="33794" r:id="rId6">
          <objectPr defaultSize="0" autoPict="0" r:id="rId7">
            <anchor moveWithCells="1">
              <from>
                <xdr:col>6</xdr:col>
                <xdr:colOff>2771775</xdr:colOff>
                <xdr:row>4</xdr:row>
                <xdr:rowOff>28575</xdr:rowOff>
              </from>
              <to>
                <xdr:col>6</xdr:col>
                <xdr:colOff>6172200</xdr:colOff>
                <xdr:row>25</xdr:row>
                <xdr:rowOff>66675</xdr:rowOff>
              </to>
            </anchor>
          </objectPr>
        </oleObject>
      </mc:Choice>
      <mc:Fallback>
        <oleObject progId="AutoCAD.Drawing.19" shapeId="33794" r:id="rId6"/>
      </mc:Fallback>
    </mc:AlternateContent>
    <mc:AlternateContent xmlns:mc="http://schemas.openxmlformats.org/markup-compatibility/2006">
      <mc:Choice Requires="x14">
        <oleObject progId="AutoCAD.Drawing.19" shapeId="33795" r:id="rId8">
          <objectPr defaultSize="0" autoPict="0" r:id="rId9">
            <anchor moveWithCells="1">
              <from>
                <xdr:col>6</xdr:col>
                <xdr:colOff>276225</xdr:colOff>
                <xdr:row>27</xdr:row>
                <xdr:rowOff>114300</xdr:rowOff>
              </from>
              <to>
                <xdr:col>6</xdr:col>
                <xdr:colOff>6305550</xdr:colOff>
                <xdr:row>51</xdr:row>
                <xdr:rowOff>19050</xdr:rowOff>
              </to>
            </anchor>
          </objectPr>
        </oleObject>
      </mc:Choice>
      <mc:Fallback>
        <oleObject progId="AutoCAD.Drawing.19" shapeId="33795" r:id="rId8"/>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b"/>
  <dimension ref="A1:AA42"/>
  <sheetViews>
    <sheetView topLeftCell="A10" workbookViewId="0">
      <selection activeCell="D5" sqref="D5"/>
    </sheetView>
  </sheetViews>
  <sheetFormatPr defaultRowHeight="12.75" x14ac:dyDescent="0.2"/>
  <cols>
    <col min="1" max="1" width="10.7109375" style="1" bestFit="1" customWidth="1"/>
    <col min="2" max="2" width="12" style="1" bestFit="1" customWidth="1"/>
    <col min="3" max="3" width="9.140625" style="1"/>
    <col min="4" max="4" width="7.140625" style="1" customWidth="1"/>
    <col min="5" max="5" width="9.140625" style="1"/>
    <col min="6" max="6" width="6.5703125" style="1" bestFit="1" customWidth="1"/>
    <col min="7" max="12" width="9.140625" style="1"/>
    <col min="13" max="13" width="10.28515625" style="1" bestFit="1" customWidth="1"/>
    <col min="14" max="14" width="11.140625" style="1" customWidth="1"/>
    <col min="15" max="22" width="9.140625" style="1"/>
    <col min="23" max="23" width="10" style="1" bestFit="1" customWidth="1"/>
    <col min="24" max="16384" width="9.140625" style="1"/>
  </cols>
  <sheetData>
    <row r="1" spans="1:27" x14ac:dyDescent="0.2">
      <c r="I1" s="1">
        <v>0</v>
      </c>
      <c r="J1" s="1" t="s">
        <v>44</v>
      </c>
    </row>
    <row r="2" spans="1:27" x14ac:dyDescent="0.2">
      <c r="A2" s="1" t="s">
        <v>29</v>
      </c>
      <c r="B2" s="1" t="s">
        <v>40</v>
      </c>
      <c r="D2" s="1" t="s">
        <v>38</v>
      </c>
      <c r="F2" s="1" t="s">
        <v>41</v>
      </c>
    </row>
    <row r="3" spans="1:27" x14ac:dyDescent="0.2">
      <c r="B3" s="1" t="s">
        <v>42</v>
      </c>
      <c r="C3" s="1" t="s">
        <v>32</v>
      </c>
      <c r="D3" s="1" t="s">
        <v>32</v>
      </c>
      <c r="E3" s="1" t="s">
        <v>33</v>
      </c>
      <c r="F3" s="1" t="s">
        <v>42</v>
      </c>
      <c r="G3" s="1" t="s">
        <v>32</v>
      </c>
      <c r="H3" s="1" t="s">
        <v>848</v>
      </c>
      <c r="I3" s="1" t="s">
        <v>613</v>
      </c>
      <c r="V3" s="1" t="s">
        <v>1270</v>
      </c>
      <c r="W3" s="1" t="s">
        <v>371</v>
      </c>
    </row>
    <row r="4" spans="1:27" ht="13.5" thickBot="1" x14ac:dyDescent="0.25">
      <c r="A4" s="1" t="s">
        <v>43</v>
      </c>
    </row>
    <row r="5" spans="1:27" ht="15.75" thickBot="1" x14ac:dyDescent="0.3">
      <c r="A5" s="2" t="s">
        <v>54</v>
      </c>
      <c r="B5" s="1">
        <v>7.4999999999999997E-2</v>
      </c>
      <c r="C5" s="1">
        <v>7.1999999999999998E-3</v>
      </c>
      <c r="D5" s="1">
        <v>4.0000000000000001E-3</v>
      </c>
      <c r="E5" s="1">
        <v>8.5600000000000009E-2</v>
      </c>
      <c r="F5" s="1">
        <v>7.4999999999999997E-2</v>
      </c>
      <c r="G5" s="1">
        <v>7.1999999999999998E-3</v>
      </c>
      <c r="H5" s="90">
        <v>257.5</v>
      </c>
      <c r="I5" s="1">
        <v>11.5</v>
      </c>
      <c r="J5" s="1" t="s">
        <v>45</v>
      </c>
      <c r="L5" s="1">
        <v>1</v>
      </c>
      <c r="N5" s="1" t="s">
        <v>660</v>
      </c>
      <c r="Q5" s="1" t="s">
        <v>48</v>
      </c>
      <c r="V5" s="768">
        <v>1.4599999999999999E-3</v>
      </c>
      <c r="W5" s="1">
        <v>5.1499999999999998E-5</v>
      </c>
      <c r="AA5" s="768"/>
    </row>
    <row r="6" spans="1:27" ht="15.75" thickBot="1" x14ac:dyDescent="0.3">
      <c r="A6" s="2" t="s">
        <v>55</v>
      </c>
      <c r="B6" s="1">
        <v>7.4999999999999997E-2</v>
      </c>
      <c r="C6" s="1">
        <v>7.6E-3</v>
      </c>
      <c r="D6" s="1">
        <v>4.4000000000000003E-3</v>
      </c>
      <c r="E6" s="1">
        <v>0.10979999999999999</v>
      </c>
      <c r="F6" s="1">
        <v>7.4999999999999997E-2</v>
      </c>
      <c r="G6" s="1">
        <v>7.6E-3</v>
      </c>
      <c r="H6" s="90">
        <v>449</v>
      </c>
      <c r="I6" s="1">
        <v>13</v>
      </c>
      <c r="J6" s="1" t="s">
        <v>672</v>
      </c>
      <c r="L6" s="1">
        <f>IF(L5&lt;N,L5+1,"")</f>
        <v>2</v>
      </c>
      <c r="N6" s="1" t="s">
        <v>46</v>
      </c>
      <c r="Q6" s="1" t="s">
        <v>49</v>
      </c>
      <c r="V6" s="768">
        <v>1.6600000000000002E-3</v>
      </c>
      <c r="W6" s="1">
        <v>7.1799999999999997E-5</v>
      </c>
      <c r="AA6" s="89"/>
    </row>
    <row r="7" spans="1:27" ht="15.75" thickBot="1" x14ac:dyDescent="0.3">
      <c r="A7" s="2" t="s">
        <v>56</v>
      </c>
      <c r="B7" s="1">
        <v>0.08</v>
      </c>
      <c r="C7" s="1">
        <v>7.6E-3</v>
      </c>
      <c r="D7" s="1">
        <v>4.7999999999999996E-3</v>
      </c>
      <c r="E7" s="1">
        <v>0.1348</v>
      </c>
      <c r="F7" s="1">
        <v>0.08</v>
      </c>
      <c r="G7" s="1">
        <v>7.6E-3</v>
      </c>
      <c r="H7" s="90">
        <v>726.4</v>
      </c>
      <c r="I7" s="1">
        <v>14.9</v>
      </c>
      <c r="J7" s="1" t="s">
        <v>68</v>
      </c>
      <c r="L7" s="1">
        <f>IF(L6&lt;N,L6+1,"")</f>
        <v>3</v>
      </c>
      <c r="N7" s="1" t="s">
        <v>47</v>
      </c>
      <c r="Q7" s="1" t="s">
        <v>50</v>
      </c>
      <c r="V7" s="768">
        <v>1.9E-3</v>
      </c>
      <c r="W7" s="1">
        <v>9.6900000000000011E-5</v>
      </c>
      <c r="AA7" s="89"/>
    </row>
    <row r="8" spans="1:27" ht="15.75" thickBot="1" x14ac:dyDescent="0.3">
      <c r="A8" s="2" t="s">
        <v>57</v>
      </c>
      <c r="B8" s="1">
        <v>0.09</v>
      </c>
      <c r="C8" s="1">
        <v>8.6E-3</v>
      </c>
      <c r="D8" s="1">
        <v>5.4999999999999997E-3</v>
      </c>
      <c r="E8" s="1">
        <v>0.1578</v>
      </c>
      <c r="F8" s="1">
        <v>0.09</v>
      </c>
      <c r="G8" s="1">
        <v>8.6E-3</v>
      </c>
      <c r="H8" s="90">
        <v>1272</v>
      </c>
      <c r="I8" s="90">
        <v>19.3</v>
      </c>
      <c r="Q8" s="1" t="s">
        <v>51</v>
      </c>
      <c r="V8" s="768">
        <v>2.4620000000000002E-3</v>
      </c>
      <c r="W8" s="1">
        <v>1.4540000000000001E-4</v>
      </c>
      <c r="AA8" s="89"/>
    </row>
    <row r="9" spans="1:27" ht="15.75" thickBot="1" x14ac:dyDescent="0.3">
      <c r="A9" s="2" t="s">
        <v>58</v>
      </c>
      <c r="B9" s="1">
        <v>0.1</v>
      </c>
      <c r="C9" s="1">
        <v>1.0800000000000001E-2</v>
      </c>
      <c r="D9" s="1">
        <v>5.7000000000000002E-3</v>
      </c>
      <c r="E9" s="1">
        <v>0.1784</v>
      </c>
      <c r="F9" s="1">
        <v>0.1</v>
      </c>
      <c r="G9" s="1">
        <v>1.0800000000000001E-2</v>
      </c>
      <c r="H9" s="90">
        <v>2235.4</v>
      </c>
      <c r="I9" s="90">
        <v>25.4</v>
      </c>
      <c r="Q9" s="1" t="s">
        <v>53</v>
      </c>
      <c r="V9" s="768">
        <v>3.2329999999999998E-3</v>
      </c>
      <c r="W9" s="1">
        <v>2.2350000000000001E-4</v>
      </c>
      <c r="AA9" s="89"/>
    </row>
    <row r="10" spans="1:27" ht="15.75" thickBot="1" x14ac:dyDescent="0.3">
      <c r="A10" s="2" t="s">
        <v>59</v>
      </c>
      <c r="B10" s="1">
        <v>0.11</v>
      </c>
      <c r="C10" s="1">
        <v>1.1800000000000001E-2</v>
      </c>
      <c r="D10" s="1">
        <v>6.4999999999999997E-3</v>
      </c>
      <c r="E10" s="1">
        <v>0.2014</v>
      </c>
      <c r="F10" s="1">
        <v>0.11</v>
      </c>
      <c r="G10" s="1">
        <v>1.1800000000000001E-2</v>
      </c>
      <c r="H10" s="90">
        <v>3441.8</v>
      </c>
      <c r="I10" s="90">
        <v>31.2</v>
      </c>
      <c r="N10" s="53">
        <v>0</v>
      </c>
      <c r="Q10" s="1" t="s">
        <v>52</v>
      </c>
      <c r="V10" s="768">
        <v>3.9719999999999998E-3</v>
      </c>
      <c r="W10" s="1">
        <v>3.0589999999999995E-4</v>
      </c>
      <c r="AA10" s="89"/>
    </row>
    <row r="11" spans="1:27" ht="15.75" thickBot="1" x14ac:dyDescent="0.3">
      <c r="A11" s="2" t="s">
        <v>60</v>
      </c>
      <c r="B11" s="1">
        <v>0.125</v>
      </c>
      <c r="C11" s="1">
        <v>1.2500000000000001E-2</v>
      </c>
      <c r="D11" s="1">
        <v>6.9000000000000008E-3</v>
      </c>
      <c r="E11" s="1">
        <v>0.22500000000000001</v>
      </c>
      <c r="F11" s="1">
        <v>0.125</v>
      </c>
      <c r="G11" s="1">
        <v>1.2500000000000001E-2</v>
      </c>
      <c r="H11" s="90">
        <v>5131.6000000000004</v>
      </c>
      <c r="I11" s="90">
        <v>37.299999999999997</v>
      </c>
      <c r="N11" s="53">
        <f>1/16*25.4</f>
        <v>1.5874999999999999</v>
      </c>
      <c r="V11" s="768">
        <v>4.7549999999999997E-3</v>
      </c>
      <c r="W11" s="1">
        <v>4.105E-4</v>
      </c>
      <c r="AA11" s="89"/>
    </row>
    <row r="12" spans="1:27" ht="15.75" thickBot="1" x14ac:dyDescent="0.3">
      <c r="A12" s="2" t="s">
        <v>61</v>
      </c>
      <c r="B12" s="1">
        <v>0.14000000000000001</v>
      </c>
      <c r="C12" s="1">
        <v>1.24E-2</v>
      </c>
      <c r="D12" s="1">
        <v>7.4999999999999997E-3</v>
      </c>
      <c r="E12" s="1">
        <v>0.2752</v>
      </c>
      <c r="F12" s="1">
        <v>0.14000000000000001</v>
      </c>
      <c r="G12" s="1">
        <v>1.24E-2</v>
      </c>
      <c r="H12" s="90">
        <v>8603.6</v>
      </c>
      <c r="I12" s="90">
        <v>44.2</v>
      </c>
      <c r="N12" s="53">
        <v>3</v>
      </c>
      <c r="V12" s="768">
        <v>5.6259999999999999E-3</v>
      </c>
      <c r="W12" s="1">
        <v>5.7360000000000006E-4</v>
      </c>
      <c r="AA12" s="89"/>
    </row>
    <row r="13" spans="1:27" ht="15.75" thickBot="1" x14ac:dyDescent="0.3">
      <c r="A13" s="2" t="s">
        <v>62</v>
      </c>
      <c r="B13" s="1">
        <v>0.14000000000000001</v>
      </c>
      <c r="C13" s="1">
        <v>1.4199999999999999E-2</v>
      </c>
      <c r="D13" s="1">
        <v>8.0999999999999996E-3</v>
      </c>
      <c r="E13" s="1">
        <v>0.3216</v>
      </c>
      <c r="F13" s="1">
        <v>0.14000000000000001</v>
      </c>
      <c r="G13" s="1">
        <v>1.4199999999999999E-2</v>
      </c>
      <c r="H13" s="90">
        <v>13630.3</v>
      </c>
      <c r="I13" s="90">
        <v>52.4</v>
      </c>
      <c r="N13" s="53">
        <f>1/8*25.4</f>
        <v>3.1749999999999998</v>
      </c>
      <c r="V13" s="768">
        <v>6.670999999999999E-3</v>
      </c>
      <c r="W13" s="1">
        <v>7.7890000000000001E-4</v>
      </c>
      <c r="AA13" s="89"/>
    </row>
    <row r="14" spans="1:27" ht="15.75" thickBot="1" x14ac:dyDescent="0.3">
      <c r="A14" s="2" t="s">
        <v>63</v>
      </c>
      <c r="B14" s="1">
        <v>0.14000000000000001</v>
      </c>
      <c r="C14" s="1">
        <v>1.6E-2</v>
      </c>
      <c r="D14" s="1">
        <v>8.8999999999999999E-3</v>
      </c>
      <c r="E14" s="1">
        <v>0.36799999999999999</v>
      </c>
      <c r="F14" s="1">
        <v>0.14000000000000001</v>
      </c>
      <c r="G14" s="1">
        <v>1.6E-2</v>
      </c>
      <c r="H14" s="90">
        <v>20458.400000000001</v>
      </c>
      <c r="I14" s="90">
        <v>61.6</v>
      </c>
      <c r="N14" s="53">
        <v>4</v>
      </c>
      <c r="V14" s="768">
        <v>7.8459999999999988E-3</v>
      </c>
      <c r="W14" s="1">
        <v>1.0229E-3</v>
      </c>
      <c r="AA14" s="89"/>
    </row>
    <row r="15" spans="1:27" ht="15.75" thickBot="1" x14ac:dyDescent="0.3">
      <c r="A15" s="2" t="s">
        <v>64</v>
      </c>
      <c r="B15" s="1">
        <v>0.15</v>
      </c>
      <c r="C15" s="1">
        <v>1.7399999999999999E-2</v>
      </c>
      <c r="D15" s="1">
        <v>9.4000000000000004E-3</v>
      </c>
      <c r="E15" s="1">
        <v>0.41520000000000001</v>
      </c>
      <c r="F15" s="1">
        <v>0.15</v>
      </c>
      <c r="G15" s="1">
        <v>1.7399999999999999E-2</v>
      </c>
      <c r="H15" s="90">
        <v>30390.799999999999</v>
      </c>
      <c r="I15" s="90">
        <v>72.400000000000006</v>
      </c>
      <c r="N15" s="53">
        <f>3/16*25.4</f>
        <v>4.7624999999999993</v>
      </c>
      <c r="Q15" s="5" t="s">
        <v>920</v>
      </c>
      <c r="V15" s="768">
        <v>9.2269999999999991E-3</v>
      </c>
      <c r="W15" s="1">
        <v>1.3507E-3</v>
      </c>
      <c r="AA15" s="89"/>
    </row>
    <row r="16" spans="1:27" ht="15.75" thickBot="1" x14ac:dyDescent="0.3">
      <c r="A16" s="2" t="s">
        <v>65</v>
      </c>
      <c r="B16" s="1">
        <v>0.18</v>
      </c>
      <c r="C16" s="1">
        <v>1.72E-2</v>
      </c>
      <c r="D16" s="1">
        <v>1.0199999999999999E-2</v>
      </c>
      <c r="E16" s="1">
        <v>0.46560000000000001</v>
      </c>
      <c r="F16" s="1">
        <v>0.18</v>
      </c>
      <c r="G16" s="1">
        <v>1.72E-2</v>
      </c>
      <c r="H16" s="90">
        <v>45218.3</v>
      </c>
      <c r="I16" s="90">
        <v>86.9</v>
      </c>
      <c r="N16" s="53">
        <f>1/4*25.4</f>
        <v>6.35</v>
      </c>
      <c r="Q16" s="5" t="s">
        <v>919</v>
      </c>
      <c r="V16" s="768">
        <v>1.1073999999999999E-2</v>
      </c>
      <c r="W16" s="1">
        <v>1.8087000000000001E-3</v>
      </c>
      <c r="AA16" s="89"/>
    </row>
    <row r="17" spans="1:27" ht="15.75" thickBot="1" x14ac:dyDescent="0.3">
      <c r="A17" s="2" t="s">
        <v>66</v>
      </c>
      <c r="B17" s="1">
        <v>0.19</v>
      </c>
      <c r="C17" s="1">
        <v>1.9300000000000001E-2</v>
      </c>
      <c r="D17" s="1">
        <v>1.12E-2</v>
      </c>
      <c r="E17" s="1">
        <v>0.51140000000000008</v>
      </c>
      <c r="F17" s="1">
        <v>0.19</v>
      </c>
      <c r="G17" s="1">
        <v>1.9300000000000001E-2</v>
      </c>
      <c r="H17" s="90">
        <v>64893.599999999999</v>
      </c>
      <c r="I17" s="90">
        <v>103.7</v>
      </c>
      <c r="N17" s="53">
        <f>5/16*25.4</f>
        <v>7.9375</v>
      </c>
      <c r="V17" s="768">
        <v>1.3211000000000001E-2</v>
      </c>
      <c r="W17" s="1">
        <v>2.3598E-3</v>
      </c>
      <c r="AA17" s="89"/>
    </row>
    <row r="18" spans="1:27" ht="15.75" thickBot="1" x14ac:dyDescent="0.3">
      <c r="A18" s="2" t="s">
        <v>67</v>
      </c>
      <c r="B18" s="1">
        <v>0.21</v>
      </c>
      <c r="C18" s="1">
        <v>2.0799999999999999E-2</v>
      </c>
      <c r="D18" s="1">
        <v>1.2E-2</v>
      </c>
      <c r="E18" s="1">
        <v>0.55840000000000001</v>
      </c>
      <c r="F18" s="1">
        <v>0.21</v>
      </c>
      <c r="G18" s="1">
        <v>2.0799999999999999E-2</v>
      </c>
      <c r="H18" s="90">
        <v>91813</v>
      </c>
      <c r="I18" s="90">
        <v>122.6</v>
      </c>
      <c r="N18" s="53">
        <f>3/8*25.4</f>
        <v>9.5249999999999986</v>
      </c>
      <c r="V18" s="768">
        <v>1.5621000000000001E-2</v>
      </c>
      <c r="W18" s="1">
        <v>3.0604E-3</v>
      </c>
      <c r="AA18" s="769"/>
    </row>
    <row r="19" spans="1:27" x14ac:dyDescent="0.2">
      <c r="N19" s="53">
        <f>7/16*25.4</f>
        <v>11.112499999999999</v>
      </c>
    </row>
    <row r="20" spans="1:27" x14ac:dyDescent="0.2">
      <c r="A20" s="2"/>
      <c r="N20" s="53">
        <f>1/2*25.4</f>
        <v>12.7</v>
      </c>
      <c r="Q20" s="1">
        <f>490*0.1571</f>
        <v>76.978999999999999</v>
      </c>
    </row>
    <row r="21" spans="1:27" x14ac:dyDescent="0.2">
      <c r="A21" s="1" t="s">
        <v>29</v>
      </c>
      <c r="B21" s="1" t="s">
        <v>842</v>
      </c>
      <c r="C21" s="1" t="s">
        <v>843</v>
      </c>
      <c r="D21" s="1" t="s">
        <v>844</v>
      </c>
      <c r="E21" s="1" t="s">
        <v>845</v>
      </c>
      <c r="F21" s="1" t="s">
        <v>846</v>
      </c>
      <c r="G21" s="1" t="s">
        <v>847</v>
      </c>
      <c r="H21" s="1" t="s">
        <v>848</v>
      </c>
      <c r="I21" s="1" t="s">
        <v>849</v>
      </c>
    </row>
    <row r="22" spans="1:27" x14ac:dyDescent="0.2">
      <c r="A22" s="1" t="s">
        <v>831</v>
      </c>
      <c r="B22" s="1">
        <v>6.8</v>
      </c>
      <c r="C22" s="1">
        <v>8.67</v>
      </c>
      <c r="D22" s="1">
        <v>75</v>
      </c>
      <c r="E22" s="1">
        <v>40</v>
      </c>
      <c r="F22" s="1">
        <v>7.3</v>
      </c>
      <c r="G22" s="1">
        <v>4.4000000000000004</v>
      </c>
      <c r="H22" s="1">
        <v>76</v>
      </c>
      <c r="I22" s="1">
        <v>20.3</v>
      </c>
      <c r="Q22" s="1" t="s">
        <v>957</v>
      </c>
    </row>
    <row r="23" spans="1:27" x14ac:dyDescent="0.2">
      <c r="A23" s="1" t="s">
        <v>832</v>
      </c>
      <c r="B23" s="1">
        <v>9.1999999999999993</v>
      </c>
      <c r="C23" s="1">
        <v>11.7</v>
      </c>
      <c r="D23" s="1">
        <v>100</v>
      </c>
      <c r="E23" s="1">
        <v>50</v>
      </c>
      <c r="F23" s="1">
        <v>7.5</v>
      </c>
      <c r="G23" s="1">
        <v>4.7</v>
      </c>
      <c r="H23" s="1">
        <v>186.7</v>
      </c>
      <c r="I23" s="1">
        <v>37.299999999999997</v>
      </c>
      <c r="Q23" s="1" t="s">
        <v>958</v>
      </c>
    </row>
    <row r="24" spans="1:27" x14ac:dyDescent="0.2">
      <c r="A24" s="1" t="s">
        <v>833</v>
      </c>
      <c r="B24" s="1">
        <v>12.7</v>
      </c>
      <c r="C24" s="1">
        <v>16.190000000000001</v>
      </c>
      <c r="D24" s="1">
        <v>125</v>
      </c>
      <c r="E24" s="1">
        <v>65</v>
      </c>
      <c r="F24" s="1">
        <v>8.1</v>
      </c>
      <c r="G24" s="1">
        <v>5</v>
      </c>
      <c r="H24" s="1">
        <v>416.4</v>
      </c>
      <c r="I24" s="1">
        <v>66.599999999999994</v>
      </c>
      <c r="N24" s="90"/>
      <c r="Q24" s="1" t="s">
        <v>959</v>
      </c>
    </row>
    <row r="25" spans="1:27" x14ac:dyDescent="0.2">
      <c r="A25" s="1" t="s">
        <v>834</v>
      </c>
      <c r="B25" s="1">
        <v>16.399999999999999</v>
      </c>
      <c r="C25" s="1">
        <v>20.88</v>
      </c>
      <c r="D25" s="1">
        <v>150</v>
      </c>
      <c r="E25" s="1">
        <v>75</v>
      </c>
      <c r="F25" s="1">
        <v>9</v>
      </c>
      <c r="G25" s="1">
        <v>5.4</v>
      </c>
      <c r="H25" s="1">
        <v>779.4</v>
      </c>
      <c r="I25" s="1">
        <v>103.9</v>
      </c>
      <c r="Q25" s="1" t="s">
        <v>960</v>
      </c>
    </row>
    <row r="26" spans="1:27" x14ac:dyDescent="0.2">
      <c r="A26" s="1" t="s">
        <v>835</v>
      </c>
      <c r="B26" s="1">
        <v>19.100000000000001</v>
      </c>
      <c r="C26" s="1">
        <v>24.38</v>
      </c>
      <c r="D26" s="1">
        <v>175</v>
      </c>
      <c r="E26" s="1">
        <v>75</v>
      </c>
      <c r="F26" s="1">
        <v>10.199999999999999</v>
      </c>
      <c r="G26" s="1">
        <v>5.7</v>
      </c>
      <c r="H26" s="1">
        <v>1223.3</v>
      </c>
      <c r="I26" s="1">
        <v>139.80000000000001</v>
      </c>
      <c r="Q26" s="1" t="s">
        <v>961</v>
      </c>
    </row>
    <row r="27" spans="1:27" x14ac:dyDescent="0.2">
      <c r="A27" s="1" t="s">
        <v>836</v>
      </c>
      <c r="B27" s="1">
        <v>22.1</v>
      </c>
      <c r="C27" s="1">
        <v>28.21</v>
      </c>
      <c r="D27" s="1">
        <v>200</v>
      </c>
      <c r="E27" s="1">
        <v>75</v>
      </c>
      <c r="F27" s="1">
        <v>11.4</v>
      </c>
      <c r="G27" s="1">
        <v>6.1</v>
      </c>
      <c r="H27" s="1">
        <v>1819.3</v>
      </c>
      <c r="I27" s="1">
        <v>181.9</v>
      </c>
      <c r="Q27" s="1" t="s">
        <v>962</v>
      </c>
    </row>
    <row r="28" spans="1:27" x14ac:dyDescent="0.2">
      <c r="A28" s="1" t="s">
        <v>837</v>
      </c>
      <c r="B28" s="1">
        <v>25.9</v>
      </c>
      <c r="C28" s="1">
        <v>33.01</v>
      </c>
      <c r="D28" s="1">
        <v>225</v>
      </c>
      <c r="E28" s="1">
        <v>80</v>
      </c>
      <c r="F28" s="1">
        <v>12.4</v>
      </c>
      <c r="G28" s="1">
        <v>6.4</v>
      </c>
      <c r="H28" s="1">
        <v>2694.6</v>
      </c>
      <c r="I28" s="1">
        <v>239.5</v>
      </c>
      <c r="Q28" s="1" t="s">
        <v>963</v>
      </c>
    </row>
    <row r="29" spans="1:27" x14ac:dyDescent="0.2">
      <c r="A29" s="1" t="s">
        <v>838</v>
      </c>
      <c r="B29" s="1">
        <v>30.4</v>
      </c>
      <c r="C29" s="1">
        <v>38.67</v>
      </c>
      <c r="D29" s="1">
        <v>250</v>
      </c>
      <c r="E29" s="1">
        <v>80</v>
      </c>
      <c r="F29" s="1">
        <v>14.1</v>
      </c>
      <c r="G29" s="1">
        <v>7.1</v>
      </c>
      <c r="H29" s="1">
        <v>3816.8</v>
      </c>
      <c r="I29" s="1">
        <v>305.3</v>
      </c>
      <c r="Q29" s="1" t="s">
        <v>964</v>
      </c>
    </row>
    <row r="30" spans="1:27" x14ac:dyDescent="0.2">
      <c r="A30" s="1" t="s">
        <v>839</v>
      </c>
      <c r="B30" s="1">
        <v>35.799999999999997</v>
      </c>
      <c r="C30" s="1">
        <v>45.64</v>
      </c>
      <c r="D30" s="1">
        <v>300</v>
      </c>
      <c r="E30" s="1">
        <v>90</v>
      </c>
      <c r="F30" s="1">
        <v>13.6</v>
      </c>
      <c r="G30" s="1">
        <v>7.6</v>
      </c>
      <c r="H30" s="1">
        <v>6362.8</v>
      </c>
      <c r="I30" s="1">
        <v>424.2</v>
      </c>
      <c r="Q30" s="1" t="s">
        <v>965</v>
      </c>
    </row>
    <row r="31" spans="1:27" x14ac:dyDescent="0.2">
      <c r="A31" s="1" t="s">
        <v>840</v>
      </c>
      <c r="B31" s="1">
        <v>42.1</v>
      </c>
      <c r="C31" s="1">
        <v>53.66</v>
      </c>
      <c r="D31" s="1">
        <v>350</v>
      </c>
      <c r="E31" s="1">
        <v>100</v>
      </c>
      <c r="F31" s="1">
        <v>13.5</v>
      </c>
      <c r="G31" s="1">
        <v>8.1</v>
      </c>
      <c r="H31" s="1">
        <v>10008</v>
      </c>
      <c r="I31" s="1">
        <v>571.9</v>
      </c>
    </row>
    <row r="32" spans="1:27" x14ac:dyDescent="0.2">
      <c r="A32" s="1" t="s">
        <v>841</v>
      </c>
      <c r="B32" s="1">
        <v>49.4</v>
      </c>
      <c r="C32" s="1">
        <v>62.93</v>
      </c>
      <c r="D32" s="1">
        <v>400</v>
      </c>
      <c r="E32" s="1">
        <v>100</v>
      </c>
      <c r="F32" s="1">
        <v>15.3</v>
      </c>
      <c r="G32" s="1">
        <v>8.6</v>
      </c>
      <c r="H32" s="1">
        <v>15082.8</v>
      </c>
      <c r="I32" s="1">
        <v>754.1</v>
      </c>
    </row>
    <row r="39" spans="14:15" x14ac:dyDescent="0.2">
      <c r="N39" s="90"/>
    </row>
    <row r="40" spans="14:15" ht="15" x14ac:dyDescent="0.25">
      <c r="N40" s="89"/>
    </row>
    <row r="42" spans="14:15" ht="15" x14ac:dyDescent="0.25">
      <c r="O42" s="89"/>
    </row>
  </sheetData>
  <sheetProtection selectLockedCell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tes"/>
  <dimension ref="A1:X112"/>
  <sheetViews>
    <sheetView workbookViewId="0">
      <selection sqref="A1:XFD1048576"/>
    </sheetView>
  </sheetViews>
  <sheetFormatPr defaultRowHeight="15" x14ac:dyDescent="0.25"/>
  <cols>
    <col min="1" max="1" width="4.140625" customWidth="1"/>
    <col min="2" max="11" width="14.7109375" customWidth="1"/>
    <col min="12" max="12" width="9.140625" customWidth="1"/>
  </cols>
  <sheetData>
    <row r="1" spans="1:11" ht="18" x14ac:dyDescent="0.25">
      <c r="A1" s="11" t="s">
        <v>466</v>
      </c>
      <c r="B1" s="11"/>
      <c r="C1" s="11"/>
      <c r="D1" s="11"/>
      <c r="E1" s="11"/>
      <c r="F1" s="11"/>
      <c r="G1" s="11"/>
      <c r="H1" s="11"/>
      <c r="I1" s="11"/>
      <c r="J1" s="11"/>
      <c r="K1" s="11"/>
    </row>
    <row r="2" spans="1:11" x14ac:dyDescent="0.25">
      <c r="A2" s="12"/>
      <c r="B2" s="12"/>
      <c r="C2" s="12"/>
      <c r="D2" s="12"/>
      <c r="E2" s="12"/>
      <c r="F2" s="12"/>
      <c r="G2" s="12"/>
      <c r="H2" s="12"/>
      <c r="I2" s="12"/>
      <c r="J2" s="12"/>
      <c r="K2" s="12"/>
    </row>
    <row r="3" spans="1:11" ht="15.75" thickBot="1" x14ac:dyDescent="0.3">
      <c r="A3" s="1152" t="s">
        <v>467</v>
      </c>
      <c r="B3" s="1153"/>
      <c r="C3" s="1153"/>
      <c r="D3" s="1153"/>
      <c r="E3" s="1153"/>
      <c r="F3" s="13"/>
      <c r="G3" s="13"/>
      <c r="H3" s="13"/>
      <c r="I3" s="13"/>
      <c r="J3" s="13"/>
      <c r="K3" s="13"/>
    </row>
    <row r="4" spans="1:11" x14ac:dyDescent="0.25">
      <c r="A4" s="14" t="s">
        <v>468</v>
      </c>
      <c r="B4" s="14"/>
      <c r="C4" s="14"/>
      <c r="D4" s="14"/>
      <c r="E4" s="14"/>
      <c r="F4" s="14"/>
      <c r="G4" s="14"/>
      <c r="H4" s="14"/>
      <c r="I4" s="14"/>
      <c r="J4" s="14"/>
      <c r="K4" s="14"/>
    </row>
    <row r="5" spans="1:11" ht="15.75" x14ac:dyDescent="0.3">
      <c r="A5" s="15" t="s">
        <v>469</v>
      </c>
      <c r="B5" s="15"/>
      <c r="C5" s="15"/>
      <c r="D5" s="15"/>
      <c r="E5" s="15"/>
      <c r="F5" s="15"/>
      <c r="G5" s="15"/>
      <c r="H5" s="15"/>
      <c r="I5" s="15"/>
      <c r="J5" s="15"/>
      <c r="K5" s="15"/>
    </row>
    <row r="6" spans="1:11" x14ac:dyDescent="0.25">
      <c r="A6" s="16"/>
      <c r="B6" s="17"/>
      <c r="C6" s="18"/>
      <c r="D6" s="19"/>
      <c r="E6" s="19"/>
      <c r="F6" s="19"/>
      <c r="G6" s="19"/>
      <c r="H6" s="19"/>
      <c r="I6" s="20"/>
      <c r="J6" s="20"/>
      <c r="K6" s="20"/>
    </row>
    <row r="7" spans="1:11" x14ac:dyDescent="0.25">
      <c r="A7" s="16"/>
      <c r="B7" s="17"/>
      <c r="C7" s="18"/>
      <c r="D7" s="19"/>
      <c r="E7" s="19"/>
      <c r="F7" s="19"/>
      <c r="G7" s="19"/>
      <c r="H7" s="19"/>
      <c r="I7" s="20"/>
      <c r="J7" s="20"/>
      <c r="K7" s="20"/>
    </row>
    <row r="8" spans="1:11" x14ac:dyDescent="0.25">
      <c r="A8" s="16"/>
      <c r="B8" s="17"/>
      <c r="C8" s="18"/>
      <c r="D8" s="19"/>
      <c r="E8" s="19"/>
      <c r="F8" s="19"/>
      <c r="G8" s="19"/>
      <c r="H8" s="19"/>
      <c r="I8" s="20"/>
      <c r="J8" s="20"/>
      <c r="K8" s="20"/>
    </row>
    <row r="9" spans="1:11" x14ac:dyDescent="0.25">
      <c r="A9" s="16"/>
      <c r="B9" s="17"/>
      <c r="C9" s="18"/>
      <c r="D9" s="19"/>
      <c r="E9" s="19"/>
      <c r="F9" s="19"/>
      <c r="G9" s="19"/>
      <c r="H9" s="19"/>
      <c r="I9" s="20"/>
      <c r="J9" s="20"/>
      <c r="K9" s="20"/>
    </row>
    <row r="10" spans="1:11" x14ac:dyDescent="0.25">
      <c r="A10" s="16"/>
      <c r="B10" s="17"/>
      <c r="C10" s="18"/>
      <c r="D10" s="19"/>
      <c r="E10" s="19"/>
      <c r="F10" s="19"/>
      <c r="G10" s="19"/>
      <c r="H10" s="19"/>
      <c r="I10" s="20"/>
      <c r="J10" s="20"/>
      <c r="K10" s="20"/>
    </row>
    <row r="11" spans="1:11" x14ac:dyDescent="0.25">
      <c r="A11" s="16"/>
      <c r="B11" s="17"/>
      <c r="C11" s="18"/>
      <c r="D11" s="19"/>
      <c r="E11" s="19"/>
      <c r="F11" s="19"/>
      <c r="G11" s="19"/>
      <c r="H11" s="19"/>
      <c r="I11" s="20"/>
      <c r="J11" s="20"/>
      <c r="K11" s="20"/>
    </row>
    <row r="12" spans="1:11" x14ac:dyDescent="0.25">
      <c r="A12" s="16"/>
      <c r="B12" s="17"/>
      <c r="C12" s="18"/>
      <c r="D12" s="19"/>
      <c r="E12" s="19"/>
      <c r="F12" s="19"/>
      <c r="G12" s="19"/>
      <c r="H12" s="19"/>
      <c r="I12" s="20"/>
      <c r="J12" s="20"/>
      <c r="K12" s="20"/>
    </row>
    <row r="13" spans="1:11" x14ac:dyDescent="0.25">
      <c r="A13" s="16"/>
      <c r="B13" s="17"/>
      <c r="C13" s="18"/>
      <c r="D13" s="19"/>
      <c r="E13" s="19"/>
      <c r="F13" s="19"/>
      <c r="G13" s="19"/>
      <c r="H13" s="19"/>
      <c r="I13" s="20"/>
      <c r="J13" s="20"/>
      <c r="K13" s="20"/>
    </row>
    <row r="14" spans="1:11" x14ac:dyDescent="0.25">
      <c r="A14" s="16"/>
      <c r="B14" s="17"/>
      <c r="C14" s="18"/>
      <c r="D14" s="19"/>
      <c r="E14" s="19"/>
      <c r="F14" s="19"/>
      <c r="G14" s="19"/>
      <c r="H14" s="19"/>
      <c r="I14" s="20"/>
      <c r="J14" s="20"/>
      <c r="K14" s="20"/>
    </row>
    <row r="15" spans="1:11" x14ac:dyDescent="0.25">
      <c r="A15" s="16"/>
      <c r="B15" s="17"/>
      <c r="C15" s="18"/>
      <c r="D15" s="19"/>
      <c r="E15" s="19"/>
      <c r="F15" s="19"/>
      <c r="G15" s="19"/>
      <c r="H15" s="19"/>
      <c r="I15" s="20"/>
      <c r="J15" s="20"/>
      <c r="K15" s="20"/>
    </row>
    <row r="16" spans="1:11" x14ac:dyDescent="0.25">
      <c r="A16" s="16"/>
      <c r="B16" s="17"/>
      <c r="C16" s="18"/>
      <c r="D16" s="19"/>
      <c r="E16" s="19"/>
      <c r="F16" s="19"/>
      <c r="G16" s="19"/>
      <c r="H16" s="19"/>
      <c r="I16" s="20"/>
      <c r="J16" s="20"/>
      <c r="K16" s="20"/>
    </row>
    <row r="17" spans="1:11" x14ac:dyDescent="0.25">
      <c r="A17" s="16"/>
      <c r="B17" s="17"/>
      <c r="C17" s="18"/>
      <c r="D17" s="19"/>
      <c r="E17" s="19"/>
      <c r="F17" s="19"/>
      <c r="G17" s="19"/>
      <c r="H17" s="19"/>
      <c r="I17" s="20"/>
      <c r="J17" s="20"/>
      <c r="K17" s="20"/>
    </row>
    <row r="18" spans="1:11" x14ac:dyDescent="0.25">
      <c r="A18" s="16"/>
      <c r="B18" s="17"/>
      <c r="C18" s="18"/>
      <c r="D18" s="19"/>
      <c r="E18" s="19"/>
      <c r="F18" s="19"/>
      <c r="G18" s="19"/>
      <c r="H18" s="19"/>
      <c r="I18" s="20"/>
      <c r="J18" s="20"/>
      <c r="K18" s="20"/>
    </row>
    <row r="19" spans="1:11" x14ac:dyDescent="0.25">
      <c r="A19" s="16"/>
      <c r="B19" s="17"/>
      <c r="C19" s="18"/>
      <c r="D19" s="19"/>
      <c r="E19" s="19"/>
      <c r="F19" s="19"/>
      <c r="G19" s="19"/>
      <c r="H19" s="19"/>
      <c r="I19" s="20"/>
      <c r="J19" s="20"/>
      <c r="K19" s="20"/>
    </row>
    <row r="20" spans="1:11" x14ac:dyDescent="0.25">
      <c r="A20" s="16"/>
      <c r="B20" s="17"/>
      <c r="C20" s="18"/>
      <c r="D20" s="19"/>
      <c r="E20" s="19"/>
      <c r="F20" s="19"/>
      <c r="G20" s="19"/>
      <c r="H20" s="19"/>
      <c r="I20" s="20"/>
      <c r="J20" s="20"/>
      <c r="K20" s="20"/>
    </row>
    <row r="21" spans="1:11" x14ac:dyDescent="0.25">
      <c r="A21" s="16"/>
      <c r="B21" s="17"/>
      <c r="C21" s="18"/>
      <c r="D21" s="19"/>
      <c r="E21" s="19"/>
      <c r="F21" s="19"/>
      <c r="G21" s="19"/>
      <c r="H21" s="19"/>
      <c r="I21" s="20"/>
      <c r="J21" s="20"/>
      <c r="K21" s="20"/>
    </row>
    <row r="22" spans="1:11" x14ac:dyDescent="0.25">
      <c r="A22" s="16"/>
      <c r="B22" s="17"/>
      <c r="C22" s="18"/>
      <c r="D22" s="19"/>
      <c r="E22" s="19"/>
      <c r="F22" s="19"/>
      <c r="G22" s="19"/>
      <c r="H22" s="19"/>
      <c r="I22" s="20"/>
      <c r="J22" s="20"/>
      <c r="K22" s="20"/>
    </row>
    <row r="23" spans="1:11" x14ac:dyDescent="0.25">
      <c r="A23" s="16"/>
      <c r="B23" s="17"/>
      <c r="C23" s="18"/>
      <c r="D23" s="19"/>
      <c r="E23" s="19"/>
      <c r="F23" s="19"/>
      <c r="G23" s="19"/>
      <c r="H23" s="19"/>
      <c r="I23" s="20"/>
      <c r="J23" s="20"/>
      <c r="K23" s="20"/>
    </row>
    <row r="24" spans="1:11" x14ac:dyDescent="0.25">
      <c r="A24" s="16"/>
      <c r="B24" s="17"/>
      <c r="C24" s="18"/>
      <c r="D24" s="19"/>
      <c r="E24" s="19"/>
      <c r="F24" s="19"/>
      <c r="G24" s="19"/>
      <c r="H24" s="19"/>
      <c r="I24" s="20"/>
      <c r="J24" s="20"/>
      <c r="K24" s="20"/>
    </row>
    <row r="25" spans="1:11" x14ac:dyDescent="0.25">
      <c r="A25" s="16"/>
      <c r="B25" s="17"/>
      <c r="C25" s="18"/>
      <c r="D25" s="19"/>
      <c r="E25" s="19"/>
      <c r="F25" s="19"/>
      <c r="G25" s="19"/>
      <c r="H25" s="19"/>
      <c r="I25" s="20"/>
      <c r="J25" s="20"/>
      <c r="K25" s="20"/>
    </row>
    <row r="26" spans="1:11" x14ac:dyDescent="0.25">
      <c r="A26" s="16"/>
      <c r="B26" s="17"/>
      <c r="C26" s="18"/>
      <c r="D26" s="19"/>
      <c r="E26" s="19"/>
      <c r="F26" s="19"/>
      <c r="G26" s="19"/>
      <c r="H26" s="19"/>
      <c r="I26" s="20"/>
      <c r="J26" s="20"/>
      <c r="K26" s="20"/>
    </row>
    <row r="27" spans="1:11" x14ac:dyDescent="0.25">
      <c r="A27" s="16"/>
      <c r="B27" s="17"/>
      <c r="C27" s="18"/>
      <c r="D27" s="19"/>
      <c r="E27" s="19"/>
      <c r="F27" s="19"/>
      <c r="G27" s="19"/>
      <c r="H27" s="19"/>
      <c r="I27" s="20"/>
      <c r="J27" s="20"/>
      <c r="K27" s="20"/>
    </row>
    <row r="28" spans="1:11" ht="15" customHeight="1" x14ac:dyDescent="0.25">
      <c r="A28" s="16"/>
      <c r="B28" s="19"/>
      <c r="C28" s="21" t="s">
        <v>438</v>
      </c>
      <c r="D28" s="22"/>
      <c r="E28" s="22"/>
      <c r="F28" s="23"/>
      <c r="G28" s="23"/>
      <c r="H28" s="24"/>
    </row>
    <row r="29" spans="1:11" x14ac:dyDescent="0.25">
      <c r="A29" s="16"/>
      <c r="B29" s="25"/>
      <c r="C29" s="26" t="s">
        <v>470</v>
      </c>
      <c r="D29" s="27"/>
      <c r="E29" s="26" t="s">
        <v>471</v>
      </c>
      <c r="F29" s="27"/>
      <c r="G29" s="26" t="s">
        <v>472</v>
      </c>
      <c r="H29" s="27"/>
    </row>
    <row r="30" spans="1:11" x14ac:dyDescent="0.25">
      <c r="A30" s="16"/>
      <c r="B30" s="28"/>
      <c r="C30" s="29" t="s">
        <v>459</v>
      </c>
      <c r="D30" s="29" t="s">
        <v>446</v>
      </c>
      <c r="E30" s="29" t="s">
        <v>448</v>
      </c>
      <c r="F30" s="29" t="s">
        <v>446</v>
      </c>
      <c r="G30" s="29" t="s">
        <v>460</v>
      </c>
      <c r="H30" s="29" t="s">
        <v>446</v>
      </c>
    </row>
    <row r="31" spans="1:11" x14ac:dyDescent="0.25">
      <c r="A31" s="16"/>
      <c r="B31" s="30" t="s">
        <v>440</v>
      </c>
      <c r="C31" s="31" t="s">
        <v>473</v>
      </c>
      <c r="D31" s="31" t="s">
        <v>474</v>
      </c>
      <c r="E31" s="31" t="s">
        <v>473</v>
      </c>
      <c r="F31" s="31" t="s">
        <v>474</v>
      </c>
      <c r="G31" s="31" t="s">
        <v>473</v>
      </c>
      <c r="H31" s="31" t="s">
        <v>474</v>
      </c>
    </row>
    <row r="32" spans="1:11" x14ac:dyDescent="0.25">
      <c r="A32" s="16"/>
      <c r="B32" s="32"/>
      <c r="C32" s="33" t="s">
        <v>475</v>
      </c>
      <c r="D32" s="33" t="s">
        <v>476</v>
      </c>
      <c r="E32" s="33" t="s">
        <v>475</v>
      </c>
      <c r="F32" s="33" t="s">
        <v>476</v>
      </c>
      <c r="G32" s="33" t="s">
        <v>475</v>
      </c>
      <c r="H32" s="33" t="s">
        <v>476</v>
      </c>
    </row>
    <row r="33" spans="1:16" x14ac:dyDescent="0.25">
      <c r="A33" s="16"/>
      <c r="B33" s="34">
        <v>0</v>
      </c>
      <c r="C33" s="35">
        <f>K33*0.0254</f>
        <v>0</v>
      </c>
      <c r="D33" s="35">
        <f t="shared" ref="D33:H48" si="0">L33*0.0254</f>
        <v>0</v>
      </c>
      <c r="E33" s="35">
        <f t="shared" si="0"/>
        <v>0</v>
      </c>
      <c r="F33" s="35">
        <f t="shared" si="0"/>
        <v>0</v>
      </c>
      <c r="G33" s="35">
        <f t="shared" si="0"/>
        <v>0</v>
      </c>
      <c r="H33" s="35">
        <f t="shared" si="0"/>
        <v>0</v>
      </c>
      <c r="K33" s="35">
        <v>0</v>
      </c>
      <c r="L33" s="35">
        <v>0</v>
      </c>
      <c r="M33" s="35">
        <v>0</v>
      </c>
      <c r="N33" s="35">
        <v>0</v>
      </c>
      <c r="O33" s="35">
        <f t="shared" ref="O33:P56" si="1">K33-M33</f>
        <v>0</v>
      </c>
      <c r="P33" s="35">
        <f t="shared" si="1"/>
        <v>0</v>
      </c>
    </row>
    <row r="34" spans="1:16" x14ac:dyDescent="0.25">
      <c r="A34" s="16"/>
      <c r="B34" s="34">
        <v>0.1</v>
      </c>
      <c r="C34" s="35">
        <f t="shared" ref="C34:H56" si="2">K34*0.0254</f>
        <v>1.1429999999999999E-5</v>
      </c>
      <c r="D34" s="35">
        <f t="shared" si="0"/>
        <v>1.9304E-5</v>
      </c>
      <c r="E34" s="35">
        <f t="shared" si="0"/>
        <v>1.0922E-5</v>
      </c>
      <c r="F34" s="35">
        <f t="shared" si="0"/>
        <v>2.5400000000000002E-7</v>
      </c>
      <c r="G34" s="35">
        <f t="shared" si="0"/>
        <v>5.0799999999999994E-7</v>
      </c>
      <c r="H34" s="35">
        <f t="shared" si="0"/>
        <v>1.9049999999999999E-5</v>
      </c>
      <c r="K34" s="35">
        <v>4.4999999999999999E-4</v>
      </c>
      <c r="L34" s="35">
        <v>7.6000000000000004E-4</v>
      </c>
      <c r="M34" s="35">
        <v>4.2999999999999999E-4</v>
      </c>
      <c r="N34" s="35">
        <v>1.0000000000000001E-5</v>
      </c>
      <c r="O34" s="35">
        <f t="shared" si="1"/>
        <v>1.9999999999999998E-5</v>
      </c>
      <c r="P34" s="35">
        <f t="shared" si="1"/>
        <v>7.5000000000000002E-4</v>
      </c>
    </row>
    <row r="35" spans="1:16" x14ac:dyDescent="0.25">
      <c r="A35" s="16"/>
      <c r="B35" s="34">
        <v>0.2</v>
      </c>
      <c r="C35" s="35">
        <f t="shared" si="2"/>
        <v>4.9021999999999999E-5</v>
      </c>
      <c r="D35" s="35">
        <f t="shared" si="0"/>
        <v>8.0010000000000001E-5</v>
      </c>
      <c r="E35" s="35">
        <f t="shared" si="0"/>
        <v>4.4957999999999999E-5</v>
      </c>
      <c r="F35" s="35">
        <f t="shared" si="0"/>
        <v>2.5399999999999998E-6</v>
      </c>
      <c r="G35" s="35">
        <f t="shared" si="0"/>
        <v>4.0639999999999995E-6</v>
      </c>
      <c r="H35" s="35">
        <f t="shared" si="0"/>
        <v>7.7470000000000002E-5</v>
      </c>
      <c r="K35" s="35">
        <v>1.9300000000000001E-3</v>
      </c>
      <c r="L35" s="35">
        <v>3.15E-3</v>
      </c>
      <c r="M35" s="35">
        <v>1.7700000000000001E-3</v>
      </c>
      <c r="N35" s="35">
        <v>1E-4</v>
      </c>
      <c r="O35" s="35">
        <f t="shared" si="1"/>
        <v>1.5999999999999999E-4</v>
      </c>
      <c r="P35" s="35">
        <f t="shared" si="1"/>
        <v>3.0500000000000002E-3</v>
      </c>
    </row>
    <row r="36" spans="1:16" x14ac:dyDescent="0.25">
      <c r="A36" s="16"/>
      <c r="B36" s="34">
        <v>0.3</v>
      </c>
      <c r="C36" s="35">
        <f t="shared" si="2"/>
        <v>1.1277600000000001E-4</v>
      </c>
      <c r="D36" s="35">
        <f t="shared" si="0"/>
        <v>1.82626E-4</v>
      </c>
      <c r="E36" s="35">
        <f t="shared" si="0"/>
        <v>7.1882000000000001E-5</v>
      </c>
      <c r="F36" s="35">
        <f t="shared" si="0"/>
        <v>7.8739999999999995E-6</v>
      </c>
      <c r="G36" s="35">
        <f t="shared" si="0"/>
        <v>4.0894000000000005E-5</v>
      </c>
      <c r="H36" s="35">
        <f t="shared" si="0"/>
        <v>1.74752E-4</v>
      </c>
      <c r="K36" s="35">
        <v>4.4400000000000004E-3</v>
      </c>
      <c r="L36" s="35">
        <v>7.1900000000000002E-3</v>
      </c>
      <c r="M36" s="35">
        <v>2.8300000000000001E-3</v>
      </c>
      <c r="N36" s="35">
        <v>3.1E-4</v>
      </c>
      <c r="O36" s="35">
        <f t="shared" si="1"/>
        <v>1.6100000000000003E-3</v>
      </c>
      <c r="P36" s="35">
        <f t="shared" si="1"/>
        <v>6.8799999999999998E-3</v>
      </c>
    </row>
    <row r="37" spans="1:16" x14ac:dyDescent="0.25">
      <c r="A37" s="16"/>
      <c r="B37" s="34">
        <v>0.4</v>
      </c>
      <c r="C37" s="35">
        <f t="shared" si="2"/>
        <v>2.0624799999999999E-4</v>
      </c>
      <c r="D37" s="35">
        <f t="shared" si="0"/>
        <v>3.2918399999999994E-4</v>
      </c>
      <c r="E37" s="35">
        <f t="shared" si="0"/>
        <v>1.72974E-4</v>
      </c>
      <c r="F37" s="35">
        <f t="shared" si="0"/>
        <v>1.7779999999999999E-5</v>
      </c>
      <c r="G37" s="35">
        <f t="shared" si="0"/>
        <v>3.3274000000000007E-5</v>
      </c>
      <c r="H37" s="35">
        <f t="shared" si="0"/>
        <v>3.1140399999999999E-4</v>
      </c>
      <c r="K37" s="35">
        <v>8.1200000000000005E-3</v>
      </c>
      <c r="L37" s="35">
        <v>1.2959999999999999E-2</v>
      </c>
      <c r="M37" s="35">
        <v>6.8100000000000001E-3</v>
      </c>
      <c r="N37" s="35">
        <v>6.9999999999999999E-4</v>
      </c>
      <c r="O37" s="35">
        <f t="shared" si="1"/>
        <v>1.3100000000000004E-3</v>
      </c>
      <c r="P37" s="35">
        <f t="shared" si="1"/>
        <v>1.226E-2</v>
      </c>
    </row>
    <row r="38" spans="1:16" x14ac:dyDescent="0.25">
      <c r="A38" s="16"/>
      <c r="B38" s="34">
        <v>0.5</v>
      </c>
      <c r="C38" s="35">
        <f t="shared" si="2"/>
        <v>3.2664399999999996E-4</v>
      </c>
      <c r="D38" s="35">
        <f t="shared" si="0"/>
        <v>5.2196999999999996E-4</v>
      </c>
      <c r="E38" s="35">
        <f t="shared" si="0"/>
        <v>2.6085799999999999E-4</v>
      </c>
      <c r="F38" s="35">
        <f t="shared" si="0"/>
        <v>3.3019999999999999E-5</v>
      </c>
      <c r="G38" s="35">
        <f t="shared" si="0"/>
        <v>6.578600000000001E-5</v>
      </c>
      <c r="H38" s="35">
        <f t="shared" si="0"/>
        <v>4.8894999999999993E-4</v>
      </c>
      <c r="K38" s="35">
        <v>1.286E-2</v>
      </c>
      <c r="L38" s="35">
        <v>2.0549999999999999E-2</v>
      </c>
      <c r="M38" s="35">
        <v>1.027E-2</v>
      </c>
      <c r="N38" s="35">
        <v>1.2999999999999999E-3</v>
      </c>
      <c r="O38" s="35">
        <f t="shared" si="1"/>
        <v>2.5900000000000003E-3</v>
      </c>
      <c r="P38" s="35">
        <f t="shared" si="1"/>
        <v>1.925E-2</v>
      </c>
    </row>
    <row r="39" spans="1:16" x14ac:dyDescent="0.25">
      <c r="A39" s="16"/>
      <c r="B39" s="34">
        <v>0.6</v>
      </c>
      <c r="C39" s="35">
        <f t="shared" si="2"/>
        <v>4.7396399999999995E-4</v>
      </c>
      <c r="D39" s="35">
        <f t="shared" si="0"/>
        <v>7.5590400000000006E-4</v>
      </c>
      <c r="E39" s="35">
        <f t="shared" si="0"/>
        <v>3.6042599999999995E-4</v>
      </c>
      <c r="F39" s="35">
        <f t="shared" si="0"/>
        <v>5.7149999999999993E-5</v>
      </c>
      <c r="G39" s="35">
        <f t="shared" si="0"/>
        <v>1.13538E-4</v>
      </c>
      <c r="H39" s="35">
        <f t="shared" si="0"/>
        <v>6.9875400000000011E-4</v>
      </c>
      <c r="K39" s="35">
        <v>1.866E-2</v>
      </c>
      <c r="L39" s="35">
        <v>2.9760000000000002E-2</v>
      </c>
      <c r="M39" s="35">
        <v>1.4189999999999999E-2</v>
      </c>
      <c r="N39" s="35">
        <v>2.2499999999999998E-3</v>
      </c>
      <c r="O39" s="35">
        <f t="shared" si="1"/>
        <v>4.47E-3</v>
      </c>
      <c r="P39" s="35">
        <f t="shared" si="1"/>
        <v>2.7510000000000003E-2</v>
      </c>
    </row>
    <row r="40" spans="1:16" x14ac:dyDescent="0.25">
      <c r="A40" s="16"/>
      <c r="B40" s="34">
        <v>0.7</v>
      </c>
      <c r="C40" s="35">
        <f t="shared" si="2"/>
        <v>6.4769999999999997E-4</v>
      </c>
      <c r="D40" s="35">
        <f t="shared" si="0"/>
        <v>1.0444479999999999E-3</v>
      </c>
      <c r="E40" s="35">
        <f t="shared" si="0"/>
        <v>4.6710600000000001E-4</v>
      </c>
      <c r="F40" s="35">
        <f t="shared" si="0"/>
        <v>9.2964E-5</v>
      </c>
      <c r="G40" s="35">
        <f t="shared" si="0"/>
        <v>1.8059399999999996E-4</v>
      </c>
      <c r="H40" s="35">
        <f t="shared" si="0"/>
        <v>9.5148399999999984E-4</v>
      </c>
      <c r="K40" s="35">
        <v>2.5499999999999998E-2</v>
      </c>
      <c r="L40" s="35">
        <v>4.1119999999999997E-2</v>
      </c>
      <c r="M40" s="35">
        <v>1.839E-2</v>
      </c>
      <c r="N40" s="35">
        <v>3.6600000000000001E-3</v>
      </c>
      <c r="O40" s="35">
        <f t="shared" si="1"/>
        <v>7.1099999999999983E-3</v>
      </c>
      <c r="P40" s="35">
        <f t="shared" si="1"/>
        <v>3.7459999999999993E-2</v>
      </c>
    </row>
    <row r="41" spans="1:16" x14ac:dyDescent="0.25">
      <c r="A41" s="16"/>
      <c r="B41" s="34">
        <v>0.8</v>
      </c>
      <c r="C41" s="35">
        <f t="shared" si="2"/>
        <v>8.333739999999999E-4</v>
      </c>
      <c r="D41" s="35">
        <f t="shared" si="0"/>
        <v>1.3721079999999999E-3</v>
      </c>
      <c r="E41" s="35">
        <f t="shared" si="0"/>
        <v>5.6794400000000002E-4</v>
      </c>
      <c r="F41" s="35">
        <f t="shared" si="0"/>
        <v>1.43256E-4</v>
      </c>
      <c r="G41" s="35">
        <f t="shared" si="0"/>
        <v>2.6542999999999993E-4</v>
      </c>
      <c r="H41" s="35">
        <f t="shared" si="0"/>
        <v>1.2288519999999999E-3</v>
      </c>
      <c r="K41" s="35">
        <v>3.2809999999999999E-2</v>
      </c>
      <c r="L41" s="35">
        <v>5.4019999999999999E-2</v>
      </c>
      <c r="M41" s="35">
        <v>2.2360000000000001E-2</v>
      </c>
      <c r="N41" s="35">
        <v>5.64E-3</v>
      </c>
      <c r="O41" s="35">
        <f t="shared" si="1"/>
        <v>1.0449999999999997E-2</v>
      </c>
      <c r="P41" s="35">
        <f t="shared" si="1"/>
        <v>4.8379999999999999E-2</v>
      </c>
    </row>
    <row r="42" spans="1:16" x14ac:dyDescent="0.25">
      <c r="A42" s="16"/>
      <c r="B42" s="34">
        <v>0.9</v>
      </c>
      <c r="C42" s="35">
        <f t="shared" si="2"/>
        <v>1.0838179999999998E-3</v>
      </c>
      <c r="D42" s="35">
        <f t="shared" si="0"/>
        <v>1.760728E-3</v>
      </c>
      <c r="E42" s="35">
        <f t="shared" si="0"/>
        <v>7.0383399999999997E-4</v>
      </c>
      <c r="F42" s="35">
        <f t="shared" si="0"/>
        <v>2.1361400000000002E-4</v>
      </c>
      <c r="G42" s="35">
        <f t="shared" si="0"/>
        <v>3.7998399999999999E-4</v>
      </c>
      <c r="H42" s="35">
        <f t="shared" si="0"/>
        <v>1.547114E-3</v>
      </c>
      <c r="K42" s="35">
        <v>4.267E-2</v>
      </c>
      <c r="L42" s="35">
        <v>6.9320000000000007E-2</v>
      </c>
      <c r="M42" s="35">
        <v>2.7709999999999999E-2</v>
      </c>
      <c r="N42" s="35">
        <v>8.4100000000000008E-3</v>
      </c>
      <c r="O42" s="35">
        <f t="shared" si="1"/>
        <v>1.4960000000000001E-2</v>
      </c>
      <c r="P42" s="35">
        <f t="shared" si="1"/>
        <v>6.0910000000000006E-2</v>
      </c>
    </row>
    <row r="43" spans="1:16" x14ac:dyDescent="0.25">
      <c r="A43" s="16"/>
      <c r="B43" s="34">
        <v>1</v>
      </c>
      <c r="C43" s="35">
        <f t="shared" si="2"/>
        <v>1.3388339999999999E-3</v>
      </c>
      <c r="D43" s="35">
        <f t="shared" si="0"/>
        <v>2.173478E-3</v>
      </c>
      <c r="E43" s="35">
        <f t="shared" si="0"/>
        <v>8.2372199999999993E-4</v>
      </c>
      <c r="F43" s="35">
        <f t="shared" si="0"/>
        <v>3.07848E-4</v>
      </c>
      <c r="G43" s="35">
        <f t="shared" si="0"/>
        <v>5.1511199999999997E-4</v>
      </c>
      <c r="H43" s="35">
        <f t="shared" si="0"/>
        <v>1.8656299999999996E-3</v>
      </c>
      <c r="K43" s="35">
        <v>5.271E-2</v>
      </c>
      <c r="L43" s="35">
        <v>8.5569999999999993E-2</v>
      </c>
      <c r="M43" s="35">
        <v>3.243E-2</v>
      </c>
      <c r="N43" s="35">
        <v>1.2120000000000001E-2</v>
      </c>
      <c r="O43" s="35">
        <f t="shared" si="1"/>
        <v>2.0279999999999999E-2</v>
      </c>
      <c r="P43" s="35">
        <f t="shared" si="1"/>
        <v>7.3449999999999988E-2</v>
      </c>
    </row>
    <row r="44" spans="1:16" x14ac:dyDescent="0.25">
      <c r="A44" s="16"/>
      <c r="B44" s="34">
        <v>1.1000000000000001</v>
      </c>
      <c r="C44" s="35">
        <f t="shared" si="2"/>
        <v>1.6240759999999999E-3</v>
      </c>
      <c r="D44" s="35">
        <f t="shared" si="0"/>
        <v>2.6365199999999998E-3</v>
      </c>
      <c r="E44" s="35">
        <f t="shared" si="0"/>
        <v>9.45896E-4</v>
      </c>
      <c r="F44" s="35">
        <f t="shared" si="0"/>
        <v>4.1046399999999998E-4</v>
      </c>
      <c r="G44" s="35">
        <f t="shared" si="0"/>
        <v>6.781799999999998E-4</v>
      </c>
      <c r="H44" s="35">
        <f t="shared" si="0"/>
        <v>2.2260559999999997E-3</v>
      </c>
      <c r="K44" s="35">
        <v>6.3939999999999997E-2</v>
      </c>
      <c r="L44" s="35">
        <v>0.1038</v>
      </c>
      <c r="M44" s="35">
        <v>3.7240000000000002E-2</v>
      </c>
      <c r="N44" s="35">
        <v>1.6160000000000001E-2</v>
      </c>
      <c r="O44" s="35">
        <f t="shared" si="1"/>
        <v>2.6699999999999995E-2</v>
      </c>
      <c r="P44" s="35">
        <f t="shared" si="1"/>
        <v>8.7639999999999996E-2</v>
      </c>
    </row>
    <row r="45" spans="1:16" x14ac:dyDescent="0.25">
      <c r="A45" s="16"/>
      <c r="B45" s="34">
        <v>1.2</v>
      </c>
      <c r="C45" s="35">
        <f t="shared" si="2"/>
        <v>1.9176999999999998E-3</v>
      </c>
      <c r="D45" s="35">
        <f t="shared" si="0"/>
        <v>3.1092139999999999E-3</v>
      </c>
      <c r="E45" s="35">
        <f t="shared" si="0"/>
        <v>1.061212E-3</v>
      </c>
      <c r="F45" s="35">
        <f t="shared" si="0"/>
        <v>5.2451000000000006E-4</v>
      </c>
      <c r="G45" s="35">
        <f t="shared" si="0"/>
        <v>8.5648799999999998E-4</v>
      </c>
      <c r="H45" s="35">
        <f t="shared" si="0"/>
        <v>2.5847040000000002E-3</v>
      </c>
      <c r="K45" s="35">
        <v>7.5499999999999998E-2</v>
      </c>
      <c r="L45" s="35">
        <v>0.12241</v>
      </c>
      <c r="M45" s="35">
        <v>4.1779999999999998E-2</v>
      </c>
      <c r="N45" s="35">
        <v>2.0650000000000002E-2</v>
      </c>
      <c r="O45" s="35">
        <f t="shared" si="1"/>
        <v>3.372E-2</v>
      </c>
      <c r="P45" s="35">
        <f t="shared" si="1"/>
        <v>0.10176</v>
      </c>
    </row>
    <row r="46" spans="1:16" x14ac:dyDescent="0.25">
      <c r="A46" s="16"/>
      <c r="B46" s="34">
        <v>1.3</v>
      </c>
      <c r="C46" s="35">
        <f t="shared" si="2"/>
        <v>2.221738E-3</v>
      </c>
      <c r="D46" s="35">
        <f t="shared" si="0"/>
        <v>3.6134039999999997E-3</v>
      </c>
      <c r="E46" s="35">
        <f t="shared" si="0"/>
        <v>1.164336E-3</v>
      </c>
      <c r="F46" s="35">
        <f t="shared" si="0"/>
        <v>6.5836799999999989E-4</v>
      </c>
      <c r="G46" s="35">
        <f t="shared" si="0"/>
        <v>1.057402E-3</v>
      </c>
      <c r="H46" s="35">
        <f t="shared" si="0"/>
        <v>2.9550359999999999E-3</v>
      </c>
      <c r="K46" s="35">
        <v>8.7470000000000006E-2</v>
      </c>
      <c r="L46" s="35">
        <v>0.14226</v>
      </c>
      <c r="M46" s="35">
        <v>4.5839999999999999E-2</v>
      </c>
      <c r="N46" s="35">
        <v>2.5919999999999999E-2</v>
      </c>
      <c r="O46" s="35">
        <f t="shared" si="1"/>
        <v>4.1630000000000007E-2</v>
      </c>
      <c r="P46" s="35">
        <f t="shared" si="1"/>
        <v>0.11634</v>
      </c>
    </row>
    <row r="47" spans="1:16" x14ac:dyDescent="0.25">
      <c r="A47" s="16"/>
      <c r="B47" s="34">
        <v>1.4</v>
      </c>
      <c r="C47" s="35">
        <f t="shared" si="2"/>
        <v>2.5913080000000001E-3</v>
      </c>
      <c r="D47" s="35">
        <f t="shared" si="0"/>
        <v>4.1069259999999995E-3</v>
      </c>
      <c r="E47" s="35">
        <f t="shared" si="0"/>
        <v>1.302512E-3</v>
      </c>
      <c r="F47" s="35">
        <f t="shared" si="0"/>
        <v>7.9222599999999993E-4</v>
      </c>
      <c r="G47" s="35">
        <f t="shared" si="0"/>
        <v>1.288796E-3</v>
      </c>
      <c r="H47" s="35">
        <f t="shared" si="0"/>
        <v>3.3146999999999999E-3</v>
      </c>
      <c r="K47" s="35">
        <v>0.10202</v>
      </c>
      <c r="L47" s="35">
        <v>0.16169</v>
      </c>
      <c r="M47" s="35">
        <v>5.1279999999999999E-2</v>
      </c>
      <c r="N47" s="35">
        <v>3.1189999999999999E-2</v>
      </c>
      <c r="O47" s="35">
        <f t="shared" si="1"/>
        <v>5.074E-2</v>
      </c>
      <c r="P47" s="35">
        <f t="shared" si="1"/>
        <v>0.1305</v>
      </c>
    </row>
    <row r="48" spans="1:16" x14ac:dyDescent="0.25">
      <c r="A48" s="16"/>
      <c r="B48" s="34">
        <v>1.5</v>
      </c>
      <c r="C48" s="35">
        <f t="shared" si="2"/>
        <v>2.9672279999999997E-3</v>
      </c>
      <c r="D48" s="35">
        <f t="shared" si="0"/>
        <v>4.6220379999999993E-3</v>
      </c>
      <c r="E48" s="35">
        <f t="shared" si="0"/>
        <v>1.4264639999999999E-3</v>
      </c>
      <c r="F48" s="35">
        <f t="shared" si="0"/>
        <v>9.27862E-4</v>
      </c>
      <c r="G48" s="35">
        <f t="shared" si="0"/>
        <v>1.5407639999999998E-3</v>
      </c>
      <c r="H48" s="35">
        <f t="shared" si="0"/>
        <v>3.6941759999999995E-3</v>
      </c>
      <c r="K48" s="35">
        <v>0.11681999999999999</v>
      </c>
      <c r="L48" s="35">
        <v>0.18196999999999999</v>
      </c>
      <c r="M48" s="35">
        <v>5.6160000000000002E-2</v>
      </c>
      <c r="N48" s="35">
        <v>3.653E-2</v>
      </c>
      <c r="O48" s="35">
        <f t="shared" si="1"/>
        <v>6.0659999999999992E-2</v>
      </c>
      <c r="P48" s="35">
        <f t="shared" si="1"/>
        <v>0.14543999999999999</v>
      </c>
    </row>
    <row r="49" spans="1:16" x14ac:dyDescent="0.25">
      <c r="A49" s="16"/>
      <c r="B49" s="34">
        <v>1.6</v>
      </c>
      <c r="C49" s="35">
        <f t="shared" si="2"/>
        <v>3.3561019999999997E-3</v>
      </c>
      <c r="D49" s="35">
        <f t="shared" si="2"/>
        <v>5.1051459999999996E-3</v>
      </c>
      <c r="E49" s="35">
        <f t="shared" si="2"/>
        <v>1.5537179999999999E-3</v>
      </c>
      <c r="F49" s="35">
        <f t="shared" si="2"/>
        <v>1.0782299999999999E-3</v>
      </c>
      <c r="G49" s="35">
        <f t="shared" si="2"/>
        <v>1.8023839999999998E-3</v>
      </c>
      <c r="H49" s="35">
        <f t="shared" si="2"/>
        <v>4.0269160000000002E-3</v>
      </c>
      <c r="K49" s="35">
        <v>0.13213</v>
      </c>
      <c r="L49" s="35">
        <v>0.20099</v>
      </c>
      <c r="M49" s="35">
        <v>6.1170000000000002E-2</v>
      </c>
      <c r="N49" s="35">
        <v>4.2450000000000002E-2</v>
      </c>
      <c r="O49" s="35">
        <f t="shared" si="1"/>
        <v>7.0959999999999995E-2</v>
      </c>
      <c r="P49" s="35">
        <f t="shared" si="1"/>
        <v>0.15854000000000001</v>
      </c>
    </row>
    <row r="50" spans="1:16" x14ac:dyDescent="0.25">
      <c r="A50" s="16"/>
      <c r="B50" s="34">
        <v>1.7</v>
      </c>
      <c r="C50" s="35">
        <f t="shared" si="2"/>
        <v>3.7264339999999998E-3</v>
      </c>
      <c r="D50" s="35">
        <f t="shared" si="2"/>
        <v>5.5915560000000001E-3</v>
      </c>
      <c r="E50" s="35">
        <f t="shared" si="2"/>
        <v>1.6565879999999999E-3</v>
      </c>
      <c r="F50" s="35">
        <f t="shared" si="2"/>
        <v>1.2125959999999998E-3</v>
      </c>
      <c r="G50" s="35">
        <f t="shared" si="2"/>
        <v>2.0698460000000002E-3</v>
      </c>
      <c r="H50" s="35">
        <f t="shared" si="2"/>
        <v>4.3789599999999995E-3</v>
      </c>
      <c r="K50" s="35">
        <v>0.14671000000000001</v>
      </c>
      <c r="L50" s="35">
        <v>0.22014</v>
      </c>
      <c r="M50" s="35">
        <v>6.522E-2</v>
      </c>
      <c r="N50" s="35">
        <v>4.7739999999999998E-2</v>
      </c>
      <c r="O50" s="35">
        <f t="shared" si="1"/>
        <v>8.1490000000000007E-2</v>
      </c>
      <c r="P50" s="35">
        <f t="shared" si="1"/>
        <v>0.1724</v>
      </c>
    </row>
    <row r="51" spans="1:16" x14ac:dyDescent="0.25">
      <c r="A51" s="16"/>
      <c r="B51" s="34">
        <v>1.8</v>
      </c>
      <c r="C51" s="35">
        <f t="shared" si="2"/>
        <v>4.1653459999999995E-3</v>
      </c>
      <c r="D51" s="35">
        <f t="shared" si="2"/>
        <v>6.0858400000000003E-3</v>
      </c>
      <c r="E51" s="35">
        <f t="shared" si="2"/>
        <v>1.7980660000000001E-3</v>
      </c>
      <c r="F51" s="35">
        <f t="shared" si="2"/>
        <v>1.3398499999999999E-3</v>
      </c>
      <c r="G51" s="35">
        <f t="shared" si="2"/>
        <v>2.3672799999999998E-3</v>
      </c>
      <c r="H51" s="35">
        <f t="shared" si="2"/>
        <v>4.7459900000000003E-3</v>
      </c>
      <c r="K51" s="35">
        <v>0.16399</v>
      </c>
      <c r="L51" s="35">
        <v>0.23960000000000001</v>
      </c>
      <c r="M51" s="35">
        <v>7.0790000000000006E-2</v>
      </c>
      <c r="N51" s="35">
        <v>5.2749999999999998E-2</v>
      </c>
      <c r="O51" s="35">
        <f t="shared" si="1"/>
        <v>9.3199999999999991E-2</v>
      </c>
      <c r="P51" s="35">
        <f t="shared" si="1"/>
        <v>0.18685000000000002</v>
      </c>
    </row>
    <row r="52" spans="1:16" x14ac:dyDescent="0.25">
      <c r="A52" s="16"/>
      <c r="B52" s="34">
        <v>1.9</v>
      </c>
      <c r="C52" s="35">
        <f t="shared" si="2"/>
        <v>4.5902879999999997E-3</v>
      </c>
      <c r="D52" s="35">
        <f t="shared" si="2"/>
        <v>6.5366900000000004E-3</v>
      </c>
      <c r="E52" s="35">
        <f t="shared" si="2"/>
        <v>1.9240499999999998E-3</v>
      </c>
      <c r="F52" s="35">
        <f t="shared" si="2"/>
        <v>1.468628E-3</v>
      </c>
      <c r="G52" s="35">
        <f t="shared" si="2"/>
        <v>2.6662379999999996E-3</v>
      </c>
      <c r="H52" s="35">
        <f t="shared" si="2"/>
        <v>5.0680619999999999E-3</v>
      </c>
      <c r="K52" s="35">
        <v>0.18071999999999999</v>
      </c>
      <c r="L52" s="35">
        <v>0.25735000000000002</v>
      </c>
      <c r="M52" s="35">
        <v>7.5749999999999998E-2</v>
      </c>
      <c r="N52" s="35">
        <v>5.7820000000000003E-2</v>
      </c>
      <c r="O52" s="35">
        <f t="shared" si="1"/>
        <v>0.10496999999999999</v>
      </c>
      <c r="P52" s="35">
        <f t="shared" si="1"/>
        <v>0.19953000000000001</v>
      </c>
    </row>
    <row r="53" spans="1:16" x14ac:dyDescent="0.25">
      <c r="A53" s="16"/>
      <c r="B53" s="34">
        <v>2</v>
      </c>
      <c r="C53" s="35">
        <f t="shared" si="2"/>
        <v>4.9918619999999997E-3</v>
      </c>
      <c r="D53" s="35">
        <f t="shared" si="2"/>
        <v>6.9275959999999994E-3</v>
      </c>
      <c r="E53" s="35">
        <f t="shared" si="2"/>
        <v>2.0388579999999997E-3</v>
      </c>
      <c r="F53" s="35">
        <f t="shared" si="2"/>
        <v>1.5730219999999999E-3</v>
      </c>
      <c r="G53" s="35">
        <f t="shared" si="2"/>
        <v>2.9530040000000004E-3</v>
      </c>
      <c r="H53" s="35">
        <f t="shared" si="2"/>
        <v>5.354574E-3</v>
      </c>
      <c r="K53" s="35">
        <v>0.19653000000000001</v>
      </c>
      <c r="L53" s="35">
        <v>0.27273999999999998</v>
      </c>
      <c r="M53" s="35">
        <v>8.0269999999999994E-2</v>
      </c>
      <c r="N53" s="35">
        <v>6.1929999999999999E-2</v>
      </c>
      <c r="O53" s="35">
        <f t="shared" si="1"/>
        <v>0.11626000000000002</v>
      </c>
      <c r="P53" s="35">
        <f t="shared" si="1"/>
        <v>0.21081</v>
      </c>
    </row>
    <row r="54" spans="1:16" x14ac:dyDescent="0.25">
      <c r="A54" s="16"/>
      <c r="B54" s="34">
        <v>3</v>
      </c>
      <c r="C54" s="35">
        <f t="shared" si="2"/>
        <v>8.8559640000000009E-3</v>
      </c>
      <c r="D54" s="35">
        <f t="shared" si="2"/>
        <v>9.504172E-3</v>
      </c>
      <c r="E54" s="35">
        <f t="shared" si="2"/>
        <v>3.1462979999999996E-3</v>
      </c>
      <c r="F54" s="35">
        <f t="shared" si="2"/>
        <v>2.2560279999999998E-3</v>
      </c>
      <c r="G54" s="35">
        <f t="shared" si="2"/>
        <v>5.7096660000000013E-3</v>
      </c>
      <c r="H54" s="35">
        <f t="shared" si="2"/>
        <v>7.2481439999999998E-3</v>
      </c>
      <c r="K54" s="35">
        <v>0.34866000000000003</v>
      </c>
      <c r="L54" s="35">
        <v>0.37418000000000001</v>
      </c>
      <c r="M54" s="35">
        <v>0.12386999999999999</v>
      </c>
      <c r="N54" s="35">
        <v>8.8819999999999996E-2</v>
      </c>
      <c r="O54" s="35">
        <f t="shared" si="1"/>
        <v>0.22479000000000005</v>
      </c>
      <c r="P54" s="35">
        <f t="shared" si="1"/>
        <v>0.28536</v>
      </c>
    </row>
    <row r="55" spans="1:16" x14ac:dyDescent="0.25">
      <c r="A55" s="16"/>
      <c r="B55" s="34">
        <v>4</v>
      </c>
      <c r="C55" s="35">
        <f t="shared" si="2"/>
        <v>1.0986515999999998E-2</v>
      </c>
      <c r="D55" s="35">
        <f t="shared" si="2"/>
        <v>1.0155173999999999E-2</v>
      </c>
      <c r="E55" s="35">
        <f t="shared" si="2"/>
        <v>3.7210999999999998E-3</v>
      </c>
      <c r="F55" s="35">
        <f t="shared" si="2"/>
        <v>2.4577039999999998E-3</v>
      </c>
      <c r="G55" s="35">
        <f t="shared" si="2"/>
        <v>7.2654159999999985E-3</v>
      </c>
      <c r="H55" s="35">
        <f t="shared" si="2"/>
        <v>7.6974699999999997E-3</v>
      </c>
      <c r="K55" s="35">
        <v>0.43253999999999998</v>
      </c>
      <c r="L55" s="35">
        <v>0.39981</v>
      </c>
      <c r="M55" s="35">
        <v>0.14649999999999999</v>
      </c>
      <c r="N55" s="35">
        <v>9.6759999999999999E-2</v>
      </c>
      <c r="O55" s="35">
        <f t="shared" si="1"/>
        <v>0.28603999999999996</v>
      </c>
      <c r="P55" s="35">
        <f t="shared" si="1"/>
        <v>0.30304999999999999</v>
      </c>
    </row>
    <row r="56" spans="1:16" x14ac:dyDescent="0.25">
      <c r="A56" s="16"/>
      <c r="B56" s="36">
        <v>5</v>
      </c>
      <c r="C56" s="35">
        <f t="shared" si="2"/>
        <v>1.1798553999999999E-2</v>
      </c>
      <c r="D56" s="35">
        <f t="shared" si="2"/>
        <v>1.0210037999999999E-2</v>
      </c>
      <c r="E56" s="35">
        <f t="shared" si="2"/>
        <v>3.9169340000000004E-3</v>
      </c>
      <c r="F56" s="35">
        <f t="shared" si="2"/>
        <v>2.4574499999999999E-3</v>
      </c>
      <c r="G56" s="35">
        <f t="shared" si="2"/>
        <v>7.8816199999999989E-3</v>
      </c>
      <c r="H56" s="35">
        <f t="shared" si="2"/>
        <v>7.7525879999999995E-3</v>
      </c>
      <c r="K56" s="37">
        <v>0.46450999999999998</v>
      </c>
      <c r="L56" s="37">
        <v>0.40196999999999999</v>
      </c>
      <c r="M56" s="37">
        <v>0.15421000000000001</v>
      </c>
      <c r="N56" s="37">
        <v>9.6750000000000003E-2</v>
      </c>
      <c r="O56" s="37">
        <f t="shared" si="1"/>
        <v>0.31029999999999996</v>
      </c>
      <c r="P56" s="37">
        <f t="shared" si="1"/>
        <v>0.30521999999999999</v>
      </c>
    </row>
    <row r="57" spans="1:16" x14ac:dyDescent="0.25">
      <c r="A57" s="19"/>
      <c r="B57" s="38" t="s">
        <v>477</v>
      </c>
      <c r="C57" s="39" t="s">
        <v>151</v>
      </c>
      <c r="D57" s="39" t="s">
        <v>152</v>
      </c>
      <c r="E57" s="40" t="s">
        <v>118</v>
      </c>
      <c r="F57" s="40" t="s">
        <v>75</v>
      </c>
      <c r="G57" s="41" t="s">
        <v>269</v>
      </c>
      <c r="H57" s="41" t="s">
        <v>159</v>
      </c>
    </row>
    <row r="58" spans="1:16" x14ac:dyDescent="0.25">
      <c r="A58" s="19"/>
      <c r="B58" s="42"/>
      <c r="C58" s="43"/>
      <c r="D58" s="43"/>
      <c r="E58" s="19"/>
      <c r="F58" s="19"/>
      <c r="G58" s="19"/>
      <c r="H58" s="19"/>
      <c r="I58" s="20"/>
      <c r="J58" s="20"/>
      <c r="K58" s="20"/>
    </row>
    <row r="59" spans="1:16" ht="15.75" thickBot="1" x14ac:dyDescent="0.3">
      <c r="A59" s="1152" t="s">
        <v>478</v>
      </c>
      <c r="B59" s="1153"/>
      <c r="C59" s="1153"/>
      <c r="D59" s="1153"/>
      <c r="E59" s="1153"/>
      <c r="F59" s="13"/>
      <c r="G59" s="13"/>
      <c r="H59" s="13"/>
      <c r="I59" s="13"/>
      <c r="J59" s="13"/>
      <c r="K59" s="13"/>
    </row>
    <row r="60" spans="1:16" x14ac:dyDescent="0.25">
      <c r="A60" s="14" t="s">
        <v>479</v>
      </c>
      <c r="B60" s="14"/>
      <c r="C60" s="14"/>
      <c r="D60" s="14"/>
      <c r="E60" s="14"/>
      <c r="F60" s="14"/>
      <c r="G60" s="14"/>
      <c r="H60" s="14"/>
      <c r="I60" s="14"/>
      <c r="J60" s="14"/>
      <c r="K60" s="14"/>
    </row>
    <row r="61" spans="1:16" x14ac:dyDescent="0.25">
      <c r="A61" s="15" t="s">
        <v>480</v>
      </c>
      <c r="B61" s="15"/>
      <c r="C61" s="15"/>
      <c r="D61" s="15"/>
      <c r="E61" s="15"/>
      <c r="F61" s="15"/>
      <c r="G61" s="15"/>
      <c r="H61" s="15"/>
      <c r="I61" s="15"/>
      <c r="J61" s="15"/>
      <c r="K61" s="15"/>
    </row>
    <row r="62" spans="1:16" x14ac:dyDescent="0.25">
      <c r="A62" s="19"/>
      <c r="B62" s="19"/>
      <c r="C62" s="19"/>
      <c r="D62" s="19"/>
      <c r="E62" s="19"/>
      <c r="F62" s="19"/>
      <c r="G62" s="19"/>
      <c r="H62" s="19"/>
      <c r="I62" s="20"/>
      <c r="J62" s="20"/>
      <c r="K62" s="20"/>
    </row>
    <row r="63" spans="1:16" x14ac:dyDescent="0.25">
      <c r="A63" s="19"/>
      <c r="B63" s="19"/>
      <c r="C63" s="19"/>
      <c r="D63" s="19"/>
      <c r="E63" s="19"/>
      <c r="F63" s="19"/>
      <c r="G63" s="19"/>
      <c r="H63" s="19"/>
      <c r="I63" s="20"/>
      <c r="J63" s="20"/>
      <c r="K63" s="20"/>
    </row>
    <row r="64" spans="1:16" x14ac:dyDescent="0.25">
      <c r="A64" s="19"/>
      <c r="B64" s="19"/>
      <c r="C64" s="19"/>
      <c r="D64" s="19"/>
      <c r="E64" s="19"/>
      <c r="F64" s="19"/>
      <c r="G64" s="19"/>
      <c r="H64" s="19"/>
      <c r="I64" s="20"/>
      <c r="J64" s="20"/>
      <c r="K64" s="20"/>
    </row>
    <row r="65" spans="1:11" x14ac:dyDescent="0.25">
      <c r="A65" s="19"/>
      <c r="B65" s="19"/>
      <c r="C65" s="19"/>
      <c r="D65" s="19"/>
      <c r="E65" s="19"/>
      <c r="F65" s="19"/>
      <c r="G65" s="19"/>
      <c r="H65" s="19"/>
      <c r="I65" s="20"/>
      <c r="J65" s="20"/>
      <c r="K65" s="20"/>
    </row>
    <row r="66" spans="1:11" x14ac:dyDescent="0.25">
      <c r="A66" s="19"/>
      <c r="B66" s="19"/>
      <c r="C66" s="19"/>
      <c r="D66" s="19"/>
      <c r="E66" s="19"/>
      <c r="F66" s="19"/>
      <c r="G66" s="19"/>
      <c r="H66" s="19"/>
      <c r="I66" s="20"/>
      <c r="J66" s="20"/>
      <c r="K66" s="20"/>
    </row>
    <row r="67" spans="1:11" x14ac:dyDescent="0.25">
      <c r="A67" s="19"/>
      <c r="B67" s="19"/>
      <c r="C67" s="19"/>
      <c r="D67" s="19"/>
      <c r="E67" s="19"/>
      <c r="F67" s="19"/>
      <c r="G67" s="19"/>
      <c r="H67" s="19"/>
      <c r="I67" s="20"/>
      <c r="J67" s="20"/>
      <c r="K67" s="20"/>
    </row>
    <row r="68" spans="1:11" x14ac:dyDescent="0.25">
      <c r="A68" s="19"/>
      <c r="B68" s="19"/>
      <c r="C68" s="19"/>
      <c r="D68" s="19"/>
      <c r="E68" s="19"/>
      <c r="F68" s="19"/>
      <c r="G68" s="19"/>
      <c r="H68" s="19"/>
      <c r="I68" s="20"/>
      <c r="J68" s="20"/>
      <c r="K68" s="20"/>
    </row>
    <row r="69" spans="1:11" x14ac:dyDescent="0.25">
      <c r="A69" s="19"/>
      <c r="B69" s="19"/>
      <c r="C69" s="19"/>
      <c r="D69" s="19"/>
      <c r="E69" s="19"/>
      <c r="F69" s="19"/>
      <c r="G69" s="19"/>
      <c r="H69" s="19"/>
      <c r="I69" s="20"/>
      <c r="J69" s="20"/>
      <c r="K69" s="20"/>
    </row>
    <row r="70" spans="1:11" x14ac:dyDescent="0.25">
      <c r="A70" s="19"/>
      <c r="B70" s="19"/>
      <c r="C70" s="19"/>
      <c r="D70" s="19"/>
      <c r="E70" s="19"/>
      <c r="F70" s="19"/>
      <c r="G70" s="19"/>
      <c r="H70" s="19"/>
      <c r="I70" s="20"/>
      <c r="J70" s="20"/>
      <c r="K70" s="20"/>
    </row>
    <row r="71" spans="1:11" x14ac:dyDescent="0.25">
      <c r="A71" s="19"/>
      <c r="B71" s="19"/>
      <c r="C71" s="19"/>
      <c r="D71" s="19"/>
      <c r="E71" s="19"/>
      <c r="F71" s="19"/>
      <c r="G71" s="19"/>
      <c r="H71" s="19"/>
      <c r="I71" s="20"/>
      <c r="J71" s="20"/>
      <c r="K71" s="20"/>
    </row>
    <row r="72" spans="1:11" x14ac:dyDescent="0.25">
      <c r="A72" s="19"/>
      <c r="B72" s="19"/>
      <c r="C72" s="19"/>
      <c r="D72" s="19"/>
      <c r="E72" s="19"/>
      <c r="F72" s="19"/>
      <c r="G72" s="19"/>
      <c r="H72" s="19"/>
      <c r="I72" s="20"/>
      <c r="J72" s="20"/>
      <c r="K72" s="20"/>
    </row>
    <row r="73" spans="1:11" x14ac:dyDescent="0.25">
      <c r="A73" s="19"/>
      <c r="B73" s="19"/>
      <c r="C73" s="19"/>
      <c r="D73" s="19"/>
      <c r="E73" s="19"/>
      <c r="F73" s="19"/>
      <c r="G73" s="19"/>
      <c r="H73" s="19"/>
      <c r="I73" s="20"/>
      <c r="J73" s="20"/>
      <c r="K73" s="20"/>
    </row>
    <row r="74" spans="1:11" x14ac:dyDescent="0.25">
      <c r="A74" s="19"/>
      <c r="B74" s="19"/>
      <c r="C74" s="19"/>
      <c r="D74" s="19"/>
      <c r="E74" s="19"/>
      <c r="F74" s="19"/>
      <c r="G74" s="19"/>
      <c r="H74" s="19"/>
      <c r="I74" s="20"/>
      <c r="J74" s="20"/>
      <c r="K74" s="20"/>
    </row>
    <row r="75" spans="1:11" x14ac:dyDescent="0.25">
      <c r="A75" s="19"/>
      <c r="B75" s="19"/>
      <c r="C75" s="19"/>
      <c r="D75" s="19"/>
      <c r="E75" s="19"/>
      <c r="F75" s="19"/>
      <c r="G75" s="19"/>
      <c r="H75" s="19"/>
      <c r="I75" s="20"/>
      <c r="J75" s="20"/>
      <c r="K75" s="20"/>
    </row>
    <row r="76" spans="1:11" x14ac:dyDescent="0.25">
      <c r="A76" s="19"/>
      <c r="B76" s="19"/>
      <c r="C76" s="19"/>
      <c r="D76" s="19"/>
      <c r="E76" s="19"/>
      <c r="F76" s="19"/>
      <c r="G76" s="19"/>
      <c r="H76" s="19"/>
      <c r="I76" s="20"/>
      <c r="J76" s="20"/>
      <c r="K76" s="20"/>
    </row>
    <row r="77" spans="1:11" x14ac:dyDescent="0.25">
      <c r="A77" s="19"/>
      <c r="B77" s="19"/>
      <c r="C77" s="19"/>
      <c r="D77" s="19"/>
      <c r="E77" s="19"/>
      <c r="F77" s="19"/>
      <c r="G77" s="19"/>
      <c r="H77" s="19"/>
      <c r="I77" s="20"/>
      <c r="J77" s="20"/>
      <c r="K77" s="20"/>
    </row>
    <row r="78" spans="1:11" x14ac:dyDescent="0.25">
      <c r="A78" s="19"/>
      <c r="B78" s="19"/>
      <c r="C78" s="19"/>
      <c r="D78" s="19"/>
      <c r="E78" s="19"/>
      <c r="F78" s="19"/>
      <c r="G78" s="19"/>
      <c r="H78" s="19"/>
      <c r="I78" s="20"/>
      <c r="J78" s="20"/>
      <c r="K78" s="20"/>
    </row>
    <row r="79" spans="1:11" x14ac:dyDescent="0.25">
      <c r="A79" s="19"/>
      <c r="B79" s="19"/>
      <c r="C79" s="19"/>
      <c r="D79" s="19"/>
      <c r="E79" s="19"/>
      <c r="F79" s="19"/>
      <c r="G79" s="19"/>
      <c r="H79" s="19"/>
      <c r="I79" s="20"/>
      <c r="J79" s="20"/>
      <c r="K79" s="20"/>
    </row>
    <row r="80" spans="1:11" x14ac:dyDescent="0.25">
      <c r="A80" s="19"/>
      <c r="B80" s="19"/>
      <c r="C80" s="19"/>
      <c r="D80" s="19"/>
      <c r="E80" s="19"/>
      <c r="F80" s="19"/>
      <c r="G80" s="19"/>
      <c r="H80" s="19"/>
      <c r="I80" s="20"/>
      <c r="J80" s="20"/>
      <c r="K80" s="20"/>
    </row>
    <row r="81" spans="1:24" x14ac:dyDescent="0.25">
      <c r="A81" s="19"/>
      <c r="B81" s="19"/>
      <c r="C81" s="19"/>
      <c r="D81" s="19"/>
      <c r="E81" s="19"/>
      <c r="F81" s="19"/>
      <c r="G81" s="19"/>
      <c r="H81" s="19"/>
      <c r="I81" s="20"/>
      <c r="J81" s="20"/>
      <c r="K81" s="20"/>
    </row>
    <row r="82" spans="1:24" x14ac:dyDescent="0.25">
      <c r="A82" s="19"/>
      <c r="B82" s="19"/>
      <c r="C82" s="19"/>
      <c r="D82" s="19"/>
      <c r="E82" s="19"/>
      <c r="F82" s="19"/>
      <c r="G82" s="19"/>
      <c r="H82" s="19"/>
      <c r="I82" s="20"/>
      <c r="J82" s="20"/>
      <c r="K82" s="20"/>
    </row>
    <row r="83" spans="1:24" x14ac:dyDescent="0.25">
      <c r="A83" s="16"/>
      <c r="B83" s="44"/>
      <c r="C83" s="18"/>
      <c r="D83" s="19"/>
      <c r="E83" s="19"/>
      <c r="F83" s="19"/>
      <c r="G83" s="19"/>
      <c r="H83" s="19"/>
      <c r="I83" s="20"/>
      <c r="J83" s="20"/>
      <c r="K83" s="20"/>
    </row>
    <row r="84" spans="1:24" x14ac:dyDescent="0.25">
      <c r="A84" s="19"/>
      <c r="B84" s="19"/>
      <c r="C84" s="26" t="s">
        <v>455</v>
      </c>
      <c r="D84" s="45"/>
      <c r="E84" s="46"/>
      <c r="F84" s="46"/>
      <c r="G84" s="46"/>
      <c r="H84" s="45"/>
      <c r="I84" s="45"/>
      <c r="J84" s="45"/>
      <c r="K84" s="27"/>
    </row>
    <row r="85" spans="1:24" x14ac:dyDescent="0.25">
      <c r="A85" s="19"/>
      <c r="B85" s="47"/>
      <c r="C85" s="48" t="s">
        <v>481</v>
      </c>
      <c r="D85" s="49"/>
      <c r="E85" s="50"/>
      <c r="F85" s="50"/>
      <c r="G85" s="48" t="s">
        <v>482</v>
      </c>
      <c r="H85" s="49"/>
      <c r="I85" s="50"/>
      <c r="J85" s="51"/>
      <c r="K85" s="52"/>
    </row>
    <row r="86" spans="1:24" x14ac:dyDescent="0.25">
      <c r="A86" s="19"/>
      <c r="B86" s="47"/>
      <c r="C86" s="29" t="s">
        <v>459</v>
      </c>
      <c r="D86" s="29" t="s">
        <v>450</v>
      </c>
      <c r="E86" s="29" t="s">
        <v>446</v>
      </c>
      <c r="F86" s="29" t="s">
        <v>450</v>
      </c>
      <c r="G86" s="29" t="s">
        <v>448</v>
      </c>
      <c r="H86" s="29" t="s">
        <v>460</v>
      </c>
      <c r="I86" s="29" t="s">
        <v>450</v>
      </c>
      <c r="J86" s="29" t="s">
        <v>446</v>
      </c>
      <c r="K86" s="29" t="s">
        <v>450</v>
      </c>
    </row>
    <row r="87" spans="1:24" x14ac:dyDescent="0.25">
      <c r="A87" s="19"/>
      <c r="B87" s="30" t="s">
        <v>440</v>
      </c>
      <c r="C87" s="31" t="s">
        <v>473</v>
      </c>
      <c r="D87" s="31" t="s">
        <v>473</v>
      </c>
      <c r="E87" s="31" t="s">
        <v>474</v>
      </c>
      <c r="F87" s="31" t="s">
        <v>474</v>
      </c>
      <c r="G87" s="31" t="s">
        <v>473</v>
      </c>
      <c r="H87" s="31" t="s">
        <v>473</v>
      </c>
      <c r="I87" s="31" t="s">
        <v>473</v>
      </c>
      <c r="J87" s="31" t="s">
        <v>474</v>
      </c>
      <c r="K87" s="31" t="s">
        <v>474</v>
      </c>
    </row>
    <row r="88" spans="1:24" x14ac:dyDescent="0.25">
      <c r="A88" s="19"/>
      <c r="B88" s="32"/>
      <c r="C88" s="33" t="s">
        <v>475</v>
      </c>
      <c r="D88" s="33" t="s">
        <v>483</v>
      </c>
      <c r="E88" s="33" t="s">
        <v>484</v>
      </c>
      <c r="F88" s="33" t="s">
        <v>483</v>
      </c>
      <c r="G88" s="33" t="s">
        <v>475</v>
      </c>
      <c r="H88" s="33" t="s">
        <v>485</v>
      </c>
      <c r="I88" s="33" t="s">
        <v>483</v>
      </c>
      <c r="J88" s="33" t="s">
        <v>484</v>
      </c>
      <c r="K88" s="33" t="s">
        <v>483</v>
      </c>
    </row>
    <row r="89" spans="1:24" x14ac:dyDescent="0.25">
      <c r="A89" s="19"/>
      <c r="B89" s="34">
        <v>0</v>
      </c>
      <c r="C89" s="35">
        <f>P89*0.0254</f>
        <v>0</v>
      </c>
      <c r="D89" s="35">
        <f t="shared" ref="D89:K104" si="3">Q89*0.0254</f>
        <v>0</v>
      </c>
      <c r="E89" s="35">
        <f t="shared" si="3"/>
        <v>0</v>
      </c>
      <c r="F89" s="35">
        <f t="shared" si="3"/>
        <v>0</v>
      </c>
      <c r="G89" s="35">
        <f t="shared" si="3"/>
        <v>0</v>
      </c>
      <c r="H89" s="35">
        <f t="shared" si="3"/>
        <v>0</v>
      </c>
      <c r="I89" s="35">
        <f t="shared" si="3"/>
        <v>0</v>
      </c>
      <c r="J89" s="35">
        <f t="shared" si="3"/>
        <v>0</v>
      </c>
      <c r="K89" s="35">
        <f t="shared" si="3"/>
        <v>0</v>
      </c>
      <c r="P89" s="35">
        <v>0</v>
      </c>
      <c r="Q89" s="35">
        <v>0</v>
      </c>
      <c r="R89" s="35">
        <v>0</v>
      </c>
      <c r="S89" s="35">
        <v>0</v>
      </c>
      <c r="T89" s="35">
        <v>0</v>
      </c>
      <c r="U89" s="35">
        <v>0</v>
      </c>
      <c r="V89" s="35">
        <v>0</v>
      </c>
      <c r="W89" s="35">
        <v>0</v>
      </c>
      <c r="X89" s="35">
        <v>0</v>
      </c>
    </row>
    <row r="90" spans="1:24" x14ac:dyDescent="0.25">
      <c r="A90" s="19"/>
      <c r="B90" s="34">
        <v>0.1</v>
      </c>
      <c r="C90" s="35">
        <f t="shared" ref="C90:K111" si="4">P90*0.0254</f>
        <v>1.4477999999999999E-5</v>
      </c>
      <c r="D90" s="35">
        <f t="shared" si="3"/>
        <v>3.3019999999999995E-6</v>
      </c>
      <c r="E90" s="35">
        <f t="shared" si="3"/>
        <v>2.1081999999999999E-5</v>
      </c>
      <c r="F90" s="35">
        <f t="shared" si="3"/>
        <v>1.0668E-5</v>
      </c>
      <c r="G90" s="35">
        <f t="shared" si="3"/>
        <v>1.2191999999999999E-5</v>
      </c>
      <c r="H90" s="35">
        <f t="shared" si="3"/>
        <v>5.0800000000000005E-7</v>
      </c>
      <c r="I90" s="35">
        <f t="shared" si="3"/>
        <v>4.318E-6</v>
      </c>
      <c r="J90" s="35">
        <f t="shared" si="3"/>
        <v>1.7017999999999999E-5</v>
      </c>
      <c r="K90" s="35">
        <f t="shared" si="3"/>
        <v>9.3979999999999988E-6</v>
      </c>
      <c r="P90" s="35">
        <v>5.6999999999999998E-4</v>
      </c>
      <c r="Q90" s="35">
        <v>1.2999999999999999E-4</v>
      </c>
      <c r="R90" s="35">
        <v>8.3000000000000001E-4</v>
      </c>
      <c r="S90" s="35">
        <v>4.2000000000000002E-4</v>
      </c>
      <c r="T90" s="35">
        <f>ROUND(28.60421753/60000,5)</f>
        <v>4.8000000000000001E-4</v>
      </c>
      <c r="U90" s="35">
        <f>ROUND(1.219176173/60000,5)</f>
        <v>2.0000000000000002E-5</v>
      </c>
      <c r="V90" s="35">
        <f>ROUND(10.18008184/60000,5)</f>
        <v>1.7000000000000001E-4</v>
      </c>
      <c r="W90" s="35">
        <f>ROUND(40.26728249/60000,5)</f>
        <v>6.7000000000000002E-4</v>
      </c>
      <c r="X90" s="35">
        <f>ROUND(22.34498882/60000,5)</f>
        <v>3.6999999999999999E-4</v>
      </c>
    </row>
    <row r="91" spans="1:24" x14ac:dyDescent="0.25">
      <c r="A91" s="19"/>
      <c r="B91" s="34">
        <v>0.2</v>
      </c>
      <c r="C91" s="35">
        <f t="shared" si="4"/>
        <v>5.7911999999999997E-5</v>
      </c>
      <c r="D91" s="35">
        <f t="shared" si="3"/>
        <v>1.27E-5</v>
      </c>
      <c r="E91" s="35">
        <f t="shared" si="3"/>
        <v>8.4581999999999998E-5</v>
      </c>
      <c r="F91" s="35">
        <f t="shared" si="3"/>
        <v>4.2417999999999999E-5</v>
      </c>
      <c r="G91" s="35">
        <f t="shared" si="3"/>
        <v>4.9783999999999996E-5</v>
      </c>
      <c r="H91" s="35">
        <f t="shared" si="3"/>
        <v>4.318E-6</v>
      </c>
      <c r="I91" s="35">
        <f t="shared" si="3"/>
        <v>1.6509999999999999E-5</v>
      </c>
      <c r="J91" s="35">
        <f t="shared" si="3"/>
        <v>6.5024000000000006E-5</v>
      </c>
      <c r="K91" s="35">
        <f t="shared" si="3"/>
        <v>3.4035999999999997E-5</v>
      </c>
      <c r="P91" s="35">
        <v>2.2799999999999999E-3</v>
      </c>
      <c r="Q91" s="35">
        <v>5.0000000000000001E-4</v>
      </c>
      <c r="R91" s="35">
        <v>3.3300000000000001E-3</v>
      </c>
      <c r="S91" s="35">
        <v>1.67E-3</v>
      </c>
      <c r="T91" s="35">
        <f>ROUND(117.4589615/60000,5)</f>
        <v>1.9599999999999999E-3</v>
      </c>
      <c r="U91" s="35">
        <f>ROUND(10.1291666/60000,5)</f>
        <v>1.7000000000000001E-4</v>
      </c>
      <c r="V91" s="35">
        <f>ROUND(39.16249084/60000,5)</f>
        <v>6.4999999999999997E-4</v>
      </c>
      <c r="W91" s="35">
        <f>ROUND(153.6534882/60000,5)</f>
        <v>2.5600000000000002E-3</v>
      </c>
      <c r="X91" s="35">
        <f>ROUND(80.2783165/60000,5)</f>
        <v>1.34E-3</v>
      </c>
    </row>
    <row r="92" spans="1:24" x14ac:dyDescent="0.25">
      <c r="A92" s="19"/>
      <c r="B92" s="34">
        <v>0.3</v>
      </c>
      <c r="C92" s="35">
        <f t="shared" si="4"/>
        <v>1.3004800000000001E-4</v>
      </c>
      <c r="D92" s="35">
        <f t="shared" si="3"/>
        <v>2.8701999999999997E-5</v>
      </c>
      <c r="E92" s="35">
        <f t="shared" si="3"/>
        <v>1.91008E-4</v>
      </c>
      <c r="F92" s="35">
        <f t="shared" si="3"/>
        <v>9.5503999999999999E-5</v>
      </c>
      <c r="G92" s="35">
        <f t="shared" si="3"/>
        <v>1.0972799999999999E-4</v>
      </c>
      <c r="H92" s="35">
        <f t="shared" si="3"/>
        <v>1.4731999999999999E-5</v>
      </c>
      <c r="I92" s="35">
        <f t="shared" si="3"/>
        <v>3.6068000000000001E-5</v>
      </c>
      <c r="J92" s="35">
        <f t="shared" si="3"/>
        <v>1.3461999999999998E-4</v>
      </c>
      <c r="K92" s="35">
        <f t="shared" si="3"/>
        <v>6.8833999999999999E-5</v>
      </c>
      <c r="P92" s="35">
        <v>5.1200000000000004E-3</v>
      </c>
      <c r="Q92" s="35">
        <v>1.1299999999999999E-3</v>
      </c>
      <c r="R92" s="35">
        <v>7.5199999999999998E-3</v>
      </c>
      <c r="S92" s="35">
        <v>3.7599999999999999E-3</v>
      </c>
      <c r="T92" s="35">
        <f>ROUND(258.9204407/60000,5)</f>
        <v>4.3200000000000001E-3</v>
      </c>
      <c r="U92" s="35">
        <f>ROUND(34.687603/60000,5)</f>
        <v>5.8E-4</v>
      </c>
      <c r="V92" s="35">
        <f>ROUND(84.90325546/60000,5)</f>
        <v>1.42E-3</v>
      </c>
      <c r="W92" s="35">
        <f>ROUND(318.1897583/60000,5)</f>
        <v>5.3E-3</v>
      </c>
      <c r="X92" s="35">
        <f>ROUND(162.3611755/60000,5)</f>
        <v>2.7100000000000002E-3</v>
      </c>
    </row>
    <row r="93" spans="1:24" x14ac:dyDescent="0.25">
      <c r="A93" s="19"/>
      <c r="B93" s="34">
        <v>0.4</v>
      </c>
      <c r="C93" s="35">
        <f t="shared" si="4"/>
        <v>2.3114000000000001E-4</v>
      </c>
      <c r="D93" s="35">
        <f t="shared" si="3"/>
        <v>5.4863999999999995E-5</v>
      </c>
      <c r="E93" s="35">
        <f t="shared" si="3"/>
        <v>3.4137600000000001E-4</v>
      </c>
      <c r="F93" s="35">
        <f t="shared" si="3"/>
        <v>1.7043399999999999E-4</v>
      </c>
      <c r="G93" s="35">
        <f t="shared" si="3"/>
        <v>1.8846800000000001E-4</v>
      </c>
      <c r="H93" s="35">
        <f t="shared" si="3"/>
        <v>3.5051999999999996E-5</v>
      </c>
      <c r="I93" s="35">
        <f t="shared" si="3"/>
        <v>6.1467999999999988E-5</v>
      </c>
      <c r="J93" s="35">
        <f t="shared" si="3"/>
        <v>2.1844E-4</v>
      </c>
      <c r="K93" s="35">
        <f t="shared" si="3"/>
        <v>1.0972799999999999E-4</v>
      </c>
      <c r="P93" s="35">
        <v>9.1000000000000004E-3</v>
      </c>
      <c r="Q93" s="35">
        <v>2.16E-3</v>
      </c>
      <c r="R93" s="35">
        <v>1.3440000000000001E-2</v>
      </c>
      <c r="S93" s="35">
        <v>6.7099999999999998E-3</v>
      </c>
      <c r="T93" s="35">
        <f>ROUND(445.040741/60000,5)</f>
        <v>7.4200000000000004E-3</v>
      </c>
      <c r="U93" s="35">
        <f>ROUND(82.93192291/60000,5)</f>
        <v>1.3799999999999999E-3</v>
      </c>
      <c r="V93" s="35">
        <f>ROUND(145.4187927/60000,5)</f>
        <v>2.4199999999999998E-3</v>
      </c>
      <c r="W93" s="35">
        <f>ROUND(516.0312195/60000,5)</f>
        <v>8.6E-3</v>
      </c>
      <c r="X93" s="35">
        <f>ROUND(259.2735748/60000,5)</f>
        <v>4.3200000000000001E-3</v>
      </c>
    </row>
    <row r="94" spans="1:24" x14ac:dyDescent="0.25">
      <c r="A94" s="19"/>
      <c r="B94" s="34">
        <v>0.5</v>
      </c>
      <c r="C94" s="35">
        <f t="shared" si="4"/>
        <v>3.6194999999999999E-4</v>
      </c>
      <c r="D94" s="35">
        <f t="shared" si="3"/>
        <v>1.0033000000000001E-4</v>
      </c>
      <c r="E94" s="35">
        <f t="shared" si="3"/>
        <v>5.2628799999999997E-4</v>
      </c>
      <c r="F94" s="35">
        <f t="shared" si="3"/>
        <v>2.6136600000000002E-4</v>
      </c>
      <c r="G94" s="35">
        <f t="shared" si="3"/>
        <v>2.8270199999999996E-4</v>
      </c>
      <c r="H94" s="35">
        <f t="shared" si="3"/>
        <v>6.9341999999999988E-5</v>
      </c>
      <c r="I94" s="35">
        <f t="shared" si="3"/>
        <v>9.2964E-5</v>
      </c>
      <c r="J94" s="35">
        <f t="shared" si="3"/>
        <v>3.0988000000000001E-4</v>
      </c>
      <c r="K94" s="35">
        <f t="shared" si="3"/>
        <v>1.5366999999999998E-4</v>
      </c>
      <c r="P94" s="35">
        <v>1.4250000000000001E-2</v>
      </c>
      <c r="Q94" s="35">
        <v>3.9500000000000004E-3</v>
      </c>
      <c r="R94" s="35">
        <v>2.0719999999999999E-2</v>
      </c>
      <c r="S94" s="35">
        <v>1.0290000000000001E-2</v>
      </c>
      <c r="T94" s="35">
        <f>ROUND(667.9486694/60000,5)</f>
        <v>1.1129999999999999E-2</v>
      </c>
      <c r="U94" s="35">
        <f>ROUND(163.9717407/60000,5)</f>
        <v>2.7299999999999998E-3</v>
      </c>
      <c r="V94" s="35">
        <f>ROUND(219.4151077/60000,5)</f>
        <v>3.6600000000000001E-3</v>
      </c>
      <c r="W94" s="35">
        <f>ROUND(732.1621399/60000,5)</f>
        <v>1.2200000000000001E-2</v>
      </c>
      <c r="X94" s="35">
        <f>ROUND(362.8387756/60000,5)</f>
        <v>6.0499999999999998E-3</v>
      </c>
    </row>
    <row r="95" spans="1:24" x14ac:dyDescent="0.25">
      <c r="A95" s="19"/>
      <c r="B95" s="34">
        <v>0.6</v>
      </c>
      <c r="C95" s="35">
        <f t="shared" si="4"/>
        <v>5.2222399999999995E-4</v>
      </c>
      <c r="D95" s="35">
        <f t="shared" si="3"/>
        <v>1.6992599999999999E-4</v>
      </c>
      <c r="E95" s="35">
        <f t="shared" si="3"/>
        <v>7.2516999999999992E-4</v>
      </c>
      <c r="F95" s="35">
        <f t="shared" si="3"/>
        <v>3.5610799999999995E-4</v>
      </c>
      <c r="G95" s="35">
        <f t="shared" si="3"/>
        <v>3.8912799999999998E-4</v>
      </c>
      <c r="H95" s="35">
        <f t="shared" si="3"/>
        <v>1.2115799999999999E-4</v>
      </c>
      <c r="I95" s="35">
        <f t="shared" si="3"/>
        <v>1.29794E-4</v>
      </c>
      <c r="J95" s="35">
        <f t="shared" si="3"/>
        <v>4.0284399999999997E-4</v>
      </c>
      <c r="K95" s="35">
        <f t="shared" si="3"/>
        <v>1.9684999999999999E-4</v>
      </c>
      <c r="P95" s="35">
        <v>2.0559999999999998E-2</v>
      </c>
      <c r="Q95" s="35">
        <v>6.6899999999999998E-3</v>
      </c>
      <c r="R95" s="35">
        <v>2.8549999999999999E-2</v>
      </c>
      <c r="S95" s="35">
        <v>1.4019999999999999E-2</v>
      </c>
      <c r="T95" s="35">
        <f>ROUND(919.4136963/60000,5)</f>
        <v>1.532E-2</v>
      </c>
      <c r="U95" s="35">
        <f>ROUND(286.4722595/60000,5)</f>
        <v>4.7699999999999999E-3</v>
      </c>
      <c r="V95" s="35">
        <f>ROUND(306.601181/60000,5)</f>
        <v>5.11E-3</v>
      </c>
      <c r="W95" s="35">
        <f>ROUND(951.6899414/60000,5)</f>
        <v>1.5859999999999999E-2</v>
      </c>
      <c r="X95" s="35">
        <f>ROUND(464.9731903/60000,5)</f>
        <v>7.7499999999999999E-3</v>
      </c>
    </row>
    <row r="96" spans="1:24" x14ac:dyDescent="0.25">
      <c r="A96" s="19"/>
      <c r="B96" s="34">
        <v>0.7</v>
      </c>
      <c r="C96" s="35">
        <f t="shared" si="4"/>
        <v>7.0789799999999999E-4</v>
      </c>
      <c r="D96" s="35">
        <f t="shared" si="3"/>
        <v>2.6111199999999998E-4</v>
      </c>
      <c r="E96" s="35">
        <f t="shared" si="3"/>
        <v>9.1541600000000006E-4</v>
      </c>
      <c r="F96" s="35">
        <f t="shared" si="3"/>
        <v>4.4221399999999996E-4</v>
      </c>
      <c r="G96" s="35">
        <f t="shared" si="3"/>
        <v>5.0342799999999999E-4</v>
      </c>
      <c r="H96" s="35">
        <f t="shared" si="3"/>
        <v>1.91008E-4</v>
      </c>
      <c r="I96" s="35">
        <f t="shared" si="3"/>
        <v>1.72466E-4</v>
      </c>
      <c r="J96" s="35">
        <f t="shared" si="3"/>
        <v>4.9047399999999997E-4</v>
      </c>
      <c r="K96" s="35">
        <f t="shared" si="3"/>
        <v>2.3545799999999999E-4</v>
      </c>
      <c r="P96" s="35">
        <v>2.7869999999999999E-2</v>
      </c>
      <c r="Q96" s="35">
        <v>1.0279999999999999E-2</v>
      </c>
      <c r="R96" s="35">
        <v>3.6040000000000003E-2</v>
      </c>
      <c r="S96" s="35">
        <v>1.7409999999999998E-2</v>
      </c>
      <c r="T96" s="35">
        <f>ROUND(1189.253418/60000,5)</f>
        <v>1.9820000000000001E-2</v>
      </c>
      <c r="U96" s="35">
        <f>ROUND(451.0665894/60000,5)</f>
        <v>7.5199999999999998E-3</v>
      </c>
      <c r="V96" s="35">
        <f>ROUND(407.1981354/60000,5)</f>
        <v>6.79E-3</v>
      </c>
      <c r="W96" s="35">
        <f>ROUND(1158.736389/60000,5)</f>
        <v>1.9310000000000001E-2</v>
      </c>
      <c r="X96" s="35">
        <f>ROUND(556.1637878/60000,5)</f>
        <v>9.2700000000000005E-3</v>
      </c>
    </row>
    <row r="97" spans="1:24" x14ac:dyDescent="0.25">
      <c r="A97" s="19"/>
      <c r="B97" s="34">
        <v>0.8</v>
      </c>
      <c r="C97" s="35">
        <f t="shared" si="4"/>
        <v>9.0931999999999992E-4</v>
      </c>
      <c r="D97" s="35">
        <f t="shared" si="3"/>
        <v>3.66268E-4</v>
      </c>
      <c r="E97" s="35">
        <f t="shared" si="3"/>
        <v>1.079754E-3</v>
      </c>
      <c r="F97" s="35">
        <f t="shared" si="3"/>
        <v>5.1079399999999996E-4</v>
      </c>
      <c r="G97" s="35">
        <f t="shared" si="3"/>
        <v>6.20014E-4</v>
      </c>
      <c r="H97" s="35">
        <f t="shared" si="3"/>
        <v>2.7381199999999996E-4</v>
      </c>
      <c r="I97" s="35">
        <f t="shared" si="3"/>
        <v>2.1996399999999998E-4</v>
      </c>
      <c r="J97" s="35">
        <f t="shared" si="3"/>
        <v>5.6641999999999999E-4</v>
      </c>
      <c r="K97" s="35">
        <f t="shared" si="3"/>
        <v>2.6593800000000001E-4</v>
      </c>
      <c r="P97" s="35">
        <v>3.5799999999999998E-2</v>
      </c>
      <c r="Q97" s="35">
        <v>1.4420000000000001E-2</v>
      </c>
      <c r="R97" s="35">
        <v>4.2509999999999999E-2</v>
      </c>
      <c r="S97" s="35">
        <v>2.0109999999999999E-2</v>
      </c>
      <c r="T97" s="35">
        <f>ROUND(1464.375122/60000,5)</f>
        <v>2.4410000000000001E-2</v>
      </c>
      <c r="U97" s="35">
        <f>ROUND(646.937439/60000,5)</f>
        <v>1.078E-2</v>
      </c>
      <c r="V97" s="35">
        <f>ROUND(519.4453735/60000,5)</f>
        <v>8.6599999999999993E-3</v>
      </c>
      <c r="W97" s="35">
        <f>ROUND(1337.876282/60000,5)</f>
        <v>2.23E-2</v>
      </c>
      <c r="X97" s="35">
        <f>ROUND(627.9593506/60000,5)</f>
        <v>1.047E-2</v>
      </c>
    </row>
    <row r="98" spans="1:24" x14ac:dyDescent="0.25">
      <c r="A98" s="19"/>
      <c r="B98" s="34">
        <v>0.9</v>
      </c>
      <c r="C98" s="35">
        <f t="shared" si="4"/>
        <v>1.1120119999999999E-3</v>
      </c>
      <c r="D98" s="35">
        <f t="shared" si="3"/>
        <v>4.7599599999999996E-4</v>
      </c>
      <c r="E98" s="35">
        <f t="shared" si="3"/>
        <v>1.209548E-3</v>
      </c>
      <c r="F98" s="35">
        <f t="shared" si="3"/>
        <v>5.5702200000000001E-4</v>
      </c>
      <c r="G98" s="35">
        <f t="shared" si="3"/>
        <v>7.3253599999999999E-4</v>
      </c>
      <c r="H98" s="35">
        <f t="shared" si="3"/>
        <v>3.6245799999999996E-4</v>
      </c>
      <c r="I98" s="35">
        <f t="shared" si="3"/>
        <v>2.6974799999999999E-4</v>
      </c>
      <c r="J98" s="35">
        <f t="shared" si="3"/>
        <v>6.2661800000000001E-4</v>
      </c>
      <c r="K98" s="35">
        <f t="shared" si="3"/>
        <v>2.8600399999999997E-4</v>
      </c>
      <c r="P98" s="35">
        <v>4.3779999999999999E-2</v>
      </c>
      <c r="Q98" s="35">
        <v>1.874E-2</v>
      </c>
      <c r="R98" s="35">
        <v>4.7620000000000003E-2</v>
      </c>
      <c r="S98" s="35">
        <v>2.1930000000000002E-2</v>
      </c>
      <c r="T98" s="35">
        <f>ROUND(1730.370239/60000,5)</f>
        <v>2.8840000000000001E-2</v>
      </c>
      <c r="U98" s="35">
        <f>ROUND(856.4458008/60000,5)</f>
        <v>1.427E-2</v>
      </c>
      <c r="V98" s="35">
        <f>ROUND(637.0718079/60000,5)</f>
        <v>1.0619999999999999E-2</v>
      </c>
      <c r="W98" s="35">
        <f>ROUND(1479.902527/60000,5)</f>
        <v>2.4670000000000001E-2</v>
      </c>
      <c r="X98" s="35">
        <f>ROUND(675.6360474/60000,5)</f>
        <v>1.1259999999999999E-2</v>
      </c>
    </row>
    <row r="99" spans="1:24" x14ac:dyDescent="0.25">
      <c r="A99" s="19"/>
      <c r="B99" s="34">
        <v>1</v>
      </c>
      <c r="C99" s="35">
        <f t="shared" si="4"/>
        <v>1.3037819999999999E-3</v>
      </c>
      <c r="D99" s="35">
        <f t="shared" si="3"/>
        <v>5.81914E-4</v>
      </c>
      <c r="E99" s="35">
        <f t="shared" si="3"/>
        <v>1.3037819999999999E-3</v>
      </c>
      <c r="F99" s="35">
        <f t="shared" si="3"/>
        <v>5.81914E-4</v>
      </c>
      <c r="G99" s="35">
        <f t="shared" si="3"/>
        <v>8.3591399999999999E-4</v>
      </c>
      <c r="H99" s="35">
        <f t="shared" si="3"/>
        <v>4.4957999999999999E-4</v>
      </c>
      <c r="I99" s="35">
        <f t="shared" si="3"/>
        <v>3.1851600000000002E-4</v>
      </c>
      <c r="J99" s="35">
        <f t="shared" si="3"/>
        <v>6.7055999999999995E-4</v>
      </c>
      <c r="K99" s="35">
        <f t="shared" si="3"/>
        <v>2.9616400000000002E-4</v>
      </c>
      <c r="P99" s="35">
        <v>5.1330000000000001E-2</v>
      </c>
      <c r="Q99" s="35">
        <v>2.291E-2</v>
      </c>
      <c r="R99" s="35">
        <v>5.1330000000000001E-2</v>
      </c>
      <c r="S99" s="35">
        <v>2.291E-2</v>
      </c>
      <c r="T99" s="35">
        <f>ROUND(1974.742554/60000,5)</f>
        <v>3.2910000000000002E-2</v>
      </c>
      <c r="U99" s="35">
        <f>ROUND(1062.048462/60000,5)</f>
        <v>1.77E-2</v>
      </c>
      <c r="V99" s="35">
        <f>ROUND(752.3494873/60000,5)</f>
        <v>1.2540000000000001E-2</v>
      </c>
      <c r="W99" s="35">
        <f>ROUND(1583.815125/60000,5)</f>
        <v>2.64E-2</v>
      </c>
      <c r="X99" s="35">
        <f>ROUND(699.4288025/60000,5)</f>
        <v>1.166E-2</v>
      </c>
    </row>
    <row r="100" spans="1:24" x14ac:dyDescent="0.25">
      <c r="A100" s="19"/>
      <c r="B100" s="34">
        <v>1.1000000000000001</v>
      </c>
      <c r="C100" s="35">
        <f t="shared" si="4"/>
        <v>1.4757399999999999E-3</v>
      </c>
      <c r="D100" s="35">
        <f t="shared" si="3"/>
        <v>6.7792599999999992E-4</v>
      </c>
      <c r="E100" s="35">
        <f t="shared" si="3"/>
        <v>1.3675359999999999E-3</v>
      </c>
      <c r="F100" s="35">
        <f t="shared" si="3"/>
        <v>5.8801000000000003E-4</v>
      </c>
      <c r="G100" s="35">
        <f t="shared" si="3"/>
        <v>9.2684600000000005E-4</v>
      </c>
      <c r="H100" s="35">
        <f t="shared" si="3"/>
        <v>5.2959000000000003E-4</v>
      </c>
      <c r="I100" s="35">
        <f t="shared" si="3"/>
        <v>3.6347399999999997E-4</v>
      </c>
      <c r="J100" s="35">
        <f t="shared" si="3"/>
        <v>7.0002400000000005E-4</v>
      </c>
      <c r="K100" s="35">
        <f t="shared" si="3"/>
        <v>2.9743400000000001E-4</v>
      </c>
      <c r="P100" s="35">
        <v>5.8099999999999999E-2</v>
      </c>
      <c r="Q100" s="35">
        <v>2.6689999999999998E-2</v>
      </c>
      <c r="R100" s="35">
        <v>5.3839999999999999E-2</v>
      </c>
      <c r="S100" s="35">
        <v>2.315E-2</v>
      </c>
      <c r="T100" s="35">
        <f>ROUND(2189.353027/60000,5)</f>
        <v>3.6490000000000002E-2</v>
      </c>
      <c r="U100" s="35">
        <f>ROUND(1250.796143/60000,5)</f>
        <v>2.085E-2</v>
      </c>
      <c r="V100" s="35">
        <f>ROUND(858.5036926/60000,5)</f>
        <v>1.431E-2</v>
      </c>
      <c r="W100" s="35">
        <f>ROUND(1653.879517/60000,5)</f>
        <v>2.7560000000000001E-2</v>
      </c>
      <c r="X100" s="35">
        <f>ROUND(702.7366638/60000,5)</f>
        <v>1.171E-2</v>
      </c>
    </row>
    <row r="101" spans="1:24" x14ac:dyDescent="0.25">
      <c r="A101" s="19"/>
      <c r="B101" s="34">
        <v>1.2</v>
      </c>
      <c r="C101" s="35">
        <f t="shared" si="4"/>
        <v>1.62306E-3</v>
      </c>
      <c r="D101" s="35">
        <f t="shared" si="3"/>
        <v>7.6123800000000002E-4</v>
      </c>
      <c r="E101" s="35">
        <f t="shared" si="3"/>
        <v>1.4074140000000001E-3</v>
      </c>
      <c r="F101" s="35">
        <f t="shared" si="3"/>
        <v>5.8013599999999998E-4</v>
      </c>
      <c r="G101" s="35">
        <f t="shared" si="3"/>
        <v>1.003554E-3</v>
      </c>
      <c r="H101" s="35">
        <f t="shared" si="3"/>
        <v>5.9918599999999992E-4</v>
      </c>
      <c r="I101" s="35">
        <f t="shared" si="3"/>
        <v>4.0284399999999997E-4</v>
      </c>
      <c r="J101" s="35">
        <f t="shared" si="3"/>
        <v>7.188199999999999E-4</v>
      </c>
      <c r="K101" s="35">
        <f t="shared" si="3"/>
        <v>2.9235399999999999E-4</v>
      </c>
      <c r="P101" s="35">
        <v>6.3899999999999998E-2</v>
      </c>
      <c r="Q101" s="35">
        <v>2.997E-2</v>
      </c>
      <c r="R101" s="35">
        <v>5.5410000000000001E-2</v>
      </c>
      <c r="S101" s="35">
        <v>2.2839999999999999E-2</v>
      </c>
      <c r="T101" s="35">
        <f>ROUND(2370.896484/60000,5)</f>
        <v>3.9510000000000003E-2</v>
      </c>
      <c r="U101" s="35">
        <f>ROUND(1415.510498/60000,5)</f>
        <v>2.359E-2</v>
      </c>
      <c r="V101" s="35">
        <f>ROUND(951.5223694/60000,5)</f>
        <v>1.5859999999999999E-2</v>
      </c>
      <c r="W101" s="35">
        <f>ROUND(1698.062134/60000,5)</f>
        <v>2.8299999999999999E-2</v>
      </c>
      <c r="X101" s="35">
        <f>ROUND(690.3504639/60000,5)</f>
        <v>1.1509999999999999E-2</v>
      </c>
    </row>
    <row r="102" spans="1:24" x14ac:dyDescent="0.25">
      <c r="A102" s="19"/>
      <c r="B102" s="34">
        <v>1.3</v>
      </c>
      <c r="C102" s="35">
        <f t="shared" si="4"/>
        <v>1.7452339999999998E-3</v>
      </c>
      <c r="D102" s="35">
        <f t="shared" si="3"/>
        <v>8.31342E-4</v>
      </c>
      <c r="E102" s="35">
        <f t="shared" si="3"/>
        <v>1.4305279999999999E-3</v>
      </c>
      <c r="F102" s="35">
        <f t="shared" si="3"/>
        <v>5.6286399999999994E-4</v>
      </c>
      <c r="G102" s="35">
        <f t="shared" si="3"/>
        <v>1.0668000000000001E-3</v>
      </c>
      <c r="H102" s="35">
        <f t="shared" si="3"/>
        <v>6.5785999999999991E-4</v>
      </c>
      <c r="I102" s="35">
        <f t="shared" si="3"/>
        <v>4.3611799999999999E-4</v>
      </c>
      <c r="J102" s="35">
        <f t="shared" si="3"/>
        <v>7.2974199999999991E-4</v>
      </c>
      <c r="K102" s="35">
        <f t="shared" si="3"/>
        <v>2.8270199999999996E-4</v>
      </c>
      <c r="P102" s="35">
        <v>6.8709999999999993E-2</v>
      </c>
      <c r="Q102" s="35">
        <v>3.2730000000000002E-2</v>
      </c>
      <c r="R102" s="35">
        <v>5.6320000000000002E-2</v>
      </c>
      <c r="S102" s="35">
        <v>2.2159999999999999E-2</v>
      </c>
      <c r="T102" s="35">
        <f>ROUND(2519.901611/60000,5)</f>
        <v>4.2000000000000003E-2</v>
      </c>
      <c r="U102" s="35">
        <f>ROUND(1553.835815/60000,5)</f>
        <v>2.5899999999999999E-2</v>
      </c>
      <c r="V102" s="35">
        <f>ROUND(1030.13739/60000,5)</f>
        <v>1.7170000000000001E-2</v>
      </c>
      <c r="W102" s="35">
        <f>ROUND(1723.576599/60000,5)</f>
        <v>2.8729999999999999E-2</v>
      </c>
      <c r="X102" s="35">
        <f>ROUND(667.781189/60000,5)</f>
        <v>1.1129999999999999E-2</v>
      </c>
    </row>
    <row r="103" spans="1:24" x14ac:dyDescent="0.25">
      <c r="A103" s="19"/>
      <c r="B103" s="34">
        <v>1.4</v>
      </c>
      <c r="C103" s="35">
        <f t="shared" si="4"/>
        <v>1.843786E-3</v>
      </c>
      <c r="D103" s="35">
        <f t="shared" si="3"/>
        <v>8.8823799999999996E-4</v>
      </c>
      <c r="E103" s="35">
        <f t="shared" si="3"/>
        <v>1.44272E-3</v>
      </c>
      <c r="F103" s="35">
        <f t="shared" si="3"/>
        <v>5.4025799999999995E-4</v>
      </c>
      <c r="G103" s="35">
        <f t="shared" si="3"/>
        <v>1.117346E-3</v>
      </c>
      <c r="H103" s="35">
        <f t="shared" si="3"/>
        <v>7.0561199999999999E-4</v>
      </c>
      <c r="I103" s="35">
        <f t="shared" si="3"/>
        <v>4.6329599999999998E-4</v>
      </c>
      <c r="J103" s="35">
        <f t="shared" si="3"/>
        <v>7.3532999999999997E-4</v>
      </c>
      <c r="K103" s="35">
        <f t="shared" si="3"/>
        <v>2.7050999999999996E-4</v>
      </c>
      <c r="P103" s="35">
        <v>7.2590000000000002E-2</v>
      </c>
      <c r="Q103" s="35">
        <v>3.4970000000000001E-2</v>
      </c>
      <c r="R103" s="35">
        <v>5.6800000000000003E-2</v>
      </c>
      <c r="S103" s="35">
        <v>2.1270000000000001E-2</v>
      </c>
      <c r="T103" s="35">
        <f>ROUND(2639.25708/60000,5)</f>
        <v>4.3990000000000001E-2</v>
      </c>
      <c r="U103" s="35">
        <f>ROUND(1666.602173/60000,5)</f>
        <v>2.7779999999999999E-2</v>
      </c>
      <c r="V103" s="35">
        <f>ROUND(1094.327148/60000,5)</f>
        <v>1.8239999999999999E-2</v>
      </c>
      <c r="W103" s="35">
        <f>ROUND(1736.972595/60000,5)</f>
        <v>2.895E-2</v>
      </c>
      <c r="X103" s="35">
        <f>ROUND(639.2154846/60000,5)</f>
        <v>1.065E-2</v>
      </c>
    </row>
    <row r="104" spans="1:24" x14ac:dyDescent="0.25">
      <c r="A104" s="19"/>
      <c r="B104" s="34">
        <v>1.5</v>
      </c>
      <c r="C104" s="35">
        <f t="shared" si="4"/>
        <v>1.9217640000000001E-3</v>
      </c>
      <c r="D104" s="35">
        <f t="shared" si="3"/>
        <v>9.3395799999999992E-4</v>
      </c>
      <c r="E104" s="35">
        <f t="shared" si="3"/>
        <v>1.4483079999999999E-3</v>
      </c>
      <c r="F104" s="35">
        <f t="shared" si="3"/>
        <v>5.1485799999999998E-4</v>
      </c>
      <c r="G104" s="35">
        <f t="shared" si="3"/>
        <v>1.15697E-3</v>
      </c>
      <c r="H104" s="35">
        <f t="shared" si="3"/>
        <v>7.4345800000000001E-4</v>
      </c>
      <c r="I104" s="35">
        <f t="shared" si="3"/>
        <v>4.8513999999999995E-4</v>
      </c>
      <c r="J104" s="35">
        <f t="shared" si="3"/>
        <v>7.3786999999999995E-4</v>
      </c>
      <c r="K104" s="35">
        <f t="shared" si="3"/>
        <v>2.57302E-4</v>
      </c>
      <c r="P104" s="35">
        <v>7.5660000000000005E-2</v>
      </c>
      <c r="Q104" s="35">
        <v>3.6769999999999997E-2</v>
      </c>
      <c r="R104" s="35">
        <v>5.7020000000000001E-2</v>
      </c>
      <c r="S104" s="35">
        <v>2.027E-2</v>
      </c>
      <c r="T104" s="35">
        <f>ROUND(2732.934082/60000,5)</f>
        <v>4.555E-2</v>
      </c>
      <c r="U104" s="35">
        <f>ROUND(1756.353027/60000,5)</f>
        <v>2.9270000000000001E-2</v>
      </c>
      <c r="V104" s="35">
        <f>ROUND(1146.18042/60000,5)</f>
        <v>1.9099999999999999E-2</v>
      </c>
      <c r="W104" s="35">
        <f>ROUND(1743.04126/60000,5)</f>
        <v>2.9049999999999999E-2</v>
      </c>
      <c r="X104" s="35">
        <f>ROUND(608.006012/60000,5)</f>
        <v>1.013E-2</v>
      </c>
    </row>
    <row r="105" spans="1:24" x14ac:dyDescent="0.25">
      <c r="A105" s="19"/>
      <c r="B105" s="34">
        <v>1.6</v>
      </c>
      <c r="C105" s="35">
        <f t="shared" si="4"/>
        <v>1.9819619999999999E-3</v>
      </c>
      <c r="D105" s="35">
        <f t="shared" si="4"/>
        <v>9.6977199999999993E-4</v>
      </c>
      <c r="E105" s="35">
        <f t="shared" si="4"/>
        <v>1.4503399999999998E-3</v>
      </c>
      <c r="F105" s="35">
        <f t="shared" si="4"/>
        <v>4.8894999999999993E-4</v>
      </c>
      <c r="G105" s="35">
        <f t="shared" si="4"/>
        <v>1.1874500000000001E-3</v>
      </c>
      <c r="H105" s="35">
        <f t="shared" si="4"/>
        <v>7.7317599999999988E-4</v>
      </c>
      <c r="I105" s="35">
        <f t="shared" si="4"/>
        <v>5.0241199999999993E-4</v>
      </c>
      <c r="J105" s="35">
        <f t="shared" si="4"/>
        <v>7.3863200000000003E-4</v>
      </c>
      <c r="K105" s="35">
        <f t="shared" si="4"/>
        <v>2.4409400000000001E-4</v>
      </c>
      <c r="P105" s="35">
        <v>7.8030000000000002E-2</v>
      </c>
      <c r="Q105" s="35">
        <v>3.8179999999999999E-2</v>
      </c>
      <c r="R105" s="35">
        <v>5.7099999999999998E-2</v>
      </c>
      <c r="S105" s="35">
        <v>1.925E-2</v>
      </c>
      <c r="T105" s="35">
        <f>ROUND(2805.132813/60000,5)</f>
        <v>4.675E-2</v>
      </c>
      <c r="U105" s="35">
        <f>ROUND(1826.318237/60000,5)</f>
        <v>3.0439999999999998E-2</v>
      </c>
      <c r="V105" s="35">
        <f>ROUND(1186.628601/60000,5)</f>
        <v>1.9779999999999999E-2</v>
      </c>
      <c r="W105" s="35">
        <f>ROUND(1745.01123/60000,5)</f>
        <v>2.9080000000000002E-2</v>
      </c>
      <c r="X105" s="35">
        <f>ROUND(576.5628967/60000,5)</f>
        <v>9.6100000000000005E-3</v>
      </c>
    </row>
    <row r="106" spans="1:24" x14ac:dyDescent="0.25">
      <c r="A106" s="19"/>
      <c r="B106" s="34">
        <v>1.7</v>
      </c>
      <c r="C106" s="35">
        <f t="shared" si="4"/>
        <v>2.0279359999999997E-3</v>
      </c>
      <c r="D106" s="35">
        <f t="shared" si="4"/>
        <v>9.974579999999999E-4</v>
      </c>
      <c r="E106" s="35">
        <f t="shared" si="4"/>
        <v>1.4503399999999998E-3</v>
      </c>
      <c r="F106" s="35">
        <f t="shared" si="4"/>
        <v>4.6405799999999999E-4</v>
      </c>
      <c r="G106" s="35">
        <f t="shared" si="4"/>
        <v>1.2105639999999999E-3</v>
      </c>
      <c r="H106" s="35">
        <f t="shared" si="4"/>
        <v>7.9578199999999987E-4</v>
      </c>
      <c r="I106" s="35">
        <f t="shared" si="4"/>
        <v>5.1561999999999995E-4</v>
      </c>
      <c r="J106" s="35">
        <f t="shared" si="4"/>
        <v>7.3863200000000003E-4</v>
      </c>
      <c r="K106" s="35">
        <f t="shared" si="4"/>
        <v>2.31394E-4</v>
      </c>
      <c r="P106" s="35">
        <v>7.9839999999999994E-2</v>
      </c>
      <c r="Q106" s="35">
        <v>3.9269999999999999E-2</v>
      </c>
      <c r="R106" s="35">
        <v>5.7099999999999998E-2</v>
      </c>
      <c r="S106" s="35">
        <v>1.8270000000000002E-2</v>
      </c>
      <c r="T106" s="35">
        <f>ROUND(2859.805176/60000,5)</f>
        <v>4.7660000000000001E-2</v>
      </c>
      <c r="U106" s="35">
        <f>ROUND(1879.804199/60000,5)</f>
        <v>3.1329999999999997E-2</v>
      </c>
      <c r="V106" s="35">
        <f>ROUND(1217.76178/60000,5)</f>
        <v>2.0299999999999999E-2</v>
      </c>
      <c r="W106" s="35">
        <f>ROUND(1744.91272/60000,5)</f>
        <v>2.9080000000000002E-2</v>
      </c>
      <c r="X106" s="35">
        <f>ROUND(546.4676208/60000,5)</f>
        <v>9.11E-3</v>
      </c>
    </row>
    <row r="107" spans="1:24" x14ac:dyDescent="0.25">
      <c r="A107" s="19"/>
      <c r="B107" s="34">
        <v>1.8</v>
      </c>
      <c r="C107" s="35">
        <f t="shared" si="4"/>
        <v>2.0622259999999999E-3</v>
      </c>
      <c r="D107" s="35">
        <f t="shared" si="4"/>
        <v>1.018286E-3</v>
      </c>
      <c r="E107" s="35">
        <f t="shared" si="4"/>
        <v>1.449578E-3</v>
      </c>
      <c r="F107" s="35">
        <f t="shared" si="4"/>
        <v>4.4094399999999997E-4</v>
      </c>
      <c r="G107" s="35">
        <f t="shared" si="4"/>
        <v>1.2278359999999999E-3</v>
      </c>
      <c r="H107" s="35">
        <f t="shared" si="4"/>
        <v>8.1280000000000002E-4</v>
      </c>
      <c r="I107" s="35">
        <f t="shared" si="4"/>
        <v>5.2552600000000001E-4</v>
      </c>
      <c r="J107" s="35">
        <f t="shared" si="4"/>
        <v>7.3837799999999993E-4</v>
      </c>
      <c r="K107" s="35">
        <f t="shared" si="4"/>
        <v>2.1945599999999998E-4</v>
      </c>
      <c r="P107" s="35">
        <v>8.1189999999999998E-2</v>
      </c>
      <c r="Q107" s="35">
        <v>4.0090000000000001E-2</v>
      </c>
      <c r="R107" s="35">
        <v>5.7070000000000003E-2</v>
      </c>
      <c r="S107" s="35">
        <v>1.736E-2</v>
      </c>
      <c r="T107" s="35">
        <f>ROUND(2900.442139/60000,5)</f>
        <v>4.8340000000000001E-2</v>
      </c>
      <c r="U107" s="35">
        <f>ROUND(1919.880859/60000,5)</f>
        <v>3.2000000000000001E-2</v>
      </c>
      <c r="V107" s="35">
        <f>ROUND(1241.695313/60000,5)</f>
        <v>2.069E-2</v>
      </c>
      <c r="W107" s="35">
        <f>ROUND(1743.938232/60000,5)</f>
        <v>2.9069999999999999E-2</v>
      </c>
      <c r="X107" s="35">
        <f>ROUND(518.2001343/60000,5)</f>
        <v>8.6400000000000001E-3</v>
      </c>
    </row>
    <row r="108" spans="1:24" x14ac:dyDescent="0.25">
      <c r="A108" s="19"/>
      <c r="B108" s="34">
        <v>1.9</v>
      </c>
      <c r="C108" s="35">
        <f t="shared" si="4"/>
        <v>2.0871180000000002E-3</v>
      </c>
      <c r="D108" s="35">
        <f t="shared" si="4"/>
        <v>1.0340340000000001E-3</v>
      </c>
      <c r="E108" s="35">
        <f t="shared" si="4"/>
        <v>1.4485619999999998E-3</v>
      </c>
      <c r="F108" s="35">
        <f t="shared" si="4"/>
        <v>4.1986199999999996E-4</v>
      </c>
      <c r="G108" s="35">
        <f t="shared" si="4"/>
        <v>1.2402819999999999E-3</v>
      </c>
      <c r="H108" s="35">
        <f t="shared" si="4"/>
        <v>8.2524599999999997E-4</v>
      </c>
      <c r="I108" s="35">
        <f t="shared" si="4"/>
        <v>5.3314600000000008E-4</v>
      </c>
      <c r="J108" s="35">
        <f t="shared" si="4"/>
        <v>7.3786999999999995E-4</v>
      </c>
      <c r="K108" s="35">
        <f t="shared" si="4"/>
        <v>2.0904199999999997E-4</v>
      </c>
      <c r="P108" s="35">
        <v>8.2170000000000007E-2</v>
      </c>
      <c r="Q108" s="35">
        <v>4.0710000000000003E-2</v>
      </c>
      <c r="R108" s="35">
        <v>5.7029999999999997E-2</v>
      </c>
      <c r="S108" s="35">
        <v>1.653E-2</v>
      </c>
      <c r="T108" s="35">
        <f>ROUND(2930.012451/60000,5)</f>
        <v>4.8829999999999998E-2</v>
      </c>
      <c r="U108" s="35">
        <f>ROUND(1949.248657/60000,5)</f>
        <v>3.2489999999999998E-2</v>
      </c>
      <c r="V108" s="35">
        <f>ROUND(1259.433411/60000,5)</f>
        <v>2.0990000000000002E-2</v>
      </c>
      <c r="W108" s="35">
        <f>ROUND(1742.734497/60000,5)</f>
        <v>2.9049999999999999E-2</v>
      </c>
      <c r="X108" s="35">
        <f>ROUND(493.6931458/60000,5)</f>
        <v>8.2299999999999995E-3</v>
      </c>
    </row>
    <row r="109" spans="1:24" x14ac:dyDescent="0.25">
      <c r="A109" s="19"/>
      <c r="B109" s="34">
        <v>2</v>
      </c>
      <c r="C109" s="35">
        <f t="shared" si="4"/>
        <v>2.104898E-3</v>
      </c>
      <c r="D109" s="35">
        <f t="shared" si="4"/>
        <v>1.04521E-3</v>
      </c>
      <c r="E109" s="35">
        <f t="shared" si="4"/>
        <v>1.4475459999999999E-3</v>
      </c>
      <c r="F109" s="35">
        <f t="shared" si="4"/>
        <v>4.0157400000000003E-4</v>
      </c>
      <c r="G109" s="35">
        <f t="shared" si="4"/>
        <v>1.249172E-3</v>
      </c>
      <c r="H109" s="35">
        <f t="shared" si="4"/>
        <v>8.3413599999999997E-4</v>
      </c>
      <c r="I109" s="35">
        <f t="shared" si="4"/>
        <v>5.3847999999999993E-4</v>
      </c>
      <c r="J109" s="35">
        <f t="shared" si="4"/>
        <v>7.3736199999999998E-4</v>
      </c>
      <c r="K109" s="35">
        <f t="shared" si="4"/>
        <v>1.9964400000000002E-4</v>
      </c>
      <c r="P109" s="35">
        <v>8.2869999999999999E-2</v>
      </c>
      <c r="Q109" s="35">
        <v>4.1149999999999999E-2</v>
      </c>
      <c r="R109" s="35">
        <v>5.6989999999999999E-2</v>
      </c>
      <c r="S109" s="35">
        <v>1.5810000000000001E-2</v>
      </c>
      <c r="T109" s="35">
        <f>ROUND(2950.979004/60000,5)</f>
        <v>4.9180000000000001E-2</v>
      </c>
      <c r="U109" s="35">
        <f>ROUND(1970.204468/60000,5)</f>
        <v>3.2840000000000001E-2</v>
      </c>
      <c r="V109" s="35">
        <f>ROUND(1272.29248/60000,5)</f>
        <v>2.12E-2</v>
      </c>
      <c r="W109" s="35">
        <f>ROUND(1741.614563/60000,5)</f>
        <v>2.903E-2</v>
      </c>
      <c r="X109" s="35">
        <f>ROUND(471.7120361/60000,5)</f>
        <v>7.8600000000000007E-3</v>
      </c>
    </row>
    <row r="110" spans="1:24" x14ac:dyDescent="0.25">
      <c r="A110" s="19"/>
      <c r="B110" s="34">
        <v>3</v>
      </c>
      <c r="C110" s="35">
        <f t="shared" si="4"/>
        <v>2.1280119999999999E-3</v>
      </c>
      <c r="D110" s="35">
        <f t="shared" si="4"/>
        <v>1.06426E-3</v>
      </c>
      <c r="E110" s="35">
        <f t="shared" si="4"/>
        <v>1.445006E-3</v>
      </c>
      <c r="F110" s="35">
        <f t="shared" si="4"/>
        <v>3.22326E-4</v>
      </c>
      <c r="G110" s="35">
        <f t="shared" si="4"/>
        <v>1.2608559999999999E-3</v>
      </c>
      <c r="H110" s="35">
        <f t="shared" si="4"/>
        <v>8.4582000000000006E-4</v>
      </c>
      <c r="I110" s="35">
        <f t="shared" si="4"/>
        <v>5.4736999999999993E-4</v>
      </c>
      <c r="J110" s="35">
        <f t="shared" si="4"/>
        <v>7.3609199999999993E-4</v>
      </c>
      <c r="K110" s="35">
        <f t="shared" si="4"/>
        <v>1.6027399999999999E-4</v>
      </c>
      <c r="P110" s="35">
        <v>8.3779999999999993E-2</v>
      </c>
      <c r="Q110" s="35">
        <v>4.19E-2</v>
      </c>
      <c r="R110" s="35">
        <v>5.6890000000000003E-2</v>
      </c>
      <c r="S110" s="35">
        <v>1.269E-2</v>
      </c>
      <c r="T110" s="35">
        <v>4.9639999999999997E-2</v>
      </c>
      <c r="U110" s="35">
        <v>3.3300000000000003E-2</v>
      </c>
      <c r="V110" s="35">
        <v>2.155E-2</v>
      </c>
      <c r="W110" s="35">
        <v>2.8979999999999999E-2</v>
      </c>
      <c r="X110" s="35">
        <v>6.3099999999999996E-3</v>
      </c>
    </row>
    <row r="111" spans="1:24" x14ac:dyDescent="0.25">
      <c r="A111" s="20"/>
      <c r="B111" s="36">
        <v>5</v>
      </c>
      <c r="C111" s="35">
        <f t="shared" si="4"/>
        <v>2.1153120000000003E-3</v>
      </c>
      <c r="D111" s="35">
        <f t="shared" si="4"/>
        <v>1.058418E-3</v>
      </c>
      <c r="E111" s="35">
        <f t="shared" si="4"/>
        <v>1.4447519999999999E-3</v>
      </c>
      <c r="F111" s="35">
        <f t="shared" si="4"/>
        <v>3.1724599999999998E-4</v>
      </c>
      <c r="G111" s="35">
        <f t="shared" si="4"/>
        <v>1.2552679999999999E-3</v>
      </c>
      <c r="H111" s="35">
        <f t="shared" si="4"/>
        <v>8.4023199999999989E-4</v>
      </c>
      <c r="I111" s="35">
        <f t="shared" si="4"/>
        <v>5.4457599999999996E-4</v>
      </c>
      <c r="J111" s="35">
        <f t="shared" si="4"/>
        <v>7.3609199999999993E-4</v>
      </c>
      <c r="K111" s="35">
        <f t="shared" si="4"/>
        <v>1.57734E-4</v>
      </c>
      <c r="P111" s="37">
        <v>8.3280000000000007E-2</v>
      </c>
      <c r="Q111" s="37">
        <v>4.1669999999999999E-2</v>
      </c>
      <c r="R111" s="37">
        <v>5.688E-2</v>
      </c>
      <c r="S111" s="37">
        <v>1.2489999999999999E-2</v>
      </c>
      <c r="T111" s="37">
        <f>ROUND(2964.970215/60000,5)</f>
        <v>4.9419999999999999E-2</v>
      </c>
      <c r="U111" s="37">
        <f>ROUND(1984.97168/60000,5)</f>
        <v>3.3079999999999998E-2</v>
      </c>
      <c r="V111" s="37">
        <f>ROUND(1286.244812/60000,5)</f>
        <v>2.1440000000000001E-2</v>
      </c>
      <c r="W111" s="37">
        <f>ROUND(1738.759583/60000,5)</f>
        <v>2.8979999999999999E-2</v>
      </c>
      <c r="X111" s="37">
        <f>ROUND(372.8386383/60000,5)</f>
        <v>6.2100000000000002E-3</v>
      </c>
    </row>
    <row r="112" spans="1:24" x14ac:dyDescent="0.25">
      <c r="A112" s="20"/>
      <c r="B112" s="38" t="s">
        <v>486</v>
      </c>
      <c r="C112" s="39" t="s">
        <v>151</v>
      </c>
      <c r="D112" s="39" t="s">
        <v>152</v>
      </c>
      <c r="E112" s="40" t="s">
        <v>487</v>
      </c>
      <c r="F112" s="40" t="s">
        <v>118</v>
      </c>
      <c r="G112" s="40" t="s">
        <v>75</v>
      </c>
      <c r="H112" s="40" t="s">
        <v>160</v>
      </c>
      <c r="I112" s="41" t="s">
        <v>269</v>
      </c>
      <c r="J112" s="41" t="s">
        <v>159</v>
      </c>
      <c r="K112" s="41" t="s">
        <v>236</v>
      </c>
    </row>
  </sheetData>
  <mergeCells count="2">
    <mergeCell ref="A3:E3"/>
    <mergeCell ref="A59:E59"/>
  </mergeCells>
  <pageMargins left="0.7" right="0.7" top="0.75" bottom="0.75" header="0.3" footer="0.3"/>
  <drawing r:id="rId1"/>
  <legacyDrawing r:id="rId2"/>
  <oleObjects>
    <mc:AlternateContent xmlns:mc="http://schemas.openxmlformats.org/markup-compatibility/2006">
      <mc:Choice Requires="x14">
        <oleObject progId="AutoCAD.Drawing.18" shapeId="17409" r:id="rId3">
          <objectPr defaultSize="0" autoPict="0" r:id="rId4">
            <anchor moveWithCells="1">
              <from>
                <xdr:col>1</xdr:col>
                <xdr:colOff>0</xdr:colOff>
                <xdr:row>62</xdr:row>
                <xdr:rowOff>0</xdr:rowOff>
              </from>
              <to>
                <xdr:col>8</xdr:col>
                <xdr:colOff>400050</xdr:colOff>
                <xdr:row>77</xdr:row>
                <xdr:rowOff>47625</xdr:rowOff>
              </to>
            </anchor>
          </objectPr>
        </oleObject>
      </mc:Choice>
      <mc:Fallback>
        <oleObject progId="AutoCAD.Drawing.18" shapeId="17409" r:id="rId3"/>
      </mc:Fallback>
    </mc:AlternateContent>
    <mc:AlternateContent xmlns:mc="http://schemas.openxmlformats.org/markup-compatibility/2006">
      <mc:Choice Requires="x14">
        <oleObject progId="AutoCAD.Drawing.18" shapeId="17410" r:id="rId5">
          <objectPr defaultSize="0" autoPict="0" r:id="rId6">
            <anchor moveWithCells="1">
              <from>
                <xdr:col>1</xdr:col>
                <xdr:colOff>0</xdr:colOff>
                <xdr:row>6</xdr:row>
                <xdr:rowOff>0</xdr:rowOff>
              </from>
              <to>
                <xdr:col>8</xdr:col>
                <xdr:colOff>400050</xdr:colOff>
                <xdr:row>21</xdr:row>
                <xdr:rowOff>47625</xdr:rowOff>
              </to>
            </anchor>
          </objectPr>
        </oleObject>
      </mc:Choice>
      <mc:Fallback>
        <oleObject progId="AutoCAD.Drawing.18" shapeId="17410" r:id="rId5"/>
      </mc:Fallback>
    </mc:AlternateContent>
  </oleObjec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tCG">
    <pageSetUpPr fitToPage="1"/>
  </sheetPr>
  <dimension ref="A1:AA75"/>
  <sheetViews>
    <sheetView showGridLines="0" zoomScale="75" zoomScaleNormal="75" zoomScaleSheetLayoutView="86" workbookViewId="0">
      <selection activeCell="A68" sqref="A68:XFD75"/>
    </sheetView>
  </sheetViews>
  <sheetFormatPr defaultRowHeight="14.25" x14ac:dyDescent="0.2"/>
  <cols>
    <col min="1" max="2" width="3.7109375" style="197" customWidth="1"/>
    <col min="3" max="3" width="21.28515625" style="197" customWidth="1"/>
    <col min="4" max="4" width="13.28515625" style="197" customWidth="1"/>
    <col min="5" max="5" width="9.42578125" style="197" customWidth="1"/>
    <col min="6" max="6" width="9.7109375" style="197" customWidth="1"/>
    <col min="7" max="7" width="10.85546875" style="197" customWidth="1"/>
    <col min="8" max="8" width="10.140625" style="197" bestFit="1" customWidth="1"/>
    <col min="9" max="9" width="10.7109375" style="197" customWidth="1"/>
    <col min="10" max="10" width="10.42578125" style="197" bestFit="1" customWidth="1"/>
    <col min="11" max="11" width="8.140625" style="197" bestFit="1" customWidth="1"/>
    <col min="12" max="12" width="8.7109375" style="197" customWidth="1"/>
    <col min="13" max="13" width="11.7109375" style="197" customWidth="1"/>
    <col min="14" max="14" width="9.140625" style="197"/>
    <col min="15" max="16" width="9.140625" style="197" hidden="1" customWidth="1"/>
    <col min="17" max="18" width="9.140625" style="197"/>
    <col min="19" max="19" width="0" style="197" hidden="1" customWidth="1"/>
    <col min="20" max="20" width="9.140625" style="197" hidden="1" customWidth="1"/>
    <col min="21" max="21" width="0" style="197" hidden="1" customWidth="1"/>
    <col min="22" max="25" width="9.140625" style="197"/>
    <col min="26" max="26" width="9.140625" style="197" customWidth="1"/>
    <col min="27" max="27" width="9.140625" style="197" hidden="1" customWidth="1"/>
    <col min="28" max="16384" width="9.140625" style="197"/>
  </cols>
  <sheetData>
    <row r="1" spans="1:27" ht="15" x14ac:dyDescent="0.2">
      <c r="A1" s="1154" t="s">
        <v>598</v>
      </c>
      <c r="B1" s="1155"/>
      <c r="C1" s="1155"/>
      <c r="D1" s="1155"/>
      <c r="E1" s="1155"/>
      <c r="F1" s="1155"/>
      <c r="G1" s="1155"/>
      <c r="H1" s="1155"/>
      <c r="I1" s="1155"/>
      <c r="J1" s="1155"/>
      <c r="K1" s="1155"/>
      <c r="L1" s="1155"/>
      <c r="M1" s="1156"/>
    </row>
    <row r="2" spans="1:27" ht="15" x14ac:dyDescent="0.2">
      <c r="A2" s="1154" t="str">
        <f>GType</f>
        <v>Fixed Wheel (cantilevered)</v>
      </c>
      <c r="B2" s="1155"/>
      <c r="C2" s="1155"/>
      <c r="D2" s="1155"/>
      <c r="E2" s="1155"/>
      <c r="F2" s="1155"/>
      <c r="G2" s="1155"/>
      <c r="H2" s="1155"/>
      <c r="I2" s="1155"/>
      <c r="J2" s="1155"/>
      <c r="K2" s="1155"/>
      <c r="L2" s="1155"/>
      <c r="M2" s="1156"/>
    </row>
    <row r="3" spans="1:27" ht="48.75" hidden="1" customHeight="1" x14ac:dyDescent="0.2">
      <c r="A3" s="1147" t="s">
        <v>599</v>
      </c>
      <c r="B3" s="1147"/>
      <c r="C3" s="1147"/>
      <c r="D3" s="1147"/>
      <c r="E3" s="1147"/>
      <c r="F3" s="1147"/>
      <c r="G3" s="1147"/>
      <c r="H3" s="1147"/>
      <c r="I3" s="1147"/>
      <c r="J3" s="1147"/>
      <c r="K3" s="1147"/>
      <c r="L3" s="1147"/>
      <c r="M3" s="1147"/>
    </row>
    <row r="4" spans="1:27" x14ac:dyDescent="0.2">
      <c r="B4" s="524"/>
      <c r="C4" s="524"/>
      <c r="E4" s="524"/>
      <c r="F4" s="524"/>
      <c r="G4" s="524"/>
      <c r="H4" s="524"/>
      <c r="I4" s="524"/>
      <c r="J4" s="524"/>
      <c r="K4" s="524"/>
      <c r="L4" s="524"/>
      <c r="M4" s="524"/>
      <c r="AA4" s="197">
        <f>Summary!D5^2*Summary!D6*Summary!D13</f>
        <v>258.27899999999903</v>
      </c>
    </row>
    <row r="5" spans="1:27" ht="15" x14ac:dyDescent="0.25">
      <c r="B5" s="524"/>
      <c r="C5" s="525" t="s">
        <v>600</v>
      </c>
      <c r="D5" s="745">
        <f ca="1">SUM(I:I)</f>
        <v>0.50878308343927492</v>
      </c>
      <c r="E5" s="746" t="s">
        <v>913</v>
      </c>
      <c r="F5" s="746"/>
      <c r="G5" s="747"/>
      <c r="H5" s="524"/>
      <c r="I5" s="524"/>
      <c r="J5" s="524"/>
      <c r="K5" s="524"/>
      <c r="L5" s="524"/>
      <c r="M5" s="524"/>
      <c r="O5" s="225">
        <v>44</v>
      </c>
      <c r="P5" s="226" t="s">
        <v>601</v>
      </c>
      <c r="AA5" s="197">
        <f>Lsup^2*D*HB</f>
        <v>332.14076999999878</v>
      </c>
    </row>
    <row r="6" spans="1:27" ht="15" x14ac:dyDescent="0.25">
      <c r="B6" s="524"/>
      <c r="C6" s="525" t="s">
        <v>602</v>
      </c>
      <c r="D6" s="748">
        <f ca="1">SUM(K:K)</f>
        <v>3784.2801843348639</v>
      </c>
      <c r="E6" s="746" t="s">
        <v>656</v>
      </c>
      <c r="F6" s="746"/>
      <c r="G6" s="747"/>
      <c r="H6" s="524"/>
      <c r="I6" s="524"/>
      <c r="J6" s="524"/>
      <c r="K6" s="524"/>
      <c r="L6" s="524"/>
      <c r="M6" s="524"/>
      <c r="O6" s="225">
        <v>8</v>
      </c>
      <c r="P6" s="226" t="s">
        <v>17</v>
      </c>
    </row>
    <row r="7" spans="1:27" ht="15" x14ac:dyDescent="0.25">
      <c r="B7" s="524"/>
      <c r="C7" s="525" t="s">
        <v>603</v>
      </c>
      <c r="D7" s="749">
        <f ca="1">SUM(M:M)/D6</f>
        <v>0.10484066872610068</v>
      </c>
      <c r="E7" s="750" t="s">
        <v>914</v>
      </c>
      <c r="F7" s="750"/>
      <c r="G7" s="751"/>
      <c r="H7" s="526"/>
      <c r="I7" s="524"/>
      <c r="J7" s="524"/>
      <c r="K7" s="524"/>
      <c r="L7" s="524"/>
      <c r="M7" s="524"/>
      <c r="AA7" s="197">
        <f>(IF(AA5&gt;2000,0.735*AA5^0.697,0.886*AA5^0.654))*1000/9.81</f>
        <v>4024.4767760190812</v>
      </c>
    </row>
    <row r="8" spans="1:27" ht="15" x14ac:dyDescent="0.25">
      <c r="B8" s="524"/>
      <c r="C8" s="744" t="s">
        <v>988</v>
      </c>
      <c r="D8" s="754">
        <f>(IF(AA4&gt;2000,0.735*AA4^0.697,0.886*AA4^0.654))*1000/9.81</f>
        <v>3414.0586962006037</v>
      </c>
      <c r="E8" s="755" t="s">
        <v>656</v>
      </c>
      <c r="F8" s="752"/>
      <c r="G8" s="753"/>
      <c r="H8" s="524"/>
      <c r="I8" s="524"/>
      <c r="J8" s="524"/>
      <c r="K8" s="524"/>
      <c r="L8" s="524"/>
      <c r="M8" s="524"/>
    </row>
    <row r="9" spans="1:27" ht="15" x14ac:dyDescent="0.25">
      <c r="B9" s="524"/>
      <c r="C9" s="744" t="s">
        <v>990</v>
      </c>
      <c r="D9" s="754">
        <f ca="1">(D6-D8)/D8*100</f>
        <v>10.844028210360525</v>
      </c>
      <c r="E9" s="755" t="s">
        <v>991</v>
      </c>
      <c r="F9" s="755"/>
      <c r="G9" s="766"/>
      <c r="H9" s="524"/>
      <c r="I9" s="524"/>
      <c r="J9" s="524"/>
      <c r="K9" s="524"/>
      <c r="L9" s="524"/>
      <c r="M9" s="524"/>
    </row>
    <row r="10" spans="1:27" ht="15" x14ac:dyDescent="0.25">
      <c r="A10" s="609"/>
      <c r="B10" s="924" t="s">
        <v>604</v>
      </c>
      <c r="C10" s="925"/>
      <c r="D10" s="926" t="s">
        <v>605</v>
      </c>
      <c r="E10" s="927" t="s">
        <v>606</v>
      </c>
      <c r="F10" s="927"/>
      <c r="G10" s="927"/>
      <c r="H10" s="928"/>
      <c r="I10" s="929" t="s">
        <v>607</v>
      </c>
      <c r="J10" s="929" t="s">
        <v>608</v>
      </c>
      <c r="K10" s="929" t="s">
        <v>609</v>
      </c>
      <c r="L10" s="929" t="s">
        <v>610</v>
      </c>
      <c r="M10" s="929"/>
    </row>
    <row r="11" spans="1:27" ht="15" x14ac:dyDescent="0.25">
      <c r="A11" s="609"/>
      <c r="B11" s="930"/>
      <c r="C11" s="931"/>
      <c r="D11" s="926"/>
      <c r="E11" s="929" t="s">
        <v>31</v>
      </c>
      <c r="F11" s="929" t="s">
        <v>611</v>
      </c>
      <c r="G11" s="929" t="s">
        <v>33</v>
      </c>
      <c r="H11" s="929" t="s">
        <v>612</v>
      </c>
      <c r="I11" s="932"/>
      <c r="J11" s="932" t="s">
        <v>613</v>
      </c>
      <c r="K11" s="932" t="s">
        <v>613</v>
      </c>
      <c r="L11" s="932" t="s">
        <v>614</v>
      </c>
      <c r="M11" s="932" t="s">
        <v>615</v>
      </c>
    </row>
    <row r="12" spans="1:27" ht="15.75" thickBot="1" x14ac:dyDescent="0.3">
      <c r="A12" s="609"/>
      <c r="B12" s="930"/>
      <c r="C12" s="931"/>
      <c r="D12" s="926"/>
      <c r="E12" s="932" t="s">
        <v>653</v>
      </c>
      <c r="F12" s="932" t="s">
        <v>653</v>
      </c>
      <c r="G12" s="932" t="s">
        <v>653</v>
      </c>
      <c r="H12" s="932" t="s">
        <v>653</v>
      </c>
      <c r="I12" s="932" t="s">
        <v>915</v>
      </c>
      <c r="J12" s="932" t="s">
        <v>656</v>
      </c>
      <c r="K12" s="932" t="s">
        <v>656</v>
      </c>
      <c r="L12" s="932" t="s">
        <v>653</v>
      </c>
      <c r="M12" s="932" t="s">
        <v>916</v>
      </c>
    </row>
    <row r="13" spans="1:27" x14ac:dyDescent="0.2">
      <c r="B13" s="527"/>
      <c r="C13" s="527"/>
      <c r="D13" s="528"/>
      <c r="E13" s="529"/>
      <c r="F13" s="529"/>
      <c r="G13" s="529"/>
      <c r="H13" s="529"/>
      <c r="I13" s="530"/>
      <c r="J13" s="529"/>
      <c r="K13" s="531"/>
      <c r="L13" s="529"/>
      <c r="M13" s="530"/>
    </row>
    <row r="14" spans="1:27" ht="15" x14ac:dyDescent="0.25">
      <c r="B14" s="1157" t="str">
        <f>"Side - "&amp;Seals!C28</f>
        <v>Side - J Seal</v>
      </c>
      <c r="C14" s="1158"/>
      <c r="D14" s="532"/>
      <c r="E14" s="533"/>
      <c r="F14" s="533"/>
      <c r="G14" s="533"/>
      <c r="H14" s="533"/>
      <c r="I14" s="534"/>
      <c r="J14" s="533"/>
      <c r="K14" s="535"/>
      <c r="L14" s="536"/>
      <c r="M14" s="534"/>
    </row>
    <row r="15" spans="1:27" x14ac:dyDescent="0.2">
      <c r="B15" s="537"/>
      <c r="C15" s="538" t="s">
        <v>616</v>
      </c>
      <c r="D15" s="539">
        <f>IF(Seals!C28="J Seal",2,4)</f>
        <v>2</v>
      </c>
      <c r="E15" s="540">
        <f>Seals!C35/1000</f>
        <v>0.08</v>
      </c>
      <c r="F15" s="540">
        <f>D</f>
        <v>2.9</v>
      </c>
      <c r="G15" s="540">
        <f>Seals!C37/1000</f>
        <v>1.2E-2</v>
      </c>
      <c r="H15" s="540"/>
      <c r="I15" s="756">
        <f>D15*E15*F15*G15</f>
        <v>5.568E-3</v>
      </c>
      <c r="J15" s="540">
        <v>7850</v>
      </c>
      <c r="K15" s="542">
        <f>I15*J15</f>
        <v>43.708800000000004</v>
      </c>
      <c r="L15" s="543">
        <f>-G15/2</f>
        <v>-6.0000000000000001E-3</v>
      </c>
      <c r="M15" s="541">
        <f>K15*L15</f>
        <v>-0.26225280000000001</v>
      </c>
      <c r="T15" s="540">
        <v>0.28360000000000002</v>
      </c>
    </row>
    <row r="16" spans="1:27" x14ac:dyDescent="0.2">
      <c r="B16" s="537"/>
      <c r="C16" s="538" t="s">
        <v>617</v>
      </c>
      <c r="D16" s="539">
        <v>2</v>
      </c>
      <c r="E16" s="540"/>
      <c r="F16" s="540">
        <f>+F15</f>
        <v>2.9</v>
      </c>
      <c r="G16" s="540"/>
      <c r="H16" s="540">
        <f>Seals!C29/1000</f>
        <v>4.3999999999999997E-2</v>
      </c>
      <c r="I16" s="756">
        <f>PI()*H16^2/4*F16*D16</f>
        <v>8.8190788971572662E-3</v>
      </c>
      <c r="J16" s="540">
        <f>0.054*27679.905</f>
        <v>1494.71487</v>
      </c>
      <c r="K16" s="542">
        <f>I16*J16</f>
        <v>13.182008367284167</v>
      </c>
      <c r="L16" s="543">
        <f>-G15-H16/2</f>
        <v>-3.4000000000000002E-2</v>
      </c>
      <c r="M16" s="541">
        <f>K16*L16</f>
        <v>-0.44818828448766174</v>
      </c>
      <c r="T16" s="540">
        <v>5.4440000000000002E-2</v>
      </c>
    </row>
    <row r="17" spans="2:20" x14ac:dyDescent="0.2">
      <c r="B17" s="537"/>
      <c r="C17" s="538" t="s">
        <v>618</v>
      </c>
      <c r="D17" s="539">
        <f>D15</f>
        <v>2</v>
      </c>
      <c r="E17" s="540">
        <f>(Seals!C32+Seals!C35-CONVERT(0.125,"in","mm"))/1000</f>
        <v>0.12682499999999999</v>
      </c>
      <c r="F17" s="540">
        <f>+F15</f>
        <v>2.9</v>
      </c>
      <c r="G17" s="540">
        <f>Seals!C30/1000</f>
        <v>1.4E-2</v>
      </c>
      <c r="H17" s="540"/>
      <c r="I17" s="756">
        <f>D17*E17*F17*G17</f>
        <v>1.0298189999999999E-2</v>
      </c>
      <c r="J17" s="540">
        <f>0.054*27679.905</f>
        <v>1494.71487</v>
      </c>
      <c r="K17" s="542">
        <f>I17*J17</f>
        <v>15.392857727085298</v>
      </c>
      <c r="L17" s="543">
        <f>-G15-G17/2</f>
        <v>-1.9E-2</v>
      </c>
      <c r="M17" s="541">
        <f>K17*L17</f>
        <v>-0.29246429681462066</v>
      </c>
      <c r="T17" s="540">
        <v>5.4400000000000004E-2</v>
      </c>
    </row>
    <row r="18" spans="2:20" x14ac:dyDescent="0.2">
      <c r="B18" s="544"/>
      <c r="C18" s="545" t="s">
        <v>619</v>
      </c>
      <c r="D18" s="546">
        <f>D15</f>
        <v>2</v>
      </c>
      <c r="E18" s="547">
        <f>+E15</f>
        <v>0.08</v>
      </c>
      <c r="F18" s="547">
        <f>+F15</f>
        <v>2.9</v>
      </c>
      <c r="G18" s="547">
        <f>Seals!C36/1000</f>
        <v>1.2E-2</v>
      </c>
      <c r="H18" s="547"/>
      <c r="I18" s="757">
        <f>D18*E18*F18*G18</f>
        <v>5.568E-3</v>
      </c>
      <c r="J18" s="540">
        <v>7850</v>
      </c>
      <c r="K18" s="549">
        <f>I18*J18</f>
        <v>43.708800000000004</v>
      </c>
      <c r="L18" s="550">
        <f>-G15-G17-G18/2</f>
        <v>-3.2000000000000001E-2</v>
      </c>
      <c r="M18" s="548">
        <f>K18*L18</f>
        <v>-1.3986816000000002</v>
      </c>
      <c r="T18" s="547">
        <v>0.28360000000000002</v>
      </c>
    </row>
    <row r="19" spans="2:20" ht="15" x14ac:dyDescent="0.25">
      <c r="B19" s="1159" t="str">
        <f>"Lintel - "&amp;Seals!C6</f>
        <v>Lintel - J Seal</v>
      </c>
      <c r="C19" s="1160"/>
      <c r="D19" s="532"/>
      <c r="E19" s="533"/>
      <c r="F19" s="533"/>
      <c r="G19" s="533"/>
      <c r="H19" s="533"/>
      <c r="I19" s="758"/>
      <c r="J19" s="533"/>
      <c r="K19" s="535"/>
      <c r="L19" s="536"/>
      <c r="M19" s="534"/>
      <c r="T19" s="533"/>
    </row>
    <row r="20" spans="2:20" x14ac:dyDescent="0.2">
      <c r="B20" s="537"/>
      <c r="C20" s="538" t="s">
        <v>616</v>
      </c>
      <c r="D20" s="539">
        <f>IF(Seals!C6="No Lintel Seal",0,IF(Seals!C6="J Seal",1,2))</f>
        <v>1</v>
      </c>
      <c r="E20" s="540">
        <f>Seals!C19</f>
        <v>3.6</v>
      </c>
      <c r="F20" s="540">
        <f>Seals!C13/1000</f>
        <v>0.08</v>
      </c>
      <c r="G20" s="540">
        <f>Seals!C15/1000</f>
        <v>1.2E-2</v>
      </c>
      <c r="H20" s="540"/>
      <c r="I20" s="756">
        <f>D20*E20*F20*G20</f>
        <v>3.4560000000000003E-3</v>
      </c>
      <c r="J20" s="540">
        <v>7850</v>
      </c>
      <c r="K20" s="542">
        <f>I20*J20</f>
        <v>27.129600000000003</v>
      </c>
      <c r="L20" s="543">
        <f>-G20/2</f>
        <v>-6.0000000000000001E-3</v>
      </c>
      <c r="M20" s="541">
        <f>K20*L20</f>
        <v>-0.16277760000000002</v>
      </c>
      <c r="T20" s="540">
        <v>0.28360000000000002</v>
      </c>
    </row>
    <row r="21" spans="2:20" x14ac:dyDescent="0.2">
      <c r="B21" s="537"/>
      <c r="C21" s="538" t="s">
        <v>617</v>
      </c>
      <c r="D21" s="539">
        <f>IF(Seals!C6="No Lintel Seal",0,1)</f>
        <v>1</v>
      </c>
      <c r="E21" s="540">
        <f>+E20</f>
        <v>3.6</v>
      </c>
      <c r="F21" s="540"/>
      <c r="G21" s="540"/>
      <c r="H21" s="540">
        <f>Seals!C7/1000</f>
        <v>4.3999999999999997E-2</v>
      </c>
      <c r="I21" s="756">
        <f>PI()*H21^2/4*E21*D21</f>
        <v>5.4739110396148554E-3</v>
      </c>
      <c r="J21" s="540">
        <f>0.054*27679.905</f>
        <v>1494.71487</v>
      </c>
      <c r="K21" s="542">
        <f>I21*J21</f>
        <v>8.1819362279694836</v>
      </c>
      <c r="L21" s="543">
        <f>-G20-H21/2</f>
        <v>-3.4000000000000002E-2</v>
      </c>
      <c r="M21" s="541">
        <f>K21*L21</f>
        <v>-0.27818583175096245</v>
      </c>
      <c r="T21" s="540">
        <v>5.4440000000000002E-2</v>
      </c>
    </row>
    <row r="22" spans="2:20" x14ac:dyDescent="0.2">
      <c r="B22" s="537"/>
      <c r="C22" s="538" t="s">
        <v>618</v>
      </c>
      <c r="D22" s="539">
        <f>D20</f>
        <v>1</v>
      </c>
      <c r="E22" s="540">
        <f>+E20</f>
        <v>3.6</v>
      </c>
      <c r="F22" s="540">
        <f>(Seals!C10+Seals!C13-CONVERT(0.125,"in","mm"))/1000</f>
        <v>0.12682499999999999</v>
      </c>
      <c r="G22" s="540">
        <f>Seals!C8/1000</f>
        <v>1.4E-2</v>
      </c>
      <c r="H22" s="540"/>
      <c r="I22" s="756">
        <f>D22*E22*F22*G22</f>
        <v>6.3919799999999994E-3</v>
      </c>
      <c r="J22" s="540">
        <f>0.054*27679.905</f>
        <v>1494.71487</v>
      </c>
      <c r="K22" s="542">
        <f>I22*J22</f>
        <v>9.5541875547425992</v>
      </c>
      <c r="L22" s="543">
        <f>-G20-G22/2</f>
        <v>-1.9E-2</v>
      </c>
      <c r="M22" s="541">
        <f>K22*L22</f>
        <v>-0.18152956354010938</v>
      </c>
      <c r="T22" s="540">
        <v>5.4400000000000004E-2</v>
      </c>
    </row>
    <row r="23" spans="2:20" x14ac:dyDescent="0.2">
      <c r="B23" s="544"/>
      <c r="C23" s="545" t="s">
        <v>619</v>
      </c>
      <c r="D23" s="546">
        <f>D20</f>
        <v>1</v>
      </c>
      <c r="E23" s="547">
        <f>+E20</f>
        <v>3.6</v>
      </c>
      <c r="F23" s="547">
        <f>+F20</f>
        <v>0.08</v>
      </c>
      <c r="G23" s="547">
        <f>Seals!C14/1000</f>
        <v>1.2E-2</v>
      </c>
      <c r="H23" s="547"/>
      <c r="I23" s="757">
        <f>D23*E23*F23*G23</f>
        <v>3.4560000000000003E-3</v>
      </c>
      <c r="J23" s="540">
        <v>7850</v>
      </c>
      <c r="K23" s="549">
        <f>I23*J23</f>
        <v>27.129600000000003</v>
      </c>
      <c r="L23" s="550">
        <f>-G20-G22-G23/2</f>
        <v>-3.2000000000000001E-2</v>
      </c>
      <c r="M23" s="548">
        <f>K23*L23</f>
        <v>-0.86814720000000012</v>
      </c>
      <c r="T23" s="547">
        <v>0.28360000000000002</v>
      </c>
    </row>
    <row r="24" spans="2:20" ht="15" x14ac:dyDescent="0.25">
      <c r="B24" s="1163" t="str">
        <f>"Sill - "&amp;Seals!C50</f>
        <v>Sill - Wedge Seal</v>
      </c>
      <c r="C24" s="1164"/>
      <c r="D24" s="532"/>
      <c r="E24" s="533"/>
      <c r="F24" s="533"/>
      <c r="G24" s="533"/>
      <c r="H24" s="533"/>
      <c r="I24" s="758"/>
      <c r="J24" s="533"/>
      <c r="K24" s="535"/>
      <c r="L24" s="536"/>
      <c r="M24" s="534"/>
      <c r="T24" s="533"/>
    </row>
    <row r="25" spans="2:20" x14ac:dyDescent="0.2">
      <c r="B25" s="537"/>
      <c r="C25" s="538" t="str">
        <f>IF(Seals!C50="Wedge Seal","Top bar","Mount bar")</f>
        <v>Top bar</v>
      </c>
      <c r="D25" s="539">
        <f>IF(Seals!C50="Center Bulb Seal",2,1)</f>
        <v>1</v>
      </c>
      <c r="E25" s="540">
        <f>Seals!C65-2*E17</f>
        <v>3.3463500000000002</v>
      </c>
      <c r="F25" s="540">
        <f>IF(Seals!C50="Wedge Seal",Seals!C60,Seals!C57)/1000</f>
        <v>1.2E-2</v>
      </c>
      <c r="G25" s="540">
        <f>IF(Seals!C50="Wedge Seal",Seals!C52+Seals!C58,Seals!C59)/1000</f>
        <v>2.4E-2</v>
      </c>
      <c r="H25" s="540"/>
      <c r="I25" s="756">
        <f>D25*E25*F25*G25</f>
        <v>9.6374880000000011E-4</v>
      </c>
      <c r="J25" s="540">
        <v>7850</v>
      </c>
      <c r="K25" s="542">
        <f t="shared" ref="K25:K35" si="0">I25*J25</f>
        <v>7.5654280800000011</v>
      </c>
      <c r="L25" s="543">
        <f>-G25/2</f>
        <v>-1.2E-2</v>
      </c>
      <c r="M25" s="541">
        <f t="shared" ref="M25:M35" si="1">K25*L25</f>
        <v>-9.0785136960000012E-2</v>
      </c>
      <c r="T25" s="540">
        <v>0.28360000000000002</v>
      </c>
    </row>
    <row r="26" spans="2:20" hidden="1" x14ac:dyDescent="0.2">
      <c r="B26" s="537"/>
      <c r="C26" s="538" t="s">
        <v>617</v>
      </c>
      <c r="D26" s="539">
        <f>IF(Seals!C50="Wedge Seal",0,1)</f>
        <v>0</v>
      </c>
      <c r="E26" s="540">
        <f>+E25</f>
        <v>3.3463500000000002</v>
      </c>
      <c r="F26" s="540"/>
      <c r="G26" s="540"/>
      <c r="H26" s="540">
        <f>Seals!C51</f>
        <v>1.75</v>
      </c>
      <c r="I26" s="756">
        <f>PI()*H26^2/4*E26*D26</f>
        <v>0</v>
      </c>
      <c r="J26" s="540">
        <f t="shared" ref="J26" si="2">CONVERT(T26,"lbm","kg")*1000*9.81</f>
        <v>242.24390818966802</v>
      </c>
      <c r="K26" s="542">
        <f t="shared" si="0"/>
        <v>0</v>
      </c>
      <c r="L26" s="543">
        <f>-G25-H26/2</f>
        <v>-0.89900000000000002</v>
      </c>
      <c r="M26" s="541">
        <f t="shared" si="1"/>
        <v>0</v>
      </c>
      <c r="T26" s="540">
        <v>5.4440000000000002E-2</v>
      </c>
    </row>
    <row r="27" spans="2:20" x14ac:dyDescent="0.2">
      <c r="B27" s="537"/>
      <c r="C27" s="538" t="str">
        <f>IF(Seals!C50="Wedge Seal","Seal","Stem")</f>
        <v>Seal</v>
      </c>
      <c r="D27" s="539">
        <f>D25</f>
        <v>1</v>
      </c>
      <c r="E27" s="540">
        <f>+E25</f>
        <v>3.3463500000000002</v>
      </c>
      <c r="F27" s="540">
        <f>IF(Seals!C50="Wedge Seal",Seals!C61,(Seals!C54+Seals!C57-CONVERT(0.125,"in","mm")))/1000</f>
        <v>0.05</v>
      </c>
      <c r="G27" s="540">
        <f>Seals!C52/1000</f>
        <v>1.2E-2</v>
      </c>
      <c r="H27" s="540"/>
      <c r="I27" s="756">
        <f>D27*E27*F27*G27</f>
        <v>2.0078100000000001E-3</v>
      </c>
      <c r="J27" s="540">
        <f>0.054*27679.905</f>
        <v>1494.71487</v>
      </c>
      <c r="K27" s="542">
        <f t="shared" si="0"/>
        <v>3.0011034631347</v>
      </c>
      <c r="L27" s="543">
        <f>IF(Seals!C50="Wedge Seal",0,-G25)-G27/2</f>
        <v>-6.0000000000000001E-3</v>
      </c>
      <c r="M27" s="541">
        <f t="shared" si="1"/>
        <v>-1.8006620778808199E-2</v>
      </c>
      <c r="T27" s="540">
        <v>5.4400000000000004E-2</v>
      </c>
    </row>
    <row r="28" spans="2:20" x14ac:dyDescent="0.2">
      <c r="B28" s="551"/>
      <c r="C28" s="552" t="s">
        <v>619</v>
      </c>
      <c r="D28" s="553">
        <f>D25</f>
        <v>1</v>
      </c>
      <c r="E28" s="554">
        <f>+E25</f>
        <v>3.3463500000000002</v>
      </c>
      <c r="F28" s="554">
        <f>Seals!C57/1000</f>
        <v>0.06</v>
      </c>
      <c r="G28" s="554">
        <f>Seals!C58/1000</f>
        <v>1.2E-2</v>
      </c>
      <c r="H28" s="554"/>
      <c r="I28" s="759">
        <f>D28*E28*F28*G28</f>
        <v>2.4093720000000003E-3</v>
      </c>
      <c r="J28" s="540">
        <v>7850</v>
      </c>
      <c r="K28" s="556">
        <f t="shared" si="0"/>
        <v>18.913570200000002</v>
      </c>
      <c r="L28" s="557">
        <f>IF(Seals!C50="Wedge Seal",0,-G25)-G27-G28/2</f>
        <v>-1.8000000000000002E-2</v>
      </c>
      <c r="M28" s="555">
        <f t="shared" si="1"/>
        <v>-0.34044426360000007</v>
      </c>
      <c r="T28" s="554">
        <v>0.28360000000000002</v>
      </c>
    </row>
    <row r="29" spans="2:20" x14ac:dyDescent="0.2">
      <c r="B29" s="538"/>
      <c r="C29" s="538"/>
      <c r="D29" s="558"/>
      <c r="E29" s="559"/>
      <c r="F29" s="559"/>
      <c r="G29" s="559"/>
      <c r="H29" s="559"/>
      <c r="I29" s="760"/>
      <c r="J29" s="559"/>
      <c r="K29" s="561"/>
      <c r="L29" s="562"/>
      <c r="M29" s="560"/>
    </row>
    <row r="30" spans="2:20" ht="15" x14ac:dyDescent="0.25">
      <c r="B30" s="563" t="s">
        <v>620</v>
      </c>
      <c r="C30" s="564"/>
      <c r="D30" s="565">
        <f>IF(GType="Bulkhead (no wheels)",0,2*'Wheel Spacing'!E4)</f>
        <v>4</v>
      </c>
      <c r="E30" s="566"/>
      <c r="F30" s="566"/>
      <c r="G30" s="566"/>
      <c r="H30" s="566"/>
      <c r="I30" s="761">
        <f>K30/7850</f>
        <v>1.2088848531013526E-2</v>
      </c>
      <c r="J30" s="567">
        <f>'Wheel Design'!C67*1000/9.81</f>
        <v>23.724365242114043</v>
      </c>
      <c r="K30" s="568">
        <f>D30*J30</f>
        <v>94.897460968456173</v>
      </c>
      <c r="L30" s="569">
        <f>IF(GType="Fixed Wheel (cantilevered)",'Wheel Design'!C159,'Wheel Design'!C105)</f>
        <v>0.14399999999999999</v>
      </c>
      <c r="M30" s="567">
        <f t="shared" ref="M30:M31" si="3">K30*L30</f>
        <v>13.665234379457688</v>
      </c>
    </row>
    <row r="31" spans="2:20" ht="15" x14ac:dyDescent="0.25">
      <c r="B31" s="563" t="s">
        <v>621</v>
      </c>
      <c r="C31" s="564"/>
      <c r="D31" s="565">
        <f>D30</f>
        <v>4</v>
      </c>
      <c r="E31" s="566"/>
      <c r="F31" s="566"/>
      <c r="G31" s="566"/>
      <c r="H31" s="566"/>
      <c r="I31" s="761">
        <f>K31/7850</f>
        <v>1.0549153971489166E-2</v>
      </c>
      <c r="J31" s="567">
        <f>(IF(GType="Fixed Wheel (cantilevered)",'Wheel Design'!C141,'Wheel Design'!C89))*1000/9.81</f>
        <v>20.702714669047488</v>
      </c>
      <c r="K31" s="568">
        <f>D31*J31</f>
        <v>82.810858676189952</v>
      </c>
      <c r="L31" s="569">
        <f>L30</f>
        <v>0.14399999999999999</v>
      </c>
      <c r="M31" s="567">
        <f t="shared" si="3"/>
        <v>11.924763649371352</v>
      </c>
    </row>
    <row r="32" spans="2:20" x14ac:dyDescent="0.2">
      <c r="B32" s="538"/>
      <c r="C32" s="538"/>
      <c r="D32" s="558"/>
      <c r="E32" s="559"/>
      <c r="F32" s="559"/>
      <c r="G32" s="559"/>
      <c r="H32" s="559"/>
      <c r="I32" s="760"/>
      <c r="J32" s="559"/>
      <c r="K32" s="561"/>
      <c r="L32" s="562"/>
      <c r="M32" s="560"/>
    </row>
    <row r="33" spans="2:20" ht="15" x14ac:dyDescent="0.25">
      <c r="B33" s="570" t="s">
        <v>622</v>
      </c>
      <c r="C33" s="571"/>
      <c r="D33" s="572"/>
      <c r="E33" s="573">
        <f>IF(GType="Bulkhead (no wheels)",Lsup,IF(GType="Fixed Wheel (cantilevered)",Lsup+2*(-'Wheel Design'!$C$126/2-'Wheel Design'!$C$132+'Wheel Design'!$C$157),Lsup+2*('Wheel Design'!$C$83/2+2/3*'Wheel Design'!$C$78+'Wheel Design'!$C$103)))</f>
        <v>3.84</v>
      </c>
      <c r="F33" s="573">
        <f>'Beam Spacing'!$C$20</f>
        <v>0.27235597878985818</v>
      </c>
      <c r="G33" s="573">
        <f>SecProp!$I$13</f>
        <v>1.2E-2</v>
      </c>
      <c r="H33" s="573"/>
      <c r="I33" s="762">
        <f>E33*F33*G33</f>
        <v>1.2550163502636666E-2</v>
      </c>
      <c r="J33" s="566">
        <v>7850</v>
      </c>
      <c r="K33" s="575">
        <f t="shared" ref="K33" si="4">I33*J33</f>
        <v>98.518783495697832</v>
      </c>
      <c r="L33" s="576">
        <f>G33/2</f>
        <v>6.0000000000000001E-3</v>
      </c>
      <c r="M33" s="574">
        <f t="shared" ref="M33" si="5">K33*L33</f>
        <v>0.591112700974187</v>
      </c>
      <c r="T33" s="573">
        <v>0.28360000000000002</v>
      </c>
    </row>
    <row r="34" spans="2:20" ht="15" x14ac:dyDescent="0.25">
      <c r="B34" s="570" t="s">
        <v>623</v>
      </c>
      <c r="C34" s="571"/>
      <c r="D34" s="572"/>
      <c r="E34" s="573">
        <f>IF(GType="Bulkhead (no wheels)",2*Stiffeners!D16,IF(GType="Fixed Wheel (cantilevered)",2*('Wheel Design'!$C$133+'Wheel Design'!$C$131),4*'Wheel Design'!$C$78))</f>
        <v>0.08</v>
      </c>
      <c r="F34" s="573">
        <f>'Beam Spacing'!C20-'Define Beam'!H11/2</f>
        <v>0.26830597878985818</v>
      </c>
      <c r="G34" s="573">
        <f>dweb</f>
        <v>0.25</v>
      </c>
      <c r="H34" s="573"/>
      <c r="I34" s="762">
        <f>E34*F34*G34</f>
        <v>5.3661195757971633E-3</v>
      </c>
      <c r="J34" s="566">
        <v>7850</v>
      </c>
      <c r="K34" s="575">
        <f t="shared" si="0"/>
        <v>42.124038670007735</v>
      </c>
      <c r="L34" s="576">
        <f ca="1">MAX(G33,G41)+G34/2</f>
        <v>0.13700000000000001</v>
      </c>
      <c r="M34" s="574">
        <f t="shared" ca="1" si="1"/>
        <v>5.7709932977910601</v>
      </c>
      <c r="T34" s="573">
        <v>0.28360000000000002</v>
      </c>
    </row>
    <row r="35" spans="2:20" ht="15" x14ac:dyDescent="0.25">
      <c r="B35" s="570" t="s">
        <v>624</v>
      </c>
      <c r="C35" s="571"/>
      <c r="D35" s="572">
        <f>Stiffeners!D17</f>
        <v>12</v>
      </c>
      <c r="E35" s="573">
        <f>Stiffeners!D16</f>
        <v>0.01</v>
      </c>
      <c r="F35" s="573">
        <f>F34</f>
        <v>0.26830597878985818</v>
      </c>
      <c r="G35" s="573">
        <f ca="1">Stiffeners!D15</f>
        <v>0.33579999999999999</v>
      </c>
      <c r="H35" s="573"/>
      <c r="I35" s="762">
        <f ca="1">D35*E35*F35*G35</f>
        <v>1.0811657721316125E-2</v>
      </c>
      <c r="J35" s="566">
        <v>7850</v>
      </c>
      <c r="K35" s="575">
        <f t="shared" ca="1" si="0"/>
        <v>84.871513112331584</v>
      </c>
      <c r="L35" s="576">
        <f ca="1">L34</f>
        <v>0.13700000000000001</v>
      </c>
      <c r="M35" s="574">
        <f t="shared" ca="1" si="1"/>
        <v>11.627397296389429</v>
      </c>
      <c r="T35" s="573">
        <v>0.28360000000000002</v>
      </c>
    </row>
    <row r="36" spans="2:20" ht="15" x14ac:dyDescent="0.25">
      <c r="B36" s="1161">
        <f>(ROW()-WTref+16)/WTrow</f>
        <v>1</v>
      </c>
      <c r="C36" s="1162"/>
      <c r="D36" s="577"/>
      <c r="E36" s="578"/>
      <c r="F36" s="578"/>
      <c r="G36" s="578"/>
      <c r="H36" s="578"/>
      <c r="I36" s="763"/>
      <c r="J36" s="578"/>
      <c r="K36" s="579"/>
      <c r="L36" s="580"/>
      <c r="M36" s="581"/>
      <c r="Q36" s="523"/>
      <c r="T36" s="578"/>
    </row>
    <row r="37" spans="2:20" ht="15" x14ac:dyDescent="0.25">
      <c r="B37" s="582"/>
      <c r="C37" s="583" t="s">
        <v>39</v>
      </c>
      <c r="D37" s="584">
        <v>1</v>
      </c>
      <c r="E37" s="585">
        <f>$E$33</f>
        <v>3.84</v>
      </c>
      <c r="F37" s="585">
        <f ca="1">OFFSET(SecProp!$N$19,SProw*(B36-1),0)</f>
        <v>0.14000000000000001</v>
      </c>
      <c r="G37" s="585">
        <f ca="1">OFFSET(SecProp!$I$16,SProw*(B36-1),0)</f>
        <v>1.4199999999999999E-2</v>
      </c>
      <c r="H37" s="585"/>
      <c r="I37" s="764">
        <f ca="1">D37*E37*F37*G37</f>
        <v>7.6339200000000006E-3</v>
      </c>
      <c r="J37" s="585">
        <v>7850</v>
      </c>
      <c r="K37" s="586">
        <f t="shared" ref="K37:K43" ca="1" si="6">I37*J37</f>
        <v>59.926272000000004</v>
      </c>
      <c r="L37" s="587">
        <f ca="1">MAX(G33,G41)+G37/2</f>
        <v>1.9099999999999999E-2</v>
      </c>
      <c r="M37" s="588">
        <f t="shared" ref="M37:M43" ca="1" si="7">K37*L37</f>
        <v>1.1445917952</v>
      </c>
      <c r="T37" s="585">
        <v>0.28360000000000002</v>
      </c>
    </row>
    <row r="38" spans="2:20" x14ac:dyDescent="0.2">
      <c r="B38" s="589"/>
      <c r="C38" s="583" t="s">
        <v>38</v>
      </c>
      <c r="D38" s="584">
        <v>1</v>
      </c>
      <c r="E38" s="585">
        <f>+$E$33</f>
        <v>3.84</v>
      </c>
      <c r="F38" s="585">
        <f ca="1">OFFSET(SecProp!$C$19,SProw*(B36-1),0)</f>
        <v>8.0999999999999996E-3</v>
      </c>
      <c r="G38" s="585">
        <f ca="1">OFFSET(SecProp!$H$26,SProw*(B36-1),0)</f>
        <v>0.3216</v>
      </c>
      <c r="H38" s="585"/>
      <c r="I38" s="764">
        <f ca="1">D38*E38*F38*G38</f>
        <v>1.0003046399999998E-2</v>
      </c>
      <c r="J38" s="585">
        <v>7850</v>
      </c>
      <c r="K38" s="586">
        <f t="shared" ca="1" si="6"/>
        <v>78.523914239999982</v>
      </c>
      <c r="L38" s="587">
        <f ca="1">MAX(G33,G41)+G37+G38/2</f>
        <v>0.187</v>
      </c>
      <c r="M38" s="588">
        <f t="shared" ca="1" si="7"/>
        <v>14.683971962879996</v>
      </c>
      <c r="T38" s="585">
        <v>0.28360000000000002</v>
      </c>
    </row>
    <row r="39" spans="2:20" x14ac:dyDescent="0.2">
      <c r="B39" s="589"/>
      <c r="C39" s="583" t="s">
        <v>30</v>
      </c>
      <c r="D39" s="584">
        <v>1</v>
      </c>
      <c r="E39" s="585">
        <f>+$E$33</f>
        <v>3.84</v>
      </c>
      <c r="F39" s="585">
        <f ca="1">OFFSET(SecProp!$B$19,SProw*(B36-1),0)</f>
        <v>0.14000000000000001</v>
      </c>
      <c r="G39" s="585">
        <f ca="1">OFFSET(SecProp!$D$15,SProw*(B36-1),0)</f>
        <v>1.4199999999999999E-2</v>
      </c>
      <c r="H39" s="585"/>
      <c r="I39" s="764">
        <f ca="1">D39*E39*F39*G39</f>
        <v>7.6339200000000006E-3</v>
      </c>
      <c r="J39" s="585">
        <v>7850</v>
      </c>
      <c r="K39" s="586">
        <f t="shared" ca="1" si="6"/>
        <v>59.926272000000004</v>
      </c>
      <c r="L39" s="587">
        <f ca="1">MAX(G33,G41)+G37+G38+G39/2</f>
        <v>0.35489999999999999</v>
      </c>
      <c r="M39" s="588">
        <f t="shared" ca="1" si="7"/>
        <v>21.267833932800002</v>
      </c>
      <c r="T39" s="585">
        <v>0.28360000000000002</v>
      </c>
    </row>
    <row r="40" spans="2:20" x14ac:dyDescent="0.2">
      <c r="B40" s="590"/>
      <c r="C40" s="591" t="s">
        <v>625</v>
      </c>
      <c r="D40" s="592">
        <v>-2</v>
      </c>
      <c r="E40" s="593">
        <f>tap</f>
        <v>0.23100000000000009</v>
      </c>
      <c r="F40" s="593">
        <f ca="1">+F38</f>
        <v>8.0999999999999996E-3</v>
      </c>
      <c r="G40" s="593">
        <f ca="1">G38-dweb</f>
        <v>7.1599999999999997E-2</v>
      </c>
      <c r="H40" s="593"/>
      <c r="I40" s="765">
        <f ca="1">D40*E40*F40*G40/2</f>
        <v>-1.3397076000000005E-4</v>
      </c>
      <c r="J40" s="585">
        <v>7850</v>
      </c>
      <c r="K40" s="594">
        <f t="shared" ca="1" si="6"/>
        <v>-1.0516704660000005</v>
      </c>
      <c r="L40" s="595">
        <f ca="1">MAX(G33,G41)+G37+G38-G40/3</f>
        <v>0.32393333333333335</v>
      </c>
      <c r="M40" s="596">
        <f t="shared" ca="1" si="7"/>
        <v>-0.34067111961960017</v>
      </c>
      <c r="T40" s="593">
        <v>0.28360000000000002</v>
      </c>
    </row>
    <row r="41" spans="2:20" ht="15" x14ac:dyDescent="0.25">
      <c r="B41" s="597" t="s">
        <v>622</v>
      </c>
      <c r="C41" s="571"/>
      <c r="D41" s="572"/>
      <c r="E41" s="573">
        <f>$E$33</f>
        <v>3.84</v>
      </c>
      <c r="F41" s="573">
        <f ca="1">OFFSET('Beam Spacing'!$C$20,BSrow*B36,0)</f>
        <v>0.63825372117795853</v>
      </c>
      <c r="G41" s="573">
        <f ca="1">OFFSET(SecProp!$I$28,SProw*(B36-1),0)</f>
        <v>1.2E-2</v>
      </c>
      <c r="H41" s="573"/>
      <c r="I41" s="762">
        <f ca="1">E41*F41*G41</f>
        <v>2.9410731471880329E-2</v>
      </c>
      <c r="J41" s="566">
        <v>7850</v>
      </c>
      <c r="K41" s="575">
        <f t="shared" ca="1" si="6"/>
        <v>230.87424205426058</v>
      </c>
      <c r="L41" s="576">
        <f ca="1">G41/2</f>
        <v>6.0000000000000001E-3</v>
      </c>
      <c r="M41" s="574">
        <f t="shared" ca="1" si="7"/>
        <v>1.3852454523255635</v>
      </c>
      <c r="T41" s="573">
        <v>0.28360000000000002</v>
      </c>
    </row>
    <row r="42" spans="2:20" ht="15" x14ac:dyDescent="0.25">
      <c r="B42" s="598" t="s">
        <v>623</v>
      </c>
      <c r="C42" s="571"/>
      <c r="D42" s="572"/>
      <c r="E42" s="573">
        <f ca="1">IF(GType="Bulkhead (no wheels)",2*OFFSET(Stiffeners!$D$24,VSrow*(B36-1),0),IF(GType="Fixed Wheel (cantilevered)",2*('Wheel Design'!$C$133+'Wheel Design'!$C$131),4*'Wheel Design'!$C$78))</f>
        <v>0.08</v>
      </c>
      <c r="F42" s="573">
        <f ca="1">OFFSET('Beam Spacing'!$C$23,BSrow*(B36-1),0)-(OFFSET('Define Beam'!$H$11,DBrow*(B36-1),0)+OFFSET('Define Beam'!$H$14,DBrow*(B36-1),0))/2</f>
        <v>0.63015372117795854</v>
      </c>
      <c r="G42" s="573">
        <f>dweb</f>
        <v>0.25</v>
      </c>
      <c r="H42" s="573"/>
      <c r="I42" s="762">
        <f ca="1">E42*F42*G42</f>
        <v>1.2603074423559171E-2</v>
      </c>
      <c r="J42" s="566">
        <v>7850</v>
      </c>
      <c r="K42" s="575">
        <f t="shared" ca="1" si="6"/>
        <v>98.934134224939498</v>
      </c>
      <c r="L42" s="576">
        <f ca="1">G41+G42/2</f>
        <v>0.13700000000000001</v>
      </c>
      <c r="M42" s="574">
        <f t="shared" ca="1" si="7"/>
        <v>13.553976388816713</v>
      </c>
      <c r="T42" s="573">
        <v>0.28360000000000002</v>
      </c>
    </row>
    <row r="43" spans="2:20" ht="15" x14ac:dyDescent="0.25">
      <c r="B43" s="599" t="s">
        <v>624</v>
      </c>
      <c r="C43" s="571"/>
      <c r="D43" s="572">
        <f ca="1">OFFSET(Stiffeners!$D$25,VSrow*(B36-1),0)</f>
        <v>12</v>
      </c>
      <c r="E43" s="573">
        <f ca="1">OFFSET(Stiffeners!$D$24,VSrow*(B36-1),0)</f>
        <v>0.01</v>
      </c>
      <c r="F43" s="573">
        <f ca="1">F42</f>
        <v>0.63015372117795854</v>
      </c>
      <c r="G43" s="573">
        <f ca="1">OFFSET(Stiffeners!$D$23,VSrow*(B36-1),0)</f>
        <v>0.33579999999999999</v>
      </c>
      <c r="H43" s="573"/>
      <c r="I43" s="762">
        <f ca="1">D43*E43*F43*G43</f>
        <v>2.5392674348587014E-2</v>
      </c>
      <c r="J43" s="566">
        <v>7850</v>
      </c>
      <c r="K43" s="575">
        <f t="shared" ca="1" si="6"/>
        <v>199.33249363640806</v>
      </c>
      <c r="L43" s="576">
        <f ca="1">L42</f>
        <v>0.13700000000000001</v>
      </c>
      <c r="M43" s="574">
        <f t="shared" ca="1" si="7"/>
        <v>27.308551628187907</v>
      </c>
      <c r="T43" s="573">
        <v>0.28360000000000002</v>
      </c>
    </row>
    <row r="44" spans="2:20" ht="15" x14ac:dyDescent="0.25">
      <c r="B44" s="1161">
        <f>(ROW()-WTref+16)/WTrow</f>
        <v>2</v>
      </c>
      <c r="C44" s="1162"/>
      <c r="D44" s="577"/>
      <c r="E44" s="578"/>
      <c r="F44" s="578"/>
      <c r="G44" s="578"/>
      <c r="H44" s="578"/>
      <c r="I44" s="763"/>
      <c r="J44" s="585"/>
      <c r="K44" s="579"/>
      <c r="L44" s="580"/>
      <c r="M44" s="581"/>
      <c r="Q44" s="523"/>
      <c r="T44" s="578"/>
    </row>
    <row r="45" spans="2:20" ht="15" x14ac:dyDescent="0.25">
      <c r="B45" s="582"/>
      <c r="C45" s="583" t="s">
        <v>39</v>
      </c>
      <c r="D45" s="584">
        <v>1</v>
      </c>
      <c r="E45" s="585">
        <f>$E$33</f>
        <v>3.84</v>
      </c>
      <c r="F45" s="585">
        <f ca="1">OFFSET(SecProp!$N$19,SProw*(B44-1),0)</f>
        <v>0.14000000000000001</v>
      </c>
      <c r="G45" s="585">
        <f ca="1">OFFSET(SecProp!$I$16,SProw*(B44-1),0)</f>
        <v>1.4199999999999999E-2</v>
      </c>
      <c r="H45" s="585"/>
      <c r="I45" s="764">
        <f ca="1">D45*E45*F45*G45</f>
        <v>7.6339200000000006E-3</v>
      </c>
      <c r="J45" s="585">
        <v>7850</v>
      </c>
      <c r="K45" s="586">
        <f t="shared" ref="K45:K51" ca="1" si="8">I45*J45</f>
        <v>59.926272000000004</v>
      </c>
      <c r="L45" s="587">
        <f ca="1">MAX(G41,G49)+G45/2</f>
        <v>1.9099999999999999E-2</v>
      </c>
      <c r="M45" s="588">
        <f t="shared" ref="M45:M51" ca="1" si="9">K45*L45</f>
        <v>1.1445917952</v>
      </c>
      <c r="T45" s="585">
        <v>0.28360000000000002</v>
      </c>
    </row>
    <row r="46" spans="2:20" x14ac:dyDescent="0.2">
      <c r="B46" s="589"/>
      <c r="C46" s="583" t="s">
        <v>38</v>
      </c>
      <c r="D46" s="584">
        <v>1</v>
      </c>
      <c r="E46" s="585">
        <f>+$E$33</f>
        <v>3.84</v>
      </c>
      <c r="F46" s="585">
        <f ca="1">OFFSET(SecProp!$C$19,SProw*(B44-1),0)</f>
        <v>8.0999999999999996E-3</v>
      </c>
      <c r="G46" s="585">
        <f ca="1">OFFSET(SecProp!$H$26,SProw*(B44-1),0)</f>
        <v>0.3216</v>
      </c>
      <c r="H46" s="585"/>
      <c r="I46" s="764">
        <f ca="1">D46*E46*F46*G46</f>
        <v>1.0003046399999998E-2</v>
      </c>
      <c r="J46" s="585">
        <v>7850</v>
      </c>
      <c r="K46" s="586">
        <f t="shared" ca="1" si="8"/>
        <v>78.523914239999982</v>
      </c>
      <c r="L46" s="587">
        <f ca="1">MAX(G41,G49)+G45+G46/2</f>
        <v>0.187</v>
      </c>
      <c r="M46" s="588">
        <f t="shared" ca="1" si="9"/>
        <v>14.683971962879996</v>
      </c>
      <c r="T46" s="585">
        <v>0.28360000000000002</v>
      </c>
    </row>
    <row r="47" spans="2:20" x14ac:dyDescent="0.2">
      <c r="B47" s="589"/>
      <c r="C47" s="583" t="s">
        <v>30</v>
      </c>
      <c r="D47" s="584">
        <v>1</v>
      </c>
      <c r="E47" s="585">
        <f>+$E$33</f>
        <v>3.84</v>
      </c>
      <c r="F47" s="585">
        <f ca="1">OFFSET(SecProp!$B$19,SProw*(B44-1),0)</f>
        <v>0.14000000000000001</v>
      </c>
      <c r="G47" s="585">
        <f ca="1">OFFSET(SecProp!$D$15,SProw*(B44-1),0)</f>
        <v>1.4199999999999999E-2</v>
      </c>
      <c r="H47" s="585"/>
      <c r="I47" s="764">
        <f ca="1">D47*E47*F47*G47</f>
        <v>7.6339200000000006E-3</v>
      </c>
      <c r="J47" s="585">
        <v>7850</v>
      </c>
      <c r="K47" s="586">
        <f t="shared" ca="1" si="8"/>
        <v>59.926272000000004</v>
      </c>
      <c r="L47" s="587">
        <f ca="1">MAX(G41,G49)+G45+G46+G47/2</f>
        <v>0.35489999999999999</v>
      </c>
      <c r="M47" s="588">
        <f t="shared" ca="1" si="9"/>
        <v>21.267833932800002</v>
      </c>
      <c r="T47" s="585">
        <v>0.28360000000000002</v>
      </c>
    </row>
    <row r="48" spans="2:20" x14ac:dyDescent="0.2">
      <c r="B48" s="590"/>
      <c r="C48" s="591" t="s">
        <v>625</v>
      </c>
      <c r="D48" s="592">
        <v>-2</v>
      </c>
      <c r="E48" s="593">
        <f>tap</f>
        <v>0.23100000000000009</v>
      </c>
      <c r="F48" s="593">
        <f ca="1">+F46</f>
        <v>8.0999999999999996E-3</v>
      </c>
      <c r="G48" s="593">
        <f ca="1">G46-dweb</f>
        <v>7.1599999999999997E-2</v>
      </c>
      <c r="H48" s="593"/>
      <c r="I48" s="765">
        <f ca="1">D48*E48*F48*G48/2</f>
        <v>-1.3397076000000005E-4</v>
      </c>
      <c r="J48" s="585">
        <v>7850</v>
      </c>
      <c r="K48" s="594">
        <f t="shared" ca="1" si="8"/>
        <v>-1.0516704660000005</v>
      </c>
      <c r="L48" s="595">
        <f ca="1">MAX(G41,G49)+G45+G46-G48/3</f>
        <v>0.32393333333333335</v>
      </c>
      <c r="M48" s="596">
        <f t="shared" ca="1" si="9"/>
        <v>-0.34067111961960017</v>
      </c>
      <c r="T48" s="593">
        <v>0.28360000000000002</v>
      </c>
    </row>
    <row r="49" spans="2:20" ht="15" x14ac:dyDescent="0.25">
      <c r="B49" s="597" t="s">
        <v>622</v>
      </c>
      <c r="C49" s="571"/>
      <c r="D49" s="572"/>
      <c r="E49" s="573">
        <f>$E$33</f>
        <v>3.84</v>
      </c>
      <c r="F49" s="573">
        <f ca="1">OFFSET('Beam Spacing'!$C$20,BSrow*B44,0)</f>
        <v>0.61008480762842776</v>
      </c>
      <c r="G49" s="573">
        <f ca="1">OFFSET(SecProp!$I$28,SProw*(B44-1),0)</f>
        <v>1.2E-2</v>
      </c>
      <c r="H49" s="573"/>
      <c r="I49" s="762">
        <f ca="1">E49*F49*G49</f>
        <v>2.8112707935517952E-2</v>
      </c>
      <c r="J49" s="566">
        <v>7850</v>
      </c>
      <c r="K49" s="575">
        <f t="shared" ca="1" si="8"/>
        <v>220.68475729381592</v>
      </c>
      <c r="L49" s="576">
        <f ca="1">G49/2</f>
        <v>6.0000000000000001E-3</v>
      </c>
      <c r="M49" s="574">
        <f t="shared" ca="1" si="9"/>
        <v>1.3241085437628954</v>
      </c>
      <c r="T49" s="573">
        <v>0.28360000000000002</v>
      </c>
    </row>
    <row r="50" spans="2:20" ht="15" x14ac:dyDescent="0.25">
      <c r="B50" s="598" t="s">
        <v>623</v>
      </c>
      <c r="C50" s="571"/>
      <c r="D50" s="572"/>
      <c r="E50" s="573">
        <f ca="1">IF(GType="Bulkhead (no wheels)",2*OFFSET(Stiffeners!$D$24,VSrow*(B44-1),0),IF(GType="Fixed Wheel (cantilevered)",2*('Wheel Design'!$C$133+'Wheel Design'!$C$131),4*'Wheel Design'!$C$78))</f>
        <v>0.08</v>
      </c>
      <c r="F50" s="573">
        <f ca="1">OFFSET('Beam Spacing'!$C$23,BSrow*(B44-1),0)-(OFFSET('Define Beam'!$H$11,DBrow*(B44-1),0)+OFFSET('Define Beam'!$H$14,DBrow*(B44-1),0))/2</f>
        <v>0.60198480762842776</v>
      </c>
      <c r="G50" s="573">
        <f>dweb</f>
        <v>0.25</v>
      </c>
      <c r="H50" s="573"/>
      <c r="I50" s="762">
        <f ca="1">E50*F50*G50</f>
        <v>1.2039696152568556E-2</v>
      </c>
      <c r="J50" s="566">
        <v>7850</v>
      </c>
      <c r="K50" s="575">
        <f t="shared" ca="1" si="8"/>
        <v>94.511614797663157</v>
      </c>
      <c r="L50" s="576">
        <f ca="1">G49+G50/2</f>
        <v>0.13700000000000001</v>
      </c>
      <c r="M50" s="574">
        <f t="shared" ca="1" si="9"/>
        <v>12.948091227279853</v>
      </c>
      <c r="T50" s="573">
        <v>0.28360000000000002</v>
      </c>
    </row>
    <row r="51" spans="2:20" ht="15" x14ac:dyDescent="0.25">
      <c r="B51" s="599" t="s">
        <v>624</v>
      </c>
      <c r="C51" s="571"/>
      <c r="D51" s="572">
        <f ca="1">OFFSET(Stiffeners!$D$25,VSrow*(B44-1),0)</f>
        <v>12</v>
      </c>
      <c r="E51" s="573">
        <f ca="1">OFFSET(Stiffeners!$D$24,VSrow*(B44-1),0)</f>
        <v>0.01</v>
      </c>
      <c r="F51" s="573">
        <f ca="1">F50</f>
        <v>0.60198480762842776</v>
      </c>
      <c r="G51" s="573">
        <f ca="1">OFFSET(Stiffeners!$D$23,VSrow*(B44-1),0)</f>
        <v>0.33579999999999999</v>
      </c>
      <c r="H51" s="573"/>
      <c r="I51" s="762">
        <f ca="1">D51*E51*F51*G51</f>
        <v>2.4257579808195123E-2</v>
      </c>
      <c r="J51" s="566">
        <v>7850</v>
      </c>
      <c r="K51" s="575">
        <f t="shared" ca="1" si="8"/>
        <v>190.42200149433171</v>
      </c>
      <c r="L51" s="576">
        <f ca="1">L50</f>
        <v>0.13700000000000001</v>
      </c>
      <c r="M51" s="574">
        <f t="shared" ca="1" si="9"/>
        <v>26.087814204723447</v>
      </c>
      <c r="T51" s="573">
        <v>0.28360000000000002</v>
      </c>
    </row>
    <row r="52" spans="2:20" ht="15" x14ac:dyDescent="0.25">
      <c r="B52" s="1161">
        <f>(ROW()-WTref+16)/WTrow</f>
        <v>3</v>
      </c>
      <c r="C52" s="1162"/>
      <c r="D52" s="577"/>
      <c r="E52" s="578"/>
      <c r="F52" s="578"/>
      <c r="G52" s="578"/>
      <c r="H52" s="578"/>
      <c r="I52" s="763"/>
      <c r="J52" s="585"/>
      <c r="K52" s="579"/>
      <c r="L52" s="580"/>
      <c r="M52" s="581"/>
      <c r="Q52" s="523"/>
      <c r="T52" s="578"/>
    </row>
    <row r="53" spans="2:20" ht="15" x14ac:dyDescent="0.25">
      <c r="B53" s="582"/>
      <c r="C53" s="583" t="s">
        <v>39</v>
      </c>
      <c r="D53" s="584">
        <v>1</v>
      </c>
      <c r="E53" s="585">
        <f>$E$33</f>
        <v>3.84</v>
      </c>
      <c r="F53" s="585">
        <f ca="1">OFFSET(SecProp!$N$19,SProw*(B52-1),0)</f>
        <v>0.14000000000000001</v>
      </c>
      <c r="G53" s="585">
        <f ca="1">OFFSET(SecProp!$I$16,SProw*(B52-1),0)</f>
        <v>1.4199999999999999E-2</v>
      </c>
      <c r="H53" s="585"/>
      <c r="I53" s="764">
        <f ca="1">D53*E53*F53*G53</f>
        <v>7.6339200000000006E-3</v>
      </c>
      <c r="J53" s="585">
        <v>7850</v>
      </c>
      <c r="K53" s="586">
        <f t="shared" ref="K53:K59" ca="1" si="10">I53*J53</f>
        <v>59.926272000000004</v>
      </c>
      <c r="L53" s="587">
        <f ca="1">MAX(G49,G57)+G53/2</f>
        <v>1.9099999999999999E-2</v>
      </c>
      <c r="M53" s="588">
        <f t="shared" ref="M53:M59" ca="1" si="11">K53*L53</f>
        <v>1.1445917952</v>
      </c>
      <c r="T53" s="585">
        <v>0.28360000000000002</v>
      </c>
    </row>
    <row r="54" spans="2:20" x14ac:dyDescent="0.2">
      <c r="B54" s="589"/>
      <c r="C54" s="583" t="s">
        <v>38</v>
      </c>
      <c r="D54" s="584">
        <v>1</v>
      </c>
      <c r="E54" s="585">
        <f>+$E$33</f>
        <v>3.84</v>
      </c>
      <c r="F54" s="585">
        <f ca="1">OFFSET(SecProp!$C$19,SProw*(B52-1),0)</f>
        <v>8.0999999999999996E-3</v>
      </c>
      <c r="G54" s="585">
        <f ca="1">OFFSET(SecProp!$H$26,SProw*(B52-1),0)</f>
        <v>0.3216</v>
      </c>
      <c r="H54" s="585"/>
      <c r="I54" s="764">
        <f ca="1">D54*E54*F54*G54</f>
        <v>1.0003046399999998E-2</v>
      </c>
      <c r="J54" s="585">
        <v>7850</v>
      </c>
      <c r="K54" s="586">
        <f t="shared" ca="1" si="10"/>
        <v>78.523914239999982</v>
      </c>
      <c r="L54" s="587">
        <f ca="1">MAX(G49,G57)+G53+G54/2</f>
        <v>0.187</v>
      </c>
      <c r="M54" s="588">
        <f t="shared" ca="1" si="11"/>
        <v>14.683971962879996</v>
      </c>
      <c r="T54" s="585">
        <v>0.28360000000000002</v>
      </c>
    </row>
    <row r="55" spans="2:20" x14ac:dyDescent="0.2">
      <c r="B55" s="589"/>
      <c r="C55" s="583" t="s">
        <v>30</v>
      </c>
      <c r="D55" s="584">
        <v>1</v>
      </c>
      <c r="E55" s="585">
        <f>+$E$33</f>
        <v>3.84</v>
      </c>
      <c r="F55" s="585">
        <f ca="1">OFFSET(SecProp!$B$19,SProw*(B52-1),0)</f>
        <v>0.14000000000000001</v>
      </c>
      <c r="G55" s="585">
        <f ca="1">OFFSET(SecProp!$D$15,SProw*(B52-1),0)</f>
        <v>1.4199999999999999E-2</v>
      </c>
      <c r="H55" s="585"/>
      <c r="I55" s="764">
        <f ca="1">D55*E55*F55*G55</f>
        <v>7.6339200000000006E-3</v>
      </c>
      <c r="J55" s="585">
        <v>7850</v>
      </c>
      <c r="K55" s="586">
        <f t="shared" ca="1" si="10"/>
        <v>59.926272000000004</v>
      </c>
      <c r="L55" s="587">
        <f ca="1">MAX(G49,G57)+G53+G54+G55/2</f>
        <v>0.35489999999999999</v>
      </c>
      <c r="M55" s="588">
        <f t="shared" ca="1" si="11"/>
        <v>21.267833932800002</v>
      </c>
      <c r="T55" s="585">
        <v>0.28360000000000002</v>
      </c>
    </row>
    <row r="56" spans="2:20" x14ac:dyDescent="0.2">
      <c r="B56" s="590"/>
      <c r="C56" s="591" t="s">
        <v>625</v>
      </c>
      <c r="D56" s="592">
        <v>-2</v>
      </c>
      <c r="E56" s="593">
        <f>tap</f>
        <v>0.23100000000000009</v>
      </c>
      <c r="F56" s="593">
        <f ca="1">+F54</f>
        <v>8.0999999999999996E-3</v>
      </c>
      <c r="G56" s="593">
        <f ca="1">G54-dweb</f>
        <v>7.1599999999999997E-2</v>
      </c>
      <c r="H56" s="593"/>
      <c r="I56" s="765">
        <f ca="1">D56*E56*F56*G56/2</f>
        <v>-1.3397076000000005E-4</v>
      </c>
      <c r="J56" s="585">
        <v>7850</v>
      </c>
      <c r="K56" s="594">
        <f t="shared" ca="1" si="10"/>
        <v>-1.0516704660000005</v>
      </c>
      <c r="L56" s="595">
        <f ca="1">MAX(G49,G57)+G53+G54-G56/3</f>
        <v>0.32393333333333335</v>
      </c>
      <c r="M56" s="596">
        <f t="shared" ca="1" si="11"/>
        <v>-0.34067111961960017</v>
      </c>
      <c r="T56" s="593">
        <v>0.28360000000000002</v>
      </c>
    </row>
    <row r="57" spans="2:20" ht="15" x14ac:dyDescent="0.25">
      <c r="B57" s="597" t="s">
        <v>622</v>
      </c>
      <c r="C57" s="571"/>
      <c r="D57" s="572"/>
      <c r="E57" s="573">
        <f>$E$33</f>
        <v>3.84</v>
      </c>
      <c r="F57" s="573">
        <f ca="1">OFFSET('Beam Spacing'!$C$20,BSrow*B52,0)</f>
        <v>0.58676890860629727</v>
      </c>
      <c r="G57" s="573">
        <f ca="1">OFFSET(SecProp!$I$28,SProw*(B52-1),0)</f>
        <v>1.2E-2</v>
      </c>
      <c r="H57" s="573"/>
      <c r="I57" s="762">
        <f ca="1">E57*F57*G57</f>
        <v>2.7038311308578179E-2</v>
      </c>
      <c r="J57" s="566">
        <v>7850</v>
      </c>
      <c r="K57" s="575">
        <f t="shared" ca="1" si="10"/>
        <v>212.25074377233869</v>
      </c>
      <c r="L57" s="576">
        <f ca="1">G57/2</f>
        <v>6.0000000000000001E-3</v>
      </c>
      <c r="M57" s="574">
        <f t="shared" ca="1" si="11"/>
        <v>1.2735044626340322</v>
      </c>
      <c r="T57" s="573">
        <v>0.28360000000000002</v>
      </c>
    </row>
    <row r="58" spans="2:20" ht="15" x14ac:dyDescent="0.25">
      <c r="B58" s="598" t="s">
        <v>623</v>
      </c>
      <c r="C58" s="571"/>
      <c r="D58" s="572"/>
      <c r="E58" s="573">
        <f ca="1">IF(GType="Bulkhead (no wheels)",2*OFFSET(Stiffeners!$D$24,VSrow*(B52-1),0),IF(GType="Fixed Wheel (cantilevered)",2*('Wheel Design'!$C$133+'Wheel Design'!$C$131),4*'Wheel Design'!$C$78))</f>
        <v>0.08</v>
      </c>
      <c r="F58" s="573">
        <f ca="1">OFFSET('Beam Spacing'!$C$23,BSrow*(B52-1),0)-(OFFSET('Define Beam'!$H$11,DBrow*(B52-1),0)+OFFSET('Define Beam'!$H$14,DBrow*(B52-1),0))/2</f>
        <v>0.57866890860629727</v>
      </c>
      <c r="G58" s="573">
        <f>dweb</f>
        <v>0.25</v>
      </c>
      <c r="H58" s="573"/>
      <c r="I58" s="762">
        <f ca="1">E58*F58*G58</f>
        <v>1.1573378172125946E-2</v>
      </c>
      <c r="J58" s="566">
        <v>7850</v>
      </c>
      <c r="K58" s="575">
        <f t="shared" ca="1" si="10"/>
        <v>90.851018651188681</v>
      </c>
      <c r="L58" s="576">
        <f ca="1">G57+G58/2</f>
        <v>0.13700000000000001</v>
      </c>
      <c r="M58" s="574">
        <f t="shared" ca="1" si="11"/>
        <v>12.446589555212851</v>
      </c>
      <c r="T58" s="573">
        <v>0.28360000000000002</v>
      </c>
    </row>
    <row r="59" spans="2:20" ht="15" x14ac:dyDescent="0.25">
      <c r="B59" s="599" t="s">
        <v>624</v>
      </c>
      <c r="C59" s="571"/>
      <c r="D59" s="572">
        <f ca="1">OFFSET(Stiffeners!$D$25,VSrow*(B52-1),0)</f>
        <v>12</v>
      </c>
      <c r="E59" s="573">
        <f ca="1">OFFSET(Stiffeners!$D$24,VSrow*(B52-1),0)</f>
        <v>0.01</v>
      </c>
      <c r="F59" s="573">
        <f ca="1">F58</f>
        <v>0.57866890860629727</v>
      </c>
      <c r="G59" s="573">
        <f ca="1">OFFSET(Stiffeners!$D$23,VSrow*(B52-1),0)</f>
        <v>0.33579999999999999</v>
      </c>
      <c r="H59" s="573"/>
      <c r="I59" s="762">
        <f ca="1">D59*E59*F59*G59</f>
        <v>2.3318042341199354E-2</v>
      </c>
      <c r="J59" s="566">
        <v>7850</v>
      </c>
      <c r="K59" s="575">
        <f t="shared" ca="1" si="10"/>
        <v>183.04663237841493</v>
      </c>
      <c r="L59" s="576">
        <f ca="1">L58</f>
        <v>0.13700000000000001</v>
      </c>
      <c r="M59" s="574">
        <f t="shared" ca="1" si="11"/>
        <v>25.077388635842848</v>
      </c>
      <c r="T59" s="573">
        <v>0.28360000000000002</v>
      </c>
    </row>
    <row r="60" spans="2:20" ht="15" x14ac:dyDescent="0.25">
      <c r="B60" s="1161">
        <f>(ROW()-WTref+16)/WTrow</f>
        <v>4</v>
      </c>
      <c r="C60" s="1162"/>
      <c r="D60" s="577"/>
      <c r="E60" s="578"/>
      <c r="F60" s="578"/>
      <c r="G60" s="578"/>
      <c r="H60" s="578"/>
      <c r="I60" s="763"/>
      <c r="J60" s="585"/>
      <c r="K60" s="579"/>
      <c r="L60" s="580"/>
      <c r="M60" s="581"/>
      <c r="Q60" s="523"/>
      <c r="T60" s="578"/>
    </row>
    <row r="61" spans="2:20" ht="15" x14ac:dyDescent="0.25">
      <c r="B61" s="582"/>
      <c r="C61" s="583" t="s">
        <v>39</v>
      </c>
      <c r="D61" s="584">
        <v>1</v>
      </c>
      <c r="E61" s="585">
        <f>$E$33</f>
        <v>3.84</v>
      </c>
      <c r="F61" s="585">
        <f ca="1">OFFSET(SecProp!$N$19,SProw*(B60-1),0)</f>
        <v>0.14000000000000001</v>
      </c>
      <c r="G61" s="585">
        <f ca="1">OFFSET(SecProp!$I$16,SProw*(B60-1),0)</f>
        <v>1.4199999999999999E-2</v>
      </c>
      <c r="H61" s="585"/>
      <c r="I61" s="764">
        <f ca="1">D61*E61*F61*G61</f>
        <v>7.6339200000000006E-3</v>
      </c>
      <c r="J61" s="585">
        <v>7850</v>
      </c>
      <c r="K61" s="586">
        <f t="shared" ref="K61:K67" ca="1" si="12">I61*J61</f>
        <v>59.926272000000004</v>
      </c>
      <c r="L61" s="587">
        <f ca="1">MAX(G57,G65)+G61/2</f>
        <v>1.9099999999999999E-2</v>
      </c>
      <c r="M61" s="588">
        <f t="shared" ref="M61:M67" ca="1" si="13">K61*L61</f>
        <v>1.1445917952</v>
      </c>
      <c r="T61" s="585">
        <v>0.28360000000000002</v>
      </c>
    </row>
    <row r="62" spans="2:20" x14ac:dyDescent="0.2">
      <c r="B62" s="589"/>
      <c r="C62" s="583" t="s">
        <v>38</v>
      </c>
      <c r="D62" s="584">
        <v>1</v>
      </c>
      <c r="E62" s="585">
        <f>+$E$33</f>
        <v>3.84</v>
      </c>
      <c r="F62" s="585">
        <f ca="1">OFFSET(SecProp!$C$19,SProw*(B60-1),0)</f>
        <v>8.0999999999999996E-3</v>
      </c>
      <c r="G62" s="585">
        <f ca="1">OFFSET(SecProp!$H$26,SProw*(B60-1),0)</f>
        <v>0.3216</v>
      </c>
      <c r="H62" s="585"/>
      <c r="I62" s="764">
        <f ca="1">D62*E62*F62*G62</f>
        <v>1.0003046399999998E-2</v>
      </c>
      <c r="J62" s="585">
        <v>7850</v>
      </c>
      <c r="K62" s="586">
        <f t="shared" ca="1" si="12"/>
        <v>78.523914239999982</v>
      </c>
      <c r="L62" s="587">
        <f ca="1">MAX(G57,G65)+G61+G62/2</f>
        <v>0.187</v>
      </c>
      <c r="M62" s="588">
        <f t="shared" ca="1" si="13"/>
        <v>14.683971962879996</v>
      </c>
      <c r="T62" s="585">
        <v>0.28360000000000002</v>
      </c>
    </row>
    <row r="63" spans="2:20" x14ac:dyDescent="0.2">
      <c r="B63" s="589"/>
      <c r="C63" s="583" t="s">
        <v>30</v>
      </c>
      <c r="D63" s="584">
        <v>1</v>
      </c>
      <c r="E63" s="585">
        <f>+$E$33</f>
        <v>3.84</v>
      </c>
      <c r="F63" s="585">
        <f ca="1">OFFSET(SecProp!$B$19,SProw*(B60-1),0)</f>
        <v>0.14000000000000001</v>
      </c>
      <c r="G63" s="585">
        <f ca="1">OFFSET(SecProp!$D$15,SProw*(B60-1),0)</f>
        <v>1.4199999999999999E-2</v>
      </c>
      <c r="H63" s="585"/>
      <c r="I63" s="764">
        <f ca="1">D63*E63*F63*G63</f>
        <v>7.6339200000000006E-3</v>
      </c>
      <c r="J63" s="585">
        <v>7850</v>
      </c>
      <c r="K63" s="586">
        <f t="shared" ca="1" si="12"/>
        <v>59.926272000000004</v>
      </c>
      <c r="L63" s="587">
        <f ca="1">MAX(G57,G65)+G61+G62+G63/2</f>
        <v>0.35489999999999999</v>
      </c>
      <c r="M63" s="588">
        <f t="shared" ca="1" si="13"/>
        <v>21.267833932800002</v>
      </c>
      <c r="T63" s="585">
        <v>0.28360000000000002</v>
      </c>
    </row>
    <row r="64" spans="2:20" x14ac:dyDescent="0.2">
      <c r="B64" s="590"/>
      <c r="C64" s="591" t="s">
        <v>625</v>
      </c>
      <c r="D64" s="592">
        <v>-2</v>
      </c>
      <c r="E64" s="593">
        <f>tap</f>
        <v>0.23100000000000009</v>
      </c>
      <c r="F64" s="593">
        <f ca="1">+F62</f>
        <v>8.0999999999999996E-3</v>
      </c>
      <c r="G64" s="593">
        <f ca="1">G62-dweb</f>
        <v>7.1599999999999997E-2</v>
      </c>
      <c r="H64" s="593"/>
      <c r="I64" s="765">
        <f ca="1">D64*E64*F64*G64/2</f>
        <v>-1.3397076000000005E-4</v>
      </c>
      <c r="J64" s="585">
        <v>7850</v>
      </c>
      <c r="K64" s="594">
        <f t="shared" ca="1" si="12"/>
        <v>-1.0516704660000005</v>
      </c>
      <c r="L64" s="595">
        <f ca="1">MAX(G57,G65)+G61+G62-G64/3</f>
        <v>0.32393333333333335</v>
      </c>
      <c r="M64" s="596">
        <f t="shared" ca="1" si="13"/>
        <v>-0.34067111961960017</v>
      </c>
      <c r="T64" s="593">
        <v>0.28360000000000002</v>
      </c>
    </row>
    <row r="65" spans="2:20" ht="15" x14ac:dyDescent="0.25">
      <c r="B65" s="597" t="s">
        <v>622</v>
      </c>
      <c r="C65" s="571"/>
      <c r="D65" s="572"/>
      <c r="E65" s="573">
        <f>$E$33</f>
        <v>3.84</v>
      </c>
      <c r="F65" s="573">
        <f ca="1">OFFSET('Beam Spacing'!$C$20,BSrow*B60,0)</f>
        <v>0.566993787747329</v>
      </c>
      <c r="G65" s="573">
        <f ca="1">OFFSET(SecProp!$I$28,SProw*(B60-1),0)</f>
        <v>1.2E-2</v>
      </c>
      <c r="H65" s="573"/>
      <c r="I65" s="762">
        <f ca="1">E65*F65*G65</f>
        <v>2.6127073739396919E-2</v>
      </c>
      <c r="J65" s="566">
        <v>7850</v>
      </c>
      <c r="K65" s="575">
        <f t="shared" ca="1" si="12"/>
        <v>205.09752885426582</v>
      </c>
      <c r="L65" s="576">
        <f ca="1">G65/2</f>
        <v>6.0000000000000001E-3</v>
      </c>
      <c r="M65" s="574">
        <f t="shared" ca="1" si="13"/>
        <v>1.230585173125595</v>
      </c>
      <c r="T65" s="573">
        <v>0.28360000000000002</v>
      </c>
    </row>
    <row r="66" spans="2:20" ht="15" x14ac:dyDescent="0.25">
      <c r="B66" s="598" t="s">
        <v>623</v>
      </c>
      <c r="C66" s="571"/>
      <c r="D66" s="572"/>
      <c r="E66" s="573">
        <f ca="1">IF(GType="Bulkhead (no wheels)",2*OFFSET(Stiffeners!$D$24,VSrow*(B60-1),0),IF(GType="Fixed Wheel (cantilevered)",2*('Wheel Design'!$C$133+'Wheel Design'!$C$131),4*'Wheel Design'!$C$78))</f>
        <v>0.08</v>
      </c>
      <c r="F66" s="573">
        <f ca="1">OFFSET('Beam Spacing'!$C$23,BSrow*(B60-1),0)-(OFFSET('Define Beam'!$H$11,DBrow*(B60-1),0)+OFFSET('Define Beam'!$H$14,DBrow*(B60-1),0))/2</f>
        <v>0.55889378774732901</v>
      </c>
      <c r="G66" s="573">
        <f>dweb</f>
        <v>0.25</v>
      </c>
      <c r="H66" s="573"/>
      <c r="I66" s="762">
        <f ca="1">E66*F66*G66</f>
        <v>1.117787575494658E-2</v>
      </c>
      <c r="J66" s="566">
        <v>7850</v>
      </c>
      <c r="K66" s="575">
        <f t="shared" ca="1" si="12"/>
        <v>87.746324676330644</v>
      </c>
      <c r="L66" s="576">
        <f ca="1">G65+G66/2</f>
        <v>0.13700000000000001</v>
      </c>
      <c r="M66" s="574">
        <f t="shared" ca="1" si="13"/>
        <v>12.021246480657299</v>
      </c>
      <c r="T66" s="573">
        <v>0.28360000000000002</v>
      </c>
    </row>
    <row r="67" spans="2:20" ht="15" x14ac:dyDescent="0.25">
      <c r="B67" s="599" t="s">
        <v>624</v>
      </c>
      <c r="C67" s="571"/>
      <c r="D67" s="572">
        <f ca="1">OFFSET(Stiffeners!$D$25,VSrow*(B60-1),0)</f>
        <v>12</v>
      </c>
      <c r="E67" s="573">
        <f ca="1">OFFSET(Stiffeners!$D$24,VSrow*(B60-1),0)</f>
        <v>0.01</v>
      </c>
      <c r="F67" s="573">
        <f ca="1">F66</f>
        <v>0.55889378774732901</v>
      </c>
      <c r="G67" s="573">
        <f ca="1">OFFSET(Stiffeners!$D$23,VSrow*(B60-1),0)</f>
        <v>0.33579999999999999</v>
      </c>
      <c r="H67" s="573"/>
      <c r="I67" s="762">
        <f ca="1">D67*E67*F67*G67</f>
        <v>2.2521184071066368E-2</v>
      </c>
      <c r="J67" s="566">
        <v>7850</v>
      </c>
      <c r="K67" s="575">
        <f t="shared" ca="1" si="12"/>
        <v>176.79129495787097</v>
      </c>
      <c r="L67" s="576">
        <f ca="1">L66</f>
        <v>0.13700000000000001</v>
      </c>
      <c r="M67" s="574">
        <f t="shared" ca="1" si="13"/>
        <v>24.220407409228326</v>
      </c>
      <c r="T67" s="573">
        <v>0.28360000000000002</v>
      </c>
    </row>
    <row r="68" spans="2:20" ht="15" x14ac:dyDescent="0.25">
      <c r="B68" s="1161">
        <f>(ROW()-WTref+16)/WTrow</f>
        <v>5</v>
      </c>
      <c r="C68" s="1162"/>
      <c r="D68" s="577"/>
      <c r="E68" s="578"/>
      <c r="F68" s="578"/>
      <c r="G68" s="578"/>
      <c r="H68" s="578"/>
      <c r="I68" s="763"/>
      <c r="J68" s="585"/>
      <c r="K68" s="579"/>
      <c r="L68" s="580"/>
      <c r="M68" s="581"/>
      <c r="Q68" s="523"/>
      <c r="T68" s="578"/>
    </row>
    <row r="69" spans="2:20" ht="15" x14ac:dyDescent="0.25">
      <c r="B69" s="582"/>
      <c r="C69" s="583" t="s">
        <v>39</v>
      </c>
      <c r="D69" s="584">
        <v>1</v>
      </c>
      <c r="E69" s="585">
        <f>$E$33</f>
        <v>3.84</v>
      </c>
      <c r="F69" s="585">
        <f ca="1">OFFSET(SecProp!$N$19,SProw*(B68-1),0)</f>
        <v>0.14000000000000001</v>
      </c>
      <c r="G69" s="585">
        <f ca="1">OFFSET(SecProp!$I$16,SProw*(B68-1),0)</f>
        <v>1.4199999999999999E-2</v>
      </c>
      <c r="H69" s="585"/>
      <c r="I69" s="764">
        <f ca="1">D69*E69*F69*G69</f>
        <v>7.6339200000000006E-3</v>
      </c>
      <c r="J69" s="585">
        <v>7850</v>
      </c>
      <c r="K69" s="586">
        <f t="shared" ref="K69:K75" ca="1" si="14">I69*J69</f>
        <v>59.926272000000004</v>
      </c>
      <c r="L69" s="587">
        <f ca="1">MAX(G65,G73)+G69/2</f>
        <v>1.9099999999999999E-2</v>
      </c>
      <c r="M69" s="588">
        <f t="shared" ref="M69:M75" ca="1" si="15">K69*L69</f>
        <v>1.1445917952</v>
      </c>
      <c r="T69" s="585">
        <v>0.28360000000000002</v>
      </c>
    </row>
    <row r="70" spans="2:20" x14ac:dyDescent="0.2">
      <c r="B70" s="589"/>
      <c r="C70" s="583" t="s">
        <v>38</v>
      </c>
      <c r="D70" s="584">
        <v>1</v>
      </c>
      <c r="E70" s="585">
        <f>+$E$33</f>
        <v>3.84</v>
      </c>
      <c r="F70" s="585">
        <f ca="1">OFFSET(SecProp!$C$19,SProw*(B68-1),0)</f>
        <v>8.0999999999999996E-3</v>
      </c>
      <c r="G70" s="585">
        <f ca="1">OFFSET(SecProp!$H$26,SProw*(B68-1),0)</f>
        <v>0.3216</v>
      </c>
      <c r="H70" s="585"/>
      <c r="I70" s="764">
        <f ca="1">D70*E70*F70*G70</f>
        <v>1.0003046399999998E-2</v>
      </c>
      <c r="J70" s="585">
        <v>7850</v>
      </c>
      <c r="K70" s="586">
        <f t="shared" ca="1" si="14"/>
        <v>78.523914239999982</v>
      </c>
      <c r="L70" s="587">
        <f ca="1">MAX(G65,G73)+G69+G70/2</f>
        <v>0.187</v>
      </c>
      <c r="M70" s="588">
        <f t="shared" ca="1" si="15"/>
        <v>14.683971962879996</v>
      </c>
      <c r="T70" s="585">
        <v>0.28360000000000002</v>
      </c>
    </row>
    <row r="71" spans="2:20" x14ac:dyDescent="0.2">
      <c r="B71" s="589"/>
      <c r="C71" s="583" t="s">
        <v>30</v>
      </c>
      <c r="D71" s="584">
        <v>1</v>
      </c>
      <c r="E71" s="585">
        <f>+$E$33</f>
        <v>3.84</v>
      </c>
      <c r="F71" s="585">
        <f ca="1">OFFSET(SecProp!$B$19,SProw*(B68-1),0)</f>
        <v>0.14000000000000001</v>
      </c>
      <c r="G71" s="585">
        <f ca="1">OFFSET(SecProp!$D$15,SProw*(B68-1),0)</f>
        <v>1.4199999999999999E-2</v>
      </c>
      <c r="H71" s="585"/>
      <c r="I71" s="764">
        <f ca="1">D71*E71*F71*G71</f>
        <v>7.6339200000000006E-3</v>
      </c>
      <c r="J71" s="585">
        <v>7850</v>
      </c>
      <c r="K71" s="586">
        <f t="shared" ca="1" si="14"/>
        <v>59.926272000000004</v>
      </c>
      <c r="L71" s="587">
        <f ca="1">MAX(G65,G73)+G69+G70+G71/2</f>
        <v>0.35489999999999999</v>
      </c>
      <c r="M71" s="588">
        <f t="shared" ca="1" si="15"/>
        <v>21.267833932800002</v>
      </c>
      <c r="T71" s="585">
        <v>0.28360000000000002</v>
      </c>
    </row>
    <row r="72" spans="2:20" x14ac:dyDescent="0.2">
      <c r="B72" s="590"/>
      <c r="C72" s="591" t="s">
        <v>625</v>
      </c>
      <c r="D72" s="592">
        <v>-2</v>
      </c>
      <c r="E72" s="593">
        <f>tap</f>
        <v>0.23100000000000009</v>
      </c>
      <c r="F72" s="593">
        <f ca="1">+F70</f>
        <v>8.0999999999999996E-3</v>
      </c>
      <c r="G72" s="593">
        <f ca="1">G70-dweb</f>
        <v>7.1599999999999997E-2</v>
      </c>
      <c r="H72" s="593"/>
      <c r="I72" s="765">
        <f ca="1">D72*E72*F72*G72/2</f>
        <v>-1.3397076000000005E-4</v>
      </c>
      <c r="J72" s="585">
        <v>7850</v>
      </c>
      <c r="K72" s="594">
        <f t="shared" ca="1" si="14"/>
        <v>-1.0516704660000005</v>
      </c>
      <c r="L72" s="595">
        <f ca="1">MAX(G65,G73)+G69+G70-G72/3</f>
        <v>0.32393333333333335</v>
      </c>
      <c r="M72" s="596">
        <f t="shared" ca="1" si="15"/>
        <v>-0.34067111961960017</v>
      </c>
      <c r="T72" s="593">
        <v>0.28360000000000002</v>
      </c>
    </row>
    <row r="73" spans="2:20" ht="15" x14ac:dyDescent="0.25">
      <c r="B73" s="597" t="s">
        <v>622</v>
      </c>
      <c r="C73" s="571"/>
      <c r="D73" s="572"/>
      <c r="E73" s="573">
        <f>$E$33</f>
        <v>3.84</v>
      </c>
      <c r="F73" s="573">
        <f ca="1">OFFSET('Beam Spacing'!$C$20,BSrow*B68,0)</f>
        <v>0.22554279605012925</v>
      </c>
      <c r="G73" s="573">
        <f ca="1">OFFSET(SecProp!$I$28,SProw*(B68-1),0)</f>
        <v>1.2E-2</v>
      </c>
      <c r="H73" s="573"/>
      <c r="I73" s="762">
        <f ca="1">E73*F73*G73</f>
        <v>1.0393012041989957E-2</v>
      </c>
      <c r="J73" s="566">
        <v>7850</v>
      </c>
      <c r="K73" s="575">
        <f t="shared" ca="1" si="14"/>
        <v>81.585144529621161</v>
      </c>
      <c r="L73" s="576">
        <f ca="1">G73/2</f>
        <v>6.0000000000000001E-3</v>
      </c>
      <c r="M73" s="574">
        <f t="shared" ca="1" si="15"/>
        <v>0.48951086717772696</v>
      </c>
      <c r="T73" s="573">
        <v>0.28360000000000002</v>
      </c>
    </row>
    <row r="74" spans="2:20" ht="15" x14ac:dyDescent="0.25">
      <c r="B74" s="598" t="s">
        <v>623</v>
      </c>
      <c r="C74" s="571"/>
      <c r="D74" s="572"/>
      <c r="E74" s="573">
        <f ca="1">IF(GType="Bulkhead (no wheels)",2*OFFSET(Stiffeners!$D$24,VSrow*(B68-1),0),IF(GType="Fixed Wheel (cantilevered)",2*('Wheel Design'!$C$133+'Wheel Design'!$C$131),4*'Wheel Design'!$C$78))</f>
        <v>0.08</v>
      </c>
      <c r="F74" s="573">
        <f ca="1">OFFSET('Beam Spacing'!$C$23,BSrow*(B68-1),0)-(OFFSET('Define Beam'!$H$11,DBrow*(B68-1),0)+OFFSET('Define Beam'!$H$14,DBrow*(B68-1),0))/2</f>
        <v>0.22149279605012925</v>
      </c>
      <c r="G74" s="573">
        <f>dweb</f>
        <v>0.25</v>
      </c>
      <c r="H74" s="573"/>
      <c r="I74" s="762">
        <f ca="1">E74*F74*G74</f>
        <v>4.4298559210025849E-3</v>
      </c>
      <c r="J74" s="566">
        <v>7850</v>
      </c>
      <c r="K74" s="575">
        <f t="shared" ca="1" si="14"/>
        <v>34.774368979870289</v>
      </c>
      <c r="L74" s="576">
        <f ca="1">G73+G74/2</f>
        <v>0.13700000000000001</v>
      </c>
      <c r="M74" s="574">
        <f t="shared" ca="1" si="15"/>
        <v>4.7640885502422297</v>
      </c>
      <c r="T74" s="573">
        <v>0.28360000000000002</v>
      </c>
    </row>
    <row r="75" spans="2:20" ht="15" x14ac:dyDescent="0.25">
      <c r="B75" s="599" t="s">
        <v>624</v>
      </c>
      <c r="C75" s="571"/>
      <c r="D75" s="572">
        <f ca="1">OFFSET(Stiffeners!$D$25,VSrow*(B68-1),0)</f>
        <v>12</v>
      </c>
      <c r="E75" s="573">
        <f ca="1">OFFSET(Stiffeners!$D$24,VSrow*(B68-1),0)</f>
        <v>0.01</v>
      </c>
      <c r="F75" s="573">
        <f ca="1">F74</f>
        <v>0.22149279605012925</v>
      </c>
      <c r="G75" s="573">
        <f ca="1">OFFSET(Stiffeners!$D$23,VSrow*(B68-1),0)</f>
        <v>0.33579999999999999</v>
      </c>
      <c r="H75" s="573"/>
      <c r="I75" s="762">
        <f ca="1">D75*E75*F75*G75</f>
        <v>8.9252737096360071E-3</v>
      </c>
      <c r="J75" s="566">
        <v>7850</v>
      </c>
      <c r="K75" s="575">
        <f t="shared" ca="1" si="14"/>
        <v>70.063398620642658</v>
      </c>
      <c r="L75" s="576">
        <f ca="1">L74</f>
        <v>0.13700000000000001</v>
      </c>
      <c r="M75" s="574">
        <f t="shared" ca="1" si="15"/>
        <v>9.5986856110280456</v>
      </c>
      <c r="T75" s="573">
        <v>0.28360000000000002</v>
      </c>
    </row>
  </sheetData>
  <sheetProtection algorithmName="SHA-512" hashValue="opcX0putG4cysvOD/n3VM63MA2DmChrY8os3TCMlow8PgTFLd5pgbfRbwBFvNpCSKJSZ5YKxse4ChWaHLEX4Wg==" saltValue="TJ8PxFJSQbHFc2zjhkRtow==" spinCount="100000" sheet="1" objects="1" scenarios="1" selectLockedCells="1"/>
  <mergeCells count="11">
    <mergeCell ref="B68:C68"/>
    <mergeCell ref="B60:C60"/>
    <mergeCell ref="B52:C52"/>
    <mergeCell ref="B24:C24"/>
    <mergeCell ref="B36:C36"/>
    <mergeCell ref="B44:C44"/>
    <mergeCell ref="A1:M1"/>
    <mergeCell ref="A2:M2"/>
    <mergeCell ref="A3:M3"/>
    <mergeCell ref="B14:C14"/>
    <mergeCell ref="B19:C19"/>
  </mergeCells>
  <pageMargins left="0.7" right="0.7" top="0.75" bottom="0.75" header="0.3" footer="0.3"/>
  <pageSetup paperSize="9" scale="66" orientation="portrait" blackAndWhite="1" r:id="rId1"/>
  <headerFooter>
    <oddHeader>&amp;L
Summary&amp;C
&amp;R
Lower Likhu Hydropower Project (28.1 MW)</oddHeader>
    <oddFooter>Page &amp;P of &amp;N</oddFooter>
  </headerFooter>
  <rowBreaks count="10" manualBreakCount="10">
    <brk id="67" max="16383" man="1"/>
    <brk id="131" max="16383" man="1"/>
    <brk id="195" max="16383" man="1"/>
    <brk id="259" max="16383" man="1"/>
    <brk id="323" max="16383" man="1"/>
    <brk id="387" max="16383" man="1"/>
    <brk id="451" max="16383" man="1"/>
    <brk id="515" max="16383" man="1"/>
    <brk id="579" max="16383" man="1"/>
    <brk id="643"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peration">
    <pageSetUpPr fitToPage="1"/>
  </sheetPr>
  <dimension ref="A1:P31"/>
  <sheetViews>
    <sheetView showGridLines="0" zoomScale="75" zoomScaleNormal="75" zoomScaleSheetLayoutView="95" workbookViewId="0">
      <selection activeCell="C5" sqref="C5:D5"/>
    </sheetView>
  </sheetViews>
  <sheetFormatPr defaultRowHeight="14.25" x14ac:dyDescent="0.2"/>
  <cols>
    <col min="1" max="1" width="2.42578125" style="197" customWidth="1"/>
    <col min="2" max="2" width="32.42578125" style="197" customWidth="1"/>
    <col min="3" max="3" width="8.7109375" style="197" customWidth="1"/>
    <col min="4" max="4" width="13.42578125" style="197" bestFit="1" customWidth="1"/>
    <col min="5" max="15" width="8.7109375" style="197" customWidth="1"/>
    <col min="16" max="16384" width="9.140625" style="197"/>
  </cols>
  <sheetData>
    <row r="1" spans="1:16" s="609" customFormat="1" ht="15" x14ac:dyDescent="0.2">
      <c r="A1" s="933" t="s">
        <v>626</v>
      </c>
      <c r="B1" s="934"/>
      <c r="C1" s="935"/>
      <c r="D1" s="935"/>
      <c r="E1" s="935"/>
      <c r="F1" s="935"/>
      <c r="G1" s="935"/>
      <c r="H1" s="935"/>
      <c r="I1" s="935"/>
      <c r="J1" s="935"/>
      <c r="K1" s="935"/>
      <c r="L1" s="935"/>
      <c r="M1" s="935"/>
      <c r="N1" s="935"/>
      <c r="O1" s="936"/>
    </row>
    <row r="2" spans="1:16" s="609" customFormat="1" ht="15" x14ac:dyDescent="0.2">
      <c r="A2" s="933" t="str">
        <f>GType</f>
        <v>Fixed Wheel (cantilevered)</v>
      </c>
      <c r="B2" s="934"/>
      <c r="C2" s="935"/>
      <c r="D2" s="935"/>
      <c r="E2" s="935"/>
      <c r="F2" s="935"/>
      <c r="G2" s="935"/>
      <c r="H2" s="935"/>
      <c r="I2" s="935"/>
      <c r="J2" s="935"/>
      <c r="K2" s="935"/>
      <c r="L2" s="935"/>
      <c r="M2" s="935"/>
      <c r="N2" s="935"/>
      <c r="O2" s="936"/>
    </row>
    <row r="3" spans="1:16" ht="50.25" hidden="1" customHeight="1" x14ac:dyDescent="0.2">
      <c r="A3" s="1147" t="s">
        <v>627</v>
      </c>
      <c r="B3" s="1147"/>
      <c r="C3" s="1147"/>
      <c r="D3" s="1147"/>
      <c r="E3" s="1147"/>
      <c r="F3" s="1147"/>
      <c r="G3" s="1147"/>
      <c r="H3" s="1147"/>
      <c r="I3" s="1147"/>
      <c r="J3" s="1147"/>
      <c r="K3" s="1147"/>
      <c r="L3" s="1147"/>
      <c r="M3" s="1147"/>
      <c r="N3" s="1147"/>
      <c r="O3" s="1147"/>
    </row>
    <row r="5" spans="1:16" x14ac:dyDescent="0.2">
      <c r="B5" s="360" t="s">
        <v>628</v>
      </c>
      <c r="C5" s="1169">
        <v>0</v>
      </c>
      <c r="D5" s="1170"/>
      <c r="E5" s="249" t="s">
        <v>917</v>
      </c>
      <c r="F5" s="602" t="s">
        <v>629</v>
      </c>
      <c r="G5" s="249"/>
      <c r="H5" s="249"/>
      <c r="I5" s="249"/>
      <c r="J5" s="249"/>
      <c r="K5" s="249"/>
      <c r="L5" s="249"/>
      <c r="M5" s="249"/>
      <c r="N5" s="249"/>
      <c r="O5" s="249"/>
    </row>
    <row r="6" spans="1:16" x14ac:dyDescent="0.2">
      <c r="B6" s="267" t="s">
        <v>630</v>
      </c>
      <c r="C6" s="1171">
        <v>7849.05</v>
      </c>
      <c r="D6" s="1170"/>
      <c r="E6" s="249" t="s">
        <v>918</v>
      </c>
      <c r="F6" s="1172" t="s">
        <v>919</v>
      </c>
      <c r="G6" s="1173"/>
      <c r="H6" s="1173"/>
      <c r="I6" s="1173"/>
      <c r="J6" s="249"/>
      <c r="K6" s="249"/>
      <c r="L6" s="249"/>
      <c r="M6" s="603"/>
      <c r="N6" s="249"/>
      <c r="O6" s="249"/>
    </row>
    <row r="7" spans="1:16" x14ac:dyDescent="0.2">
      <c r="B7" s="267" t="s">
        <v>631</v>
      </c>
      <c r="C7" s="1174">
        <v>0.02</v>
      </c>
      <c r="D7" s="1170"/>
      <c r="F7" s="1172" t="s">
        <v>632</v>
      </c>
      <c r="G7" s="1173"/>
      <c r="H7" s="1173"/>
      <c r="I7" s="1173"/>
      <c r="J7" s="1173"/>
      <c r="K7" s="1173"/>
    </row>
    <row r="8" spans="1:16" x14ac:dyDescent="0.2">
      <c r="B8" s="479" t="s">
        <v>633</v>
      </c>
      <c r="C8" s="1165">
        <f>2*'Wheel Spacing'!G12</f>
        <v>637.19728214241331</v>
      </c>
      <c r="D8" s="1166"/>
      <c r="E8" s="249" t="s">
        <v>659</v>
      </c>
      <c r="G8" s="249"/>
      <c r="H8" s="603"/>
      <c r="I8" s="249"/>
      <c r="J8" s="249"/>
      <c r="K8" s="249"/>
      <c r="L8" s="249"/>
      <c r="M8" s="249"/>
      <c r="N8" s="249"/>
      <c r="O8" s="249"/>
    </row>
    <row r="9" spans="1:16" x14ac:dyDescent="0.2">
      <c r="B9" s="360" t="s">
        <v>634</v>
      </c>
      <c r="C9" s="1167">
        <f>((0.5-(IF(PType="Elliptical Contact",'Wheel Design'!C12,'Wheel Design'!C35)-150)/150*0.3))/1000</f>
        <v>3.0000000000000003E-4</v>
      </c>
      <c r="D9" s="1168"/>
      <c r="E9" s="249" t="s">
        <v>653</v>
      </c>
      <c r="F9" s="602" t="s">
        <v>635</v>
      </c>
      <c r="G9" s="249"/>
      <c r="H9" s="249"/>
      <c r="I9" s="249"/>
      <c r="J9" s="249"/>
      <c r="K9" s="249"/>
      <c r="L9" s="249"/>
      <c r="M9" s="249"/>
      <c r="N9" s="249"/>
      <c r="O9" s="249"/>
    </row>
    <row r="10" spans="1:16" x14ac:dyDescent="0.2">
      <c r="C10" s="600"/>
      <c r="D10" s="767"/>
      <c r="E10" s="289"/>
      <c r="F10" s="289"/>
      <c r="G10" s="289"/>
      <c r="H10" s="289"/>
      <c r="I10" s="289"/>
      <c r="J10" s="289"/>
      <c r="K10" s="289"/>
      <c r="L10" s="289"/>
      <c r="M10" s="289"/>
      <c r="N10" s="289"/>
      <c r="O10" s="289"/>
      <c r="P10" s="249"/>
    </row>
    <row r="11" spans="1:16" ht="15" x14ac:dyDescent="0.25">
      <c r="B11" s="360"/>
      <c r="C11" s="604" t="s">
        <v>636</v>
      </c>
      <c r="D11" s="604" t="s">
        <v>637</v>
      </c>
      <c r="E11" s="604" t="s">
        <v>638</v>
      </c>
      <c r="F11" s="489"/>
      <c r="G11" s="489"/>
      <c r="H11" s="489"/>
      <c r="I11" s="489"/>
      <c r="J11" s="489"/>
      <c r="K11" s="489"/>
      <c r="L11" s="489"/>
      <c r="M11" s="489"/>
      <c r="N11" s="489"/>
      <c r="O11" s="604" t="s">
        <v>639</v>
      </c>
    </row>
    <row r="12" spans="1:16" x14ac:dyDescent="0.2">
      <c r="B12" s="601" t="s">
        <v>553</v>
      </c>
      <c r="C12" s="937">
        <v>1</v>
      </c>
      <c r="D12" s="937">
        <v>0</v>
      </c>
      <c r="E12" s="937">
        <v>0</v>
      </c>
      <c r="F12" s="937">
        <v>0.1</v>
      </c>
      <c r="G12" s="937">
        <v>0.2</v>
      </c>
      <c r="H12" s="937">
        <v>0.3</v>
      </c>
      <c r="I12" s="937">
        <v>0.4</v>
      </c>
      <c r="J12" s="937">
        <v>0.5</v>
      </c>
      <c r="K12" s="937">
        <v>0.6</v>
      </c>
      <c r="L12" s="937">
        <v>0.7</v>
      </c>
      <c r="M12" s="937">
        <v>0.8</v>
      </c>
      <c r="N12" s="937">
        <v>0.9</v>
      </c>
      <c r="O12" s="937">
        <v>1</v>
      </c>
      <c r="P12" s="609"/>
    </row>
    <row r="13" spans="1:16" ht="15" thickBot="1" x14ac:dyDescent="0.25">
      <c r="C13" s="938" t="s">
        <v>752</v>
      </c>
      <c r="D13" s="938" t="s">
        <v>752</v>
      </c>
      <c r="E13" s="938" t="s">
        <v>752</v>
      </c>
      <c r="F13" s="938" t="s">
        <v>752</v>
      </c>
      <c r="G13" s="938" t="s">
        <v>752</v>
      </c>
      <c r="H13" s="938" t="s">
        <v>752</v>
      </c>
      <c r="I13" s="938" t="s">
        <v>752</v>
      </c>
      <c r="J13" s="938" t="s">
        <v>752</v>
      </c>
      <c r="K13" s="938" t="s">
        <v>752</v>
      </c>
      <c r="L13" s="938" t="s">
        <v>752</v>
      </c>
      <c r="M13" s="938" t="s">
        <v>752</v>
      </c>
      <c r="N13" s="938" t="s">
        <v>752</v>
      </c>
      <c r="O13" s="938" t="s">
        <v>752</v>
      </c>
      <c r="P13" s="609"/>
    </row>
    <row r="14" spans="1:16" ht="15" thickTop="1" x14ac:dyDescent="0.2"/>
    <row r="15" spans="1:16" x14ac:dyDescent="0.2">
      <c r="B15" s="267" t="str">
        <f>IF(Loc="Upstream","Weight of gate in air","Weight of gate submerged")</f>
        <v>Weight of gate in air</v>
      </c>
      <c r="C15" s="605">
        <f ca="1">('Weight &amp; cg'!$D$6*9.81+$C$5*9.81-IF(Loc="Upstream",0,1000*Rw*('Weight &amp; cg'!$D$5+$C$5/$C$6)*MIN(1,HB/D-C12)))</f>
        <v>37123.78860832502</v>
      </c>
      <c r="D15" s="605">
        <f ca="1">('Weight &amp; cg'!$D$6*9.81+$C$5*9.81-IF(Loc="Upstream",0,1000*Rw*('Weight &amp; cg'!$D$5+$C$5/$C$6)*MIN(1,HB/D-D12)))</f>
        <v>37123.78860832502</v>
      </c>
      <c r="E15" s="605">
        <f ca="1">('Weight &amp; cg'!$D$6*9.81+$C$5*9.81-IF(Loc="Upstream",0,1000*Rw*('Weight &amp; cg'!$D$5+$C$5/$C$6)*MIN(1,HB/D-E12)))</f>
        <v>37123.78860832502</v>
      </c>
      <c r="F15" s="605">
        <f ca="1">('Weight &amp; cg'!$D$6*9.81+$C$5*9.81-IF(Loc="Upstream",0,1000*Rw*('Weight &amp; cg'!$D$5+$C$5/$C$6)*MIN(1,HB/D-F12)))</f>
        <v>37123.78860832502</v>
      </c>
      <c r="G15" s="605">
        <f ca="1">('Weight &amp; cg'!$D$6*9.81+$C$5*9.81-IF(Loc="Upstream",0,1000*Rw*('Weight &amp; cg'!$D$5+$C$5/$C$6)*MIN(1,HB/D-G12)))</f>
        <v>37123.78860832502</v>
      </c>
      <c r="H15" s="605">
        <f ca="1">('Weight &amp; cg'!$D$6*9.81+$C$5*9.81-IF(Loc="Upstream",0,1000*Rw*('Weight &amp; cg'!$D$5+$C$5/$C$6)*MIN(1,HB/D-H12)))</f>
        <v>37123.78860832502</v>
      </c>
      <c r="I15" s="605">
        <f ca="1">('Weight &amp; cg'!$D$6*9.81+$C$5*9.81-IF(Loc="Upstream",0,1000*Rw*('Weight &amp; cg'!$D$5+$C$5/$C$6)*MIN(1,HB/D-I12)))</f>
        <v>37123.78860832502</v>
      </c>
      <c r="J15" s="605">
        <f ca="1">('Weight &amp; cg'!$D$6*9.81+$C$5*9.81-IF(Loc="Upstream",0,1000*Rw*('Weight &amp; cg'!$D$5+$C$5/$C$6)*MIN(1,HB/D-J12)))</f>
        <v>37123.78860832502</v>
      </c>
      <c r="K15" s="605">
        <f ca="1">('Weight &amp; cg'!$D$6*9.81+$C$5*9.81-IF(Loc="Upstream",0,1000*Rw*('Weight &amp; cg'!$D$5+$C$5/$C$6)*MIN(1,HB/D-K12)))</f>
        <v>37123.78860832502</v>
      </c>
      <c r="L15" s="605">
        <f ca="1">('Weight &amp; cg'!$D$6*9.81+$C$5*9.81-IF(Loc="Upstream",0,1000*Rw*('Weight &amp; cg'!$D$5+$C$5/$C$6)*MIN(1,HB/D-L12)))</f>
        <v>37123.78860832502</v>
      </c>
      <c r="M15" s="605">
        <f ca="1">('Weight &amp; cg'!$D$6*9.81+$C$5*9.81-IF(Loc="Upstream",0,1000*Rw*('Weight &amp; cg'!$D$5+$C$5/$C$6)*MIN(1,HB/D-M12)))</f>
        <v>37123.78860832502</v>
      </c>
      <c r="N15" s="605">
        <f ca="1">('Weight &amp; cg'!$D$6*9.81+$C$5*9.81-IF(Loc="Upstream",0,1000*Rw*('Weight &amp; cg'!$D$5+$C$5/$C$6)*MIN(1,HB/D-N12)))</f>
        <v>37123.78860832502</v>
      </c>
      <c r="O15" s="605">
        <f ca="1">('Weight &amp; cg'!$D$6*9.81+$C$5*9.81-IF(Loc="Upstream",0,1000*Rw*('Weight &amp; cg'!$D$5+$C$5/$C$6)*MIN(1,HB/D-O12)))</f>
        <v>37123.78860832502</v>
      </c>
    </row>
    <row r="16" spans="1:16" x14ac:dyDescent="0.2">
      <c r="C16" s="489"/>
      <c r="D16" s="489"/>
      <c r="E16" s="489"/>
      <c r="F16" s="489"/>
      <c r="G16" s="489"/>
      <c r="H16" s="489"/>
      <c r="I16" s="489"/>
      <c r="J16" s="489"/>
      <c r="K16" s="489"/>
      <c r="L16" s="489"/>
      <c r="M16" s="489"/>
      <c r="N16" s="489"/>
      <c r="O16" s="489"/>
    </row>
    <row r="17" spans="2:15" x14ac:dyDescent="0.2">
      <c r="B17" s="479" t="s">
        <v>640</v>
      </c>
      <c r="C17" s="605">
        <f>IF(GType="Bulkhead (no wheels)",0,1000*$C$7*$C$8*IF(PType="Elliptical Contact",(IF(GType="Fixed Wheel (double support)",'Wheel Design'!$C$75,'Wheel Design'!$C$127)/'Wheel Design'!$C$7),(IF(GType="Fixed Wheel (double support)",'Wheel Design'!$C$75,'Wheel Design'!$C$127)/'Wheel Design'!$C$31))*(1-C12))</f>
        <v>0</v>
      </c>
      <c r="D17" s="605">
        <f>IF(GType="Bulkhead (no wheels)",0,1000*$C$7*$C$8*IF(PType="Elliptical Contact",(IF(GType="Fixed Wheel (double support)",'Wheel Design'!$C$75,'Wheel Design'!$C$127)/'Wheel Design'!$C$7),(IF(GType="Fixed Wheel (double support)",'Wheel Design'!$C$75,'Wheel Design'!$C$127)/'Wheel Design'!$C$31))*(1-D12))</f>
        <v>6117.093908567168</v>
      </c>
      <c r="E17" s="605">
        <f>IF(GType="Bulkhead (no wheels)",0,1000*$C$7*$C$8*IF(PType="Elliptical Contact",(IF(GType="Fixed Wheel (double support)",'Wheel Design'!$C$75,'Wheel Design'!$C$127)/'Wheel Design'!$C$7),(IF(GType="Fixed Wheel (double support)",'Wheel Design'!$C$75,'Wheel Design'!$C$127)/'Wheel Design'!$C$31))*(1-E12))</f>
        <v>6117.093908567168</v>
      </c>
      <c r="F17" s="605">
        <f>IF(GType="Bulkhead (no wheels)",0,1000*$C$7*$C$8*IF(PType="Elliptical Contact",(IF(GType="Fixed Wheel (double support)",'Wheel Design'!$C$75,'Wheel Design'!$C$127)/'Wheel Design'!$C$7),(IF(GType="Fixed Wheel (double support)",'Wheel Design'!$C$75,'Wheel Design'!$C$127)/'Wheel Design'!$C$31))*(1-F12))</f>
        <v>5505.3845177104513</v>
      </c>
      <c r="G17" s="605">
        <f>IF(GType="Bulkhead (no wheels)",0,1000*$C$7*$C$8*IF(PType="Elliptical Contact",(IF(GType="Fixed Wheel (double support)",'Wheel Design'!$C$75,'Wheel Design'!$C$127)/'Wheel Design'!$C$7),(IF(GType="Fixed Wheel (double support)",'Wheel Design'!$C$75,'Wheel Design'!$C$127)/'Wheel Design'!$C$31))*(1-G12))</f>
        <v>4893.6751268537346</v>
      </c>
      <c r="H17" s="605">
        <f>IF(GType="Bulkhead (no wheels)",0,1000*$C$7*$C$8*IF(PType="Elliptical Contact",(IF(GType="Fixed Wheel (double support)",'Wheel Design'!$C$75,'Wheel Design'!$C$127)/'Wheel Design'!$C$7),(IF(GType="Fixed Wheel (double support)",'Wheel Design'!$C$75,'Wheel Design'!$C$127)/'Wheel Design'!$C$31))*(1-H12))</f>
        <v>4281.965735997017</v>
      </c>
      <c r="I17" s="605">
        <f>IF(GType="Bulkhead (no wheels)",0,1000*$C$7*$C$8*IF(PType="Elliptical Contact",(IF(GType="Fixed Wheel (double support)",'Wheel Design'!$C$75,'Wheel Design'!$C$127)/'Wheel Design'!$C$7),(IF(GType="Fixed Wheel (double support)",'Wheel Design'!$C$75,'Wheel Design'!$C$127)/'Wheel Design'!$C$31))*(1-I12))</f>
        <v>3670.2563451403007</v>
      </c>
      <c r="J17" s="605">
        <f>IF(GType="Bulkhead (no wheels)",0,1000*$C$7*$C$8*IF(PType="Elliptical Contact",(IF(GType="Fixed Wheel (double support)",'Wheel Design'!$C$75,'Wheel Design'!$C$127)/'Wheel Design'!$C$7),(IF(GType="Fixed Wheel (double support)",'Wheel Design'!$C$75,'Wheel Design'!$C$127)/'Wheel Design'!$C$31))*(1-J12))</f>
        <v>3058.546954283584</v>
      </c>
      <c r="K17" s="605">
        <f>IF(GType="Bulkhead (no wheels)",0,1000*$C$7*$C$8*IF(PType="Elliptical Contact",(IF(GType="Fixed Wheel (double support)",'Wheel Design'!$C$75,'Wheel Design'!$C$127)/'Wheel Design'!$C$7),(IF(GType="Fixed Wheel (double support)",'Wheel Design'!$C$75,'Wheel Design'!$C$127)/'Wheel Design'!$C$31))*(1-K12))</f>
        <v>2446.8375634268673</v>
      </c>
      <c r="L17" s="605">
        <f>IF(GType="Bulkhead (no wheels)",0,1000*$C$7*$C$8*IF(PType="Elliptical Contact",(IF(GType="Fixed Wheel (double support)",'Wheel Design'!$C$75,'Wheel Design'!$C$127)/'Wheel Design'!$C$7),(IF(GType="Fixed Wheel (double support)",'Wheel Design'!$C$75,'Wheel Design'!$C$127)/'Wheel Design'!$C$31))*(1-L12))</f>
        <v>1835.1281725701506</v>
      </c>
      <c r="M17" s="605">
        <f>IF(GType="Bulkhead (no wheels)",0,1000*$C$7*$C$8*IF(PType="Elliptical Contact",(IF(GType="Fixed Wheel (double support)",'Wheel Design'!$C$75,'Wheel Design'!$C$127)/'Wheel Design'!$C$7),(IF(GType="Fixed Wheel (double support)",'Wheel Design'!$C$75,'Wheel Design'!$C$127)/'Wheel Design'!$C$31))*(1-M12))</f>
        <v>1223.4187817134334</v>
      </c>
      <c r="N17" s="605">
        <f>IF(GType="Bulkhead (no wheels)",0,1000*$C$7*$C$8*IF(PType="Elliptical Contact",(IF(GType="Fixed Wheel (double support)",'Wheel Design'!$C$75,'Wheel Design'!$C$127)/'Wheel Design'!$C$7),(IF(GType="Fixed Wheel (double support)",'Wheel Design'!$C$75,'Wheel Design'!$C$127)/'Wheel Design'!$C$31))*(1-N12))</f>
        <v>611.70939085671671</v>
      </c>
      <c r="O17" s="605">
        <f>IF(GType="Bulkhead (no wheels)",0,1000*$C$7*$C$8*IF(PType="Elliptical Contact",(IF(GType="Fixed Wheel (double support)",'Wheel Design'!$C$75,'Wheel Design'!$C$127)/'Wheel Design'!$C$7),(IF(GType="Fixed Wheel (double support)",'Wheel Design'!$C$75,'Wheel Design'!$C$127)/'Wheel Design'!$C$31))*(1-O12))</f>
        <v>0</v>
      </c>
    </row>
    <row r="18" spans="2:15" x14ac:dyDescent="0.2">
      <c r="B18" s="360" t="s">
        <v>641</v>
      </c>
      <c r="C18" s="605">
        <f>IF(GType="Bulkhead (no wheels)",0,$C$9/(IF(PType="Elliptical Contact",('Wheel Design'!$C$7),('Wheel Design'!$C$31))/2)*$C$8*1000)*(1-C12)</f>
        <v>0</v>
      </c>
      <c r="D18" s="605">
        <f>IF(GType="Bulkhead (no wheels)",0,$C$9/(IF(PType="Elliptical Contact",('Wheel Design'!$C$7),('Wheel Design'!$C$31))/2)*$C$8*1000)*(1-D12)</f>
        <v>1529.2734771417922</v>
      </c>
      <c r="E18" s="605">
        <f>IF(GType="Bulkhead (no wheels)",0,$C$9/(IF(PType="Elliptical Contact",('Wheel Design'!$C$7),('Wheel Design'!$C$31))/2)*$C$8*1000)*(1-E12)</f>
        <v>1529.2734771417922</v>
      </c>
      <c r="F18" s="605">
        <f>IF(GType="Bulkhead (no wheels)",0,$C$9/(IF(PType="Elliptical Contact",('Wheel Design'!$C$7),('Wheel Design'!$C$31))/2)*$C$8*1000)*(1-F12)</f>
        <v>1376.3461294276131</v>
      </c>
      <c r="G18" s="605">
        <f>IF(GType="Bulkhead (no wheels)",0,$C$9/(IF(PType="Elliptical Contact",('Wheel Design'!$C$7),('Wheel Design'!$C$31))/2)*$C$8*1000)*(1-G12)</f>
        <v>1223.4187817134339</v>
      </c>
      <c r="H18" s="605">
        <f>IF(GType="Bulkhead (no wheels)",0,$C$9/(IF(PType="Elliptical Contact",('Wheel Design'!$C$7),('Wheel Design'!$C$31))/2)*$C$8*1000)*(1-H12)</f>
        <v>1070.4914339992545</v>
      </c>
      <c r="I18" s="605">
        <f>IF(GType="Bulkhead (no wheels)",0,$C$9/(IF(PType="Elliptical Contact",('Wheel Design'!$C$7),('Wheel Design'!$C$31))/2)*$C$8*1000)*(1-I12)</f>
        <v>917.56408628507529</v>
      </c>
      <c r="J18" s="605">
        <f>IF(GType="Bulkhead (no wheels)",0,$C$9/(IF(PType="Elliptical Contact",('Wheel Design'!$C$7),('Wheel Design'!$C$31))/2)*$C$8*1000)*(1-J12)</f>
        <v>764.63673857089611</v>
      </c>
      <c r="K18" s="605">
        <f>IF(GType="Bulkhead (no wheels)",0,$C$9/(IF(PType="Elliptical Contact",('Wheel Design'!$C$7),('Wheel Design'!$C$31))/2)*$C$8*1000)*(1-K12)</f>
        <v>611.70939085671694</v>
      </c>
      <c r="L18" s="605">
        <f>IF(GType="Bulkhead (no wheels)",0,$C$9/(IF(PType="Elliptical Contact",('Wheel Design'!$C$7),('Wheel Design'!$C$31))/2)*$C$8*1000)*(1-L12)</f>
        <v>458.78204314253776</v>
      </c>
      <c r="M18" s="605">
        <f>IF(GType="Bulkhead (no wheels)",0,$C$9/(IF(PType="Elliptical Contact",('Wheel Design'!$C$7),('Wheel Design'!$C$31))/2)*$C$8*1000)*(1-M12)</f>
        <v>305.85469542835835</v>
      </c>
      <c r="N18" s="605">
        <f>IF(GType="Bulkhead (no wheels)",0,$C$9/(IF(PType="Elliptical Contact",('Wheel Design'!$C$7),('Wheel Design'!$C$31))/2)*$C$8*1000)*(1-N12)</f>
        <v>152.92734771417918</v>
      </c>
      <c r="O18" s="605">
        <f>IF(GType="Bulkhead (no wheels)",0,$C$9/(IF(PType="Elliptical Contact",('Wheel Design'!$C$7),('Wheel Design'!$C$31))/2)*$C$8*1000)*(1-O12)</f>
        <v>0</v>
      </c>
    </row>
    <row r="19" spans="2:15" x14ac:dyDescent="0.2">
      <c r="B19" s="360"/>
      <c r="C19" s="489"/>
      <c r="D19" s="489"/>
      <c r="E19" s="489"/>
      <c r="F19" s="489"/>
      <c r="G19" s="489"/>
      <c r="H19" s="489"/>
      <c r="I19" s="489"/>
      <c r="J19" s="489"/>
      <c r="K19" s="489"/>
      <c r="L19" s="489"/>
      <c r="M19" s="489"/>
      <c r="N19" s="489"/>
      <c r="O19" s="489"/>
    </row>
    <row r="20" spans="2:15" x14ac:dyDescent="0.2">
      <c r="B20" s="267" t="s">
        <v>642</v>
      </c>
      <c r="C20" s="605">
        <f>IF(C12&lt;=0.1,Seals!$C$22,0)</f>
        <v>0</v>
      </c>
      <c r="D20" s="605">
        <f>IF(D12&lt;=0.1,Seals!$C$22,0)</f>
        <v>130.01592768065606</v>
      </c>
      <c r="E20" s="605">
        <f>IF(E12&lt;=0.1,Seals!$C$22,0)</f>
        <v>130.01592768065606</v>
      </c>
      <c r="F20" s="605">
        <f>IF(F12&lt;=0.1,Seals!$C$22,0)</f>
        <v>130.01592768065606</v>
      </c>
      <c r="G20" s="605">
        <f>IF(G12&lt;=0.1,Seals!$C$22,0)</f>
        <v>0</v>
      </c>
      <c r="H20" s="605">
        <f>IF(H12&lt;=0.1,Seals!$C$22,0)</f>
        <v>0</v>
      </c>
      <c r="I20" s="605">
        <f>IF(I12&lt;=0.1,Seals!$C$22,0)</f>
        <v>0</v>
      </c>
      <c r="J20" s="605">
        <f>IF(J12&lt;=0.1,Seals!$C$22,0)</f>
        <v>0</v>
      </c>
      <c r="K20" s="605">
        <f>IF(K12&lt;=0.1,Seals!$C$22,0)</f>
        <v>0</v>
      </c>
      <c r="L20" s="605">
        <f>IF(L12&lt;=0.1,Seals!$C$22,0)</f>
        <v>0</v>
      </c>
      <c r="M20" s="605">
        <f>IF(M12&lt;=0.1,Seals!$C$22,0)</f>
        <v>0</v>
      </c>
      <c r="N20" s="605">
        <f>IF(N12&lt;=0.1,Seals!$C$22,0)</f>
        <v>0</v>
      </c>
      <c r="O20" s="605">
        <f>IF(O12&lt;=0.1,Seals!$C$22,0)</f>
        <v>0</v>
      </c>
    </row>
    <row r="21" spans="2:15" x14ac:dyDescent="0.2">
      <c r="B21" s="267" t="s">
        <v>643</v>
      </c>
      <c r="C21" s="605">
        <f>IF(C12&lt;=0.1,Seals!$C$23,0)</f>
        <v>0</v>
      </c>
      <c r="D21" s="605">
        <f>IF(D12&lt;=0.1,Seals!$C$23,0)</f>
        <v>1022.8003459114652</v>
      </c>
      <c r="E21" s="605">
        <f>IF(E12&lt;=0.1,Seals!$C$23,0)</f>
        <v>1022.8003459114652</v>
      </c>
      <c r="F21" s="605">
        <f>IF(F12&lt;=0.1,Seals!$C$23,0)</f>
        <v>1022.8003459114652</v>
      </c>
      <c r="G21" s="605">
        <f>IF(G12&lt;=0.1,Seals!$C$23,0)</f>
        <v>0</v>
      </c>
      <c r="H21" s="605">
        <f>IF(H12&lt;=0.1,Seals!$C$23,0)</f>
        <v>0</v>
      </c>
      <c r="I21" s="605">
        <f>IF(I12&lt;=0.1,Seals!$C$23,0)</f>
        <v>0</v>
      </c>
      <c r="J21" s="605">
        <f>IF(J12&lt;=0.1,Seals!$C$23,0)</f>
        <v>0</v>
      </c>
      <c r="K21" s="605">
        <f>IF(K12&lt;=0.1,Seals!$C$23,0)</f>
        <v>0</v>
      </c>
      <c r="L21" s="605">
        <f>IF(L12&lt;=0.1,Seals!$C$23,0)</f>
        <v>0</v>
      </c>
      <c r="M21" s="605">
        <f>IF(M12&lt;=0.1,Seals!$C$23,0)</f>
        <v>0</v>
      </c>
      <c r="N21" s="605">
        <f>IF(N12&lt;=0.1,Seals!$C$23,0)</f>
        <v>0</v>
      </c>
      <c r="O21" s="605">
        <f>IF(O12&lt;=0.1,Seals!$C$23,0)</f>
        <v>0</v>
      </c>
    </row>
    <row r="22" spans="2:15" x14ac:dyDescent="0.2">
      <c r="B22" s="267" t="s">
        <v>644</v>
      </c>
      <c r="C22" s="605">
        <f>Seals!$C$44*(1-C12)</f>
        <v>0</v>
      </c>
      <c r="D22" s="605">
        <f>Seals!$C$44*(1-D12)</f>
        <v>209.47010570772363</v>
      </c>
      <c r="E22" s="605">
        <f>Seals!$C$44*(1-E12)</f>
        <v>209.47010570772363</v>
      </c>
      <c r="F22" s="605">
        <f>Seals!$C$44*(1-F12)</f>
        <v>188.52309513695127</v>
      </c>
      <c r="G22" s="605">
        <f>Seals!$C$44*(1-G12)</f>
        <v>167.57608456617891</v>
      </c>
      <c r="H22" s="605">
        <f>Seals!$C$44*(1-H12)</f>
        <v>146.62907399540654</v>
      </c>
      <c r="I22" s="605">
        <f>Seals!$C$44*(1-I12)</f>
        <v>125.68206342463418</v>
      </c>
      <c r="J22" s="605">
        <f>Seals!$C$44*(1-J12)</f>
        <v>104.73505285386182</v>
      </c>
      <c r="K22" s="605">
        <f>Seals!$C$44*(1-K12)</f>
        <v>83.788042283089453</v>
      </c>
      <c r="L22" s="605">
        <f>Seals!$C$44*(1-L12)</f>
        <v>62.841031712317097</v>
      </c>
      <c r="M22" s="605">
        <f>Seals!$C$44*(1-M12)</f>
        <v>41.894021141544719</v>
      </c>
      <c r="N22" s="605">
        <f>Seals!$C$44*(1-N12)</f>
        <v>20.94701057077236</v>
      </c>
      <c r="O22" s="605">
        <f>Seals!$C$44*(1-O12)</f>
        <v>0</v>
      </c>
    </row>
    <row r="23" spans="2:15" x14ac:dyDescent="0.2">
      <c r="B23" s="267" t="s">
        <v>645</v>
      </c>
      <c r="C23" s="605">
        <f>Seals!$C$45*(1-C12)</f>
        <v>0</v>
      </c>
      <c r="D23" s="605">
        <f>Seals!$C$45*(1-D12)</f>
        <v>2171.7623867814605</v>
      </c>
      <c r="E23" s="605">
        <f>Seals!$C$45*(1-E12)</f>
        <v>2171.7623867814605</v>
      </c>
      <c r="F23" s="605">
        <f>Seals!$C$45*(1-F12)</f>
        <v>1954.5861481033144</v>
      </c>
      <c r="G23" s="605">
        <f>Seals!$C$45*(1-G12)</f>
        <v>1737.4099094251685</v>
      </c>
      <c r="H23" s="605">
        <f>Seals!$C$45*(1-H12)</f>
        <v>1520.2336707470222</v>
      </c>
      <c r="I23" s="605">
        <f>Seals!$C$45*(1-I12)</f>
        <v>1303.0574320688763</v>
      </c>
      <c r="J23" s="605">
        <f>Seals!$C$45*(1-J12)</f>
        <v>1085.8811933907302</v>
      </c>
      <c r="K23" s="605">
        <f>Seals!$C$45*(1-K12)</f>
        <v>868.70495471258425</v>
      </c>
      <c r="L23" s="605">
        <f>Seals!$C$45*(1-L12)</f>
        <v>651.52871603443828</v>
      </c>
      <c r="M23" s="605">
        <f>Seals!$C$45*(1-M12)</f>
        <v>434.35247735629201</v>
      </c>
      <c r="N23" s="605">
        <f>Seals!$C$45*(1-N12)</f>
        <v>217.17623867814601</v>
      </c>
      <c r="O23" s="605">
        <f>Seals!$C$45*(1-O12)</f>
        <v>0</v>
      </c>
    </row>
    <row r="24" spans="2:15" x14ac:dyDescent="0.2">
      <c r="B24" s="267" t="s">
        <v>646</v>
      </c>
      <c r="C24" s="605">
        <f>IF(C12&lt;=0.1,Seals!$C$68,0)</f>
        <v>0</v>
      </c>
      <c r="D24" s="605">
        <f>IF(D12&lt;=0.1,Seals!$C$68,0)</f>
        <v>0</v>
      </c>
      <c r="E24" s="605">
        <f>Seals!$C$68</f>
        <v>0</v>
      </c>
      <c r="F24" s="605">
        <f>Seals!$C$68</f>
        <v>0</v>
      </c>
      <c r="G24" s="605">
        <v>0</v>
      </c>
      <c r="H24" s="605">
        <v>0</v>
      </c>
      <c r="I24" s="605">
        <v>0</v>
      </c>
      <c r="J24" s="605">
        <v>0</v>
      </c>
      <c r="K24" s="605">
        <v>0</v>
      </c>
      <c r="L24" s="605">
        <v>0</v>
      </c>
      <c r="M24" s="605">
        <v>0</v>
      </c>
      <c r="N24" s="605">
        <v>0</v>
      </c>
      <c r="O24" s="605">
        <v>0</v>
      </c>
    </row>
    <row r="25" spans="2:15" x14ac:dyDescent="0.2">
      <c r="B25" s="267" t="s">
        <v>647</v>
      </c>
      <c r="C25" s="605">
        <f>IF(C12&lt;=0.1,Seals!$C$69,0)</f>
        <v>0</v>
      </c>
      <c r="D25" s="605">
        <f>IF(D12&lt;=0.1,Seals!$C$69,0)</f>
        <v>0</v>
      </c>
      <c r="E25" s="605">
        <f>Seals!$C$69</f>
        <v>0</v>
      </c>
      <c r="F25" s="605">
        <f>Seals!$C$69</f>
        <v>0</v>
      </c>
      <c r="G25" s="605">
        <v>0</v>
      </c>
      <c r="H25" s="605">
        <v>0</v>
      </c>
      <c r="I25" s="605">
        <v>0</v>
      </c>
      <c r="J25" s="605">
        <v>0</v>
      </c>
      <c r="K25" s="605">
        <v>0</v>
      </c>
      <c r="L25" s="605">
        <v>0</v>
      </c>
      <c r="M25" s="605">
        <v>0</v>
      </c>
      <c r="N25" s="605">
        <v>0</v>
      </c>
      <c r="O25" s="605">
        <v>0</v>
      </c>
    </row>
    <row r="26" spans="2:15" x14ac:dyDescent="0.2">
      <c r="B26" s="360"/>
      <c r="C26" s="606"/>
      <c r="D26" s="606"/>
      <c r="E26" s="606"/>
      <c r="F26" s="606"/>
      <c r="G26" s="606"/>
      <c r="H26" s="606"/>
      <c r="I26" s="606"/>
      <c r="J26" s="606"/>
      <c r="K26" s="606"/>
      <c r="L26" s="606"/>
      <c r="M26" s="606"/>
      <c r="N26" s="606"/>
      <c r="O26" s="606"/>
    </row>
    <row r="27" spans="2:15" x14ac:dyDescent="0.2">
      <c r="B27" s="267" t="s">
        <v>648</v>
      </c>
      <c r="C27" s="605">
        <f ca="1">IF(C12=0,0,IF(Loc="Downstream",IF(GType&lt;&gt;"Bulkhead (no wheels)",OFFSET(Downpull!$I$60,0,100*C12),0),0))</f>
        <v>0</v>
      </c>
      <c r="D27" s="605">
        <f ca="1">IF(D12=0,0,IF(Loc="Downstream",IF(GType&lt;&gt;"Bulkhead (no wheels)",OFFSET(Downpull!$I$60,0,100*D12),0),0))</f>
        <v>0</v>
      </c>
      <c r="E27" s="605">
        <v>0</v>
      </c>
      <c r="F27" s="605">
        <f ca="1">IF(Loc="Downstream",IF(GType&lt;&gt;"Bulkhead (no wheels)",OFFSET(Downpull!$I$60,0,100*F12),0),0)</f>
        <v>0</v>
      </c>
      <c r="G27" s="605">
        <f ca="1">IF(Loc="Downstream",IF(GType&lt;&gt;"Bulkhead (no wheels)",OFFSET(Downpull!$I$60,0,100*G12),0),0)</f>
        <v>0</v>
      </c>
      <c r="H27" s="605">
        <f ca="1">IF(Loc="Downstream",IF(GType&lt;&gt;"Bulkhead (no wheels)",OFFSET(Downpull!$I$60,0,100*H12),0),0)</f>
        <v>0</v>
      </c>
      <c r="I27" s="605">
        <f ca="1">IF(Loc="Downstream",IF(GType&lt;&gt;"Bulkhead (no wheels)",OFFSET(Downpull!$I$60,0,100*I12),0),0)</f>
        <v>0</v>
      </c>
      <c r="J27" s="605">
        <f ca="1">IF(Loc="Downstream",IF(GType&lt;&gt;"Bulkhead (no wheels)",OFFSET(Downpull!$I$60,0,100*J12),0),0)</f>
        <v>0</v>
      </c>
      <c r="K27" s="605">
        <f ca="1">IF(Loc="Downstream",IF(GType&lt;&gt;"Bulkhead (no wheels)",OFFSET(Downpull!$I$60,0,100*K12),0),0)</f>
        <v>0</v>
      </c>
      <c r="L27" s="605">
        <f ca="1">IF(Loc="Downstream",IF(GType&lt;&gt;"Bulkhead (no wheels)",OFFSET(Downpull!$I$60,0,100*L12),0),0)</f>
        <v>0</v>
      </c>
      <c r="M27" s="605">
        <f ca="1">IF(Loc="Downstream",IF(GType&lt;&gt;"Bulkhead (no wheels)",OFFSET(Downpull!$I$60,0,100*M12),0),0)</f>
        <v>0</v>
      </c>
      <c r="N27" s="605">
        <f ca="1">IF(Loc="Downstream",IF(GType&lt;&gt;"Bulkhead (no wheels)",OFFSET(Downpull!$I$60,0,100*N12),0),0)</f>
        <v>0</v>
      </c>
      <c r="O27" s="605">
        <v>0</v>
      </c>
    </row>
    <row r="28" spans="2:15" x14ac:dyDescent="0.2">
      <c r="B28" s="360"/>
      <c r="C28" s="489"/>
      <c r="D28" s="489"/>
      <c r="E28" s="489"/>
      <c r="F28" s="489"/>
      <c r="G28" s="489"/>
      <c r="H28" s="489"/>
      <c r="I28" s="489"/>
      <c r="J28" s="489"/>
      <c r="K28" s="489"/>
      <c r="L28" s="489"/>
      <c r="M28" s="489"/>
      <c r="N28" s="489"/>
      <c r="O28" s="489"/>
    </row>
    <row r="29" spans="2:15" x14ac:dyDescent="0.2">
      <c r="B29" s="267" t="s">
        <v>649</v>
      </c>
      <c r="C29" s="607">
        <f t="shared" ref="C29:O29" ca="1" si="0">SUM(C15:C27)</f>
        <v>37123.78860832502</v>
      </c>
      <c r="D29" s="607">
        <f t="shared" ca="1" si="0"/>
        <v>48304.204760115288</v>
      </c>
      <c r="E29" s="607">
        <f t="shared" ca="1" si="0"/>
        <v>48304.204760115288</v>
      </c>
      <c r="F29" s="607">
        <f t="shared" ca="1" si="0"/>
        <v>47301.444772295472</v>
      </c>
      <c r="G29" s="607">
        <f t="shared" ca="1" si="0"/>
        <v>45145.868510883534</v>
      </c>
      <c r="H29" s="607">
        <f t="shared" ca="1" si="0"/>
        <v>44143.108523063718</v>
      </c>
      <c r="I29" s="607">
        <f t="shared" ca="1" si="0"/>
        <v>43140.348535243909</v>
      </c>
      <c r="J29" s="607">
        <f t="shared" ca="1" si="0"/>
        <v>42137.588547424086</v>
      </c>
      <c r="K29" s="607">
        <f t="shared" ca="1" si="0"/>
        <v>41134.828559604277</v>
      </c>
      <c r="L29" s="607">
        <f t="shared" ca="1" si="0"/>
        <v>40132.068571784461</v>
      </c>
      <c r="M29" s="607">
        <f t="shared" ca="1" si="0"/>
        <v>39129.308583964652</v>
      </c>
      <c r="N29" s="607">
        <f t="shared" ca="1" si="0"/>
        <v>38126.548596144836</v>
      </c>
      <c r="O29" s="607">
        <f t="shared" ca="1" si="0"/>
        <v>37123.78860832502</v>
      </c>
    </row>
    <row r="30" spans="2:15" x14ac:dyDescent="0.2">
      <c r="B30" s="267" t="s">
        <v>650</v>
      </c>
      <c r="C30" s="607">
        <f t="shared" ref="C30:O30" ca="1" si="1">C15-SUM(C17:C25)</f>
        <v>37123.78860832502</v>
      </c>
      <c r="D30" s="607">
        <f t="shared" ca="1" si="1"/>
        <v>25943.372456534755</v>
      </c>
      <c r="E30" s="607">
        <f t="shared" ca="1" si="1"/>
        <v>25943.372456534755</v>
      </c>
      <c r="F30" s="607">
        <f t="shared" ca="1" si="1"/>
        <v>26946.132444354567</v>
      </c>
      <c r="G30" s="607">
        <f t="shared" ca="1" si="1"/>
        <v>29101.708705766505</v>
      </c>
      <c r="H30" s="607">
        <f t="shared" ca="1" si="1"/>
        <v>30104.468693586321</v>
      </c>
      <c r="I30" s="607">
        <f t="shared" ca="1" si="1"/>
        <v>31107.228681406134</v>
      </c>
      <c r="J30" s="607">
        <f t="shared" ca="1" si="1"/>
        <v>32109.988669225946</v>
      </c>
      <c r="K30" s="607">
        <f t="shared" ca="1" si="1"/>
        <v>33112.748657045762</v>
      </c>
      <c r="L30" s="607">
        <f t="shared" ca="1" si="1"/>
        <v>34115.508644865578</v>
      </c>
      <c r="M30" s="607">
        <f t="shared" ca="1" si="1"/>
        <v>35118.268632685395</v>
      </c>
      <c r="N30" s="607">
        <f t="shared" ca="1" si="1"/>
        <v>36121.028620505203</v>
      </c>
      <c r="O30" s="607">
        <f t="shared" ca="1" si="1"/>
        <v>37123.78860832502</v>
      </c>
    </row>
    <row r="31" spans="2:15" x14ac:dyDescent="0.2">
      <c r="B31" s="267" t="s">
        <v>651</v>
      </c>
      <c r="C31" s="608" t="str">
        <f t="shared" ref="C31:O31" si="2">IF(SUM(C17:C25)=0,"200+",IF(C15/SUM(C17:C25)&gt;2,"200+",C15/SUM(C17:C25)*100))</f>
        <v>200+</v>
      </c>
      <c r="D31" s="608" t="str">
        <f t="shared" ca="1" si="2"/>
        <v>200+</v>
      </c>
      <c r="E31" s="608" t="str">
        <f t="shared" ca="1" si="2"/>
        <v>200+</v>
      </c>
      <c r="F31" s="608" t="str">
        <f t="shared" ca="1" si="2"/>
        <v>200+</v>
      </c>
      <c r="G31" s="608" t="str">
        <f t="shared" ca="1" si="2"/>
        <v>200+</v>
      </c>
      <c r="H31" s="608" t="str">
        <f t="shared" ca="1" si="2"/>
        <v>200+</v>
      </c>
      <c r="I31" s="608" t="str">
        <f t="shared" ca="1" si="2"/>
        <v>200+</v>
      </c>
      <c r="J31" s="608" t="str">
        <f t="shared" ca="1" si="2"/>
        <v>200+</v>
      </c>
      <c r="K31" s="608" t="str">
        <f t="shared" ca="1" si="2"/>
        <v>200+</v>
      </c>
      <c r="L31" s="608" t="str">
        <f t="shared" ca="1" si="2"/>
        <v>200+</v>
      </c>
      <c r="M31" s="608" t="str">
        <f t="shared" ca="1" si="2"/>
        <v>200+</v>
      </c>
      <c r="N31" s="608" t="str">
        <f t="shared" ca="1" si="2"/>
        <v>200+</v>
      </c>
      <c r="O31" s="608" t="str">
        <f t="shared" si="2"/>
        <v>200+</v>
      </c>
    </row>
  </sheetData>
  <sheetProtection algorithmName="SHA-512" hashValue="F4QPsZb8WNilhznYBsorQGBNpxBn/dRQfR9++TpyJrDTK0DymEyEpTbu/9c0btYGwUKxuGGt8w/3997GzE3cvw==" saltValue="os3EqOQd09BVpZ45SATDFw==" spinCount="100000" sheet="1" objects="1" scenarios="1" selectLockedCells="1"/>
  <mergeCells count="8">
    <mergeCell ref="C8:D8"/>
    <mergeCell ref="C9:D9"/>
    <mergeCell ref="A3:O3"/>
    <mergeCell ref="C5:D5"/>
    <mergeCell ref="C6:D6"/>
    <mergeCell ref="F6:I6"/>
    <mergeCell ref="C7:D7"/>
    <mergeCell ref="F7:K7"/>
  </mergeCells>
  <conditionalFormatting sqref="F31">
    <cfRule type="cellIs" dxfId="106" priority="25" operator="lessThan">
      <formula>100</formula>
    </cfRule>
    <cfRule type="cellIs" dxfId="105" priority="26" operator="greaterThanOrEqual">
      <formula>100</formula>
    </cfRule>
  </conditionalFormatting>
  <conditionalFormatting sqref="E31">
    <cfRule type="cellIs" dxfId="104" priority="23" operator="lessThan">
      <formula>100</formula>
    </cfRule>
    <cfRule type="cellIs" dxfId="103" priority="24" operator="greaterThanOrEqual">
      <formula>100</formula>
    </cfRule>
  </conditionalFormatting>
  <conditionalFormatting sqref="D31">
    <cfRule type="cellIs" dxfId="102" priority="21" operator="lessThan">
      <formula>100</formula>
    </cfRule>
    <cfRule type="cellIs" dxfId="101" priority="22" operator="greaterThanOrEqual">
      <formula>100</formula>
    </cfRule>
  </conditionalFormatting>
  <conditionalFormatting sqref="C31">
    <cfRule type="cellIs" dxfId="100" priority="19" operator="lessThan">
      <formula>100</formula>
    </cfRule>
    <cfRule type="cellIs" dxfId="99" priority="20" operator="greaterThanOrEqual">
      <formula>100</formula>
    </cfRule>
  </conditionalFormatting>
  <conditionalFormatting sqref="G31">
    <cfRule type="cellIs" dxfId="98" priority="17" operator="lessThan">
      <formula>100</formula>
    </cfRule>
    <cfRule type="cellIs" dxfId="97" priority="18" operator="greaterThanOrEqual">
      <formula>100</formula>
    </cfRule>
  </conditionalFormatting>
  <conditionalFormatting sqref="H31">
    <cfRule type="cellIs" dxfId="96" priority="15" operator="lessThan">
      <formula>100</formula>
    </cfRule>
    <cfRule type="cellIs" dxfId="95" priority="16" operator="greaterThanOrEqual">
      <formula>100</formula>
    </cfRule>
  </conditionalFormatting>
  <conditionalFormatting sqref="I31">
    <cfRule type="cellIs" dxfId="94" priority="13" operator="lessThan">
      <formula>100</formula>
    </cfRule>
    <cfRule type="cellIs" dxfId="93" priority="14" operator="greaterThanOrEqual">
      <formula>100</formula>
    </cfRule>
  </conditionalFormatting>
  <conditionalFormatting sqref="J31">
    <cfRule type="cellIs" dxfId="92" priority="11" operator="lessThan">
      <formula>100</formula>
    </cfRule>
    <cfRule type="cellIs" dxfId="91" priority="12" operator="greaterThanOrEqual">
      <formula>100</formula>
    </cfRule>
  </conditionalFormatting>
  <conditionalFormatting sqref="K31">
    <cfRule type="cellIs" dxfId="90" priority="9" operator="lessThan">
      <formula>100</formula>
    </cfRule>
    <cfRule type="cellIs" dxfId="89" priority="10" operator="greaterThanOrEqual">
      <formula>100</formula>
    </cfRule>
  </conditionalFormatting>
  <conditionalFormatting sqref="L31">
    <cfRule type="cellIs" dxfId="88" priority="7" operator="lessThan">
      <formula>100</formula>
    </cfRule>
    <cfRule type="cellIs" dxfId="87" priority="8" operator="greaterThanOrEqual">
      <formula>100</formula>
    </cfRule>
  </conditionalFormatting>
  <conditionalFormatting sqref="M31">
    <cfRule type="cellIs" dxfId="86" priority="5" operator="lessThan">
      <formula>100</formula>
    </cfRule>
    <cfRule type="cellIs" dxfId="85" priority="6" operator="greaterThanOrEqual">
      <formula>100</formula>
    </cfRule>
  </conditionalFormatting>
  <conditionalFormatting sqref="N31">
    <cfRule type="cellIs" dxfId="84" priority="3" operator="lessThan">
      <formula>100</formula>
    </cfRule>
    <cfRule type="cellIs" dxfId="83" priority="4" operator="greaterThanOrEqual">
      <formula>100</formula>
    </cfRule>
  </conditionalFormatting>
  <conditionalFormatting sqref="O31">
    <cfRule type="cellIs" dxfId="82" priority="1" operator="lessThan">
      <formula>100</formula>
    </cfRule>
    <cfRule type="cellIs" dxfId="81" priority="2" operator="greaterThanOrEqual">
      <formula>100</formula>
    </cfRule>
  </conditionalFormatting>
  <dataValidations count="4">
    <dataValidation type="decimal" allowBlank="1" showInputMessage="1" showErrorMessage="1" errorTitle="Bearing Friction Coefficient" error="Value between 0 and 1 required" sqref="C7">
      <formula1>0</formula1>
      <formula2>1</formula2>
    </dataValidation>
    <dataValidation type="list" allowBlank="1" showInputMessage="1" showErrorMessage="1" sqref="F6">
      <formula1>Ballast</formula1>
    </dataValidation>
    <dataValidation type="list" allowBlank="1" showInputMessage="1" showErrorMessage="1" sqref="F7">
      <formula1>friction</formula1>
    </dataValidation>
    <dataValidation type="whole" allowBlank="1" showInputMessage="1" showErrorMessage="1" errorTitle="Ballast Weight" error="Whole number between 0 and 100,000 required" sqref="C5">
      <formula1>0</formula1>
      <formula2>100000</formula2>
    </dataValidation>
  </dataValidations>
  <pageMargins left="0.7" right="0.7" top="0.75" bottom="0.75" header="0.3" footer="0.3"/>
  <pageSetup paperSize="9" scale="57" orientation="portrait" blackAndWhite="1" r:id="rId1"/>
  <headerFooter>
    <oddHeader>&amp;L
Summary&amp;C
&amp;R
Lower Likhu Hydropower Project (28.1 MW)</oddHeader>
    <oddFooter>Page &amp;P of &amp;N</oddFooter>
  </headerFooter>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peDrumHoist">
    <pageSetUpPr fitToPage="1"/>
  </sheetPr>
  <dimension ref="A1:I61"/>
  <sheetViews>
    <sheetView topLeftCell="A19" zoomScale="75" zoomScaleNormal="75" zoomScaleSheetLayoutView="50" workbookViewId="0">
      <selection activeCell="D9" sqref="D9"/>
    </sheetView>
  </sheetViews>
  <sheetFormatPr defaultRowHeight="14.25" x14ac:dyDescent="0.2"/>
  <cols>
    <col min="1" max="1" width="9.140625" style="715"/>
    <col min="2" max="2" width="35.28515625" style="715" bestFit="1" customWidth="1"/>
    <col min="3" max="3" width="7.42578125" style="715" bestFit="1" customWidth="1"/>
    <col min="4" max="4" width="20.7109375" style="715" bestFit="1" customWidth="1"/>
    <col min="5" max="5" width="8" style="715" bestFit="1" customWidth="1"/>
    <col min="6" max="16384" width="9.140625" style="715"/>
  </cols>
  <sheetData>
    <row r="1" spans="1:9" x14ac:dyDescent="0.2">
      <c r="A1" s="1175" t="s">
        <v>811</v>
      </c>
      <c r="B1" s="1175"/>
      <c r="C1" s="1175"/>
      <c r="D1" s="1175"/>
      <c r="E1" s="1175"/>
      <c r="F1" s="1175"/>
      <c r="G1" s="1175"/>
      <c r="H1" s="1175"/>
      <c r="I1" s="1175"/>
    </row>
    <row r="2" spans="1:9" x14ac:dyDescent="0.2">
      <c r="A2" s="1175" t="s">
        <v>47</v>
      </c>
      <c r="B2" s="1175"/>
      <c r="C2" s="1175"/>
      <c r="D2" s="1175"/>
      <c r="E2" s="1175"/>
      <c r="F2" s="1175"/>
      <c r="G2" s="1175"/>
      <c r="H2" s="1175"/>
      <c r="I2" s="1175"/>
    </row>
    <row r="3" spans="1:9" ht="15" x14ac:dyDescent="0.2">
      <c r="A3" s="716"/>
      <c r="B3" s="716"/>
      <c r="C3" s="716"/>
      <c r="D3" s="716"/>
      <c r="E3" s="716"/>
      <c r="F3" s="716"/>
      <c r="G3" s="716"/>
      <c r="H3" s="716"/>
      <c r="I3" s="716"/>
    </row>
    <row r="4" spans="1:9" x14ac:dyDescent="0.2">
      <c r="B4" s="715" t="s">
        <v>674</v>
      </c>
      <c r="C4" s="715" t="s">
        <v>334</v>
      </c>
      <c r="D4" s="717">
        <f ca="1">MAX(Operation!C29:O29)/1000</f>
        <v>48.30420476011529</v>
      </c>
    </row>
    <row r="5" spans="1:9" x14ac:dyDescent="0.2">
      <c r="B5" s="715" t="s">
        <v>675</v>
      </c>
      <c r="C5" s="715" t="s">
        <v>748</v>
      </c>
      <c r="D5" s="717">
        <f ca="1">+D4*2.5</f>
        <v>120.76051190028822</v>
      </c>
      <c r="F5" s="718"/>
    </row>
    <row r="6" spans="1:9" x14ac:dyDescent="0.2">
      <c r="B6" s="715" t="s">
        <v>677</v>
      </c>
      <c r="C6" s="715" t="s">
        <v>749</v>
      </c>
      <c r="D6" s="719">
        <f ca="1">D5/10</f>
        <v>12.076051190028823</v>
      </c>
    </row>
    <row r="7" spans="1:9" x14ac:dyDescent="0.2">
      <c r="B7" s="715" t="s">
        <v>676</v>
      </c>
      <c r="C7" s="715" t="s">
        <v>750</v>
      </c>
      <c r="D7" s="663">
        <f ca="1">D6</f>
        <v>12.076051190028823</v>
      </c>
    </row>
    <row r="8" spans="1:9" ht="28.5" x14ac:dyDescent="0.2">
      <c r="B8" s="720" t="s">
        <v>678</v>
      </c>
      <c r="C8" s="721"/>
      <c r="D8" s="722" t="s">
        <v>812</v>
      </c>
      <c r="E8" s="723"/>
      <c r="F8" s="723"/>
    </row>
    <row r="9" spans="1:9" x14ac:dyDescent="0.2">
      <c r="B9" s="715" t="s">
        <v>679</v>
      </c>
      <c r="C9" s="715" t="s">
        <v>751</v>
      </c>
      <c r="D9" s="664">
        <v>12</v>
      </c>
    </row>
    <row r="10" spans="1:9" x14ac:dyDescent="0.2">
      <c r="B10" s="715" t="s">
        <v>694</v>
      </c>
      <c r="C10" s="715" t="s">
        <v>753</v>
      </c>
      <c r="D10" s="661" t="s">
        <v>780</v>
      </c>
    </row>
    <row r="11" spans="1:9" x14ac:dyDescent="0.2">
      <c r="B11" s="715" t="s">
        <v>680</v>
      </c>
      <c r="D11" s="717">
        <f>IF(D10="1570CF",VLOOKUP(D9,RopeData,4,FALSE),IF(D10="1570CWR",VLOOKUP(D9, RopeData,5, FALSE), IF(D10="1770CF",VLOOKUP(D9,RopeData,6,FALSE),IF(D10="1770CWR",VLOOKUP(D9,RopeData,7,FALSE),IF(D10="1960CF",VLOOKUP(D9,RopeData,8,FALSE), IF(D10="1960CWR",VLOOKUP(D9,RopeData,9, FALSE),0))))))</f>
        <v>72</v>
      </c>
    </row>
    <row r="12" spans="1:9" x14ac:dyDescent="0.2">
      <c r="B12" s="715" t="s">
        <v>695</v>
      </c>
      <c r="D12" s="659">
        <v>2</v>
      </c>
    </row>
    <row r="13" spans="1:9" x14ac:dyDescent="0.2">
      <c r="B13" s="715" t="s">
        <v>696</v>
      </c>
      <c r="C13" s="715" t="s">
        <v>175</v>
      </c>
      <c r="D13" s="719">
        <f ca="1">+D7/D12</f>
        <v>6.0380255950144113</v>
      </c>
    </row>
    <row r="14" spans="1:9" x14ac:dyDescent="0.2">
      <c r="B14" s="715" t="s">
        <v>697</v>
      </c>
      <c r="C14" s="715" t="s">
        <v>755</v>
      </c>
      <c r="D14" s="659">
        <v>1</v>
      </c>
    </row>
    <row r="15" spans="1:9" x14ac:dyDescent="0.2">
      <c r="B15" s="715" t="s">
        <v>698</v>
      </c>
      <c r="C15" s="715" t="s">
        <v>756</v>
      </c>
      <c r="D15" s="659">
        <v>0.95</v>
      </c>
    </row>
    <row r="16" spans="1:9" x14ac:dyDescent="0.2">
      <c r="B16" s="715" t="s">
        <v>699</v>
      </c>
      <c r="C16" s="715" t="s">
        <v>160</v>
      </c>
      <c r="D16" s="719">
        <f ca="1">+(D13/(1+D14)*D15)</f>
        <v>2.868062157631845</v>
      </c>
    </row>
    <row r="17" spans="2:5" ht="15" x14ac:dyDescent="0.25">
      <c r="B17" s="715" t="s">
        <v>700</v>
      </c>
      <c r="C17" s="715" t="s">
        <v>754</v>
      </c>
      <c r="D17" s="724">
        <f ca="1">+D11/D16/10</f>
        <v>2.5104058434859828</v>
      </c>
    </row>
    <row r="18" spans="2:5" x14ac:dyDescent="0.2">
      <c r="B18" s="715" t="s">
        <v>701</v>
      </c>
      <c r="C18" s="715" t="s">
        <v>673</v>
      </c>
      <c r="D18" s="725">
        <f>20*D9</f>
        <v>240</v>
      </c>
    </row>
    <row r="19" spans="2:5" x14ac:dyDescent="0.2">
      <c r="B19" s="715" t="s">
        <v>702</v>
      </c>
      <c r="C19" s="715" t="s">
        <v>757</v>
      </c>
      <c r="D19" s="725">
        <f>17*D9</f>
        <v>204</v>
      </c>
    </row>
    <row r="20" spans="2:5" x14ac:dyDescent="0.2">
      <c r="B20" s="715" t="s">
        <v>703</v>
      </c>
      <c r="C20" s="715" t="s">
        <v>765</v>
      </c>
      <c r="D20" s="665">
        <v>300</v>
      </c>
    </row>
    <row r="21" spans="2:5" x14ac:dyDescent="0.2">
      <c r="B21" s="715" t="s">
        <v>704</v>
      </c>
      <c r="C21" s="715" t="s">
        <v>767</v>
      </c>
      <c r="D21" s="665">
        <v>200</v>
      </c>
    </row>
    <row r="22" spans="2:5" x14ac:dyDescent="0.2">
      <c r="B22" s="715" t="s">
        <v>705</v>
      </c>
      <c r="C22" s="715" t="s">
        <v>756</v>
      </c>
      <c r="D22" s="666">
        <f>0.95^2</f>
        <v>0.90249999999999997</v>
      </c>
    </row>
    <row r="23" spans="2:5" x14ac:dyDescent="0.2">
      <c r="B23" s="715" t="s">
        <v>706</v>
      </c>
      <c r="C23" s="715" t="s">
        <v>762</v>
      </c>
      <c r="D23" s="659">
        <v>0.9</v>
      </c>
    </row>
    <row r="24" spans="2:5" x14ac:dyDescent="0.2">
      <c r="B24" s="715" t="s">
        <v>707</v>
      </c>
      <c r="C24" s="715" t="s">
        <v>758</v>
      </c>
      <c r="D24" s="659">
        <v>0.9</v>
      </c>
    </row>
    <row r="25" spans="2:5" x14ac:dyDescent="0.2">
      <c r="B25" s="715" t="s">
        <v>708</v>
      </c>
      <c r="C25" s="715" t="s">
        <v>759</v>
      </c>
      <c r="D25" s="659">
        <v>0.95</v>
      </c>
    </row>
    <row r="26" spans="2:5" x14ac:dyDescent="0.2">
      <c r="B26" s="715" t="s">
        <v>709</v>
      </c>
      <c r="C26" s="715" t="s">
        <v>760</v>
      </c>
      <c r="D26" s="659">
        <v>0.95</v>
      </c>
    </row>
    <row r="27" spans="2:5" x14ac:dyDescent="0.2">
      <c r="B27" s="715" t="s">
        <v>710</v>
      </c>
      <c r="C27" s="715" t="s">
        <v>761</v>
      </c>
      <c r="D27" s="659">
        <v>0.95</v>
      </c>
    </row>
    <row r="28" spans="2:5" x14ac:dyDescent="0.2">
      <c r="B28" s="715" t="s">
        <v>711</v>
      </c>
      <c r="C28" s="715" t="s">
        <v>763</v>
      </c>
      <c r="D28" s="667">
        <f>+D22*D23*D24*D25*D26*D27</f>
        <v>0.62676255937500003</v>
      </c>
    </row>
    <row r="29" spans="2:5" x14ac:dyDescent="0.2">
      <c r="B29" s="715" t="s">
        <v>712</v>
      </c>
      <c r="D29" s="726" t="s">
        <v>713</v>
      </c>
    </row>
    <row r="30" spans="2:5" x14ac:dyDescent="0.2">
      <c r="B30" s="715" t="s">
        <v>714</v>
      </c>
      <c r="C30" s="715" t="s">
        <v>752</v>
      </c>
      <c r="D30" s="668">
        <v>1000</v>
      </c>
    </row>
    <row r="31" spans="2:5" x14ac:dyDescent="0.2">
      <c r="B31" s="715" t="s">
        <v>715</v>
      </c>
      <c r="C31" s="715" t="s">
        <v>764</v>
      </c>
      <c r="D31" s="727">
        <v>0.3</v>
      </c>
      <c r="E31" s="740" t="s">
        <v>719</v>
      </c>
    </row>
    <row r="32" spans="2:5" x14ac:dyDescent="0.2">
      <c r="B32" s="715" t="s">
        <v>716</v>
      </c>
      <c r="D32" s="659">
        <v>2</v>
      </c>
    </row>
    <row r="33" spans="2:5" x14ac:dyDescent="0.2">
      <c r="B33" s="715" t="s">
        <v>717</v>
      </c>
      <c r="C33" s="715" t="s">
        <v>765</v>
      </c>
      <c r="D33" s="725">
        <f>D20</f>
        <v>300</v>
      </c>
    </row>
    <row r="34" spans="2:5" x14ac:dyDescent="0.2">
      <c r="B34" s="715" t="s">
        <v>718</v>
      </c>
      <c r="C34" s="715" t="s">
        <v>768</v>
      </c>
      <c r="D34" s="728">
        <f>(2*D14*D31)/(PI()*(D33/1000))</f>
        <v>0.63661977236758138</v>
      </c>
    </row>
    <row r="35" spans="2:5" x14ac:dyDescent="0.2">
      <c r="B35" s="715" t="s">
        <v>720</v>
      </c>
      <c r="C35" s="715" t="s">
        <v>769</v>
      </c>
      <c r="D35" s="729">
        <f>+D30/D34</f>
        <v>1570.7963267948965</v>
      </c>
    </row>
    <row r="36" spans="2:5" x14ac:dyDescent="0.2">
      <c r="B36" s="715" t="s">
        <v>721</v>
      </c>
      <c r="C36" s="715" t="s">
        <v>770</v>
      </c>
      <c r="D36" s="730">
        <f ca="1">+(D31*D7)/(6.12*D28)</f>
        <v>0.94447775281784929</v>
      </c>
    </row>
    <row r="37" spans="2:5" x14ac:dyDescent="0.2">
      <c r="B37" s="715" t="s">
        <v>722</v>
      </c>
      <c r="C37" s="715" t="s">
        <v>771</v>
      </c>
      <c r="D37" s="669">
        <v>0.52</v>
      </c>
      <c r="E37" s="741">
        <f>120*50/D30</f>
        <v>6</v>
      </c>
    </row>
    <row r="38" spans="2:5" x14ac:dyDescent="0.2">
      <c r="B38" s="715" t="s">
        <v>725</v>
      </c>
      <c r="D38" s="670">
        <v>10</v>
      </c>
    </row>
    <row r="39" spans="2:5" x14ac:dyDescent="0.2">
      <c r="B39" s="715" t="s">
        <v>726</v>
      </c>
      <c r="C39" s="715" t="s">
        <v>772</v>
      </c>
      <c r="D39" s="665">
        <v>600</v>
      </c>
    </row>
    <row r="40" spans="2:5" x14ac:dyDescent="0.2">
      <c r="B40" s="715" t="s">
        <v>727</v>
      </c>
      <c r="C40" s="715" t="s">
        <v>773</v>
      </c>
      <c r="D40" s="725">
        <f>+D39/2</f>
        <v>300</v>
      </c>
    </row>
    <row r="41" spans="2:5" x14ac:dyDescent="0.2">
      <c r="B41" s="715" t="s">
        <v>728</v>
      </c>
      <c r="C41" s="715" t="s">
        <v>769</v>
      </c>
      <c r="D41" s="731">
        <v>1E-3</v>
      </c>
    </row>
    <row r="42" spans="2:5" x14ac:dyDescent="0.2">
      <c r="B42" s="715" t="s">
        <v>729</v>
      </c>
      <c r="C42" s="715" t="s">
        <v>774</v>
      </c>
      <c r="D42" s="726">
        <v>0.4</v>
      </c>
    </row>
    <row r="43" spans="2:5" x14ac:dyDescent="0.2">
      <c r="B43" s="715" t="s">
        <v>730</v>
      </c>
      <c r="C43" s="715" t="s">
        <v>334</v>
      </c>
      <c r="D43" s="719">
        <f ca="1">+D7</f>
        <v>12.076051190028823</v>
      </c>
    </row>
    <row r="44" spans="2:5" x14ac:dyDescent="0.2">
      <c r="B44" s="715" t="s">
        <v>731</v>
      </c>
      <c r="D44" s="730">
        <v>6.6666666666666666E-2</v>
      </c>
    </row>
    <row r="45" spans="2:5" x14ac:dyDescent="0.2">
      <c r="B45" s="715" t="s">
        <v>724</v>
      </c>
      <c r="C45" s="715" t="s">
        <v>775</v>
      </c>
      <c r="D45" s="742">
        <f ca="1">+D43*1000*0.5*(D33/20)*D41*(1/D42)*(D44)</f>
        <v>15.09506398753603</v>
      </c>
    </row>
    <row r="46" spans="2:5" x14ac:dyDescent="0.2">
      <c r="B46" s="715" t="s">
        <v>732</v>
      </c>
      <c r="C46" s="715" t="s">
        <v>776</v>
      </c>
      <c r="D46" s="732">
        <f ca="1">+D45/(D40/10)</f>
        <v>0.50316879958453431</v>
      </c>
    </row>
    <row r="47" spans="2:5" x14ac:dyDescent="0.2">
      <c r="B47" s="715" t="s">
        <v>736</v>
      </c>
      <c r="C47" s="715" t="s">
        <v>777</v>
      </c>
      <c r="D47" s="733">
        <f>+D34*(D33/1000)*PI()*(1/2*D14)</f>
        <v>0.3</v>
      </c>
    </row>
    <row r="48" spans="2:5" x14ac:dyDescent="0.2">
      <c r="B48" s="715" t="s">
        <v>737</v>
      </c>
      <c r="D48" s="726">
        <f>Summary!D14*2</f>
        <v>8</v>
      </c>
    </row>
    <row r="49" spans="2:4" x14ac:dyDescent="0.2">
      <c r="B49" s="715" t="s">
        <v>738</v>
      </c>
      <c r="C49" s="715" t="s">
        <v>117</v>
      </c>
      <c r="D49" s="725">
        <f>+D9+3</f>
        <v>15</v>
      </c>
    </row>
    <row r="50" spans="2:4" x14ac:dyDescent="0.2">
      <c r="B50" s="715" t="s">
        <v>739</v>
      </c>
      <c r="C50" s="715" t="s">
        <v>152</v>
      </c>
      <c r="D50" s="725">
        <v>500</v>
      </c>
    </row>
    <row r="51" spans="2:4" x14ac:dyDescent="0.2">
      <c r="B51" s="715" t="s">
        <v>740</v>
      </c>
      <c r="C51" s="715" t="s">
        <v>766</v>
      </c>
      <c r="D51" s="734">
        <f>+((1000*D48)/(PI()*D33))+3</f>
        <v>11.488263631567751</v>
      </c>
    </row>
    <row r="52" spans="2:4" x14ac:dyDescent="0.2">
      <c r="B52" s="715" t="s">
        <v>741</v>
      </c>
      <c r="C52" s="715" t="s">
        <v>778</v>
      </c>
      <c r="D52" s="725">
        <f>+D51*D49</f>
        <v>172.32395447351627</v>
      </c>
    </row>
    <row r="53" spans="2:4" x14ac:dyDescent="0.2">
      <c r="B53" s="715" t="s">
        <v>735</v>
      </c>
      <c r="D53" s="735">
        <f>+D30/100</f>
        <v>10</v>
      </c>
    </row>
    <row r="54" spans="2:4" x14ac:dyDescent="0.2">
      <c r="B54" s="715" t="s">
        <v>734</v>
      </c>
      <c r="D54" s="735">
        <f>+D53/6</f>
        <v>1.6666666666666667</v>
      </c>
    </row>
    <row r="55" spans="2:4" x14ac:dyDescent="0.2">
      <c r="B55" s="715" t="s">
        <v>733</v>
      </c>
      <c r="D55" s="735">
        <f>+D34</f>
        <v>0.63661977236758138</v>
      </c>
    </row>
    <row r="56" spans="2:4" x14ac:dyDescent="0.2">
      <c r="B56" s="715" t="s">
        <v>714</v>
      </c>
      <c r="D56" s="736">
        <f>+D30</f>
        <v>1000</v>
      </c>
    </row>
    <row r="57" spans="2:4" x14ac:dyDescent="0.2">
      <c r="B57" s="715" t="s">
        <v>742</v>
      </c>
      <c r="D57" s="737" t="s">
        <v>743</v>
      </c>
    </row>
    <row r="58" spans="2:4" x14ac:dyDescent="0.2">
      <c r="B58" s="715" t="s">
        <v>744</v>
      </c>
      <c r="D58" s="730">
        <v>0.16666666666666666</v>
      </c>
    </row>
    <row r="59" spans="2:4" x14ac:dyDescent="0.2">
      <c r="B59" s="715" t="s">
        <v>745</v>
      </c>
      <c r="D59" s="730">
        <f>+D55/D54</f>
        <v>0.38197186342054879</v>
      </c>
    </row>
    <row r="60" spans="2:4" x14ac:dyDescent="0.2">
      <c r="B60" s="715" t="s">
        <v>746</v>
      </c>
      <c r="D60" s="738">
        <v>0.5</v>
      </c>
    </row>
    <row r="61" spans="2:4" x14ac:dyDescent="0.2">
      <c r="B61" s="715" t="s">
        <v>747</v>
      </c>
      <c r="C61" s="715" t="s">
        <v>779</v>
      </c>
      <c r="D61" s="739">
        <f>+D/D31</f>
        <v>9.6666666666666661</v>
      </c>
    </row>
  </sheetData>
  <sheetProtection algorithmName="SHA-512" hashValue="LQ9VUhbpMQzmqwADzW/mbAFPOLnnIMsdvOCs2RGm3rg4i/D6jNwPxmmUQ03UD9nJ2XTkl2+lbiXEj6a3RXzTmA==" saltValue="nS+97OniiKlgSVDsL5A1yg==" spinCount="100000" sheet="1" objects="1" scenarios="1" selectLockedCells="1"/>
  <mergeCells count="2">
    <mergeCell ref="A1:I1"/>
    <mergeCell ref="A2:I2"/>
  </mergeCells>
  <conditionalFormatting sqref="D46">
    <cfRule type="cellIs" priority="7" operator="lessThan">
      <formula>10</formula>
    </cfRule>
  </conditionalFormatting>
  <conditionalFormatting sqref="D17">
    <cfRule type="cellIs" dxfId="80" priority="3" operator="greaterThanOrEqual">
      <formula>6</formula>
    </cfRule>
    <cfRule type="cellIs" dxfId="79" priority="4" operator="lessThanOrEqual">
      <formula>6</formula>
    </cfRule>
    <cfRule type="cellIs" dxfId="78" priority="5" operator="lessThan">
      <formula>6</formula>
    </cfRule>
  </conditionalFormatting>
  <conditionalFormatting sqref="D50">
    <cfRule type="cellIs" dxfId="77" priority="1" operator="greaterThan">
      <formula>$D$52</formula>
    </cfRule>
    <cfRule type="cellIs" dxfId="76" priority="2" operator="lessThan">
      <formula>"D52"</formula>
    </cfRule>
  </conditionalFormatting>
  <dataValidations count="2">
    <dataValidation type="list" allowBlank="1" showInputMessage="1" showErrorMessage="1" sqref="D10">
      <formula1>"1570CF,1570CWR,1770CF,1770CWR,1960CF,1960CWR"</formula1>
    </dataValidation>
    <dataValidation type="list" allowBlank="1" showInputMessage="1" showErrorMessage="1" sqref="D30">
      <formula1>"334,375,428,500,600,750,1000,1500,3000"</formula1>
    </dataValidation>
  </dataValidations>
  <pageMargins left="0.7" right="0.7" top="0.75" bottom="0.75" header="0.3" footer="0.3"/>
  <pageSetup paperSize="9" scale="74" fitToHeight="2" orientation="portrait" r:id="rId1"/>
  <headerFooter>
    <oddHeader>&amp;L
Summary&amp;C
&amp;R&amp;"Arial,Regular"&amp;10
Super Nyadi Hydropower Project (40.27 MW)</oddHeader>
    <oddFooter>Page &amp;P of &amp;N</oddFoot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Sheet3!$A$10:$A$34</xm:f>
          </x14:formula1>
          <xm:sqref>D9</xm:sqref>
        </x14:dataValidation>
        <x14:dataValidation type="list" allowBlank="1" showInputMessage="1" showErrorMessage="1">
          <x14:formula1>
            <xm:f>Sheet3!$L$10:$L$29</xm:f>
          </x14:formula1>
          <xm:sqref>D37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94"/>
  <sheetViews>
    <sheetView showGridLines="0" topLeftCell="A55" zoomScale="75" zoomScaleNormal="75" zoomScaleSheetLayoutView="73" workbookViewId="0">
      <selection activeCell="E83" sqref="E83"/>
    </sheetView>
  </sheetViews>
  <sheetFormatPr defaultRowHeight="15" x14ac:dyDescent="0.25"/>
  <cols>
    <col min="1" max="1" width="2.28515625" style="676" bestFit="1" customWidth="1"/>
    <col min="2" max="2" width="28.5703125" style="198" bestFit="1" customWidth="1"/>
    <col min="3" max="4" width="13.85546875" style="198" customWidth="1"/>
    <col min="5" max="5" width="11.5703125" style="198" customWidth="1"/>
    <col min="6" max="6" width="12.42578125" style="198" customWidth="1"/>
    <col min="7" max="7" width="12.140625" style="198" bestFit="1" customWidth="1"/>
    <col min="8" max="8" width="18.140625" style="198" bestFit="1" customWidth="1"/>
    <col min="9" max="9" width="11.42578125" style="198" bestFit="1" customWidth="1"/>
    <col min="10" max="10" width="12.42578125" style="198" bestFit="1" customWidth="1"/>
    <col min="11" max="16384" width="9.140625" style="198"/>
  </cols>
  <sheetData>
    <row r="1" spans="1:10" ht="14.25" x14ac:dyDescent="0.2">
      <c r="A1" s="1175" t="s">
        <v>871</v>
      </c>
      <c r="B1" s="1175"/>
      <c r="C1" s="1175"/>
      <c r="D1" s="1175"/>
      <c r="E1" s="1175"/>
      <c r="F1" s="1175"/>
      <c r="G1" s="1175"/>
      <c r="H1" s="1175"/>
      <c r="I1" s="1175"/>
      <c r="J1" s="1175"/>
    </row>
    <row r="2" spans="1:10" ht="14.25" x14ac:dyDescent="0.2">
      <c r="A2" s="1175" t="str">
        <f>SecProp!U4</f>
        <v>Fixed Wheel (cantilevered)</v>
      </c>
      <c r="B2" s="1175"/>
      <c r="C2" s="1175"/>
      <c r="D2" s="1175"/>
      <c r="E2" s="1175"/>
      <c r="F2" s="1175"/>
      <c r="G2" s="1175"/>
      <c r="H2" s="1175"/>
      <c r="I2" s="1175"/>
      <c r="J2" s="1175"/>
    </row>
    <row r="3" spans="1:10" s="675" customFormat="1" x14ac:dyDescent="0.2">
      <c r="A3" s="673"/>
      <c r="B3" s="674"/>
      <c r="C3" s="674"/>
      <c r="D3" s="674"/>
      <c r="E3" s="674"/>
      <c r="F3" s="674"/>
      <c r="G3" s="674"/>
      <c r="H3" s="674"/>
      <c r="I3" s="674"/>
      <c r="J3" s="674"/>
    </row>
    <row r="4" spans="1:10" x14ac:dyDescent="0.25">
      <c r="B4" s="198" t="s">
        <v>813</v>
      </c>
      <c r="C4" s="677">
        <f>+Seals!C29</f>
        <v>44</v>
      </c>
    </row>
    <row r="5" spans="1:10" x14ac:dyDescent="0.25">
      <c r="B5" s="198" t="s">
        <v>504</v>
      </c>
      <c r="C5" s="677">
        <f>+Seals!C37</f>
        <v>12</v>
      </c>
    </row>
    <row r="6" spans="1:10" x14ac:dyDescent="0.25">
      <c r="B6" s="198" t="s">
        <v>858</v>
      </c>
      <c r="C6" s="714">
        <v>80</v>
      </c>
    </row>
    <row r="7" spans="1:10" x14ac:dyDescent="0.25">
      <c r="B7" s="198" t="s">
        <v>824</v>
      </c>
      <c r="C7" s="714">
        <v>10</v>
      </c>
    </row>
    <row r="8" spans="1:10" x14ac:dyDescent="0.25">
      <c r="B8" s="198" t="s">
        <v>825</v>
      </c>
      <c r="C8" s="714">
        <v>4</v>
      </c>
    </row>
    <row r="9" spans="1:10" x14ac:dyDescent="0.25">
      <c r="B9" s="198" t="s">
        <v>804</v>
      </c>
      <c r="C9" s="677">
        <f>+SecProp!I13*1000</f>
        <v>12</v>
      </c>
    </row>
    <row r="10" spans="1:10" x14ac:dyDescent="0.25">
      <c r="B10" s="198" t="s">
        <v>814</v>
      </c>
      <c r="C10" s="677">
        <f>IF(GType="Fixed Wheel (cantilevered)",'Wheel Design'!C159,'Wheel Design'!C105)*1000</f>
        <v>144</v>
      </c>
    </row>
    <row r="11" spans="1:10" x14ac:dyDescent="0.25">
      <c r="B11" s="198" t="s">
        <v>815</v>
      </c>
      <c r="C11" s="677">
        <f>+C13/2</f>
        <v>125</v>
      </c>
    </row>
    <row r="12" spans="1:10" x14ac:dyDescent="0.25">
      <c r="B12" s="198" t="s">
        <v>816</v>
      </c>
      <c r="C12" s="678">
        <f>IF(PType="Elliptical Contact",'Wheel Design'!C30,'Wheel Design'!C30)</f>
        <v>165</v>
      </c>
    </row>
    <row r="13" spans="1:10" x14ac:dyDescent="0.25">
      <c r="B13" s="198" t="s">
        <v>817</v>
      </c>
      <c r="C13" s="677">
        <f>IF(PType="Elliptical Contact",'Wheel Design'!C31,'Wheel Design'!C31)*1000</f>
        <v>250</v>
      </c>
    </row>
    <row r="14" spans="1:10" x14ac:dyDescent="0.25">
      <c r="B14" s="198" t="s">
        <v>818</v>
      </c>
      <c r="C14" s="677">
        <f>IF(PType="Elliptical Contact",'Wheel Design'!C32,'Wheel Design'!C32)*1000</f>
        <v>80</v>
      </c>
    </row>
    <row r="15" spans="1:10" x14ac:dyDescent="0.25">
      <c r="B15" s="198" t="s">
        <v>819</v>
      </c>
      <c r="C15" s="679">
        <f>0.418*SQRT((C12*1000*200000)/(C14*C13*0.5))</f>
        <v>759.33470880765083</v>
      </c>
    </row>
    <row r="16" spans="1:10" x14ac:dyDescent="0.25">
      <c r="B16" s="198" t="s">
        <v>820</v>
      </c>
      <c r="C16" s="680">
        <f>1.52*SQRT((C12*1000*C13*0.5)/(C14*200000))</f>
        <v>1.7257607018355703</v>
      </c>
    </row>
    <row r="17" spans="2:7" x14ac:dyDescent="0.25">
      <c r="B17" s="198" t="s">
        <v>821</v>
      </c>
      <c r="C17" s="680">
        <f>0.78*C16</f>
        <v>1.3460933474317449</v>
      </c>
    </row>
    <row r="18" spans="2:7" x14ac:dyDescent="0.25">
      <c r="B18" s="198" t="s">
        <v>822</v>
      </c>
      <c r="C18" s="677">
        <f>+C17*4</f>
        <v>5.3843733897269797</v>
      </c>
    </row>
    <row r="19" spans="2:7" x14ac:dyDescent="0.25">
      <c r="B19" s="198" t="s">
        <v>823</v>
      </c>
      <c r="C19" s="714">
        <v>10</v>
      </c>
    </row>
    <row r="20" spans="2:7" x14ac:dyDescent="0.25">
      <c r="B20" s="198" t="s">
        <v>870</v>
      </c>
      <c r="C20" s="714">
        <v>80</v>
      </c>
    </row>
    <row r="21" spans="2:7" x14ac:dyDescent="0.25">
      <c r="B21" s="681" t="s">
        <v>828</v>
      </c>
      <c r="C21" s="682">
        <f>+C7+C13+62</f>
        <v>322</v>
      </c>
    </row>
    <row r="22" spans="2:7" x14ac:dyDescent="0.25">
      <c r="B22" s="198" t="s">
        <v>826</v>
      </c>
      <c r="C22" s="682">
        <f>0.15*C21</f>
        <v>48.3</v>
      </c>
      <c r="D22" s="683">
        <f>0.1*C21</f>
        <v>32.200000000000003</v>
      </c>
      <c r="E22" s="683">
        <f>+C21*0.2</f>
        <v>64.400000000000006</v>
      </c>
    </row>
    <row r="23" spans="2:7" x14ac:dyDescent="0.25">
      <c r="B23" s="198" t="s">
        <v>873</v>
      </c>
      <c r="C23" s="714">
        <v>50</v>
      </c>
    </row>
    <row r="24" spans="2:7" x14ac:dyDescent="0.25">
      <c r="B24" s="198" t="s">
        <v>827</v>
      </c>
      <c r="C24" s="677">
        <f>IF(GType="Fixed Wheel (cantilevered)",0,'Wheel Design'!C108)*1000</f>
        <v>0</v>
      </c>
    </row>
    <row r="25" spans="2:7" x14ac:dyDescent="0.25">
      <c r="B25" s="198" t="s">
        <v>183</v>
      </c>
      <c r="C25" s="677">
        <f>IF(GType="Fixed Wheel (cantilevered)",'Wheel Design'!C131,'Wheel Design'!C78)*1000</f>
        <v>30</v>
      </c>
    </row>
    <row r="26" spans="2:7" x14ac:dyDescent="0.25">
      <c r="B26" s="198" t="s">
        <v>874</v>
      </c>
      <c r="C26" s="677">
        <f>+Lsup*1000</f>
        <v>3900</v>
      </c>
    </row>
    <row r="27" spans="2:7" x14ac:dyDescent="0.25">
      <c r="B27" s="198" t="s">
        <v>875</v>
      </c>
      <c r="C27" s="677">
        <f>+C26+2*((C24/2)+(C25/2)+C9)</f>
        <v>3954</v>
      </c>
    </row>
    <row r="28" spans="2:7" x14ac:dyDescent="0.25">
      <c r="B28" s="198" t="s">
        <v>830</v>
      </c>
      <c r="C28" s="677">
        <f>+(C27-(Summary!D5*1000))/2</f>
        <v>227</v>
      </c>
    </row>
    <row r="29" spans="2:7" x14ac:dyDescent="0.25">
      <c r="B29" s="198" t="s">
        <v>859</v>
      </c>
      <c r="C29" s="677">
        <f>+C28-(C24/2)-(C25/2)-C9</f>
        <v>200</v>
      </c>
    </row>
    <row r="30" spans="2:7" x14ac:dyDescent="0.25">
      <c r="C30" s="1187" t="s">
        <v>892</v>
      </c>
      <c r="D30" s="1187"/>
      <c r="E30" s="1187"/>
      <c r="F30" s="684" t="s">
        <v>898</v>
      </c>
      <c r="G30" s="684" t="s">
        <v>899</v>
      </c>
    </row>
    <row r="31" spans="2:7" x14ac:dyDescent="0.25">
      <c r="B31" s="685" t="s">
        <v>850</v>
      </c>
      <c r="C31" s="661" t="s">
        <v>836</v>
      </c>
      <c r="D31" s="661" t="s">
        <v>838</v>
      </c>
      <c r="E31" s="661" t="s">
        <v>62</v>
      </c>
      <c r="F31" s="661" t="s">
        <v>58</v>
      </c>
      <c r="G31" s="661" t="s">
        <v>54</v>
      </c>
    </row>
    <row r="32" spans="2:7" x14ac:dyDescent="0.25">
      <c r="B32" s="685" t="s">
        <v>842</v>
      </c>
      <c r="C32" s="686">
        <f>+VLOOKUP($C$31,Lib!$A$22:$I$32,2,FALSE)</f>
        <v>22.1</v>
      </c>
      <c r="D32" s="686">
        <f>+VLOOKUP($D$31,Lib!$A$22:$I$32,2,FALSE)</f>
        <v>30.4</v>
      </c>
      <c r="E32" s="686">
        <f>VLOOKUP(E31,Lib!$A$5:$I$18,9,FALSE)</f>
        <v>52.4</v>
      </c>
      <c r="F32" s="686">
        <f>VLOOKUP(F31,Lib!$A$5:$I$18,9,FALSE)</f>
        <v>25.4</v>
      </c>
      <c r="G32" s="686">
        <f>VLOOKUP(G31,Lib!$A$5:$I$18,9,FALSE)</f>
        <v>11.5</v>
      </c>
    </row>
    <row r="33" spans="2:7" x14ac:dyDescent="0.25">
      <c r="B33" s="685" t="s">
        <v>843</v>
      </c>
      <c r="C33" s="687">
        <f>+VLOOKUP($C$31,Lib!$A$22:$I$32,3,FALSE)</f>
        <v>28.21</v>
      </c>
      <c r="D33" s="687">
        <f>+VLOOKUP($D$31,Lib!$A$22:$I$32,3,FALSE)</f>
        <v>38.67</v>
      </c>
      <c r="E33" s="685" t="s">
        <v>890</v>
      </c>
      <c r="F33" s="685"/>
      <c r="G33" s="685"/>
    </row>
    <row r="34" spans="2:7" x14ac:dyDescent="0.25">
      <c r="B34" s="685" t="s">
        <v>851</v>
      </c>
      <c r="C34" s="687">
        <f>+VLOOKUP($C$31,Lib!$A$22:$I$32,4,FALSE)</f>
        <v>200</v>
      </c>
      <c r="D34" s="687">
        <f>+VLOOKUP($D$31,Lib!$A$22:$I$32,4,FALSE)</f>
        <v>250</v>
      </c>
      <c r="E34" s="677">
        <f>+VLOOKUP($E$31,ShapeData,2,FALSE)*1000</f>
        <v>140</v>
      </c>
      <c r="F34" s="677">
        <f>+VLOOKUP($F$31,ShapeData,2,FALSE)*1000</f>
        <v>100</v>
      </c>
      <c r="G34" s="677">
        <f>+VLOOKUP($G$31,ShapeData,2,FALSE)*1000</f>
        <v>75</v>
      </c>
    </row>
    <row r="35" spans="2:7" x14ac:dyDescent="0.25">
      <c r="B35" s="685" t="s">
        <v>852</v>
      </c>
      <c r="C35" s="687">
        <f>+VLOOKUP($C$31,Lib!$A$22:$I$32,5,FALSE)</f>
        <v>75</v>
      </c>
      <c r="D35" s="687">
        <f>+VLOOKUP($D$31,Lib!$A$22:$I$32,5,FALSE)</f>
        <v>80</v>
      </c>
      <c r="E35" s="688">
        <f>+VLOOKUP($E$31,ShapeData,3,FALSE)*1000</f>
        <v>14.2</v>
      </c>
      <c r="F35" s="688">
        <f>+VLOOKUP($F$31,ShapeData,3,FALSE)*1000</f>
        <v>10.8</v>
      </c>
      <c r="G35" s="688">
        <f>+VLOOKUP($G$31,ShapeData,3,FALSE)*1000</f>
        <v>7.2</v>
      </c>
    </row>
    <row r="36" spans="2:7" x14ac:dyDescent="0.25">
      <c r="B36" s="685" t="s">
        <v>853</v>
      </c>
      <c r="C36" s="687">
        <f>+VLOOKUP($C$31,Lib!$A$22:$I$32,6,FALSE)</f>
        <v>11.4</v>
      </c>
      <c r="D36" s="687">
        <f>+VLOOKUP($D$31,Lib!$A$22:$I$32,6,FALSE)</f>
        <v>14.1</v>
      </c>
      <c r="E36" s="687">
        <f>+VLOOKUP($E$31,ShapeData,4,FALSE)*1000</f>
        <v>8.1</v>
      </c>
      <c r="F36" s="687">
        <f>+VLOOKUP($F$31,ShapeData,4,FALSE)*1000</f>
        <v>5.7</v>
      </c>
      <c r="G36" s="687">
        <f>+VLOOKUP($G$31,ShapeData,4,FALSE)*1000</f>
        <v>4</v>
      </c>
    </row>
    <row r="37" spans="2:7" x14ac:dyDescent="0.25">
      <c r="B37" s="685" t="s">
        <v>854</v>
      </c>
      <c r="C37" s="687">
        <f>+VLOOKUP($C$31,Lib!$A$22:$I$32,7,FALSE)</f>
        <v>6.1</v>
      </c>
      <c r="D37" s="687">
        <f>+VLOOKUP($D$31,Lib!$A$22:$I$32,7,FALSE)</f>
        <v>7.1</v>
      </c>
      <c r="E37" s="677">
        <f>+VLOOKUP($E$31,ShapeData,5,FALSE)*1000</f>
        <v>321.60000000000002</v>
      </c>
      <c r="F37" s="677">
        <f>+VLOOKUP($F$31,ShapeData,5,FALSE)*1000</f>
        <v>178.4</v>
      </c>
      <c r="G37" s="677">
        <f>+VLOOKUP($G$31,ShapeData,5,FALSE)*1000</f>
        <v>85.600000000000009</v>
      </c>
    </row>
    <row r="38" spans="2:7" x14ac:dyDescent="0.25">
      <c r="B38" s="685" t="s">
        <v>856</v>
      </c>
      <c r="C38" s="689">
        <f>+VLOOKUP($C$31,Lib!$A$22:$I$32,8,FALSE)*10^4</f>
        <v>18193000</v>
      </c>
      <c r="D38" s="689">
        <f>+VLOOKUP($D$31,Lib!$A$22:$I$32,8,FALSE)*10^4</f>
        <v>38168000</v>
      </c>
      <c r="E38" s="689">
        <f>+VLOOKUP($E$31,Lib!$A$5:$H$18,8,FALSE)*10^4</f>
        <v>136303000</v>
      </c>
      <c r="F38" s="689">
        <f>+VLOOKUP($F$31,Lib!$A$5:$H$18,8,FALSE)*10^4</f>
        <v>22354000</v>
      </c>
      <c r="G38" s="689">
        <f>+VLOOKUP($G$31,Lib!$A$5:$H$18,8,FALSE)*10^4</f>
        <v>2575000</v>
      </c>
    </row>
    <row r="39" spans="2:7" x14ac:dyDescent="0.25">
      <c r="B39" s="685" t="s">
        <v>855</v>
      </c>
      <c r="C39" s="690">
        <f>+VLOOKUP($C$31,Lib!$A$22:$I$32,9,FALSE)*10^3</f>
        <v>181900</v>
      </c>
      <c r="D39" s="690">
        <f>+VLOOKUP($D$31,Lib!$A$22:$I$32,9,FALSE)*10^3</f>
        <v>305300</v>
      </c>
    </row>
    <row r="40" spans="2:7" x14ac:dyDescent="0.25">
      <c r="B40" s="198" t="s">
        <v>857</v>
      </c>
      <c r="C40" s="677">
        <f>+C34-C29</f>
        <v>0</v>
      </c>
    </row>
    <row r="41" spans="2:7" x14ac:dyDescent="0.25">
      <c r="B41" s="681" t="s">
        <v>829</v>
      </c>
      <c r="C41" s="682">
        <f>+C40-(C28-C29)+C28</f>
        <v>200</v>
      </c>
    </row>
    <row r="42" spans="2:7" x14ac:dyDescent="0.25">
      <c r="B42" s="198" t="s">
        <v>861</v>
      </c>
      <c r="C42" s="714">
        <v>12</v>
      </c>
    </row>
    <row r="43" spans="2:7" x14ac:dyDescent="0.25">
      <c r="B43" s="198" t="s">
        <v>868</v>
      </c>
      <c r="C43" s="714">
        <f>+C21+C35+D35</f>
        <v>477</v>
      </c>
    </row>
    <row r="44" spans="2:7" x14ac:dyDescent="0.25">
      <c r="B44" s="681" t="s">
        <v>860</v>
      </c>
      <c r="C44" s="682">
        <f>150+C37+C21+D37+E37+0.2+0.2</f>
        <v>807.20000000000016</v>
      </c>
    </row>
    <row r="45" spans="2:7" x14ac:dyDescent="0.25">
      <c r="B45" s="681" t="s">
        <v>862</v>
      </c>
      <c r="C45" s="682">
        <f>+C41+C42+150</f>
        <v>362</v>
      </c>
    </row>
    <row r="46" spans="2:7" x14ac:dyDescent="0.25">
      <c r="B46" s="198" t="s">
        <v>863</v>
      </c>
      <c r="C46" s="691">
        <f>+(0.0588*C12*1000)/(E34^2*E38)^(1/3)</f>
        <v>0.69920969527307819</v>
      </c>
      <c r="D46" s="692">
        <v>5</v>
      </c>
    </row>
    <row r="47" spans="2:7" x14ac:dyDescent="0.25">
      <c r="B47" s="198" t="s">
        <v>864</v>
      </c>
      <c r="C47" s="691">
        <f>+(C46*E34)/(E37+1.414*(C29+(E34/2)))</f>
        <v>0.1391699470246964</v>
      </c>
      <c r="D47" s="693">
        <v>0.69</v>
      </c>
    </row>
    <row r="48" spans="2:7" x14ac:dyDescent="0.25">
      <c r="B48" s="198" t="s">
        <v>865</v>
      </c>
      <c r="C48" s="694">
        <f>+Summary!D10</f>
        <v>738</v>
      </c>
    </row>
    <row r="49" spans="2:10" x14ac:dyDescent="0.25">
      <c r="B49" s="198" t="s">
        <v>866</v>
      </c>
      <c r="C49" s="694">
        <f>+Summary!D12</f>
        <v>747</v>
      </c>
    </row>
    <row r="50" spans="2:10" x14ac:dyDescent="0.25">
      <c r="B50" s="198" t="s">
        <v>867</v>
      </c>
      <c r="C50" s="694">
        <f>+C49-C48</f>
        <v>9</v>
      </c>
    </row>
    <row r="51" spans="2:10" x14ac:dyDescent="0.25">
      <c r="B51" s="198" t="s">
        <v>869</v>
      </c>
      <c r="C51" s="714">
        <v>300</v>
      </c>
    </row>
    <row r="52" spans="2:10" x14ac:dyDescent="0.25">
      <c r="C52" s="695"/>
      <c r="E52" s="713"/>
    </row>
    <row r="53" spans="2:10" x14ac:dyDescent="0.25">
      <c r="B53" s="198" t="s">
        <v>900</v>
      </c>
      <c r="C53" s="677">
        <f>+Summary!D5*1000</f>
        <v>3500</v>
      </c>
    </row>
    <row r="54" spans="2:10" x14ac:dyDescent="0.25">
      <c r="B54" s="198" t="s">
        <v>894</v>
      </c>
      <c r="C54" s="714">
        <v>300</v>
      </c>
    </row>
    <row r="55" spans="2:10" x14ac:dyDescent="0.25">
      <c r="B55" s="198" t="s">
        <v>895</v>
      </c>
      <c r="C55" s="714">
        <v>80</v>
      </c>
    </row>
    <row r="56" spans="2:10" x14ac:dyDescent="0.25">
      <c r="B56" s="198" t="s">
        <v>896</v>
      </c>
      <c r="C56" s="714">
        <v>10</v>
      </c>
    </row>
    <row r="57" spans="2:10" x14ac:dyDescent="0.25">
      <c r="C57" s="696"/>
    </row>
    <row r="58" spans="2:10" x14ac:dyDescent="0.25">
      <c r="B58" s="198" t="s">
        <v>893</v>
      </c>
      <c r="C58" s="677">
        <f>+Summary!D5*1000+2*Embedded!C41</f>
        <v>3900</v>
      </c>
    </row>
    <row r="59" spans="2:10" x14ac:dyDescent="0.25">
      <c r="B59" s="198" t="s">
        <v>894</v>
      </c>
      <c r="C59" s="714">
        <v>300</v>
      </c>
    </row>
    <row r="60" spans="2:10" x14ac:dyDescent="0.25">
      <c r="B60" s="198" t="s">
        <v>895</v>
      </c>
      <c r="C60" s="714">
        <v>80</v>
      </c>
    </row>
    <row r="61" spans="2:10" x14ac:dyDescent="0.25">
      <c r="B61" s="198" t="s">
        <v>896</v>
      </c>
      <c r="C61" s="714">
        <v>10</v>
      </c>
    </row>
    <row r="62" spans="2:10" x14ac:dyDescent="0.25">
      <c r="C62" s="695"/>
    </row>
    <row r="63" spans="2:10" x14ac:dyDescent="0.25">
      <c r="B63" s="1186" t="s">
        <v>604</v>
      </c>
      <c r="C63" s="1186" t="s">
        <v>605</v>
      </c>
      <c r="D63" s="1185" t="s">
        <v>606</v>
      </c>
      <c r="E63" s="1185"/>
      <c r="F63" s="1185"/>
      <c r="G63" s="1186" t="s">
        <v>888</v>
      </c>
      <c r="H63" s="1186" t="s">
        <v>607</v>
      </c>
      <c r="I63" s="1186" t="s">
        <v>879</v>
      </c>
      <c r="J63" s="1186" t="s">
        <v>796</v>
      </c>
    </row>
    <row r="64" spans="2:10" x14ac:dyDescent="0.25">
      <c r="B64" s="1186"/>
      <c r="C64" s="1186"/>
      <c r="D64" s="697" t="s">
        <v>31</v>
      </c>
      <c r="E64" s="697" t="s">
        <v>611</v>
      </c>
      <c r="F64" s="697" t="s">
        <v>33</v>
      </c>
      <c r="G64" s="1186"/>
      <c r="H64" s="1186"/>
      <c r="I64" s="1186"/>
      <c r="J64" s="1186"/>
    </row>
    <row r="65" spans="1:10" x14ac:dyDescent="0.25">
      <c r="A65" s="676" t="s">
        <v>151</v>
      </c>
      <c r="B65" s="698" t="s">
        <v>892</v>
      </c>
      <c r="C65" s="699"/>
      <c r="D65" s="684"/>
      <c r="E65" s="684"/>
      <c r="F65" s="684"/>
      <c r="G65" s="699"/>
      <c r="H65" s="699"/>
      <c r="I65" s="699"/>
      <c r="J65" s="700"/>
    </row>
    <row r="66" spans="1:10" x14ac:dyDescent="0.25">
      <c r="B66" s="685" t="s">
        <v>876</v>
      </c>
      <c r="C66" s="701">
        <v>2</v>
      </c>
      <c r="D66" s="687">
        <f>C35</f>
        <v>75</v>
      </c>
      <c r="E66" s="677">
        <f>C50*1000</f>
        <v>9000</v>
      </c>
      <c r="F66" s="687">
        <f>C34</f>
        <v>200</v>
      </c>
      <c r="G66" s="702" t="s">
        <v>890</v>
      </c>
      <c r="H66" s="685"/>
      <c r="I66" s="703">
        <f>+E66*C32/1000</f>
        <v>198.9</v>
      </c>
      <c r="J66" s="703">
        <f>+C66*I66</f>
        <v>397.8</v>
      </c>
    </row>
    <row r="67" spans="1:10" x14ac:dyDescent="0.25">
      <c r="B67" s="685" t="s">
        <v>877</v>
      </c>
      <c r="C67" s="701">
        <v>2</v>
      </c>
      <c r="D67" s="687">
        <f>D35</f>
        <v>80</v>
      </c>
      <c r="E67" s="677">
        <f>E66</f>
        <v>9000</v>
      </c>
      <c r="F67" s="687">
        <f>D34</f>
        <v>250</v>
      </c>
      <c r="G67" s="702" t="s">
        <v>890</v>
      </c>
      <c r="H67" s="685"/>
      <c r="I67" s="703">
        <f>+D32*E67/1000</f>
        <v>273.60000000000002</v>
      </c>
      <c r="J67" s="703">
        <f>C67*I67</f>
        <v>547.20000000000005</v>
      </c>
    </row>
    <row r="68" spans="1:10" x14ac:dyDescent="0.25">
      <c r="B68" s="685" t="s">
        <v>878</v>
      </c>
      <c r="C68" s="701">
        <v>2</v>
      </c>
      <c r="D68" s="677">
        <f>C43</f>
        <v>477</v>
      </c>
      <c r="E68" s="677">
        <f>E67</f>
        <v>9000</v>
      </c>
      <c r="F68" s="677">
        <f>C42</f>
        <v>12</v>
      </c>
      <c r="G68" s="702" t="s">
        <v>890</v>
      </c>
      <c r="H68" s="690">
        <f>D68*E68*F68</f>
        <v>51516000</v>
      </c>
      <c r="I68" s="703">
        <f>+H68*7850*10^-9</f>
        <v>404.4006</v>
      </c>
      <c r="J68" s="703">
        <f>+C68*I68</f>
        <v>808.80119999999999</v>
      </c>
    </row>
    <row r="69" spans="1:10" x14ac:dyDescent="0.25">
      <c r="B69" s="685" t="s">
        <v>883</v>
      </c>
      <c r="C69" s="701">
        <v>2</v>
      </c>
      <c r="D69" s="677">
        <f>E34</f>
        <v>140</v>
      </c>
      <c r="E69" s="677">
        <f>E68</f>
        <v>9000</v>
      </c>
      <c r="F69" s="677">
        <f>E37</f>
        <v>321.60000000000002</v>
      </c>
      <c r="G69" s="702" t="s">
        <v>890</v>
      </c>
      <c r="H69" s="685"/>
      <c r="I69" s="703">
        <f>+E69*E32/1000</f>
        <v>471.6</v>
      </c>
      <c r="J69" s="703">
        <f>C69*I69</f>
        <v>943.2</v>
      </c>
    </row>
    <row r="70" spans="1:10" x14ac:dyDescent="0.25">
      <c r="B70" s="685"/>
      <c r="C70" s="701"/>
      <c r="D70" s="685"/>
      <c r="E70" s="685"/>
      <c r="F70" s="685"/>
      <c r="G70" s="685"/>
      <c r="H70" s="685"/>
      <c r="I70" s="685"/>
      <c r="J70" s="685"/>
    </row>
    <row r="71" spans="1:10" x14ac:dyDescent="0.25">
      <c r="B71" s="685" t="s">
        <v>880</v>
      </c>
      <c r="C71" s="704">
        <f>+C50*1000/C51*4</f>
        <v>120</v>
      </c>
      <c r="D71" s="700" t="s">
        <v>890</v>
      </c>
      <c r="E71" s="677">
        <v>150</v>
      </c>
      <c r="F71" s="685"/>
      <c r="G71" s="677">
        <v>16</v>
      </c>
      <c r="H71" s="690">
        <f>+PI()*G71^2/4*E71</f>
        <v>30159.289474462013</v>
      </c>
      <c r="I71" s="705">
        <f>+H71*7850*10^-9</f>
        <v>0.23675042237452681</v>
      </c>
      <c r="J71" s="703">
        <f>+I71*C71</f>
        <v>28.410050684943219</v>
      </c>
    </row>
    <row r="72" spans="1:10" x14ac:dyDescent="0.25">
      <c r="B72" s="685" t="s">
        <v>881</v>
      </c>
      <c r="C72" s="704">
        <f>+C50*1000/C51*2</f>
        <v>60</v>
      </c>
      <c r="D72" s="700" t="s">
        <v>890</v>
      </c>
      <c r="E72" s="677">
        <v>150</v>
      </c>
      <c r="F72" s="685"/>
      <c r="G72" s="677">
        <v>16</v>
      </c>
      <c r="H72" s="690">
        <f>+PI()*G72^2/4*E72</f>
        <v>30159.289474462013</v>
      </c>
      <c r="I72" s="705">
        <f>+H72*7850*10^-9</f>
        <v>0.23675042237452681</v>
      </c>
      <c r="J72" s="703">
        <f>+I72*C72</f>
        <v>14.205025342471609</v>
      </c>
    </row>
    <row r="73" spans="1:10" x14ac:dyDescent="0.25">
      <c r="B73" s="685" t="s">
        <v>882</v>
      </c>
      <c r="C73" s="704">
        <f>C71</f>
        <v>120</v>
      </c>
      <c r="D73" s="700" t="s">
        <v>890</v>
      </c>
      <c r="E73" s="677">
        <v>150</v>
      </c>
      <c r="F73" s="685"/>
      <c r="G73" s="677">
        <v>16</v>
      </c>
      <c r="H73" s="690">
        <f>+PI()*G73^2/4*E73</f>
        <v>30159.289474462013</v>
      </c>
      <c r="I73" s="705">
        <f>+H73*7850*10^-9</f>
        <v>0.23675042237452681</v>
      </c>
      <c r="J73" s="703">
        <f>+I73*C73</f>
        <v>28.410050684943219</v>
      </c>
    </row>
    <row r="74" spans="1:10" x14ac:dyDescent="0.25">
      <c r="B74" s="685" t="s">
        <v>884</v>
      </c>
      <c r="C74" s="704">
        <f>C71</f>
        <v>120</v>
      </c>
      <c r="D74" s="700" t="s">
        <v>890</v>
      </c>
      <c r="E74" s="677">
        <v>75</v>
      </c>
      <c r="F74" s="685"/>
      <c r="G74" s="677">
        <v>16</v>
      </c>
      <c r="H74" s="690">
        <f>+PI()*G74^2/4*E74</f>
        <v>15079.644737231007</v>
      </c>
      <c r="I74" s="705">
        <f>+H74*7850*10^-9</f>
        <v>0.11837521118726341</v>
      </c>
      <c r="J74" s="703">
        <f>+I74*C74</f>
        <v>14.205025342471609</v>
      </c>
    </row>
    <row r="75" spans="1:10" x14ac:dyDescent="0.25">
      <c r="B75" s="685"/>
      <c r="C75" s="701"/>
      <c r="D75" s="685"/>
      <c r="E75" s="685"/>
      <c r="F75" s="685"/>
      <c r="G75" s="685"/>
      <c r="H75" s="685"/>
      <c r="I75" s="685"/>
      <c r="J75" s="685"/>
    </row>
    <row r="76" spans="1:10" x14ac:dyDescent="0.25">
      <c r="B76" s="685" t="s">
        <v>885</v>
      </c>
      <c r="C76" s="701">
        <v>2</v>
      </c>
      <c r="D76" s="677">
        <f>C6</f>
        <v>80</v>
      </c>
      <c r="E76" s="677">
        <f>E69</f>
        <v>9000</v>
      </c>
      <c r="F76" s="677">
        <f>C7</f>
        <v>10</v>
      </c>
      <c r="G76" s="685"/>
      <c r="H76" s="690">
        <f>D76*E76*F76</f>
        <v>7200000</v>
      </c>
      <c r="I76" s="705">
        <f>+H76*7850*10^-9</f>
        <v>56.52</v>
      </c>
      <c r="J76" s="703">
        <f>+I76*C76</f>
        <v>113.04</v>
      </c>
    </row>
    <row r="77" spans="1:10" x14ac:dyDescent="0.25">
      <c r="B77" s="685" t="s">
        <v>886</v>
      </c>
      <c r="C77" s="701">
        <v>2</v>
      </c>
      <c r="D77" s="677">
        <f>C20</f>
        <v>80</v>
      </c>
      <c r="E77" s="677">
        <f>E76</f>
        <v>9000</v>
      </c>
      <c r="F77" s="677">
        <f>C19</f>
        <v>10</v>
      </c>
      <c r="G77" s="685"/>
      <c r="H77" s="690">
        <f>D77*E77*F77</f>
        <v>7200000</v>
      </c>
      <c r="I77" s="705">
        <f>+H77*7850*10^-9</f>
        <v>56.52</v>
      </c>
      <c r="J77" s="703">
        <f>+I77*C77</f>
        <v>113.04</v>
      </c>
    </row>
    <row r="78" spans="1:10" x14ac:dyDescent="0.25">
      <c r="B78" s="685" t="s">
        <v>887</v>
      </c>
      <c r="C78" s="701">
        <v>2</v>
      </c>
      <c r="D78" s="677">
        <v>70</v>
      </c>
      <c r="E78" s="677">
        <f>E77</f>
        <v>9000</v>
      </c>
      <c r="F78" s="677">
        <v>16</v>
      </c>
      <c r="G78" s="685"/>
      <c r="H78" s="690">
        <f>D78*E78*F78</f>
        <v>10080000</v>
      </c>
      <c r="I78" s="705">
        <f>+H78*7850*10^-9</f>
        <v>79.128</v>
      </c>
      <c r="J78" s="703">
        <f>+I78*C78</f>
        <v>158.256</v>
      </c>
    </row>
    <row r="79" spans="1:10" x14ac:dyDescent="0.25">
      <c r="B79" s="685"/>
      <c r="C79" s="701"/>
      <c r="D79" s="685"/>
      <c r="E79" s="685"/>
      <c r="F79" s="685"/>
      <c r="G79" s="685"/>
      <c r="H79" s="685"/>
      <c r="I79" s="685"/>
      <c r="J79" s="685"/>
    </row>
    <row r="80" spans="1:10" x14ac:dyDescent="0.25">
      <c r="B80" s="685" t="s">
        <v>889</v>
      </c>
      <c r="C80" s="704">
        <f>+C50*1000/C51*2</f>
        <v>60</v>
      </c>
      <c r="D80" s="685"/>
      <c r="E80" s="685"/>
      <c r="F80" s="685"/>
      <c r="G80" s="685"/>
      <c r="H80" s="685"/>
      <c r="I80" s="705">
        <v>0.193</v>
      </c>
      <c r="J80" s="706">
        <f>+I80*C80</f>
        <v>11.58</v>
      </c>
    </row>
    <row r="81" spans="1:10" ht="15" customHeight="1" x14ac:dyDescent="0.25">
      <c r="B81" s="1179" t="s">
        <v>902</v>
      </c>
      <c r="C81" s="1180"/>
      <c r="D81" s="1180"/>
      <c r="E81" s="1180"/>
      <c r="F81" s="1180"/>
      <c r="G81" s="1180"/>
      <c r="H81" s="1180"/>
      <c r="I81" s="1181"/>
      <c r="J81" s="707">
        <f>SUM(J66:J80)</f>
        <v>3178.1473520548293</v>
      </c>
    </row>
    <row r="82" spans="1:10" x14ac:dyDescent="0.25">
      <c r="A82" s="676" t="s">
        <v>152</v>
      </c>
      <c r="B82" s="708" t="s">
        <v>897</v>
      </c>
      <c r="C82" s="701"/>
      <c r="D82" s="685"/>
      <c r="E82" s="685"/>
      <c r="F82" s="685"/>
      <c r="G82" s="685"/>
      <c r="H82" s="685"/>
      <c r="I82" s="709"/>
      <c r="J82" s="706"/>
    </row>
    <row r="83" spans="1:10" x14ac:dyDescent="0.25">
      <c r="B83" s="685" t="s">
        <v>883</v>
      </c>
      <c r="C83" s="701">
        <v>1</v>
      </c>
      <c r="D83" s="688">
        <f>G34</f>
        <v>75</v>
      </c>
      <c r="E83" s="677">
        <f>C53</f>
        <v>3500</v>
      </c>
      <c r="F83" s="677">
        <f>G37</f>
        <v>85.600000000000009</v>
      </c>
      <c r="G83" s="685"/>
      <c r="H83" s="685"/>
      <c r="I83" s="703">
        <f>+G32*E83/1000</f>
        <v>40.25</v>
      </c>
      <c r="J83" s="703">
        <f>+C83*I83</f>
        <v>40.25</v>
      </c>
    </row>
    <row r="84" spans="1:10" x14ac:dyDescent="0.25">
      <c r="B84" s="685" t="s">
        <v>895</v>
      </c>
      <c r="C84" s="701">
        <v>1</v>
      </c>
      <c r="D84" s="677">
        <f>C55</f>
        <v>80</v>
      </c>
      <c r="E84" s="677">
        <f>E83</f>
        <v>3500</v>
      </c>
      <c r="F84" s="677">
        <f>C56</f>
        <v>10</v>
      </c>
      <c r="G84" s="685"/>
      <c r="H84" s="690">
        <f>D84*E84*F84</f>
        <v>2800000</v>
      </c>
      <c r="I84" s="705">
        <f>+H84*7850*10^-9</f>
        <v>21.98</v>
      </c>
      <c r="J84" s="703">
        <f>+I84*C84</f>
        <v>21.98</v>
      </c>
    </row>
    <row r="85" spans="1:10" x14ac:dyDescent="0.25">
      <c r="B85" s="685" t="s">
        <v>884</v>
      </c>
      <c r="C85" s="710">
        <f>+C53/C54</f>
        <v>11.666666666666666</v>
      </c>
      <c r="D85" s="700" t="s">
        <v>890</v>
      </c>
      <c r="E85" s="677">
        <v>150</v>
      </c>
      <c r="F85" s="685"/>
      <c r="G85" s="677">
        <v>16</v>
      </c>
      <c r="H85" s="690">
        <f>+PI()*G85^2/4*E85</f>
        <v>30159.289474462013</v>
      </c>
      <c r="I85" s="705">
        <f>+H85*7850*10^-9</f>
        <v>0.23675042237452681</v>
      </c>
      <c r="J85" s="703">
        <f>+I85*C85</f>
        <v>2.7620882610361459</v>
      </c>
    </row>
    <row r="86" spans="1:10" x14ac:dyDescent="0.25">
      <c r="B86" s="685" t="s">
        <v>889</v>
      </c>
      <c r="C86" s="701">
        <v>8</v>
      </c>
      <c r="D86" s="685"/>
      <c r="E86" s="685"/>
      <c r="F86" s="685"/>
      <c r="G86" s="685"/>
      <c r="H86" s="685"/>
      <c r="I86" s="705">
        <v>0.193</v>
      </c>
      <c r="J86" s="706">
        <f>+I86*C86</f>
        <v>1.544</v>
      </c>
    </row>
    <row r="87" spans="1:10" ht="15" customHeight="1" x14ac:dyDescent="0.25">
      <c r="B87" s="1182" t="s">
        <v>903</v>
      </c>
      <c r="C87" s="1183"/>
      <c r="D87" s="1183"/>
      <c r="E87" s="1183"/>
      <c r="F87" s="1183"/>
      <c r="G87" s="1183"/>
      <c r="H87" s="1183"/>
      <c r="I87" s="1184"/>
      <c r="J87" s="711">
        <f>SUM(J83:J86)</f>
        <v>66.536088261036141</v>
      </c>
    </row>
    <row r="88" spans="1:10" x14ac:dyDescent="0.25">
      <c r="A88" s="676" t="s">
        <v>487</v>
      </c>
      <c r="B88" s="708" t="s">
        <v>891</v>
      </c>
      <c r="C88" s="701"/>
      <c r="D88" s="685"/>
      <c r="E88" s="685"/>
      <c r="F88" s="685"/>
      <c r="G88" s="685"/>
      <c r="H88" s="685"/>
      <c r="I88" s="709"/>
      <c r="J88" s="706"/>
    </row>
    <row r="89" spans="1:10" x14ac:dyDescent="0.25">
      <c r="B89" s="685" t="s">
        <v>883</v>
      </c>
      <c r="C89" s="701">
        <v>1</v>
      </c>
      <c r="D89" s="688">
        <f>F34</f>
        <v>100</v>
      </c>
      <c r="E89" s="677">
        <f>C58</f>
        <v>3900</v>
      </c>
      <c r="F89" s="677">
        <f>F37</f>
        <v>178.4</v>
      </c>
      <c r="G89" s="685"/>
      <c r="H89" s="685"/>
      <c r="I89" s="703">
        <f>+F32*E89/1000</f>
        <v>99.06</v>
      </c>
      <c r="J89" s="703">
        <f>+C89*I89</f>
        <v>99.06</v>
      </c>
    </row>
    <row r="90" spans="1:10" x14ac:dyDescent="0.25">
      <c r="B90" s="685" t="s">
        <v>895</v>
      </c>
      <c r="C90" s="701">
        <v>1</v>
      </c>
      <c r="D90" s="677">
        <f>C59</f>
        <v>300</v>
      </c>
      <c r="E90" s="677">
        <f>E89</f>
        <v>3900</v>
      </c>
      <c r="F90" s="677">
        <f>C60</f>
        <v>80</v>
      </c>
      <c r="G90" s="685"/>
      <c r="H90" s="690">
        <f>D90*E90*F90</f>
        <v>93600000</v>
      </c>
      <c r="I90" s="705">
        <f>+H90*7850*10^-9</f>
        <v>734.76</v>
      </c>
      <c r="J90" s="703">
        <f>+I90*C90</f>
        <v>734.76</v>
      </c>
    </row>
    <row r="91" spans="1:10" x14ac:dyDescent="0.25">
      <c r="B91" s="685" t="s">
        <v>884</v>
      </c>
      <c r="C91" s="710">
        <f>+C58/C59</f>
        <v>13</v>
      </c>
      <c r="D91" s="700" t="s">
        <v>890</v>
      </c>
      <c r="E91" s="677">
        <v>150</v>
      </c>
      <c r="F91" s="685"/>
      <c r="G91" s="677">
        <v>16</v>
      </c>
      <c r="H91" s="690">
        <f>+PI()*G91^2/4*E91</f>
        <v>30159.289474462013</v>
      </c>
      <c r="I91" s="705">
        <f>+H91*7850*10^-9</f>
        <v>0.23675042237452681</v>
      </c>
      <c r="J91" s="703">
        <f>+I91*C91</f>
        <v>3.0777554908688485</v>
      </c>
    </row>
    <row r="92" spans="1:10" ht="15" customHeight="1" x14ac:dyDescent="0.25">
      <c r="B92" s="1176" t="s">
        <v>904</v>
      </c>
      <c r="C92" s="1177"/>
      <c r="D92" s="1177"/>
      <c r="E92" s="1177"/>
      <c r="F92" s="1177"/>
      <c r="G92" s="1177"/>
      <c r="H92" s="1177"/>
      <c r="I92" s="1178"/>
      <c r="J92" s="712">
        <f>SUM(J89:J91)</f>
        <v>836.8977554908688</v>
      </c>
    </row>
    <row r="93" spans="1:10" ht="15" customHeight="1" x14ac:dyDescent="0.25">
      <c r="B93" s="1176" t="s">
        <v>901</v>
      </c>
      <c r="C93" s="1177"/>
      <c r="D93" s="1177"/>
      <c r="E93" s="1177"/>
      <c r="F93" s="1177"/>
      <c r="G93" s="1177"/>
      <c r="H93" s="1177"/>
      <c r="I93" s="1178"/>
      <c r="J93" s="712">
        <f>+J81+J87+J92</f>
        <v>4081.5811958067343</v>
      </c>
    </row>
    <row r="94" spans="1:10" ht="15" customHeight="1" x14ac:dyDescent="0.25">
      <c r="B94" s="1176" t="s">
        <v>796</v>
      </c>
      <c r="C94" s="1177"/>
      <c r="D94" s="1177"/>
      <c r="E94" s="1177"/>
      <c r="F94" s="1177"/>
      <c r="G94" s="1177"/>
      <c r="H94" s="1177"/>
      <c r="I94" s="1178"/>
      <c r="J94" s="712">
        <f>+J93*1.1</f>
        <v>4489.7393153874082</v>
      </c>
    </row>
  </sheetData>
  <mergeCells count="15">
    <mergeCell ref="A1:J1"/>
    <mergeCell ref="A2:J2"/>
    <mergeCell ref="D63:F63"/>
    <mergeCell ref="B63:B64"/>
    <mergeCell ref="C63:C64"/>
    <mergeCell ref="G63:G64"/>
    <mergeCell ref="H63:H64"/>
    <mergeCell ref="I63:I64"/>
    <mergeCell ref="J63:J64"/>
    <mergeCell ref="C30:E30"/>
    <mergeCell ref="B93:I93"/>
    <mergeCell ref="B94:I94"/>
    <mergeCell ref="B81:I81"/>
    <mergeCell ref="B87:I87"/>
    <mergeCell ref="B92:I92"/>
  </mergeCells>
  <conditionalFormatting sqref="C46">
    <cfRule type="cellIs" dxfId="75" priority="5" operator="greaterThan">
      <formula>$D$46</formula>
    </cfRule>
    <cfRule type="cellIs" dxfId="74" priority="6" operator="lessThan">
      <formula>$D$46</formula>
    </cfRule>
  </conditionalFormatting>
  <conditionalFormatting sqref="C47">
    <cfRule type="cellIs" dxfId="73" priority="1" operator="greaterThan">
      <formula>$D$47</formula>
    </cfRule>
    <cfRule type="cellIs" dxfId="72" priority="2" operator="lessThan">
      <formula>$D$47</formula>
    </cfRule>
  </conditionalFormatting>
  <dataValidations disablePrompts="1" count="1">
    <dataValidation type="list" allowBlank="1" showInputMessage="1" showErrorMessage="1" sqref="E31:G31">
      <formula1>IShape</formula1>
    </dataValidation>
  </dataValidations>
  <pageMargins left="0.7" right="0.7" top="0.75" bottom="0.75" header="0.3" footer="0.3"/>
  <pageSetup paperSize="9" scale="64" fitToHeight="2" orientation="portrait" r:id="rId1"/>
  <headerFooter>
    <oddHeader>&amp;L
Summary&amp;C
&amp;R&amp;"Arial,Regular"&amp;10
Super Nyadi Hydropower Project (40.27 MW)</oddHeader>
    <oddFooter>Page &amp;P of &amp;N</oddFooter>
  </headerFooter>
  <rowBreaks count="1" manualBreakCount="1">
    <brk id="61" max="9" man="1"/>
  </row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Lib!$A$22:$A$32</xm:f>
          </x14:formula1>
          <xm:sqref>C31:D31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ist"/>
  <dimension ref="B1:AF351"/>
  <sheetViews>
    <sheetView view="pageBreakPreview" topLeftCell="A48" zoomScale="91" zoomScaleNormal="70" zoomScaleSheetLayoutView="91" workbookViewId="0">
      <selection activeCell="C48" sqref="C48"/>
    </sheetView>
  </sheetViews>
  <sheetFormatPr defaultRowHeight="14.25" x14ac:dyDescent="0.2"/>
  <cols>
    <col min="1" max="1" width="9.140625" style="197"/>
    <col min="2" max="2" width="35.42578125" style="197" bestFit="1" customWidth="1"/>
    <col min="3" max="3" width="16.85546875" style="197" customWidth="1"/>
    <col min="4" max="4" width="14.140625" style="197" customWidth="1"/>
    <col min="5" max="5" width="12.85546875" style="197" customWidth="1"/>
    <col min="6" max="6" width="14" style="197" customWidth="1"/>
    <col min="7" max="7" width="12.5703125" style="197" bestFit="1" customWidth="1"/>
    <col min="8" max="8" width="12.85546875" style="197" bestFit="1" customWidth="1"/>
    <col min="9" max="9" width="9.140625" style="197"/>
    <col min="10" max="10" width="17.7109375" style="197" bestFit="1" customWidth="1"/>
    <col min="11" max="11" width="19.28515625" style="197" bestFit="1" customWidth="1"/>
    <col min="12" max="12" width="14.140625" style="197" bestFit="1" customWidth="1"/>
    <col min="13" max="13" width="15" style="197" bestFit="1" customWidth="1"/>
    <col min="14" max="14" width="12.42578125" style="197" bestFit="1" customWidth="1"/>
    <col min="15" max="19" width="9.140625" style="197"/>
    <col min="20" max="20" width="0" style="197" hidden="1" customWidth="1"/>
    <col min="21" max="21" width="21" style="197" hidden="1" customWidth="1"/>
    <col min="22" max="28" width="0" style="197" hidden="1" customWidth="1"/>
    <col min="29" max="29" width="12.5703125" style="197" hidden="1" customWidth="1"/>
    <col min="30" max="31" width="0" style="197" hidden="1" customWidth="1"/>
    <col min="32" max="32" width="17.28515625" style="197" hidden="1" customWidth="1"/>
    <col min="33" max="36" width="0" style="197" hidden="1" customWidth="1"/>
    <col min="37" max="16384" width="9.140625" style="197"/>
  </cols>
  <sheetData>
    <row r="1" spans="2:32" ht="15" x14ac:dyDescent="0.25">
      <c r="B1" s="1204" t="s">
        <v>1355</v>
      </c>
      <c r="C1" s="1205"/>
      <c r="D1" s="1205"/>
      <c r="E1" s="1205"/>
      <c r="F1" s="1205"/>
      <c r="G1" s="1205"/>
      <c r="H1" s="1205"/>
      <c r="I1" s="1205"/>
      <c r="J1" s="1205"/>
      <c r="K1" s="1205"/>
      <c r="L1" s="1206"/>
      <c r="M1" s="940"/>
      <c r="N1" s="940"/>
      <c r="O1" s="941"/>
      <c r="AD1" s="197" t="s">
        <v>1111</v>
      </c>
    </row>
    <row r="2" spans="2:32" ht="15" x14ac:dyDescent="0.25">
      <c r="B2" s="1204" t="str">
        <f>GType</f>
        <v>Fixed Wheel (cantilevered)</v>
      </c>
      <c r="C2" s="1205"/>
      <c r="D2" s="1205"/>
      <c r="E2" s="1205"/>
      <c r="F2" s="1205"/>
      <c r="G2" s="1205"/>
      <c r="H2" s="1205"/>
      <c r="I2" s="1205"/>
      <c r="J2" s="1205"/>
      <c r="K2" s="1205"/>
      <c r="L2" s="1206"/>
      <c r="M2" s="940"/>
      <c r="N2" s="940"/>
      <c r="O2" s="941"/>
      <c r="W2" s="197" t="s">
        <v>1024</v>
      </c>
      <c r="AB2" s="197" t="s">
        <v>1109</v>
      </c>
      <c r="AC2" s="197" t="s">
        <v>1110</v>
      </c>
      <c r="AE2" s="197" t="s">
        <v>1112</v>
      </c>
      <c r="AF2" s="197" t="s">
        <v>1113</v>
      </c>
    </row>
    <row r="3" spans="2:32" x14ac:dyDescent="0.2">
      <c r="B3" s="197" t="s">
        <v>1012</v>
      </c>
      <c r="C3" s="939">
        <f ca="1">MAX(Operation!C29:O29)/1000</f>
        <v>48.30420476011529</v>
      </c>
      <c r="W3" s="197">
        <v>1</v>
      </c>
      <c r="AB3" s="197">
        <v>1</v>
      </c>
      <c r="AC3" s="197">
        <v>12</v>
      </c>
      <c r="AD3" s="197">
        <f>IF($C$48="20 Deg Full Depth Involute",AE3,AF3)</f>
        <v>4.5999999999999996</v>
      </c>
      <c r="AE3" s="197">
        <v>4.5999999999999996</v>
      </c>
      <c r="AF3" s="197">
        <v>3.2149999999999999</v>
      </c>
    </row>
    <row r="4" spans="2:32" x14ac:dyDescent="0.2">
      <c r="B4" s="197" t="s">
        <v>675</v>
      </c>
      <c r="C4" s="789">
        <f ca="1">2.5*C3</f>
        <v>120.76051190028822</v>
      </c>
      <c r="T4" s="197">
        <f>IF(C12=1570,4,(IF(C12=1770,6,8)))</f>
        <v>8</v>
      </c>
      <c r="W4" s="197">
        <v>1.25</v>
      </c>
      <c r="AB4" s="197">
        <v>2</v>
      </c>
      <c r="AC4" s="197">
        <v>13</v>
      </c>
      <c r="AD4" s="197">
        <f t="shared" ref="AD4:AD18" si="0">IF($C$48="20 Deg Full Depth Involute",AE4,AF4)</f>
        <v>4.3499999999999996</v>
      </c>
      <c r="AE4" s="197">
        <v>4.3499999999999996</v>
      </c>
      <c r="AF4" s="197">
        <v>3.0859999999999999</v>
      </c>
    </row>
    <row r="5" spans="2:32" x14ac:dyDescent="0.2">
      <c r="B5" s="197" t="s">
        <v>730</v>
      </c>
      <c r="C5" s="790">
        <v>118</v>
      </c>
      <c r="T5" s="197">
        <f>IF(LEFT(C13,1)="F",0,1)</f>
        <v>0</v>
      </c>
      <c r="W5" s="197">
        <v>1.5</v>
      </c>
      <c r="AB5" s="197">
        <v>3</v>
      </c>
      <c r="AC5" s="197">
        <v>14</v>
      </c>
      <c r="AD5" s="197">
        <f t="shared" si="0"/>
        <v>4.0999999999999996</v>
      </c>
      <c r="AE5" s="197">
        <v>4.0999999999999996</v>
      </c>
      <c r="AF5" s="197">
        <v>2.9409999999999998</v>
      </c>
    </row>
    <row r="6" spans="2:32" x14ac:dyDescent="0.2">
      <c r="B6" s="197" t="s">
        <v>1077</v>
      </c>
      <c r="C6" s="791">
        <f>Summary!D11-D-Summary!D10</f>
        <v>9.2999999999999545</v>
      </c>
      <c r="W6" s="197">
        <v>2</v>
      </c>
      <c r="AB6" s="197">
        <v>4</v>
      </c>
      <c r="AC6" s="197">
        <v>15</v>
      </c>
      <c r="AD6" s="197">
        <f t="shared" si="0"/>
        <v>3.9</v>
      </c>
      <c r="AE6" s="197">
        <v>3.9</v>
      </c>
      <c r="AF6" s="197">
        <v>2.8650000000000002</v>
      </c>
    </row>
    <row r="7" spans="2:32" x14ac:dyDescent="0.2">
      <c r="B7" s="197" t="s">
        <v>1013</v>
      </c>
      <c r="C7" s="787">
        <v>2</v>
      </c>
      <c r="T7" s="197">
        <f>T4+T5</f>
        <v>8</v>
      </c>
      <c r="W7" s="197">
        <v>2.5</v>
      </c>
      <c r="AB7" s="197">
        <v>5</v>
      </c>
      <c r="AC7" s="197">
        <v>16</v>
      </c>
      <c r="AD7" s="197">
        <f t="shared" si="0"/>
        <v>3.75</v>
      </c>
      <c r="AE7" s="197">
        <v>3.75</v>
      </c>
      <c r="AF7" s="197">
        <v>2.77</v>
      </c>
    </row>
    <row r="8" spans="2:32" x14ac:dyDescent="0.2">
      <c r="B8" s="197" t="s">
        <v>1014</v>
      </c>
      <c r="C8" s="787">
        <v>2</v>
      </c>
      <c r="U8" s="197">
        <f>VLOOKUP(C14,'6x37 Rope specification'!B7:J31,IF(LEFT('Hoist(Rope Drum)'!C13,1)="F",2,3),FALSE)</f>
        <v>2.71</v>
      </c>
      <c r="W8" s="197">
        <v>3</v>
      </c>
      <c r="AB8" s="197">
        <v>6</v>
      </c>
      <c r="AC8" s="197">
        <v>17</v>
      </c>
      <c r="AD8" s="197">
        <f t="shared" si="0"/>
        <v>3.6</v>
      </c>
      <c r="AE8" s="197">
        <v>3.6</v>
      </c>
      <c r="AF8" s="197">
        <v>2.7170000000000001</v>
      </c>
    </row>
    <row r="9" spans="2:32" x14ac:dyDescent="0.2">
      <c r="B9" s="197" t="s">
        <v>1016</v>
      </c>
      <c r="C9" s="792">
        <v>0.95</v>
      </c>
      <c r="W9" s="197">
        <v>4</v>
      </c>
      <c r="AB9" s="197">
        <v>7</v>
      </c>
      <c r="AC9" s="197">
        <v>18</v>
      </c>
      <c r="AD9" s="197">
        <f t="shared" si="0"/>
        <v>3.5</v>
      </c>
      <c r="AE9" s="197">
        <v>3.5</v>
      </c>
      <c r="AF9" s="197">
        <v>2.6520000000000001</v>
      </c>
    </row>
    <row r="10" spans="2:32" x14ac:dyDescent="0.2">
      <c r="B10" s="197" t="s">
        <v>1015</v>
      </c>
      <c r="C10" s="789">
        <f>C5/(2*(1+C9))</f>
        <v>30.256410256410255</v>
      </c>
      <c r="W10" s="197">
        <v>5</v>
      </c>
      <c r="AB10" s="197">
        <v>8</v>
      </c>
      <c r="AC10" s="197">
        <v>21</v>
      </c>
      <c r="AD10" s="197">
        <f t="shared" si="0"/>
        <v>3.3</v>
      </c>
      <c r="AE10" s="197">
        <v>3.3</v>
      </c>
      <c r="AF10" s="197">
        <v>2.5059999999999998</v>
      </c>
    </row>
    <row r="11" spans="2:32" x14ac:dyDescent="0.2">
      <c r="B11" s="197" t="s">
        <v>1018</v>
      </c>
      <c r="C11" s="787" t="s">
        <v>1019</v>
      </c>
      <c r="E11" s="776"/>
      <c r="W11" s="197">
        <v>6</v>
      </c>
      <c r="AB11" s="197">
        <v>9</v>
      </c>
      <c r="AC11" s="197">
        <v>24</v>
      </c>
      <c r="AD11" s="197">
        <f t="shared" si="0"/>
        <v>3.2</v>
      </c>
      <c r="AE11" s="197">
        <v>3.2</v>
      </c>
      <c r="AF11" s="197">
        <v>2.4239999999999999</v>
      </c>
    </row>
    <row r="12" spans="2:32" x14ac:dyDescent="0.2">
      <c r="B12" s="197" t="s">
        <v>694</v>
      </c>
      <c r="C12" s="787">
        <v>1960</v>
      </c>
      <c r="E12" s="776"/>
      <c r="W12" s="197">
        <v>8</v>
      </c>
      <c r="AB12" s="197">
        <v>10</v>
      </c>
      <c r="AC12" s="197">
        <v>28</v>
      </c>
      <c r="AD12" s="197">
        <f t="shared" si="0"/>
        <v>3.1</v>
      </c>
      <c r="AE12" s="197">
        <v>3.1</v>
      </c>
      <c r="AF12" s="197">
        <v>2.3250000000000002</v>
      </c>
    </row>
    <row r="13" spans="2:32" x14ac:dyDescent="0.2">
      <c r="B13" s="197" t="s">
        <v>1017</v>
      </c>
      <c r="C13" s="787" t="s">
        <v>1022</v>
      </c>
      <c r="E13" s="774"/>
      <c r="W13" s="197">
        <v>10</v>
      </c>
      <c r="AB13" s="197">
        <v>11</v>
      </c>
      <c r="AC13" s="197">
        <v>34</v>
      </c>
      <c r="AD13" s="197">
        <f t="shared" si="0"/>
        <v>3</v>
      </c>
      <c r="AE13" s="197">
        <v>3</v>
      </c>
      <c r="AF13" s="197">
        <v>2.242</v>
      </c>
    </row>
    <row r="14" spans="2:32" x14ac:dyDescent="0.2">
      <c r="B14" s="197" t="s">
        <v>1020</v>
      </c>
      <c r="C14" s="793">
        <v>28</v>
      </c>
      <c r="E14" s="776"/>
      <c r="W14" s="197">
        <v>12</v>
      </c>
      <c r="AB14" s="197">
        <v>12</v>
      </c>
      <c r="AC14" s="197">
        <v>40</v>
      </c>
      <c r="AD14" s="197">
        <f t="shared" si="0"/>
        <v>2.9</v>
      </c>
      <c r="AE14" s="197">
        <v>2.9</v>
      </c>
      <c r="AF14" s="197">
        <v>2.1789999999999998</v>
      </c>
    </row>
    <row r="15" spans="2:32" x14ac:dyDescent="0.2">
      <c r="B15" s="197" t="s">
        <v>1061</v>
      </c>
      <c r="C15" s="793">
        <v>700</v>
      </c>
      <c r="E15" s="776"/>
      <c r="W15" s="197">
        <v>16</v>
      </c>
      <c r="AB15" s="197">
        <v>13</v>
      </c>
      <c r="AC15" s="197">
        <v>50</v>
      </c>
      <c r="AD15" s="197">
        <f t="shared" si="0"/>
        <v>2.8</v>
      </c>
      <c r="AE15" s="197">
        <v>2.8</v>
      </c>
      <c r="AF15" s="197">
        <v>2.11</v>
      </c>
    </row>
    <row r="16" spans="2:32" x14ac:dyDescent="0.2">
      <c r="B16" s="197" t="s">
        <v>1021</v>
      </c>
      <c r="C16" s="789">
        <f>VLOOKUP(C14,'6x37 Rope specification'!B7:J31,'Hoist(Rope Drum)'!T7,FALSE)</f>
        <v>453</v>
      </c>
      <c r="E16" s="776"/>
      <c r="W16" s="197">
        <v>20</v>
      </c>
      <c r="AB16" s="197">
        <v>14</v>
      </c>
      <c r="AC16" s="197">
        <v>65</v>
      </c>
      <c r="AD16" s="197">
        <f t="shared" si="0"/>
        <v>2.7</v>
      </c>
      <c r="AE16" s="197">
        <v>2.7</v>
      </c>
      <c r="AF16" s="197">
        <v>2.04</v>
      </c>
    </row>
    <row r="17" spans="2:32" x14ac:dyDescent="0.2">
      <c r="B17" s="197" t="s">
        <v>1023</v>
      </c>
      <c r="C17" s="780">
        <f>C16/C10</f>
        <v>14.972033898305085</v>
      </c>
      <c r="D17" s="810">
        <v>6</v>
      </c>
      <c r="E17" s="776"/>
      <c r="W17" s="197">
        <v>25</v>
      </c>
      <c r="AB17" s="197">
        <v>15</v>
      </c>
      <c r="AC17" s="197">
        <v>80</v>
      </c>
      <c r="AD17" s="197">
        <f t="shared" si="0"/>
        <v>2.6</v>
      </c>
      <c r="AE17" s="197">
        <v>2.6</v>
      </c>
      <c r="AF17" s="197">
        <v>2.008</v>
      </c>
    </row>
    <row r="18" spans="2:32" x14ac:dyDescent="0.2">
      <c r="B18" s="197" t="s">
        <v>1025</v>
      </c>
      <c r="C18" s="811">
        <f>0.5</f>
        <v>0.5</v>
      </c>
      <c r="D18" s="343"/>
      <c r="E18" s="776"/>
      <c r="W18" s="197">
        <v>40</v>
      </c>
      <c r="AB18" s="197">
        <v>16</v>
      </c>
      <c r="AC18" s="197">
        <v>100</v>
      </c>
      <c r="AD18" s="197">
        <f t="shared" si="0"/>
        <v>2.5</v>
      </c>
      <c r="AE18" s="197">
        <v>2.5</v>
      </c>
      <c r="AF18" s="197">
        <v>1.976</v>
      </c>
    </row>
    <row r="19" spans="2:32" x14ac:dyDescent="0.2">
      <c r="B19" s="197" t="s">
        <v>1062</v>
      </c>
      <c r="C19" s="789">
        <f>C64/(C15/2)</f>
        <v>61.906800372380644</v>
      </c>
      <c r="E19" s="776"/>
      <c r="W19" s="197">
        <v>50</v>
      </c>
    </row>
    <row r="20" spans="2:32" x14ac:dyDescent="0.2">
      <c r="B20" s="197" t="s">
        <v>1023</v>
      </c>
      <c r="C20" s="780">
        <f>C16/RTB</f>
        <v>7.3174513506613614</v>
      </c>
      <c r="D20" s="794">
        <v>3</v>
      </c>
      <c r="E20" s="776"/>
    </row>
    <row r="21" spans="2:32" x14ac:dyDescent="0.2">
      <c r="E21" s="776"/>
    </row>
    <row r="22" spans="2:32" ht="15" x14ac:dyDescent="0.25">
      <c r="B22" s="781" t="s">
        <v>993</v>
      </c>
      <c r="C22" s="904" t="s">
        <v>1026</v>
      </c>
      <c r="D22" s="904" t="s">
        <v>1027</v>
      </c>
      <c r="E22" s="776"/>
    </row>
    <row r="23" spans="2:32" x14ac:dyDescent="0.2">
      <c r="B23" s="780" t="s">
        <v>1028</v>
      </c>
      <c r="C23" s="780">
        <f>0.93^2</f>
        <v>0.86490000000000011</v>
      </c>
      <c r="D23" s="780">
        <f>0.95^2</f>
        <v>0.90249999999999997</v>
      </c>
      <c r="E23" s="776"/>
    </row>
    <row r="24" spans="2:32" x14ac:dyDescent="0.2">
      <c r="B24" s="780" t="s">
        <v>1029</v>
      </c>
      <c r="C24" s="780">
        <f>0.93^2</f>
        <v>0.86490000000000011</v>
      </c>
      <c r="D24" s="780">
        <f>0.95^2</f>
        <v>0.90249999999999997</v>
      </c>
    </row>
    <row r="25" spans="2:32" x14ac:dyDescent="0.2">
      <c r="B25" s="780" t="s">
        <v>1030</v>
      </c>
      <c r="C25" s="787">
        <v>0.42</v>
      </c>
      <c r="D25" s="787">
        <v>0.75</v>
      </c>
    </row>
    <row r="26" spans="2:32" ht="15" x14ac:dyDescent="0.25">
      <c r="B26" s="781" t="s">
        <v>1031</v>
      </c>
      <c r="C26" s="781">
        <f>C25*C24*C23</f>
        <v>0.31418184420000006</v>
      </c>
      <c r="D26" s="781">
        <f>D25*D24*D23</f>
        <v>0.61087968749999999</v>
      </c>
    </row>
    <row r="28" spans="2:32" ht="15" x14ac:dyDescent="0.25">
      <c r="B28" s="623" t="s">
        <v>1032</v>
      </c>
    </row>
    <row r="29" spans="2:32" x14ac:dyDescent="0.2">
      <c r="B29" s="197" t="s">
        <v>1033</v>
      </c>
      <c r="C29" s="780">
        <f>C26</f>
        <v>0.31418184420000006</v>
      </c>
    </row>
    <row r="30" spans="2:32" x14ac:dyDescent="0.2">
      <c r="B30" s="197" t="s">
        <v>1027</v>
      </c>
      <c r="C30" s="780">
        <f>D26</f>
        <v>0.61087968749999999</v>
      </c>
    </row>
    <row r="31" spans="2:32" x14ac:dyDescent="0.2">
      <c r="B31" s="197" t="s">
        <v>1034</v>
      </c>
      <c r="C31" s="780">
        <f>C30/C29</f>
        <v>1.9443506961883186</v>
      </c>
      <c r="D31" s="795">
        <v>2.2000000000000002</v>
      </c>
    </row>
    <row r="33" spans="2:4" ht="15" x14ac:dyDescent="0.25">
      <c r="B33" s="623" t="s">
        <v>1035</v>
      </c>
    </row>
    <row r="34" spans="2:4" x14ac:dyDescent="0.2">
      <c r="B34" s="197" t="s">
        <v>1036</v>
      </c>
      <c r="C34" s="806">
        <f>(C5*1000/9.81)*C18/(4500*C30)</f>
        <v>2.1878362102506044</v>
      </c>
    </row>
    <row r="35" spans="2:4" x14ac:dyDescent="0.2">
      <c r="B35" s="197" t="s">
        <v>1038</v>
      </c>
      <c r="C35" s="797" t="s">
        <v>1351</v>
      </c>
    </row>
    <row r="36" spans="2:4" x14ac:dyDescent="0.2">
      <c r="B36" s="197" t="s">
        <v>1037</v>
      </c>
      <c r="C36" s="807">
        <v>3</v>
      </c>
    </row>
    <row r="37" spans="2:4" x14ac:dyDescent="0.2">
      <c r="B37" s="197" t="s">
        <v>1039</v>
      </c>
      <c r="C37" s="808">
        <v>925</v>
      </c>
    </row>
    <row r="39" spans="2:4" ht="15" x14ac:dyDescent="0.25">
      <c r="B39" s="623" t="s">
        <v>1040</v>
      </c>
    </row>
    <row r="40" spans="2:4" x14ac:dyDescent="0.2">
      <c r="B40" s="197" t="s">
        <v>1041</v>
      </c>
      <c r="C40" s="796">
        <v>60</v>
      </c>
      <c r="D40" s="798">
        <v>1</v>
      </c>
    </row>
    <row r="41" spans="2:4" x14ac:dyDescent="0.2">
      <c r="B41" s="197" t="s">
        <v>1042</v>
      </c>
      <c r="C41" s="797" t="s">
        <v>1043</v>
      </c>
    </row>
    <row r="42" spans="2:4" x14ac:dyDescent="0.2">
      <c r="B42" s="197" t="s">
        <v>1044</v>
      </c>
      <c r="C42" s="787">
        <v>9</v>
      </c>
    </row>
    <row r="43" spans="2:4" x14ac:dyDescent="0.2">
      <c r="B43" s="197" t="s">
        <v>1045</v>
      </c>
      <c r="C43" s="787">
        <v>1000</v>
      </c>
    </row>
    <row r="44" spans="2:4" x14ac:dyDescent="0.2">
      <c r="B44" s="197" t="s">
        <v>1046</v>
      </c>
      <c r="C44" s="813">
        <v>2880</v>
      </c>
      <c r="D44" s="197" t="s">
        <v>1047</v>
      </c>
    </row>
    <row r="45" spans="2:4" x14ac:dyDescent="0.2">
      <c r="B45" s="197" t="str">
        <f>"Torque at " &amp;C36&amp;"HP"</f>
        <v>Torque at 3HP</v>
      </c>
      <c r="C45" s="780">
        <f>C44*C43*C36/(C42*C37)</f>
        <v>1037.8378378378379</v>
      </c>
      <c r="D45" s="799">
        <f>C44*C43*C34/(C42*C37)</f>
        <v>756.87306732993886</v>
      </c>
    </row>
    <row r="46" spans="2:4" x14ac:dyDescent="0.2">
      <c r="C46" s="778"/>
    </row>
    <row r="47" spans="2:4" ht="15" x14ac:dyDescent="0.25">
      <c r="B47" s="623" t="s">
        <v>1048</v>
      </c>
    </row>
    <row r="48" spans="2:4" x14ac:dyDescent="0.2">
      <c r="B48" s="197" t="s">
        <v>1129</v>
      </c>
      <c r="C48" s="800" t="s">
        <v>1130</v>
      </c>
    </row>
    <row r="49" spans="2:4" x14ac:dyDescent="0.2">
      <c r="B49" s="197" t="s">
        <v>1049</v>
      </c>
      <c r="C49" s="780">
        <f>C40</f>
        <v>60</v>
      </c>
      <c r="D49" s="801">
        <f>D40</f>
        <v>1</v>
      </c>
    </row>
    <row r="50" spans="2:4" x14ac:dyDescent="0.2">
      <c r="B50" s="197" t="s">
        <v>1050</v>
      </c>
      <c r="C50" s="787">
        <v>115</v>
      </c>
      <c r="D50" s="798">
        <v>20</v>
      </c>
    </row>
    <row r="51" spans="2:4" x14ac:dyDescent="0.2">
      <c r="B51" s="197" t="s">
        <v>1051</v>
      </c>
      <c r="C51" s="787">
        <v>121</v>
      </c>
      <c r="D51" s="798">
        <v>20</v>
      </c>
    </row>
    <row r="52" spans="2:4" x14ac:dyDescent="0.2">
      <c r="B52" s="197" t="s">
        <v>1052</v>
      </c>
      <c r="C52" s="809">
        <f>C37</f>
        <v>925</v>
      </c>
    </row>
    <row r="54" spans="2:4" x14ac:dyDescent="0.2">
      <c r="B54" s="197" t="s">
        <v>1053</v>
      </c>
      <c r="C54" s="802">
        <f>C49*C50*C51/(D49*D50*D51)</f>
        <v>2087.25</v>
      </c>
    </row>
    <row r="55" spans="2:4" x14ac:dyDescent="0.2">
      <c r="B55" s="197" t="s">
        <v>718</v>
      </c>
      <c r="C55" s="809">
        <f>960/C54</f>
        <v>0.45993532159540063</v>
      </c>
    </row>
    <row r="56" spans="2:4" x14ac:dyDescent="0.2">
      <c r="B56" s="197" t="s">
        <v>1054</v>
      </c>
      <c r="C56" s="811">
        <f>C55*PI()*C15/1000/2</f>
        <v>0.50572529960769941</v>
      </c>
      <c r="D56" s="812">
        <f>C18</f>
        <v>0.5</v>
      </c>
    </row>
    <row r="57" spans="2:4" x14ac:dyDescent="0.2">
      <c r="C57" s="777"/>
    </row>
    <row r="58" spans="2:4" ht="15" x14ac:dyDescent="0.25">
      <c r="B58" s="623" t="s">
        <v>1055</v>
      </c>
    </row>
    <row r="59" spans="2:4" x14ac:dyDescent="0.2">
      <c r="B59" s="197" t="s">
        <v>1056</v>
      </c>
      <c r="C59" s="814">
        <f>71620*C36/C37*9.81/100</f>
        <v>22.786774054054053</v>
      </c>
    </row>
    <row r="60" spans="2:4" x14ac:dyDescent="0.2">
      <c r="B60" s="197" t="s">
        <v>1057</v>
      </c>
      <c r="C60" s="814">
        <f>1.5*C59</f>
        <v>34.180161081081081</v>
      </c>
    </row>
    <row r="62" spans="2:4" x14ac:dyDescent="0.2">
      <c r="B62" s="197" t="s">
        <v>1058</v>
      </c>
    </row>
    <row r="63" spans="2:4" x14ac:dyDescent="0.2">
      <c r="B63" s="197" t="s">
        <v>1059</v>
      </c>
      <c r="C63" s="814">
        <f>2.9*C59</f>
        <v>66.081644756756745</v>
      </c>
    </row>
    <row r="64" spans="2:4" x14ac:dyDescent="0.2">
      <c r="B64" s="197" t="s">
        <v>1060</v>
      </c>
      <c r="C64" s="814">
        <f>C63*C54*C26/2</f>
        <v>21667.380130333226</v>
      </c>
    </row>
    <row r="66" spans="2:3" ht="15" x14ac:dyDescent="0.25">
      <c r="B66" s="623" t="s">
        <v>1063</v>
      </c>
    </row>
    <row r="67" spans="2:3" x14ac:dyDescent="0.2">
      <c r="B67" s="197" t="s">
        <v>1064</v>
      </c>
      <c r="C67" s="797" t="s">
        <v>1089</v>
      </c>
    </row>
    <row r="68" spans="2:3" x14ac:dyDescent="0.2">
      <c r="B68" s="197" t="s">
        <v>1127</v>
      </c>
      <c r="C68" s="797" t="s">
        <v>1106</v>
      </c>
    </row>
    <row r="69" spans="2:3" x14ac:dyDescent="0.2">
      <c r="B69" s="197" t="s">
        <v>1074</v>
      </c>
      <c r="C69" s="803">
        <v>520</v>
      </c>
    </row>
    <row r="70" spans="2:3" x14ac:dyDescent="0.2">
      <c r="B70" s="197" t="s">
        <v>1076</v>
      </c>
      <c r="C70" s="803">
        <v>280</v>
      </c>
    </row>
    <row r="71" spans="2:3" x14ac:dyDescent="0.2">
      <c r="B71" s="197" t="s">
        <v>1015</v>
      </c>
    </row>
    <row r="72" spans="2:3" x14ac:dyDescent="0.2">
      <c r="B72" s="256" t="s">
        <v>752</v>
      </c>
      <c r="C72" s="789">
        <f>RT</f>
        <v>30.256410256410255</v>
      </c>
    </row>
    <row r="73" spans="2:3" x14ac:dyDescent="0.2">
      <c r="B73" s="256" t="s">
        <v>1065</v>
      </c>
      <c r="C73" s="789">
        <f>RTB</f>
        <v>61.906800372380644</v>
      </c>
    </row>
    <row r="74" spans="2:3" x14ac:dyDescent="0.2">
      <c r="B74" s="197" t="s">
        <v>1020</v>
      </c>
      <c r="C74" s="804">
        <f>C14</f>
        <v>28</v>
      </c>
    </row>
    <row r="75" spans="2:3" x14ac:dyDescent="0.2">
      <c r="B75" s="197" t="s">
        <v>1066</v>
      </c>
      <c r="C75" s="804">
        <f>C15</f>
        <v>700</v>
      </c>
    </row>
    <row r="76" spans="2:3" x14ac:dyDescent="0.2">
      <c r="B76" s="197" t="s">
        <v>1067</v>
      </c>
      <c r="C76" s="804">
        <f>C74+3</f>
        <v>31</v>
      </c>
    </row>
    <row r="77" spans="2:3" x14ac:dyDescent="0.2">
      <c r="B77" s="197" t="s">
        <v>1068</v>
      </c>
      <c r="C77" s="793">
        <v>25</v>
      </c>
    </row>
    <row r="78" spans="2:3" x14ac:dyDescent="0.2">
      <c r="B78" s="197" t="s">
        <v>1069</v>
      </c>
      <c r="C78" s="804">
        <f>0.53*C74</f>
        <v>14.84</v>
      </c>
    </row>
    <row r="79" spans="2:3" x14ac:dyDescent="0.2">
      <c r="B79" s="197" t="s">
        <v>1070</v>
      </c>
      <c r="C79" s="804">
        <f>0.35*C74</f>
        <v>9.7999999999999989</v>
      </c>
    </row>
    <row r="80" spans="2:3" x14ac:dyDescent="0.2">
      <c r="B80" s="197" t="s">
        <v>1071</v>
      </c>
    </row>
    <row r="81" spans="2:4" x14ac:dyDescent="0.2">
      <c r="B81" s="197" t="s">
        <v>1072</v>
      </c>
      <c r="C81" s="630">
        <f>1*C72/(C76*C77/10^6)/1000</f>
        <v>39.040529363110004</v>
      </c>
      <c r="D81" s="630">
        <f>IF(C67&lt;&gt;"Mild Steel",0.2*C69,0.17*C69)</f>
        <v>104</v>
      </c>
    </row>
    <row r="82" spans="2:4" x14ac:dyDescent="0.2">
      <c r="B82" s="197" t="s">
        <v>1073</v>
      </c>
      <c r="C82" s="630">
        <f>RTB/((C76*C77/10^6))/1000</f>
        <v>79.879742415975016</v>
      </c>
      <c r="D82" s="630">
        <f>IF(C67="Cast Iron",0.4*C69,0.8*C70)</f>
        <v>224</v>
      </c>
    </row>
    <row r="84" spans="2:4" x14ac:dyDescent="0.2">
      <c r="B84" s="197" t="s">
        <v>1078</v>
      </c>
      <c r="C84" s="805">
        <f>2*LFH</f>
        <v>18.599999999999909</v>
      </c>
    </row>
    <row r="85" spans="2:4" x14ac:dyDescent="0.2">
      <c r="B85" s="197" t="s">
        <v>1079</v>
      </c>
      <c r="C85" s="804">
        <f>C75</f>
        <v>700</v>
      </c>
    </row>
    <row r="86" spans="2:4" x14ac:dyDescent="0.2">
      <c r="B86" s="197" t="s">
        <v>1080</v>
      </c>
      <c r="C86" s="780">
        <f>CEILING(C84/(PI()*C85/1000),1)</f>
        <v>9</v>
      </c>
    </row>
    <row r="87" spans="2:4" ht="28.5" x14ac:dyDescent="0.2">
      <c r="B87" s="779" t="s">
        <v>1081</v>
      </c>
      <c r="C87" s="780">
        <f>C86+3</f>
        <v>12</v>
      </c>
    </row>
    <row r="88" spans="2:4" x14ac:dyDescent="0.2">
      <c r="B88" s="197" t="s">
        <v>1082</v>
      </c>
      <c r="C88" s="805">
        <f>C87*C76/1000</f>
        <v>0.372</v>
      </c>
    </row>
    <row r="89" spans="2:4" x14ac:dyDescent="0.2">
      <c r="B89" s="197" t="s">
        <v>1128</v>
      </c>
      <c r="C89" s="791">
        <v>0.5</v>
      </c>
    </row>
    <row r="91" spans="2:4" x14ac:dyDescent="0.2">
      <c r="B91" s="197" t="s">
        <v>1149</v>
      </c>
      <c r="C91" s="815">
        <f>PI()*C75/1000*C77/1000*C89*7850</f>
        <v>215.78814539344893</v>
      </c>
    </row>
    <row r="92" spans="2:4" x14ac:dyDescent="0.2">
      <c r="B92" s="197" t="s">
        <v>1083</v>
      </c>
      <c r="C92" s="816">
        <f>C72*C89/(4)</f>
        <v>3.7820512820512819</v>
      </c>
    </row>
    <row r="93" spans="2:4" x14ac:dyDescent="0.2">
      <c r="B93" s="197" t="s">
        <v>1084</v>
      </c>
      <c r="C93" s="816">
        <f>C91*9.81/1000*C89/8</f>
        <v>0.13230510664435838</v>
      </c>
    </row>
    <row r="94" spans="2:4" x14ac:dyDescent="0.2">
      <c r="B94" s="197" t="s">
        <v>1085</v>
      </c>
      <c r="C94" s="816">
        <f>C92+C93</f>
        <v>3.9143563886956403</v>
      </c>
    </row>
    <row r="95" spans="2:4" x14ac:dyDescent="0.2">
      <c r="B95" s="197" t="s">
        <v>1086</v>
      </c>
      <c r="C95" s="817">
        <f>PI()*(C85^4-(C85-2*C77)^4)/(32*C85)*(1/1000)^3</f>
        <v>8.6385032369217119E-3</v>
      </c>
    </row>
    <row r="96" spans="2:4" x14ac:dyDescent="0.2">
      <c r="B96" s="197" t="s">
        <v>410</v>
      </c>
      <c r="C96" s="630">
        <f>C94/C95/1000</f>
        <v>0.45312900641923032</v>
      </c>
    </row>
    <row r="97" spans="2:4" x14ac:dyDescent="0.2">
      <c r="B97" s="197" t="s">
        <v>1088</v>
      </c>
      <c r="C97" s="630">
        <f>SQRT(C81^2+C96^2+C96*C81)</f>
        <v>39.269054675771095</v>
      </c>
      <c r="D97" s="630">
        <f>IF(C67&lt;&gt;"Mild Steel",0.2*C69,0.17*C69)</f>
        <v>104</v>
      </c>
    </row>
    <row r="100" spans="2:4" ht="15" x14ac:dyDescent="0.25">
      <c r="B100" s="623" t="s">
        <v>1090</v>
      </c>
    </row>
    <row r="101" spans="2:4" x14ac:dyDescent="0.2">
      <c r="B101" s="1202" t="s">
        <v>1091</v>
      </c>
      <c r="C101" s="1197" t="s">
        <v>1092</v>
      </c>
      <c r="D101" s="1197"/>
    </row>
    <row r="102" spans="2:4" x14ac:dyDescent="0.2">
      <c r="B102" s="1202"/>
      <c r="C102" s="896" t="s">
        <v>1097</v>
      </c>
      <c r="D102" s="896" t="s">
        <v>1098</v>
      </c>
    </row>
    <row r="103" spans="2:4" ht="15" x14ac:dyDescent="0.2">
      <c r="B103" s="1203" t="s">
        <v>1093</v>
      </c>
      <c r="C103" s="1203"/>
      <c r="D103" s="1203"/>
    </row>
    <row r="104" spans="2:4" x14ac:dyDescent="0.2">
      <c r="B104" s="780" t="s">
        <v>752</v>
      </c>
      <c r="C104" s="780">
        <f>C72*C76/1000</f>
        <v>0.93794871794871792</v>
      </c>
      <c r="D104" s="780">
        <f>C104*0.95</f>
        <v>0.89105128205128203</v>
      </c>
    </row>
    <row r="105" spans="2:4" x14ac:dyDescent="0.2">
      <c r="B105" s="780" t="s">
        <v>1094</v>
      </c>
      <c r="C105" s="780">
        <f>C73*C76/1000</f>
        <v>1.9191108115438</v>
      </c>
      <c r="D105" s="780">
        <f>C105*0.93</f>
        <v>1.7847730547357341</v>
      </c>
    </row>
    <row r="106" spans="2:4" ht="15" x14ac:dyDescent="0.2">
      <c r="B106" s="1203" t="s">
        <v>1095</v>
      </c>
      <c r="C106" s="1203"/>
      <c r="D106" s="1203"/>
    </row>
    <row r="107" spans="2:4" x14ac:dyDescent="0.2">
      <c r="B107" s="780" t="s">
        <v>752</v>
      </c>
      <c r="C107" s="780">
        <f>D104*D50/C50</f>
        <v>0.15496544035674473</v>
      </c>
      <c r="D107" s="780">
        <f>C107*0.95</f>
        <v>0.14721716833890749</v>
      </c>
    </row>
    <row r="108" spans="2:4" x14ac:dyDescent="0.2">
      <c r="B108" s="780" t="s">
        <v>1094</v>
      </c>
      <c r="C108" s="780">
        <f>D105*D50/C50</f>
        <v>0.31039531386708419</v>
      </c>
      <c r="D108" s="780">
        <f>C108*0.93</f>
        <v>0.28866764189638833</v>
      </c>
    </row>
    <row r="109" spans="2:4" ht="15" x14ac:dyDescent="0.2">
      <c r="B109" s="1203" t="s">
        <v>1096</v>
      </c>
      <c r="C109" s="1203"/>
      <c r="D109" s="1203"/>
    </row>
    <row r="110" spans="2:4" x14ac:dyDescent="0.2">
      <c r="B110" s="780" t="s">
        <v>752</v>
      </c>
      <c r="C110" s="780">
        <f>D107*D51/C51</f>
        <v>2.4333416254364876E-2</v>
      </c>
      <c r="D110" s="780">
        <f>C110*0.95</f>
        <v>2.311674544164663E-2</v>
      </c>
    </row>
    <row r="111" spans="2:4" ht="23.25" customHeight="1" x14ac:dyDescent="0.2">
      <c r="B111" s="780" t="s">
        <v>1094</v>
      </c>
      <c r="C111" s="780">
        <f>D108*D51/C51</f>
        <v>4.7713659817584846E-2</v>
      </c>
      <c r="D111" s="780">
        <f>C111*0.93</f>
        <v>4.4373703630353908E-2</v>
      </c>
    </row>
    <row r="113" spans="2:3" ht="15" x14ac:dyDescent="0.25">
      <c r="B113" s="623" t="s">
        <v>1108</v>
      </c>
    </row>
    <row r="114" spans="2:3" x14ac:dyDescent="0.2">
      <c r="B114" s="197" t="s">
        <v>1099</v>
      </c>
    </row>
    <row r="115" spans="2:3" ht="15" x14ac:dyDescent="0.25">
      <c r="B115" s="623" t="s">
        <v>1100</v>
      </c>
    </row>
    <row r="116" spans="2:3" x14ac:dyDescent="0.2">
      <c r="B116" s="197" t="s">
        <v>1064</v>
      </c>
      <c r="C116" s="797" t="s">
        <v>1089</v>
      </c>
    </row>
    <row r="117" spans="2:3" x14ac:dyDescent="0.2">
      <c r="B117" s="197" t="s">
        <v>1102</v>
      </c>
      <c r="C117" s="797" t="s">
        <v>1106</v>
      </c>
    </row>
    <row r="118" spans="2:3" x14ac:dyDescent="0.2">
      <c r="B118" s="197" t="s">
        <v>1103</v>
      </c>
      <c r="C118" s="803">
        <v>520</v>
      </c>
    </row>
    <row r="119" spans="2:3" ht="15" customHeight="1" x14ac:dyDescent="0.2">
      <c r="B119" s="197" t="s">
        <v>1076</v>
      </c>
      <c r="C119" s="803">
        <v>280</v>
      </c>
    </row>
    <row r="120" spans="2:3" x14ac:dyDescent="0.2">
      <c r="B120" s="197" t="s">
        <v>1101</v>
      </c>
      <c r="C120" s="630">
        <f>0.2*C118</f>
        <v>104</v>
      </c>
    </row>
    <row r="121" spans="2:3" x14ac:dyDescent="0.2">
      <c r="B121" s="197" t="s">
        <v>1104</v>
      </c>
      <c r="C121" s="630">
        <f>0.8*C119</f>
        <v>224</v>
      </c>
    </row>
    <row r="123" spans="2:3" ht="15" x14ac:dyDescent="0.25">
      <c r="B123" s="623" t="s">
        <v>1105</v>
      </c>
    </row>
    <row r="124" spans="2:3" x14ac:dyDescent="0.2">
      <c r="B124" s="197" t="s">
        <v>1064</v>
      </c>
      <c r="C124" s="797" t="s">
        <v>1089</v>
      </c>
    </row>
    <row r="125" spans="2:3" x14ac:dyDescent="0.2">
      <c r="B125" s="197" t="s">
        <v>1102</v>
      </c>
      <c r="C125" s="797" t="s">
        <v>1107</v>
      </c>
    </row>
    <row r="126" spans="2:3" x14ac:dyDescent="0.2">
      <c r="B126" s="197" t="s">
        <v>1103</v>
      </c>
      <c r="C126" s="803">
        <v>570</v>
      </c>
    </row>
    <row r="127" spans="2:3" x14ac:dyDescent="0.2">
      <c r="B127" s="197" t="s">
        <v>1076</v>
      </c>
      <c r="C127" s="803">
        <v>340</v>
      </c>
    </row>
    <row r="128" spans="2:3" x14ac:dyDescent="0.2">
      <c r="B128" s="197" t="s">
        <v>1101</v>
      </c>
      <c r="C128" s="630">
        <f>0.2*C126</f>
        <v>114</v>
      </c>
    </row>
    <row r="129" spans="2:12" ht="15" thickBot="1" x14ac:dyDescent="0.25">
      <c r="B129" s="197" t="s">
        <v>1104</v>
      </c>
      <c r="C129" s="630">
        <f>0.8*C127</f>
        <v>272</v>
      </c>
    </row>
    <row r="130" spans="2:12" ht="30.75" thickBot="1" x14ac:dyDescent="0.25">
      <c r="B130" s="1190" t="s">
        <v>1114</v>
      </c>
      <c r="C130" s="1191"/>
      <c r="D130" s="903" t="s">
        <v>1124</v>
      </c>
      <c r="E130" s="903" t="s">
        <v>1120</v>
      </c>
      <c r="F130" s="903" t="s">
        <v>1121</v>
      </c>
      <c r="G130" s="782" t="s">
        <v>1123</v>
      </c>
      <c r="H130" s="903" t="s">
        <v>1125</v>
      </c>
      <c r="I130" s="903" t="s">
        <v>1115</v>
      </c>
      <c r="J130" s="903" t="s">
        <v>1126</v>
      </c>
      <c r="K130" s="903" t="s">
        <v>1122</v>
      </c>
      <c r="L130" s="783" t="s">
        <v>1116</v>
      </c>
    </row>
    <row r="131" spans="2:12" x14ac:dyDescent="0.2">
      <c r="B131" s="1198" t="s">
        <v>1117</v>
      </c>
      <c r="C131" s="900" t="s">
        <v>752</v>
      </c>
      <c r="D131" s="1196">
        <f>C50</f>
        <v>115</v>
      </c>
      <c r="E131" s="1194">
        <v>12</v>
      </c>
      <c r="F131" s="1196">
        <f>D131*E131/1000</f>
        <v>1.38</v>
      </c>
      <c r="G131" s="1196">
        <f>10*E131</f>
        <v>120</v>
      </c>
      <c r="H131" s="1207">
        <f ca="1">IF(D131&gt;=100,$AD$18,FORECAST(D131,OFFSET(qv,MATCH(D131,qr,1)-1,0,2),OFFSET(qr,MATCH(D131,qr,1)-1,0,2)))</f>
        <v>2.5</v>
      </c>
      <c r="I131" s="897">
        <f>D104</f>
        <v>0.89105128205128203</v>
      </c>
      <c r="J131" s="897">
        <f>I131/($D$131/$D$133*E131/1000)</f>
        <v>12.913786696395391</v>
      </c>
      <c r="K131" s="897">
        <f ca="1">J131*H131/(G131*E131/1000/1000)/1000</f>
        <v>22.419768570130891</v>
      </c>
      <c r="L131" s="784" t="str">
        <f ca="1">IF(K131&lt;$C$120,"OK","Error")</f>
        <v>OK</v>
      </c>
    </row>
    <row r="132" spans="2:12" ht="15" thickBot="1" x14ac:dyDescent="0.25">
      <c r="B132" s="1199"/>
      <c r="C132" s="901" t="s">
        <v>1094</v>
      </c>
      <c r="D132" s="1193"/>
      <c r="E132" s="1195"/>
      <c r="F132" s="1193"/>
      <c r="G132" s="1193"/>
      <c r="H132" s="1208"/>
      <c r="I132" s="898">
        <f>D105</f>
        <v>1.7847730547357341</v>
      </c>
      <c r="J132" s="898">
        <f>I132/(D131/D133*E133/1000)</f>
        <v>25.866276155590349</v>
      </c>
      <c r="K132" s="898">
        <f ca="1">J132*H131/(G131/1000*E131/1000)/1000</f>
        <v>44.906729436788801</v>
      </c>
      <c r="L132" s="785" t="str">
        <f ca="1">IF(K132&lt;$C$121,"OK","Error")</f>
        <v>OK</v>
      </c>
    </row>
    <row r="133" spans="2:12" x14ac:dyDescent="0.2">
      <c r="B133" s="1198" t="s">
        <v>1118</v>
      </c>
      <c r="C133" s="900" t="s">
        <v>752</v>
      </c>
      <c r="D133" s="1196">
        <f>D50</f>
        <v>20</v>
      </c>
      <c r="E133" s="1196">
        <f>E131</f>
        <v>12</v>
      </c>
      <c r="F133" s="1196">
        <f t="shared" ref="F133" si="1">D133*E133/1000</f>
        <v>0.24</v>
      </c>
      <c r="G133" s="1196">
        <f>11*E133</f>
        <v>132</v>
      </c>
      <c r="H133" s="1207">
        <f ca="1">IF(D133&gt;=100,$AD$18,FORECAST(D133,OFFSET(qv,MATCH(D133,qr,1)-1,0,2),OFFSET(qr,MATCH(D133,qr,1)-1,0,2)))</f>
        <v>3.3666666666666667</v>
      </c>
      <c r="I133" s="897">
        <f>C107</f>
        <v>0.15496544035674473</v>
      </c>
      <c r="J133" s="897">
        <f>I133/E133*1000</f>
        <v>12.913786696395395</v>
      </c>
      <c r="K133" s="897">
        <f ca="1">J133*H133/(G133/1000*E133/1000)/1000</f>
        <v>27.447231825251155</v>
      </c>
      <c r="L133" s="784" t="str">
        <f ca="1">IF(K133&lt;$C$128,"OK","Error")</f>
        <v>OK</v>
      </c>
    </row>
    <row r="134" spans="2:12" ht="15" thickBot="1" x14ac:dyDescent="0.25">
      <c r="B134" s="1199"/>
      <c r="C134" s="901" t="s">
        <v>1094</v>
      </c>
      <c r="D134" s="1193"/>
      <c r="E134" s="1193"/>
      <c r="F134" s="1193"/>
      <c r="G134" s="1193"/>
      <c r="H134" s="1208"/>
      <c r="I134" s="898">
        <f>C108</f>
        <v>0.31039531386708419</v>
      </c>
      <c r="J134" s="898">
        <f>I134/E133*1000</f>
        <v>25.866276155590349</v>
      </c>
      <c r="K134" s="898">
        <f ca="1">J134*H133/(G133/1000*E133/1000)/1000</f>
        <v>54.976723310492957</v>
      </c>
      <c r="L134" s="785" t="str">
        <f ca="1">IF(K134&lt;$C$129,"OK","Error")</f>
        <v>OK</v>
      </c>
    </row>
    <row r="135" spans="2:12" x14ac:dyDescent="0.2">
      <c r="B135" s="1198" t="s">
        <v>708</v>
      </c>
      <c r="C135" s="900" t="s">
        <v>752</v>
      </c>
      <c r="D135" s="1196">
        <f>C51</f>
        <v>121</v>
      </c>
      <c r="E135" s="1194">
        <v>8</v>
      </c>
      <c r="F135" s="1196">
        <f t="shared" ref="F135" si="2">D135*E135/1000</f>
        <v>0.96799999999999997</v>
      </c>
      <c r="G135" s="1196">
        <f t="shared" ref="G135" si="3">10*E135</f>
        <v>80</v>
      </c>
      <c r="H135" s="1207">
        <f ca="1">IF(D135&gt;=100,$AD$18,FORECAST(D135,OFFSET(qv,MATCH(D135,qr,1)-1,0,2),OFFSET(qr,MATCH(D135,qr,1)-1,0,2)))</f>
        <v>2.5</v>
      </c>
      <c r="I135" s="897">
        <f>D107</f>
        <v>0.14721716833890749</v>
      </c>
      <c r="J135" s="897">
        <f>I135/(D135/D137*E135/1000)</f>
        <v>3.0416770317956097</v>
      </c>
      <c r="K135" s="897">
        <f ca="1">J135*H135/(G135/1000*E135/1000)/1000</f>
        <v>11.881550905451599</v>
      </c>
      <c r="L135" s="784" t="str">
        <f ca="1">IF(K135&lt;$C$120,"OK","Error")</f>
        <v>OK</v>
      </c>
    </row>
    <row r="136" spans="2:12" ht="15" thickBot="1" x14ac:dyDescent="0.25">
      <c r="B136" s="1199"/>
      <c r="C136" s="901" t="s">
        <v>1094</v>
      </c>
      <c r="D136" s="1193"/>
      <c r="E136" s="1195"/>
      <c r="F136" s="1193"/>
      <c r="G136" s="1193"/>
      <c r="H136" s="1208"/>
      <c r="I136" s="898">
        <f>D108</f>
        <v>0.28866764189638833</v>
      </c>
      <c r="J136" s="898">
        <f>I136/(D135/D137*E135/1000)</f>
        <v>5.964207477198106</v>
      </c>
      <c r="K136" s="898">
        <f ca="1">J136*H135/(G135/1000*E135/1000)/1000</f>
        <v>23.297685457805098</v>
      </c>
      <c r="L136" s="785" t="str">
        <f ca="1">IF(K136&lt;$C$121,"OK","Error")</f>
        <v>OK</v>
      </c>
    </row>
    <row r="137" spans="2:12" x14ac:dyDescent="0.2">
      <c r="B137" s="1201" t="s">
        <v>1119</v>
      </c>
      <c r="C137" s="902" t="s">
        <v>752</v>
      </c>
      <c r="D137" s="1192">
        <f>D51</f>
        <v>20</v>
      </c>
      <c r="E137" s="1192">
        <f>E135</f>
        <v>8</v>
      </c>
      <c r="F137" s="1192">
        <f t="shared" ref="F137" si="4">D137*E137/1000</f>
        <v>0.16</v>
      </c>
      <c r="G137" s="1192">
        <f>11*E137</f>
        <v>88</v>
      </c>
      <c r="H137" s="1209">
        <f ca="1">IF(D137&gt;=100,$AD$18,FORECAST(D137,OFFSET(qv,MATCH(D137,qr,1)-1,0,2),OFFSET(qr,MATCH(D137,qr,1)-1,0,2)))</f>
        <v>3.3666666666666667</v>
      </c>
      <c r="I137" s="899">
        <f>C110</f>
        <v>2.4333416254364876E-2</v>
      </c>
      <c r="J137" s="899">
        <f>I137/E137*1000</f>
        <v>3.0416770317956097</v>
      </c>
      <c r="K137" s="899">
        <f ca="1">J137*H137/(G137/1000*E137/1000)/1000</f>
        <v>14.545898684249838</v>
      </c>
      <c r="L137" s="786" t="str">
        <f ca="1">IF(K137&lt;$C$128,"OK","Error")</f>
        <v>OK</v>
      </c>
    </row>
    <row r="138" spans="2:12" ht="15" thickBot="1" x14ac:dyDescent="0.25">
      <c r="B138" s="1199"/>
      <c r="C138" s="901" t="s">
        <v>1094</v>
      </c>
      <c r="D138" s="1193"/>
      <c r="E138" s="1193"/>
      <c r="F138" s="1193"/>
      <c r="G138" s="1193"/>
      <c r="H138" s="1208"/>
      <c r="I138" s="898">
        <f>C111</f>
        <v>4.7713659817584846E-2</v>
      </c>
      <c r="J138" s="898">
        <f>I138/E137*1000</f>
        <v>5.964207477198106</v>
      </c>
      <c r="K138" s="898">
        <f ca="1">J138*H137/(G137/1000*E137/1000)/1000</f>
        <v>28.522014924100791</v>
      </c>
      <c r="L138" s="785" t="str">
        <f ca="1">IF(K138&lt;$C$129,"OK","Error")</f>
        <v>OK</v>
      </c>
    </row>
    <row r="139" spans="2:12" ht="15" hidden="1" x14ac:dyDescent="0.25">
      <c r="B139" s="623" t="s">
        <v>1134</v>
      </c>
      <c r="F139" s="895">
        <f>C143</f>
        <v>0.11049999999999999</v>
      </c>
      <c r="G139" s="1143">
        <f>C142</f>
        <v>0.27900000000000003</v>
      </c>
      <c r="H139" s="1143"/>
      <c r="I139" s="788">
        <f>C143</f>
        <v>0.11049999999999999</v>
      </c>
    </row>
    <row r="140" spans="2:12" hidden="1" x14ac:dyDescent="0.2">
      <c r="B140" s="197" t="s">
        <v>1153</v>
      </c>
      <c r="C140" s="197">
        <f>C203</f>
        <v>8.5000000000000006E-2</v>
      </c>
      <c r="D140" s="197" t="s">
        <v>653</v>
      </c>
      <c r="G140" s="895"/>
      <c r="H140" s="895"/>
      <c r="I140" s="788"/>
    </row>
    <row r="141" spans="2:12" hidden="1" x14ac:dyDescent="0.2">
      <c r="B141" s="197" t="s">
        <v>1131</v>
      </c>
      <c r="C141" s="805">
        <f>C89</f>
        <v>0.5</v>
      </c>
    </row>
    <row r="142" spans="2:12" hidden="1" x14ac:dyDescent="0.2">
      <c r="B142" s="197" t="s">
        <v>1132</v>
      </c>
      <c r="C142" s="805">
        <f>C86*C76/1000</f>
        <v>0.27900000000000003</v>
      </c>
    </row>
    <row r="143" spans="2:12" hidden="1" x14ac:dyDescent="0.2">
      <c r="B143" s="197" t="s">
        <v>1133</v>
      </c>
      <c r="C143" s="805">
        <f>(C141-C142)/2</f>
        <v>0.11049999999999999</v>
      </c>
    </row>
    <row r="144" spans="2:12" hidden="1" x14ac:dyDescent="0.2">
      <c r="B144" s="197" t="s">
        <v>1163</v>
      </c>
      <c r="C144" s="793">
        <v>40</v>
      </c>
    </row>
    <row r="145" spans="2:10" hidden="1" x14ac:dyDescent="0.2">
      <c r="C145" s="805">
        <f>C144/1000</f>
        <v>0.04</v>
      </c>
    </row>
    <row r="146" spans="2:10" hidden="1" x14ac:dyDescent="0.2">
      <c r="B146" s="197" t="s">
        <v>1164</v>
      </c>
      <c r="C146" s="793">
        <v>140</v>
      </c>
    </row>
    <row r="147" spans="2:10" hidden="1" x14ac:dyDescent="0.2">
      <c r="C147" s="805">
        <f>C146/1000</f>
        <v>0.14000000000000001</v>
      </c>
      <c r="E147" s="197">
        <f>C145</f>
        <v>0.04</v>
      </c>
      <c r="F147" s="1200">
        <f>C141</f>
        <v>0.5</v>
      </c>
      <c r="G147" s="1143"/>
      <c r="H147" s="1143"/>
      <c r="I147" s="1143"/>
      <c r="J147" s="788">
        <f>C147</f>
        <v>0.14000000000000001</v>
      </c>
    </row>
    <row r="148" spans="2:10" hidden="1" x14ac:dyDescent="0.2">
      <c r="B148" s="197" t="s">
        <v>1141</v>
      </c>
      <c r="C148" s="805">
        <f>C141+C145+C147</f>
        <v>0.68</v>
      </c>
    </row>
    <row r="149" spans="2:10" hidden="1" x14ac:dyDescent="0.2">
      <c r="E149" s="256"/>
      <c r="F149" s="1143"/>
      <c r="G149" s="1143"/>
      <c r="H149" s="1143"/>
      <c r="I149" s="1143"/>
      <c r="J149" s="788"/>
    </row>
    <row r="150" spans="2:10" hidden="1" x14ac:dyDescent="0.2">
      <c r="B150" s="197" t="s">
        <v>1064</v>
      </c>
      <c r="C150" s="797" t="s">
        <v>1135</v>
      </c>
    </row>
    <row r="151" spans="2:10" hidden="1" x14ac:dyDescent="0.2">
      <c r="B151" s="197" t="s">
        <v>1136</v>
      </c>
      <c r="C151" s="803">
        <v>580</v>
      </c>
    </row>
    <row r="152" spans="2:10" hidden="1" x14ac:dyDescent="0.2">
      <c r="B152" s="197" t="s">
        <v>1137</v>
      </c>
      <c r="C152" s="803">
        <v>320</v>
      </c>
    </row>
    <row r="153" spans="2:10" hidden="1" x14ac:dyDescent="0.2">
      <c r="B153" s="197" t="s">
        <v>1138</v>
      </c>
      <c r="C153" s="630">
        <f>(MIN(0.5*C152,0.2*C151))*0.75</f>
        <v>87</v>
      </c>
    </row>
    <row r="154" spans="2:10" hidden="1" x14ac:dyDescent="0.2">
      <c r="B154" s="197" t="s">
        <v>1139</v>
      </c>
      <c r="C154" s="630">
        <f>0.3*C152*0.75</f>
        <v>72</v>
      </c>
    </row>
    <row r="155" spans="2:10" hidden="1" x14ac:dyDescent="0.2">
      <c r="B155" s="197" t="s">
        <v>1140</v>
      </c>
      <c r="C155" s="630">
        <f>MIN(0.24*C151,0.6*C152)*0.75</f>
        <v>104.39999999999999</v>
      </c>
    </row>
    <row r="156" spans="2:10" hidden="1" x14ac:dyDescent="0.2"/>
    <row r="157" spans="2:10" ht="15" hidden="1" x14ac:dyDescent="0.25">
      <c r="B157" s="623" t="s">
        <v>1142</v>
      </c>
    </row>
    <row r="158" spans="2:10" hidden="1" x14ac:dyDescent="0.2">
      <c r="B158" s="197" t="s">
        <v>1147</v>
      </c>
    </row>
    <row r="159" spans="2:10" hidden="1" x14ac:dyDescent="0.2">
      <c r="C159" s="1197" t="s">
        <v>1143</v>
      </c>
      <c r="D159" s="1197"/>
      <c r="E159" s="1197" t="s">
        <v>1144</v>
      </c>
      <c r="F159" s="1197"/>
    </row>
    <row r="160" spans="2:10" hidden="1" x14ac:dyDescent="0.2">
      <c r="C160" s="896" t="s">
        <v>752</v>
      </c>
      <c r="D160" s="896" t="s">
        <v>1094</v>
      </c>
      <c r="E160" s="896" t="s">
        <v>752</v>
      </c>
      <c r="F160" s="896" t="s">
        <v>1094</v>
      </c>
    </row>
    <row r="161" spans="2:6" hidden="1" x14ac:dyDescent="0.2">
      <c r="B161" s="780" t="s">
        <v>1145</v>
      </c>
      <c r="C161" s="780">
        <f>C72*(C142+C143)/C141*1000</f>
        <v>23569.74358974359</v>
      </c>
      <c r="D161" s="780">
        <f>C73*(C142+C143)/C141*1000</f>
        <v>48225.397490084528</v>
      </c>
      <c r="E161" s="780">
        <f>C72*(C143)/C141*1000</f>
        <v>6686.6666666666661</v>
      </c>
      <c r="F161" s="780">
        <f>C73*(C143)/C141*1000</f>
        <v>13681.402882296121</v>
      </c>
    </row>
    <row r="162" spans="2:6" hidden="1" x14ac:dyDescent="0.2">
      <c r="B162" s="780" t="s">
        <v>1146</v>
      </c>
      <c r="C162" s="780">
        <f>DKG*9.81/2</f>
        <v>1058.440853154867</v>
      </c>
      <c r="D162" s="780">
        <f>DKG*9.81/2</f>
        <v>1058.440853154867</v>
      </c>
      <c r="E162" s="780">
        <f>DKG*9.81/2</f>
        <v>1058.440853154867</v>
      </c>
      <c r="F162" s="780">
        <f>DKG*9.81/2</f>
        <v>1058.440853154867</v>
      </c>
    </row>
    <row r="163" spans="2:6" hidden="1" x14ac:dyDescent="0.2">
      <c r="B163" s="780" t="s">
        <v>1150</v>
      </c>
      <c r="C163" s="780">
        <f>+C161+C162</f>
        <v>24628.184442898455</v>
      </c>
      <c r="D163" s="780">
        <f t="shared" ref="D163:F163" si="5">+D161+D162</f>
        <v>49283.838343239397</v>
      </c>
      <c r="E163" s="780">
        <f t="shared" si="5"/>
        <v>7745.1075198215331</v>
      </c>
      <c r="F163" s="780">
        <f t="shared" si="5"/>
        <v>14739.843735450988</v>
      </c>
    </row>
    <row r="164" spans="2:6" hidden="1" x14ac:dyDescent="0.2"/>
    <row r="165" spans="2:6" hidden="1" x14ac:dyDescent="0.2">
      <c r="B165" s="197" t="s">
        <v>1151</v>
      </c>
    </row>
    <row r="166" spans="2:6" hidden="1" x14ac:dyDescent="0.2">
      <c r="C166" s="1197" t="s">
        <v>1143</v>
      </c>
      <c r="D166" s="1197"/>
      <c r="E166" s="1197" t="s">
        <v>1144</v>
      </c>
      <c r="F166" s="1197"/>
    </row>
    <row r="167" spans="2:6" hidden="1" x14ac:dyDescent="0.2">
      <c r="C167" s="896" t="s">
        <v>752</v>
      </c>
      <c r="D167" s="896" t="s">
        <v>1094</v>
      </c>
      <c r="E167" s="896" t="s">
        <v>752</v>
      </c>
      <c r="F167" s="896" t="s">
        <v>1094</v>
      </c>
    </row>
    <row r="168" spans="2:6" hidden="1" x14ac:dyDescent="0.2">
      <c r="B168" s="780" t="s">
        <v>1145</v>
      </c>
      <c r="C168" s="780">
        <f>C72*C143/C141*1000</f>
        <v>6686.6666666666661</v>
      </c>
      <c r="D168" s="780">
        <f>C73*C143/C141*1000</f>
        <v>13681.402882296121</v>
      </c>
      <c r="E168" s="780">
        <f>C161</f>
        <v>23569.74358974359</v>
      </c>
      <c r="F168" s="780">
        <f>D161</f>
        <v>48225.397490084528</v>
      </c>
    </row>
    <row r="169" spans="2:6" hidden="1" x14ac:dyDescent="0.2">
      <c r="B169" s="780" t="s">
        <v>1152</v>
      </c>
      <c r="C169" s="780">
        <f>DKG*9.81/2+PI()/4*(F131^2-C140^2)*G131/1000*7850*9.81</f>
        <v>14827.909600017159</v>
      </c>
      <c r="D169" s="780">
        <f>DKG*9.81/2+PI()/4*(F131^2-C140^2)*G131/1000*7850*9.81</f>
        <v>14827.909600017159</v>
      </c>
      <c r="E169" s="780">
        <f>DKG*9.81/2+PI()/4*(F131^2-C140^2)*G131/1000*7850*9.81</f>
        <v>14827.909600017159</v>
      </c>
      <c r="F169" s="780">
        <f>DKG*9.81/2+PI()/4*(F131^2-C140^2)*G131/1000*7850*9.81</f>
        <v>14827.909600017159</v>
      </c>
    </row>
    <row r="170" spans="2:6" hidden="1" x14ac:dyDescent="0.2">
      <c r="B170" s="780" t="s">
        <v>1155</v>
      </c>
      <c r="C170" s="780">
        <f>-J131*1000</f>
        <v>-12913.786696395391</v>
      </c>
      <c r="D170" s="818">
        <f>-J132*1000</f>
        <v>-25866.276155590349</v>
      </c>
      <c r="E170" s="818">
        <f>-J131*1000</f>
        <v>-12913.786696395391</v>
      </c>
      <c r="F170" s="818">
        <f>-J132*1000</f>
        <v>-25866.276155590349</v>
      </c>
    </row>
    <row r="171" spans="2:6" hidden="1" x14ac:dyDescent="0.2">
      <c r="B171" s="780" t="s">
        <v>1154</v>
      </c>
      <c r="C171" s="780">
        <f>C170+C169+C168</f>
        <v>8600.7895702884343</v>
      </c>
      <c r="D171" s="780">
        <f t="shared" ref="D171:F171" si="6">D170+D169+D168</f>
        <v>2643.0363267229313</v>
      </c>
      <c r="E171" s="780">
        <f t="shared" si="6"/>
        <v>25483.866493365356</v>
      </c>
      <c r="F171" s="780">
        <f t="shared" si="6"/>
        <v>37187.030934511335</v>
      </c>
    </row>
    <row r="172" spans="2:6" hidden="1" x14ac:dyDescent="0.2"/>
    <row r="173" spans="2:6" ht="15" hidden="1" x14ac:dyDescent="0.25">
      <c r="B173" s="623" t="s">
        <v>1156</v>
      </c>
    </row>
    <row r="174" spans="2:6" hidden="1" x14ac:dyDescent="0.2">
      <c r="B174" s="197" t="s">
        <v>1157</v>
      </c>
    </row>
    <row r="175" spans="2:6" hidden="1" x14ac:dyDescent="0.2">
      <c r="B175" s="197" t="s">
        <v>1158</v>
      </c>
    </row>
    <row r="176" spans="2:6" hidden="1" x14ac:dyDescent="0.2">
      <c r="B176" s="197" t="s">
        <v>752</v>
      </c>
      <c r="C176" s="780">
        <f>J131*1000*TAN(RADIANS(20))</f>
        <v>4700.2339691507977</v>
      </c>
      <c r="D176" s="197" t="s">
        <v>752</v>
      </c>
    </row>
    <row r="177" spans="2:6" hidden="1" x14ac:dyDescent="0.2">
      <c r="B177" s="197" t="s">
        <v>1094</v>
      </c>
      <c r="C177" s="780">
        <f>J132*TAN(RADIANS(20))*1000</f>
        <v>9414.554591944503</v>
      </c>
      <c r="D177" s="197" t="s">
        <v>752</v>
      </c>
    </row>
    <row r="178" spans="2:6" hidden="1" x14ac:dyDescent="0.2"/>
    <row r="179" spans="2:6" ht="15" hidden="1" x14ac:dyDescent="0.25">
      <c r="B179" s="623" t="s">
        <v>1159</v>
      </c>
    </row>
    <row r="180" spans="2:6" hidden="1" x14ac:dyDescent="0.2">
      <c r="C180" s="1197" t="s">
        <v>1162</v>
      </c>
      <c r="D180" s="1197"/>
      <c r="E180" s="1197" t="s">
        <v>1161</v>
      </c>
      <c r="F180" s="1197"/>
    </row>
    <row r="181" spans="2:6" hidden="1" x14ac:dyDescent="0.2">
      <c r="B181" s="780" t="s">
        <v>1160</v>
      </c>
      <c r="C181" s="896" t="s">
        <v>752</v>
      </c>
      <c r="D181" s="896" t="s">
        <v>1094</v>
      </c>
      <c r="E181" s="896" t="s">
        <v>752</v>
      </c>
      <c r="F181" s="896" t="s">
        <v>1094</v>
      </c>
    </row>
    <row r="182" spans="2:6" hidden="1" x14ac:dyDescent="0.2">
      <c r="B182" s="780" t="s">
        <v>1143</v>
      </c>
      <c r="C182" s="780">
        <f>C163*(C141+C147)/C148+C171*C147/C148</f>
        <v>24950.218504846162</v>
      </c>
      <c r="D182" s="780">
        <f>D163*(C141+C147)/C148+D171*C147/C148</f>
        <v>46928.943566785922</v>
      </c>
      <c r="E182" s="780">
        <f>C171*(C141+C147)/C148+C163*C147/C148</f>
        <v>13165.369333809384</v>
      </c>
      <c r="F182" s="780">
        <f>D171*(C141+C147)/C148+D163*C147/C148</f>
        <v>12634.236201700282</v>
      </c>
    </row>
    <row r="183" spans="2:6" hidden="1" x14ac:dyDescent="0.2">
      <c r="B183" s="780" t="s">
        <v>1144</v>
      </c>
      <c r="C183" s="780">
        <f>E163*(C141+C147)/C148+E171*C147/C148</f>
        <v>12536.191355524898</v>
      </c>
      <c r="D183" s="780">
        <f>F163*(C141+C147)/C148+F171*C147/C148</f>
        <v>21528.947531647384</v>
      </c>
      <c r="E183" s="780">
        <f>E171*(C141+C147)/C148+E163*C147/C148</f>
        <v>25579.396483130648</v>
      </c>
      <c r="F183" s="780">
        <f>F171*(C141+C147)/C148+F163*C147/C148</f>
        <v>38034.232236838812</v>
      </c>
    </row>
    <row r="184" spans="2:6" hidden="1" x14ac:dyDescent="0.2"/>
    <row r="185" spans="2:6" ht="15" hidden="1" x14ac:dyDescent="0.25">
      <c r="B185" s="623" t="s">
        <v>1165</v>
      </c>
    </row>
    <row r="186" spans="2:6" hidden="1" x14ac:dyDescent="0.2">
      <c r="C186" s="1197" t="s">
        <v>1162</v>
      </c>
      <c r="D186" s="1197"/>
      <c r="E186" s="1197" t="s">
        <v>1161</v>
      </c>
      <c r="F186" s="1197"/>
    </row>
    <row r="187" spans="2:6" hidden="1" x14ac:dyDescent="0.2">
      <c r="C187" s="896" t="s">
        <v>752</v>
      </c>
      <c r="D187" s="896" t="s">
        <v>1094</v>
      </c>
      <c r="E187" s="896" t="s">
        <v>752</v>
      </c>
      <c r="F187" s="896" t="s">
        <v>1094</v>
      </c>
    </row>
    <row r="188" spans="2:6" hidden="1" x14ac:dyDescent="0.2">
      <c r="B188" s="780" t="s">
        <v>1166</v>
      </c>
      <c r="C188" s="780">
        <f>C176*C147/C148</f>
        <v>967.69522894281135</v>
      </c>
      <c r="D188" s="780">
        <f>C177*C147/C148</f>
        <v>1938.2906512826921</v>
      </c>
      <c r="E188" s="780">
        <f>C176*(C145+C147)/C148</f>
        <v>1244.1795800693289</v>
      </c>
      <c r="F188" s="780">
        <f>C177*(C145+C147)/C148</f>
        <v>2492.0879802206036</v>
      </c>
    </row>
    <row r="189" spans="2:6" hidden="1" x14ac:dyDescent="0.2"/>
    <row r="190" spans="2:6" hidden="1" x14ac:dyDescent="0.2">
      <c r="B190" s="197" t="s">
        <v>1167</v>
      </c>
    </row>
    <row r="191" spans="2:6" hidden="1" x14ac:dyDescent="0.2">
      <c r="C191" s="1197" t="s">
        <v>1162</v>
      </c>
      <c r="D191" s="1197"/>
      <c r="E191" s="1197" t="s">
        <v>1161</v>
      </c>
      <c r="F191" s="1197"/>
    </row>
    <row r="192" spans="2:6" hidden="1" x14ac:dyDescent="0.2">
      <c r="B192" s="780" t="s">
        <v>1160</v>
      </c>
      <c r="C192" s="896" t="s">
        <v>752</v>
      </c>
      <c r="D192" s="896" t="s">
        <v>1094</v>
      </c>
      <c r="E192" s="896" t="s">
        <v>752</v>
      </c>
      <c r="F192" s="896" t="s">
        <v>1094</v>
      </c>
    </row>
    <row r="193" spans="2:6" hidden="1" x14ac:dyDescent="0.2">
      <c r="B193" s="780" t="s">
        <v>1143</v>
      </c>
      <c r="C193" s="780">
        <f>SQRT(C188^2+C182^2)</f>
        <v>24968.977502006095</v>
      </c>
      <c r="D193" s="780">
        <f>SQRT($D$188^2+D182^2)</f>
        <v>46968.954799350468</v>
      </c>
      <c r="E193" s="780">
        <f>SQRT($E$188^2+E182^2)</f>
        <v>13224.028604138377</v>
      </c>
      <c r="F193" s="780">
        <f>SQRT($F$188^2+F182^2)</f>
        <v>12877.671641314433</v>
      </c>
    </row>
    <row r="194" spans="2:6" hidden="1" x14ac:dyDescent="0.2">
      <c r="B194" s="780" t="s">
        <v>1144</v>
      </c>
      <c r="C194" s="780">
        <f>SQRT(C188^2+C183^2)</f>
        <v>12573.48510789494</v>
      </c>
      <c r="D194" s="780">
        <f t="shared" ref="D194:F194" si="7">SQRT(D188^2+D183^2)</f>
        <v>21616.025362431363</v>
      </c>
      <c r="E194" s="780">
        <f t="shared" si="7"/>
        <v>25609.636999939263</v>
      </c>
      <c r="F194" s="780">
        <f t="shared" si="7"/>
        <v>38115.78838679516</v>
      </c>
    </row>
    <row r="195" spans="2:6" hidden="1" x14ac:dyDescent="0.2"/>
    <row r="196" spans="2:6" hidden="1" x14ac:dyDescent="0.2">
      <c r="B196" s="197" t="s">
        <v>1168</v>
      </c>
      <c r="C196" s="780">
        <f>MAX(E193:E194)*C147</f>
        <v>3585.3491799914973</v>
      </c>
      <c r="D196" s="197" t="s">
        <v>1047</v>
      </c>
    </row>
    <row r="197" spans="2:6" hidden="1" x14ac:dyDescent="0.2">
      <c r="B197" s="197" t="s">
        <v>1169</v>
      </c>
      <c r="C197" s="780">
        <f>MAX(F193:F194)*C147</f>
        <v>5336.2103741513229</v>
      </c>
      <c r="D197" s="197" t="s">
        <v>1047</v>
      </c>
    </row>
    <row r="198" spans="2:6" hidden="1" x14ac:dyDescent="0.2"/>
    <row r="199" spans="2:6" hidden="1" x14ac:dyDescent="0.2">
      <c r="B199" s="197" t="s">
        <v>1174</v>
      </c>
      <c r="C199" s="797" t="s">
        <v>1177</v>
      </c>
    </row>
    <row r="200" spans="2:6" hidden="1" x14ac:dyDescent="0.2">
      <c r="B200" s="197" t="s">
        <v>1102</v>
      </c>
      <c r="C200" s="797" t="s">
        <v>1178</v>
      </c>
    </row>
    <row r="201" spans="2:6" hidden="1" x14ac:dyDescent="0.2">
      <c r="B201" s="197" t="s">
        <v>971</v>
      </c>
      <c r="C201" s="787">
        <v>580</v>
      </c>
      <c r="D201" s="197" t="s">
        <v>1075</v>
      </c>
    </row>
    <row r="202" spans="2:6" hidden="1" x14ac:dyDescent="0.2">
      <c r="B202" s="197" t="s">
        <v>970</v>
      </c>
      <c r="C202" s="787">
        <f>320</f>
        <v>320</v>
      </c>
      <c r="D202" s="197" t="s">
        <v>1075</v>
      </c>
    </row>
    <row r="203" spans="2:6" hidden="1" x14ac:dyDescent="0.2">
      <c r="B203" s="197" t="s">
        <v>1173</v>
      </c>
      <c r="C203" s="787">
        <v>8.5000000000000006E-2</v>
      </c>
      <c r="D203" s="197" t="s">
        <v>653</v>
      </c>
    </row>
    <row r="204" spans="2:6" hidden="1" x14ac:dyDescent="0.2">
      <c r="B204" s="197" t="s">
        <v>1170</v>
      </c>
      <c r="C204" s="780">
        <f>PI()*(C203)^3/32</f>
        <v>6.0291580887057262E-5</v>
      </c>
      <c r="D204" s="197" t="s">
        <v>1087</v>
      </c>
    </row>
    <row r="205" spans="2:6" hidden="1" x14ac:dyDescent="0.2">
      <c r="B205" s="197" t="s">
        <v>1171</v>
      </c>
      <c r="C205" s="780">
        <f>C196/C204/10^6</f>
        <v>59.466829816717592</v>
      </c>
      <c r="D205" s="780">
        <f>MIN(0.5*C202,0.2*C201)</f>
        <v>116</v>
      </c>
    </row>
    <row r="206" spans="2:6" hidden="1" x14ac:dyDescent="0.2">
      <c r="B206" s="197" t="s">
        <v>1172</v>
      </c>
      <c r="C206" s="780">
        <f>C197/C204/10^6</f>
        <v>88.506725079037395</v>
      </c>
      <c r="D206" s="780">
        <f>C202*0.8</f>
        <v>256</v>
      </c>
    </row>
    <row r="207" spans="2:6" hidden="1" x14ac:dyDescent="0.2"/>
    <row r="208" spans="2:6" hidden="1" x14ac:dyDescent="0.2">
      <c r="B208" s="197" t="s">
        <v>32</v>
      </c>
      <c r="C208" s="787">
        <v>20</v>
      </c>
      <c r="D208" s="197" t="s">
        <v>652</v>
      </c>
    </row>
    <row r="209" spans="2:12" hidden="1" x14ac:dyDescent="0.2">
      <c r="C209" s="819">
        <f>C208/1000</f>
        <v>0.02</v>
      </c>
      <c r="D209" s="197" t="s">
        <v>653</v>
      </c>
    </row>
    <row r="210" spans="2:12" hidden="1" x14ac:dyDescent="0.2"/>
    <row r="211" spans="2:12" hidden="1" x14ac:dyDescent="0.2">
      <c r="B211" s="197" t="s">
        <v>1175</v>
      </c>
      <c r="C211" s="780">
        <f>MAX(C193:C194)/(C203*C209)/10^6</f>
        <v>14.687633824709467</v>
      </c>
      <c r="D211" s="780">
        <f>MIN(0.5*C202,0.2*C201)</f>
        <v>116</v>
      </c>
    </row>
    <row r="212" spans="2:12" hidden="1" x14ac:dyDescent="0.2">
      <c r="B212" s="197" t="s">
        <v>1176</v>
      </c>
      <c r="C212" s="780">
        <f>4*MAX(C193:C194)/(3*PI()/4*C203^2)/10^6</f>
        <v>5.8669415542619152</v>
      </c>
      <c r="D212" s="780">
        <f>0.3*C202</f>
        <v>96</v>
      </c>
    </row>
    <row r="213" spans="2:12" hidden="1" x14ac:dyDescent="0.2">
      <c r="F213" s="343"/>
      <c r="G213" s="343"/>
      <c r="H213" s="343"/>
      <c r="I213" s="343"/>
      <c r="J213" s="343"/>
    </row>
    <row r="214" spans="2:12" hidden="1" x14ac:dyDescent="0.2">
      <c r="B214" s="197" t="s">
        <v>1179</v>
      </c>
      <c r="F214" s="343"/>
      <c r="G214" s="343"/>
      <c r="H214" s="343"/>
      <c r="I214" s="343"/>
      <c r="J214" s="343"/>
    </row>
    <row r="215" spans="2:12" hidden="1" x14ac:dyDescent="0.2">
      <c r="B215" s="197" t="s">
        <v>1188</v>
      </c>
      <c r="C215" s="197">
        <f>0.1</f>
        <v>0.1</v>
      </c>
      <c r="D215" s="197" t="s">
        <v>653</v>
      </c>
      <c r="F215" s="343"/>
      <c r="G215" s="343"/>
      <c r="H215" s="343"/>
      <c r="I215" s="343"/>
      <c r="J215" s="343"/>
    </row>
    <row r="216" spans="2:12" ht="28.5" hidden="1" x14ac:dyDescent="0.2">
      <c r="B216" s="779" t="s">
        <v>1181</v>
      </c>
      <c r="C216" s="197">
        <f>0.16</f>
        <v>0.16</v>
      </c>
      <c r="D216" s="197" t="s">
        <v>653</v>
      </c>
      <c r="G216" s="343"/>
      <c r="H216" s="824"/>
      <c r="J216" s="822"/>
    </row>
    <row r="217" spans="2:12" ht="15" hidden="1" thickBot="1" x14ac:dyDescent="0.25">
      <c r="B217" s="197" t="s">
        <v>1182</v>
      </c>
      <c r="C217" s="197">
        <f>0.48</f>
        <v>0.48</v>
      </c>
      <c r="D217" s="197" t="s">
        <v>653</v>
      </c>
      <c r="F217" s="823"/>
      <c r="G217" s="823"/>
      <c r="H217" s="825"/>
      <c r="I217" s="823"/>
      <c r="J217" s="823"/>
      <c r="K217" s="825"/>
    </row>
    <row r="218" spans="2:12" ht="15" hidden="1" thickTop="1" x14ac:dyDescent="0.2">
      <c r="B218" s="197" t="s">
        <v>1183</v>
      </c>
      <c r="C218" s="197">
        <f>(C217-C216)/2</f>
        <v>0.15999999999999998</v>
      </c>
      <c r="D218" s="197" t="s">
        <v>653</v>
      </c>
      <c r="F218" s="826"/>
      <c r="H218" s="826"/>
      <c r="K218" s="827"/>
      <c r="L218" s="824"/>
    </row>
    <row r="219" spans="2:12" hidden="1" x14ac:dyDescent="0.2">
      <c r="F219" s="1188">
        <f>C218</f>
        <v>0.15999999999999998</v>
      </c>
      <c r="G219" s="1189"/>
      <c r="H219" s="1188">
        <f>C216</f>
        <v>0.16</v>
      </c>
      <c r="I219" s="1143"/>
      <c r="J219" s="1189"/>
      <c r="K219" s="828">
        <f>C218</f>
        <v>0.15999999999999998</v>
      </c>
      <c r="L219" s="824"/>
    </row>
    <row r="220" spans="2:12" hidden="1" x14ac:dyDescent="0.2">
      <c r="F220" s="197" t="s">
        <v>1180</v>
      </c>
      <c r="H220" s="197" t="s">
        <v>117</v>
      </c>
      <c r="K220" s="197" t="s">
        <v>535</v>
      </c>
      <c r="L220" s="197" t="s">
        <v>995</v>
      </c>
    </row>
    <row r="221" spans="2:12" hidden="1" x14ac:dyDescent="0.2">
      <c r="B221" s="197" t="s">
        <v>1142</v>
      </c>
    </row>
    <row r="222" spans="2:12" hidden="1" x14ac:dyDescent="0.2">
      <c r="B222" s="197" t="s">
        <v>1184</v>
      </c>
      <c r="C222" s="895" t="s">
        <v>752</v>
      </c>
      <c r="D222" s="895" t="s">
        <v>1094</v>
      </c>
    </row>
    <row r="223" spans="2:12" hidden="1" x14ac:dyDescent="0.2">
      <c r="B223" s="197" t="s">
        <v>1185</v>
      </c>
      <c r="C223" s="829">
        <f>J131*1000</f>
        <v>12913.786696395391</v>
      </c>
      <c r="D223" s="829">
        <f>J132*1000</f>
        <v>25866.276155590349</v>
      </c>
    </row>
    <row r="224" spans="2:12" hidden="1" x14ac:dyDescent="0.2">
      <c r="B224" s="197" t="s">
        <v>1186</v>
      </c>
      <c r="C224" s="197">
        <f>PI()/4*(F133^2-C215^2)*G133/1000*9.81*7850</f>
        <v>380.02260391672343</v>
      </c>
      <c r="D224" s="197">
        <f>PI()/4*(F133^2-C215^2)*G133/1000*9.81*7850</f>
        <v>380.02260391672343</v>
      </c>
    </row>
    <row r="225" spans="2:4" hidden="1" x14ac:dyDescent="0.2">
      <c r="B225" s="197" t="s">
        <v>1187</v>
      </c>
      <c r="C225" s="829">
        <f>+C224+C223</f>
        <v>13293.809300312114</v>
      </c>
      <c r="D225" s="829">
        <f>+D224+D223</f>
        <v>26246.298759507074</v>
      </c>
    </row>
    <row r="226" spans="2:4" hidden="1" x14ac:dyDescent="0.2"/>
    <row r="227" spans="2:4" hidden="1" x14ac:dyDescent="0.2">
      <c r="B227" s="197" t="s">
        <v>1196</v>
      </c>
      <c r="C227" s="895" t="s">
        <v>752</v>
      </c>
      <c r="D227" s="895" t="s">
        <v>1094</v>
      </c>
    </row>
    <row r="228" spans="2:4" hidden="1" x14ac:dyDescent="0.2">
      <c r="B228" s="197" t="s">
        <v>1185</v>
      </c>
      <c r="C228" s="829">
        <f>J135*1000</f>
        <v>3041.6770317956098</v>
      </c>
      <c r="D228" s="829">
        <f>J136*1000</f>
        <v>5964.2074771981061</v>
      </c>
    </row>
    <row r="229" spans="2:4" hidden="1" x14ac:dyDescent="0.2">
      <c r="B229" s="197" t="s">
        <v>1186</v>
      </c>
      <c r="C229" s="197">
        <f>PI()/4*(F135^2-C215^2)*7850*9.81*G135/1000</f>
        <v>4485.4860500801706</v>
      </c>
      <c r="D229" s="197">
        <f>PI()/4*(F135^2-C215^2)*7850*9.81*G135/1000</f>
        <v>4485.4860500801706</v>
      </c>
    </row>
    <row r="230" spans="2:4" hidden="1" x14ac:dyDescent="0.2">
      <c r="B230" s="197" t="s">
        <v>1197</v>
      </c>
      <c r="C230" s="829">
        <f>+C229+C228</f>
        <v>7527.1630818757803</v>
      </c>
      <c r="D230" s="829">
        <f>+D229+D228</f>
        <v>10449.693527278276</v>
      </c>
    </row>
    <row r="231" spans="2:4" hidden="1" x14ac:dyDescent="0.2"/>
    <row r="232" spans="2:4" hidden="1" x14ac:dyDescent="0.2">
      <c r="B232" s="197" t="s">
        <v>1189</v>
      </c>
    </row>
    <row r="233" spans="2:4" hidden="1" x14ac:dyDescent="0.2">
      <c r="C233" s="895" t="s">
        <v>752</v>
      </c>
      <c r="D233" s="895" t="s">
        <v>1094</v>
      </c>
    </row>
    <row r="234" spans="2:4" hidden="1" x14ac:dyDescent="0.2">
      <c r="B234" s="197" t="s">
        <v>1190</v>
      </c>
      <c r="C234" s="197">
        <f>J133*1000*TAN(RADIANS(20))</f>
        <v>4700.2339691507987</v>
      </c>
      <c r="D234" s="197">
        <f>J134*TAN(RADIANS(20))*1000</f>
        <v>9414.554591944503</v>
      </c>
    </row>
    <row r="235" spans="2:4" hidden="1" x14ac:dyDescent="0.2">
      <c r="B235" s="197" t="s">
        <v>1198</v>
      </c>
      <c r="C235" s="197">
        <f>J135*TAN(RADIANS(20))*1000</f>
        <v>1107.0799018247751</v>
      </c>
      <c r="D235" s="197">
        <f>J136*TAN(RADIANS(20))*1000</f>
        <v>2170.7939926880304</v>
      </c>
    </row>
    <row r="236" spans="2:4" hidden="1" x14ac:dyDescent="0.2"/>
    <row r="237" spans="2:4" hidden="1" x14ac:dyDescent="0.2">
      <c r="B237" s="197" t="s">
        <v>1159</v>
      </c>
    </row>
    <row r="238" spans="2:4" hidden="1" x14ac:dyDescent="0.2">
      <c r="C238" s="895" t="s">
        <v>752</v>
      </c>
      <c r="D238" s="895" t="s">
        <v>1094</v>
      </c>
    </row>
    <row r="239" spans="2:4" hidden="1" x14ac:dyDescent="0.2">
      <c r="B239" s="197" t="s">
        <v>1192</v>
      </c>
      <c r="C239" s="197">
        <f>(C225*(C218+C216)+C230*C218)/C217</f>
        <v>11371.593894166668</v>
      </c>
      <c r="D239" s="197">
        <f>(D225*(C218+C216)+D230*C218)/C217</f>
        <v>20980.763682097469</v>
      </c>
    </row>
    <row r="240" spans="2:4" hidden="1" x14ac:dyDescent="0.2">
      <c r="B240" s="197" t="s">
        <v>1195</v>
      </c>
      <c r="C240" s="197">
        <f>(C225*C218+C230*(C218+C216))/C217</f>
        <v>9449.3784880212243</v>
      </c>
      <c r="D240" s="197">
        <f>(D225*C218+D230*(C218+C216))/C217</f>
        <v>15715.228604687873</v>
      </c>
    </row>
    <row r="241" spans="2:4" hidden="1" x14ac:dyDescent="0.2"/>
    <row r="242" spans="2:4" hidden="1" x14ac:dyDescent="0.2">
      <c r="B242" s="197" t="s">
        <v>1165</v>
      </c>
    </row>
    <row r="243" spans="2:4" hidden="1" x14ac:dyDescent="0.2">
      <c r="C243" s="895" t="s">
        <v>752</v>
      </c>
      <c r="D243" s="895" t="s">
        <v>1094</v>
      </c>
    </row>
    <row r="244" spans="2:4" hidden="1" x14ac:dyDescent="0.2">
      <c r="B244" s="197" t="s">
        <v>1193</v>
      </c>
      <c r="C244" s="197">
        <f>(C234*(C218+C216)+C235*C218)/C217</f>
        <v>3502.5159467087906</v>
      </c>
      <c r="D244" s="197">
        <f>(D234*(C218+C216)+D235*C218)/C217</f>
        <v>6999.9677255256775</v>
      </c>
    </row>
    <row r="245" spans="2:4" hidden="1" x14ac:dyDescent="0.2">
      <c r="B245" s="197" t="s">
        <v>1194</v>
      </c>
      <c r="C245" s="197">
        <f>(C234*C218+C235*(C218+C216))/C217</f>
        <v>2304.7979242667825</v>
      </c>
      <c r="D245" s="197">
        <f>(D234*C218+D235*(C218+C216))/C217</f>
        <v>4585.3808591068537</v>
      </c>
    </row>
    <row r="246" spans="2:4" hidden="1" x14ac:dyDescent="0.2"/>
    <row r="247" spans="2:4" hidden="1" x14ac:dyDescent="0.2">
      <c r="B247" s="197" t="s">
        <v>1199</v>
      </c>
    </row>
    <row r="248" spans="2:4" hidden="1" x14ac:dyDescent="0.2">
      <c r="C248" s="895" t="s">
        <v>752</v>
      </c>
      <c r="D248" s="895" t="s">
        <v>1094</v>
      </c>
    </row>
    <row r="249" spans="2:4" hidden="1" x14ac:dyDescent="0.2">
      <c r="B249" s="197" t="s">
        <v>1191</v>
      </c>
      <c r="C249" s="197">
        <f>SQRT(C244^2+C239^2)</f>
        <v>11898.771602598228</v>
      </c>
      <c r="D249" s="197">
        <f>SQRT(D244^2+D239^2)</f>
        <v>22117.685069699797</v>
      </c>
    </row>
    <row r="250" spans="2:4" hidden="1" x14ac:dyDescent="0.2">
      <c r="B250" s="197" t="s">
        <v>1200</v>
      </c>
      <c r="C250" s="197">
        <f>SQRT(C245^2+C240^2)</f>
        <v>9726.399502466611</v>
      </c>
      <c r="D250" s="197">
        <f>SQRT(D245^2+D240^2)</f>
        <v>16370.526189486502</v>
      </c>
    </row>
    <row r="251" spans="2:4" hidden="1" x14ac:dyDescent="0.2"/>
    <row r="252" spans="2:4" hidden="1" x14ac:dyDescent="0.2"/>
    <row r="253" spans="2:4" hidden="1" x14ac:dyDescent="0.2"/>
    <row r="254" spans="2:4" hidden="1" x14ac:dyDescent="0.2"/>
    <row r="255" spans="2:4" hidden="1" x14ac:dyDescent="0.2"/>
    <row r="256" spans="2:4" hidden="1" x14ac:dyDescent="0.2"/>
    <row r="257" hidden="1" x14ac:dyDescent="0.2"/>
    <row r="258" hidden="1" x14ac:dyDescent="0.2"/>
    <row r="259" hidden="1" x14ac:dyDescent="0.2"/>
    <row r="260" hidden="1" x14ac:dyDescent="0.2"/>
    <row r="261" hidden="1" x14ac:dyDescent="0.2"/>
    <row r="262" hidden="1" x14ac:dyDescent="0.2"/>
    <row r="263" hidden="1" x14ac:dyDescent="0.2"/>
    <row r="264" hidden="1" x14ac:dyDescent="0.2"/>
    <row r="265" hidden="1" x14ac:dyDescent="0.2"/>
    <row r="266" hidden="1" x14ac:dyDescent="0.2"/>
    <row r="267" hidden="1" x14ac:dyDescent="0.2"/>
    <row r="268" hidden="1" x14ac:dyDescent="0.2"/>
    <row r="269" hidden="1" x14ac:dyDescent="0.2"/>
    <row r="270" hidden="1" x14ac:dyDescent="0.2"/>
    <row r="271" hidden="1" x14ac:dyDescent="0.2"/>
    <row r="272" hidden="1" x14ac:dyDescent="0.2"/>
    <row r="273" hidden="1" x14ac:dyDescent="0.2"/>
    <row r="274" hidden="1" x14ac:dyDescent="0.2"/>
    <row r="275" hidden="1" x14ac:dyDescent="0.2"/>
    <row r="276" hidden="1" x14ac:dyDescent="0.2"/>
    <row r="277" hidden="1" x14ac:dyDescent="0.2"/>
    <row r="278" hidden="1" x14ac:dyDescent="0.2"/>
    <row r="279" hidden="1" x14ac:dyDescent="0.2"/>
    <row r="280" hidden="1" x14ac:dyDescent="0.2"/>
    <row r="281" hidden="1" x14ac:dyDescent="0.2"/>
    <row r="282" hidden="1" x14ac:dyDescent="0.2"/>
    <row r="283" hidden="1" x14ac:dyDescent="0.2"/>
    <row r="284" hidden="1" x14ac:dyDescent="0.2"/>
    <row r="285" hidden="1" x14ac:dyDescent="0.2"/>
    <row r="286" hidden="1" x14ac:dyDescent="0.2"/>
    <row r="287" hidden="1" x14ac:dyDescent="0.2"/>
    <row r="288" hidden="1" x14ac:dyDescent="0.2"/>
    <row r="289" hidden="1" x14ac:dyDescent="0.2"/>
    <row r="290" hidden="1" x14ac:dyDescent="0.2"/>
    <row r="291" hidden="1" x14ac:dyDescent="0.2"/>
    <row r="292" hidden="1" x14ac:dyDescent="0.2"/>
    <row r="293" hidden="1" x14ac:dyDescent="0.2"/>
    <row r="294" hidden="1" x14ac:dyDescent="0.2"/>
    <row r="295" hidden="1" x14ac:dyDescent="0.2"/>
    <row r="296" hidden="1" x14ac:dyDescent="0.2"/>
    <row r="297" hidden="1" x14ac:dyDescent="0.2"/>
    <row r="298" hidden="1" x14ac:dyDescent="0.2"/>
    <row r="299" hidden="1" x14ac:dyDescent="0.2"/>
    <row r="300" hidden="1" x14ac:dyDescent="0.2"/>
    <row r="301" hidden="1" x14ac:dyDescent="0.2"/>
    <row r="302" hidden="1" x14ac:dyDescent="0.2"/>
    <row r="303" hidden="1" x14ac:dyDescent="0.2"/>
    <row r="304" hidden="1" x14ac:dyDescent="0.2"/>
    <row r="305" hidden="1" x14ac:dyDescent="0.2"/>
    <row r="306" hidden="1" x14ac:dyDescent="0.2"/>
    <row r="307" hidden="1" x14ac:dyDescent="0.2"/>
    <row r="308" hidden="1" x14ac:dyDescent="0.2"/>
    <row r="309" hidden="1" x14ac:dyDescent="0.2"/>
    <row r="310" hidden="1" x14ac:dyDescent="0.2"/>
    <row r="311" hidden="1" x14ac:dyDescent="0.2"/>
    <row r="312" hidden="1" x14ac:dyDescent="0.2"/>
    <row r="313" hidden="1" x14ac:dyDescent="0.2"/>
    <row r="314" hidden="1" x14ac:dyDescent="0.2"/>
    <row r="315" hidden="1" x14ac:dyDescent="0.2"/>
    <row r="316" hidden="1" x14ac:dyDescent="0.2"/>
    <row r="317" hidden="1" x14ac:dyDescent="0.2"/>
    <row r="318" hidden="1" x14ac:dyDescent="0.2"/>
    <row r="319" hidden="1" x14ac:dyDescent="0.2"/>
    <row r="320" hidden="1" x14ac:dyDescent="0.2"/>
    <row r="321" hidden="1" x14ac:dyDescent="0.2"/>
    <row r="322" hidden="1" x14ac:dyDescent="0.2"/>
    <row r="323" hidden="1" x14ac:dyDescent="0.2"/>
    <row r="324" hidden="1" x14ac:dyDescent="0.2"/>
    <row r="325" hidden="1" x14ac:dyDescent="0.2"/>
    <row r="326" hidden="1" x14ac:dyDescent="0.2"/>
    <row r="327" hidden="1" x14ac:dyDescent="0.2"/>
    <row r="328" hidden="1" x14ac:dyDescent="0.2"/>
    <row r="329" hidden="1" x14ac:dyDescent="0.2"/>
    <row r="330" hidden="1" x14ac:dyDescent="0.2"/>
    <row r="331" hidden="1" x14ac:dyDescent="0.2"/>
    <row r="332" hidden="1" x14ac:dyDescent="0.2"/>
    <row r="333" hidden="1" x14ac:dyDescent="0.2"/>
    <row r="334" hidden="1" x14ac:dyDescent="0.2"/>
    <row r="335" hidden="1" x14ac:dyDescent="0.2"/>
    <row r="336" hidden="1" x14ac:dyDescent="0.2"/>
    <row r="337" spans="2:3" hidden="1" x14ac:dyDescent="0.2"/>
    <row r="338" spans="2:3" hidden="1" x14ac:dyDescent="0.2"/>
    <row r="339" spans="2:3" hidden="1" x14ac:dyDescent="0.2"/>
    <row r="341" spans="2:3" ht="15" x14ac:dyDescent="0.25">
      <c r="B341" s="623" t="s">
        <v>1201</v>
      </c>
    </row>
    <row r="342" spans="2:3" x14ac:dyDescent="0.2">
      <c r="B342" s="197" t="s">
        <v>1203</v>
      </c>
      <c r="C342" s="809">
        <f>C52</f>
        <v>925</v>
      </c>
    </row>
    <row r="343" spans="2:3" x14ac:dyDescent="0.2">
      <c r="B343" s="197" t="s">
        <v>727</v>
      </c>
      <c r="C343" s="893">
        <v>0.4</v>
      </c>
    </row>
    <row r="344" spans="2:3" x14ac:dyDescent="0.2">
      <c r="B344" s="197" t="s">
        <v>1202</v>
      </c>
      <c r="C344" s="808">
        <v>50</v>
      </c>
    </row>
    <row r="345" spans="2:3" x14ac:dyDescent="0.2">
      <c r="B345" s="197" t="s">
        <v>1204</v>
      </c>
      <c r="C345" s="811">
        <v>0.25</v>
      </c>
    </row>
    <row r="346" spans="2:3" x14ac:dyDescent="0.2">
      <c r="B346" s="197" t="s">
        <v>1206</v>
      </c>
      <c r="C346" s="787">
        <v>3</v>
      </c>
    </row>
    <row r="347" spans="2:3" x14ac:dyDescent="0.2">
      <c r="B347" s="197" t="s">
        <v>1207</v>
      </c>
      <c r="C347" s="811">
        <f>C345*C344*C346/C342</f>
        <v>4.0540540540540543E-2</v>
      </c>
    </row>
    <row r="348" spans="2:3" x14ac:dyDescent="0.2">
      <c r="B348" s="197" t="s">
        <v>1205</v>
      </c>
      <c r="C348" s="787">
        <v>0.95</v>
      </c>
    </row>
    <row r="349" spans="2:3" x14ac:dyDescent="0.2">
      <c r="B349" s="197" t="s">
        <v>1208</v>
      </c>
      <c r="C349" s="882">
        <f>C5*1000*C347/(2*PI()*C344*C343*C348*D26)</f>
        <v>65.596759924664511</v>
      </c>
    </row>
    <row r="350" spans="2:3" x14ac:dyDescent="0.2">
      <c r="B350" s="197" t="s">
        <v>1209</v>
      </c>
      <c r="C350" s="882">
        <f>10*9.81</f>
        <v>98.100000000000009</v>
      </c>
    </row>
    <row r="351" spans="2:3" x14ac:dyDescent="0.2">
      <c r="B351" s="197" t="s">
        <v>1210</v>
      </c>
      <c r="C351" s="780">
        <f>CEILING(C349/C350,1)</f>
        <v>1</v>
      </c>
    </row>
  </sheetData>
  <sheetProtection algorithmName="SHA-512" hashValue="bJh8BGcwspCYi1B/vCsjABhA5lvOmWbNDm+L3A4VoxP9G5OjvnEooXfwf6vCAZsHL8dQSNFypR2DP1oBScMy4A==" saltValue="ZDZGbjsah466qnE+x/ERjg==" spinCount="100000" sheet="1" objects="1" scenarios="1" selectLockedCells="1"/>
  <mergeCells count="47">
    <mergeCell ref="B1:L1"/>
    <mergeCell ref="B2:L2"/>
    <mergeCell ref="C186:D186"/>
    <mergeCell ref="E186:F186"/>
    <mergeCell ref="C191:D191"/>
    <mergeCell ref="E191:F191"/>
    <mergeCell ref="C166:D166"/>
    <mergeCell ref="E166:F166"/>
    <mergeCell ref="C180:D180"/>
    <mergeCell ref="E180:F180"/>
    <mergeCell ref="H131:H132"/>
    <mergeCell ref="H133:H134"/>
    <mergeCell ref="H135:H136"/>
    <mergeCell ref="H137:H138"/>
    <mergeCell ref="F131:F132"/>
    <mergeCell ref="F133:F134"/>
    <mergeCell ref="B133:B134"/>
    <mergeCell ref="B135:B136"/>
    <mergeCell ref="F147:I147"/>
    <mergeCell ref="B137:B138"/>
    <mergeCell ref="B101:B102"/>
    <mergeCell ref="C101:D101"/>
    <mergeCell ref="B103:D103"/>
    <mergeCell ref="B106:D106"/>
    <mergeCell ref="B109:D109"/>
    <mergeCell ref="F135:F136"/>
    <mergeCell ref="F137:F138"/>
    <mergeCell ref="G131:G132"/>
    <mergeCell ref="G133:G134"/>
    <mergeCell ref="G135:G136"/>
    <mergeCell ref="G137:G138"/>
    <mergeCell ref="F219:G219"/>
    <mergeCell ref="H219:J219"/>
    <mergeCell ref="B130:C130"/>
    <mergeCell ref="G139:H139"/>
    <mergeCell ref="F149:I149"/>
    <mergeCell ref="E137:E138"/>
    <mergeCell ref="E135:E136"/>
    <mergeCell ref="E133:E134"/>
    <mergeCell ref="E131:E132"/>
    <mergeCell ref="C159:D159"/>
    <mergeCell ref="E159:F159"/>
    <mergeCell ref="D131:D132"/>
    <mergeCell ref="D133:D134"/>
    <mergeCell ref="D135:D136"/>
    <mergeCell ref="D137:D138"/>
    <mergeCell ref="B131:B132"/>
  </mergeCells>
  <conditionalFormatting sqref="L131:L138">
    <cfRule type="cellIs" dxfId="71" priority="46" operator="notEqual">
      <formula>"OK"</formula>
    </cfRule>
    <cfRule type="cellIs" dxfId="70" priority="47" operator="equal">
      <formula>"OK"</formula>
    </cfRule>
  </conditionalFormatting>
  <conditionalFormatting sqref="C17">
    <cfRule type="cellIs" dxfId="69" priority="44" operator="lessThan">
      <formula>$D$17</formula>
    </cfRule>
    <cfRule type="cellIs" dxfId="68" priority="45" operator="greaterThanOrEqual">
      <formula>$D$17</formula>
    </cfRule>
  </conditionalFormatting>
  <conditionalFormatting sqref="D17">
    <cfRule type="expression" dxfId="67" priority="42">
      <formula>$C$17&lt;$D$17</formula>
    </cfRule>
    <cfRule type="expression" dxfId="66" priority="43">
      <formula>$C$17&gt;=$D$17</formula>
    </cfRule>
  </conditionalFormatting>
  <conditionalFormatting sqref="C31 D31">
    <cfRule type="expression" dxfId="65" priority="40">
      <formula>$C$31&gt;$D$31</formula>
    </cfRule>
    <cfRule type="expression" dxfId="64" priority="41">
      <formula>$C$31&lt;$D$31</formula>
    </cfRule>
  </conditionalFormatting>
  <conditionalFormatting sqref="C45 D45">
    <cfRule type="expression" dxfId="63" priority="38">
      <formula>$C$45&lt;$D$45</formula>
    </cfRule>
    <cfRule type="expression" dxfId="62" priority="39">
      <formula>$C$45&gt;$D$45</formula>
    </cfRule>
  </conditionalFormatting>
  <conditionalFormatting sqref="C56 D56">
    <cfRule type="expression" dxfId="61" priority="36">
      <formula>$C$56&lt;$D$56</formula>
    </cfRule>
    <cfRule type="expression" dxfId="60" priority="37">
      <formula>$C$56&gt;$D$56</formula>
    </cfRule>
  </conditionalFormatting>
  <conditionalFormatting sqref="C81 D81">
    <cfRule type="expression" dxfId="59" priority="32">
      <formula>$C$81&gt;$D$81</formula>
    </cfRule>
    <cfRule type="expression" dxfId="58" priority="34">
      <formula>$C$81&lt;$D$81</formula>
    </cfRule>
  </conditionalFormatting>
  <conditionalFormatting sqref="C82 D82">
    <cfRule type="expression" dxfId="57" priority="29">
      <formula>$C$82&gt;$D$82</formula>
    </cfRule>
    <cfRule type="expression" dxfId="56" priority="30">
      <formula>$C$82&lt;$D$82</formula>
    </cfRule>
  </conditionalFormatting>
  <conditionalFormatting sqref="C97 D97">
    <cfRule type="expression" dxfId="55" priority="28">
      <formula>$C$97&lt;$D$97</formula>
    </cfRule>
  </conditionalFormatting>
  <conditionalFormatting sqref="C97 D98:D99">
    <cfRule type="expression" dxfId="54" priority="27">
      <formula>$C$97&gt;$D$97</formula>
    </cfRule>
  </conditionalFormatting>
  <conditionalFormatting sqref="K131">
    <cfRule type="expression" dxfId="53" priority="25">
      <formula>$L$131&lt;&gt;"OK"</formula>
    </cfRule>
    <cfRule type="expression" dxfId="52" priority="26">
      <formula>$L$131="OK"</formula>
    </cfRule>
  </conditionalFormatting>
  <conditionalFormatting sqref="K132">
    <cfRule type="expression" dxfId="51" priority="22">
      <formula>$L$132="OK"</formula>
    </cfRule>
    <cfRule type="expression" dxfId="50" priority="24">
      <formula>$L$132&lt;&gt;"OK"</formula>
    </cfRule>
  </conditionalFormatting>
  <conditionalFormatting sqref="K133">
    <cfRule type="expression" dxfId="49" priority="21">
      <formula>$L$133="OK"</formula>
    </cfRule>
    <cfRule type="expression" dxfId="48" priority="23">
      <formula>$L$133&lt;&gt;"OK"</formula>
    </cfRule>
  </conditionalFormatting>
  <conditionalFormatting sqref="K134">
    <cfRule type="expression" dxfId="47" priority="19">
      <formula>$L$134="OK"</formula>
    </cfRule>
    <cfRule type="expression" dxfId="46" priority="20">
      <formula>$L$134&lt;&gt;"OK"</formula>
    </cfRule>
  </conditionalFormatting>
  <conditionalFormatting sqref="K135">
    <cfRule type="expression" dxfId="45" priority="11">
      <formula>$L$135="OK"</formula>
    </cfRule>
    <cfRule type="expression" dxfId="44" priority="18">
      <formula>$L$135&lt;&gt;"OK"</formula>
    </cfRule>
  </conditionalFormatting>
  <conditionalFormatting sqref="K136">
    <cfRule type="expression" dxfId="43" priority="12">
      <formula>$L$136="OK"</formula>
    </cfRule>
    <cfRule type="expression" dxfId="42" priority="17">
      <formula>$L$136&lt;&gt;"OK"</formula>
    </cfRule>
  </conditionalFormatting>
  <conditionalFormatting sqref="K137">
    <cfRule type="expression" dxfId="41" priority="13">
      <formula>$L$137="OK"</formula>
    </cfRule>
    <cfRule type="expression" dxfId="40" priority="16">
      <formula>$L$137&lt;&gt;"OK"</formula>
    </cfRule>
  </conditionalFormatting>
  <conditionalFormatting sqref="K138">
    <cfRule type="expression" dxfId="39" priority="14">
      <formula>$L$138="OK"</formula>
    </cfRule>
    <cfRule type="expression" dxfId="38" priority="15">
      <formula>$L$138&lt;&gt;"OK"</formula>
    </cfRule>
  </conditionalFormatting>
  <conditionalFormatting sqref="C20 D20">
    <cfRule type="expression" dxfId="37" priority="9">
      <formula>$C$20&lt;$D$20</formula>
    </cfRule>
    <cfRule type="expression" dxfId="36" priority="10">
      <formula>$C$20&gt;$D$20</formula>
    </cfRule>
  </conditionalFormatting>
  <conditionalFormatting sqref="C205:D205">
    <cfRule type="expression" dxfId="35" priority="7">
      <formula>$C$205&gt;$D$205</formula>
    </cfRule>
    <cfRule type="expression" dxfId="34" priority="8">
      <formula>$C$205&lt;$D$205</formula>
    </cfRule>
  </conditionalFormatting>
  <conditionalFormatting sqref="C206:D206">
    <cfRule type="expression" dxfId="33" priority="5">
      <formula>$C$206&gt;$D$206</formula>
    </cfRule>
    <cfRule type="expression" dxfId="32" priority="6">
      <formula>$C$206&lt;$D$206</formula>
    </cfRule>
  </conditionalFormatting>
  <conditionalFormatting sqref="C211:D211">
    <cfRule type="expression" dxfId="31" priority="3">
      <formula>$C$211&gt;$D$211</formula>
    </cfRule>
    <cfRule type="expression" dxfId="30" priority="4">
      <formula>$C$211&lt;$D$211</formula>
    </cfRule>
  </conditionalFormatting>
  <conditionalFormatting sqref="C212:D212">
    <cfRule type="expression" dxfId="29" priority="1">
      <formula>$C$212&gt;$D$212</formula>
    </cfRule>
    <cfRule type="expression" dxfId="28" priority="2">
      <formula>$C$212&lt;$D$212</formula>
    </cfRule>
  </conditionalFormatting>
  <dataValidations count="6">
    <dataValidation type="list" allowBlank="1" showInputMessage="1" showErrorMessage="1" sqref="C13">
      <formula1>"Fibre Core(CF), Steel Core(CWR)"</formula1>
    </dataValidation>
    <dataValidation type="list" allowBlank="1" showInputMessage="1" showErrorMessage="1" sqref="C12">
      <formula1>"1570,1770,1960"</formula1>
    </dataValidation>
    <dataValidation type="decimal" allowBlank="1" showInputMessage="1" showErrorMessage="1" errorTitle="Check Again" error="Should be greater than 20*rope dia_x000a_" sqref="C15">
      <formula1>20*C14</formula1>
      <formula2>1000000</formula2>
    </dataValidation>
    <dataValidation type="list" allowBlank="1" showInputMessage="1" showErrorMessage="1" sqref="C67">
      <formula1>"Cast Steel,Cast Iron,Mild Steel"</formula1>
    </dataValidation>
    <dataValidation type="list" allowBlank="1" showInputMessage="1" showErrorMessage="1" sqref="E131:E132 E135:E136">
      <formula1>$W$3:$W$19</formula1>
    </dataValidation>
    <dataValidation type="list" allowBlank="1" showInputMessage="1" showErrorMessage="1" sqref="C48">
      <formula1>"20 Deg Full Depth Involute,20 Deg Stub Involute"</formula1>
    </dataValidation>
  </dataValidations>
  <pageMargins left="0.7" right="0.7" top="0.75" bottom="0.75" header="0.3" footer="0.3"/>
  <pageSetup paperSize="9" scale="48" fitToHeight="2" orientation="portrait" blackAndWhite="1" r:id="rId1"/>
  <headerFooter>
    <oddHeader>&amp;L
Summary&amp;C
&amp;R
Lower Likhu Hydropower Project (28.1 MW)</oddHeader>
    <oddFooter>Page &amp;P of &amp;N</oddFooter>
  </headerFooter>
  <rowBreaks count="1" manualBreakCount="1">
    <brk id="98" min="1" max="11"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'6x37 Rope specification'!$B$7:$B$31</xm:f>
          </x14:formula1>
          <xm:sqref>C14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mbedded">
    <pageSetUpPr fitToPage="1"/>
  </sheetPr>
  <dimension ref="B1:AC160"/>
  <sheetViews>
    <sheetView zoomScale="85" zoomScaleNormal="85" zoomScaleSheetLayoutView="89" workbookViewId="0">
      <selection activeCell="C25" sqref="C25"/>
    </sheetView>
  </sheetViews>
  <sheetFormatPr defaultRowHeight="14.25" x14ac:dyDescent="0.2"/>
  <cols>
    <col min="1" max="1" width="9.140625" style="197"/>
    <col min="2" max="2" width="49.28515625" style="197" customWidth="1"/>
    <col min="3" max="3" width="23.28515625" style="197" bestFit="1" customWidth="1"/>
    <col min="4" max="4" width="14.7109375" style="197" bestFit="1" customWidth="1"/>
    <col min="5" max="5" width="13.42578125" style="197" bestFit="1" customWidth="1"/>
    <col min="6" max="6" width="14" style="197" customWidth="1"/>
    <col min="7" max="7" width="14" style="197" bestFit="1" customWidth="1"/>
    <col min="8" max="8" width="13.5703125" style="197" customWidth="1"/>
    <col min="9" max="10" width="9.28515625" style="197" bestFit="1" customWidth="1"/>
    <col min="11" max="16" width="9.140625" style="197"/>
    <col min="17" max="17" width="11.7109375" style="197" bestFit="1" customWidth="1"/>
    <col min="18" max="25" width="9.140625" style="197"/>
    <col min="26" max="26" width="9.140625" style="197" customWidth="1"/>
    <col min="27" max="29" width="9.28515625" style="197" hidden="1" customWidth="1"/>
    <col min="30" max="30" width="9.140625" style="197" customWidth="1"/>
    <col min="31" max="16384" width="9.140625" style="197"/>
  </cols>
  <sheetData>
    <row r="1" spans="2:10" ht="15" x14ac:dyDescent="0.25">
      <c r="B1" s="1204" t="s">
        <v>1354</v>
      </c>
      <c r="C1" s="1205"/>
      <c r="D1" s="1205"/>
      <c r="E1" s="1205"/>
      <c r="F1" s="1205"/>
      <c r="G1" s="1205"/>
      <c r="H1" s="1205"/>
      <c r="I1" s="1205"/>
      <c r="J1" s="1206"/>
    </row>
    <row r="2" spans="2:10" ht="15" x14ac:dyDescent="0.25">
      <c r="B2" s="1220" t="str">
        <f>GType</f>
        <v>Fixed Wheel (cantilevered)</v>
      </c>
      <c r="C2" s="1221"/>
      <c r="D2" s="1221"/>
      <c r="E2" s="1221"/>
      <c r="F2" s="1221"/>
      <c r="G2" s="1221"/>
      <c r="H2" s="1221"/>
      <c r="I2" s="1221"/>
      <c r="J2" s="1222"/>
    </row>
    <row r="3" spans="2:10" ht="15" x14ac:dyDescent="0.25">
      <c r="B3" s="623" t="s">
        <v>23</v>
      </c>
    </row>
    <row r="4" spans="2:10" x14ac:dyDescent="0.2">
      <c r="B4" s="197" t="s">
        <v>1214</v>
      </c>
      <c r="C4" s="891">
        <v>500</v>
      </c>
    </row>
    <row r="5" spans="2:10" x14ac:dyDescent="0.2">
      <c r="B5" s="197" t="s">
        <v>1215</v>
      </c>
      <c r="C5" s="805">
        <f>Lsup</f>
        <v>3.9</v>
      </c>
    </row>
    <row r="6" spans="2:10" x14ac:dyDescent="0.2">
      <c r="B6" s="197" t="s">
        <v>1216</v>
      </c>
      <c r="C6" s="882">
        <f ca="1">'Weight &amp; cg'!D6*9.81</f>
        <v>37123.78860832502</v>
      </c>
    </row>
    <row r="7" spans="2:10" x14ac:dyDescent="0.2">
      <c r="B7" s="197" t="s">
        <v>1217</v>
      </c>
      <c r="C7" s="882">
        <f ca="1">1.5*C6</f>
        <v>55685.682912487529</v>
      </c>
    </row>
    <row r="8" spans="2:10" x14ac:dyDescent="0.2">
      <c r="B8" s="197" t="s">
        <v>1218</v>
      </c>
      <c r="C8" s="883">
        <f ca="1">C7/C5</f>
        <v>14278.380233971162</v>
      </c>
    </row>
    <row r="9" spans="2:10" x14ac:dyDescent="0.2">
      <c r="B9" s="197" t="s">
        <v>1219</v>
      </c>
      <c r="C9" s="883">
        <f ca="1">2*C8</f>
        <v>28556.760467942324</v>
      </c>
    </row>
    <row r="11" spans="2:10" x14ac:dyDescent="0.2">
      <c r="B11" s="197" t="s">
        <v>1220</v>
      </c>
      <c r="C11" s="814">
        <f ca="1">C9*C4^2/8/1000^2</f>
        <v>892.39876462319762</v>
      </c>
    </row>
    <row r="12" spans="2:10" x14ac:dyDescent="0.2">
      <c r="B12" s="197" t="s">
        <v>1221</v>
      </c>
      <c r="C12" s="630">
        <f>0.4*Fyb</f>
        <v>100</v>
      </c>
    </row>
    <row r="13" spans="2:10" x14ac:dyDescent="0.2">
      <c r="B13" s="197" t="s">
        <v>1222</v>
      </c>
      <c r="C13" s="888" t="s">
        <v>58</v>
      </c>
    </row>
    <row r="14" spans="2:10" x14ac:dyDescent="0.2">
      <c r="B14" s="197" t="s">
        <v>1223</v>
      </c>
      <c r="C14" s="817">
        <f>VLOOKUP(C13,Lib!A5:W18,23,FALSE)</f>
        <v>2.2350000000000001E-4</v>
      </c>
    </row>
    <row r="15" spans="2:10" x14ac:dyDescent="0.2">
      <c r="B15" s="197" t="s">
        <v>1224</v>
      </c>
      <c r="C15" s="630">
        <f ca="1">C11/C14/10^6</f>
        <v>3.992835635897976</v>
      </c>
      <c r="D15" s="884">
        <f>C12</f>
        <v>100</v>
      </c>
    </row>
    <row r="16" spans="2:10" x14ac:dyDescent="0.2">
      <c r="B16" s="197" t="s">
        <v>1304</v>
      </c>
      <c r="C16" s="780">
        <f>1</f>
        <v>1</v>
      </c>
    </row>
    <row r="17" spans="2:7" x14ac:dyDescent="0.2">
      <c r="B17" s="197" t="s">
        <v>1303</v>
      </c>
      <c r="C17" s="780">
        <f>(FLOOR(C5/C4*1000,1)-1)*C16</f>
        <v>6</v>
      </c>
    </row>
    <row r="19" spans="2:7" ht="15" x14ac:dyDescent="0.25">
      <c r="B19" s="623" t="s">
        <v>22</v>
      </c>
    </row>
    <row r="20" spans="2:7" x14ac:dyDescent="0.2">
      <c r="B20" s="197" t="s">
        <v>1341</v>
      </c>
      <c r="C20" s="889">
        <v>80</v>
      </c>
    </row>
    <row r="21" spans="2:7" x14ac:dyDescent="0.2">
      <c r="B21" s="197" t="s">
        <v>824</v>
      </c>
      <c r="C21" s="889">
        <v>8</v>
      </c>
    </row>
    <row r="22" spans="2:7" x14ac:dyDescent="0.2">
      <c r="B22" s="198" t="s">
        <v>825</v>
      </c>
      <c r="C22" s="889">
        <f>Seals!C9</f>
        <v>3</v>
      </c>
    </row>
    <row r="24" spans="2:7" ht="15" x14ac:dyDescent="0.25">
      <c r="B24" s="623" t="s">
        <v>1302</v>
      </c>
    </row>
    <row r="25" spans="2:7" x14ac:dyDescent="0.2">
      <c r="B25" s="197" t="s">
        <v>1271</v>
      </c>
      <c r="C25" s="804">
        <f>CEILING(((Seals!C29+Seals!C37-Seals!C31)/1000+SecProp!I13+dweb+0.01+'Wheel Design'!C60)*1000,10)</f>
        <v>340</v>
      </c>
    </row>
    <row r="26" spans="2:7" x14ac:dyDescent="0.2">
      <c r="B26" s="197" t="s">
        <v>1272</v>
      </c>
      <c r="C26" s="804">
        <v>50</v>
      </c>
    </row>
    <row r="27" spans="2:7" x14ac:dyDescent="0.2">
      <c r="C27" s="885" t="s">
        <v>892</v>
      </c>
      <c r="D27" s="885"/>
      <c r="E27" s="885"/>
      <c r="F27" s="886" t="s">
        <v>898</v>
      </c>
      <c r="G27" s="887" t="s">
        <v>899</v>
      </c>
    </row>
    <row r="28" spans="2:7" x14ac:dyDescent="0.2">
      <c r="C28" s="780" t="s">
        <v>1310</v>
      </c>
      <c r="D28" s="780" t="s">
        <v>669</v>
      </c>
      <c r="E28" s="780" t="s">
        <v>1311</v>
      </c>
      <c r="F28" s="886"/>
      <c r="G28" s="887"/>
    </row>
    <row r="29" spans="2:7" x14ac:dyDescent="0.2">
      <c r="B29" s="780" t="s">
        <v>850</v>
      </c>
      <c r="C29" s="890" t="s">
        <v>838</v>
      </c>
      <c r="D29" s="890" t="s">
        <v>839</v>
      </c>
      <c r="E29" s="821" t="str">
        <f>'Wheel Design'!C58</f>
        <v>ISMB 200</v>
      </c>
      <c r="F29" s="821" t="str">
        <f>C13</f>
        <v>ISMB 200</v>
      </c>
      <c r="G29" s="890" t="s">
        <v>58</v>
      </c>
    </row>
    <row r="30" spans="2:7" x14ac:dyDescent="0.2">
      <c r="B30" s="780" t="s">
        <v>1325</v>
      </c>
      <c r="C30" s="780">
        <f>VLOOKUP(C29,ISMC!$A$5:$N$15,2,FALSE)</f>
        <v>30.4</v>
      </c>
      <c r="D30" s="780">
        <f>VLOOKUP(D29,ISMC!$A$5:$N$15,2,FALSE)</f>
        <v>35.799999999999997</v>
      </c>
      <c r="E30" s="780">
        <f>VLOOKUP(E29,ISMB!$A$6:$M$19,2,FALSE)</f>
        <v>25.4</v>
      </c>
      <c r="F30" s="780">
        <f>VLOOKUP(F29,ISMB!$A$6:$M$19,2,FALSE)</f>
        <v>25.4</v>
      </c>
      <c r="G30" s="780">
        <f>VLOOKUP(G29,ISMB!$A$6:$M$19,2,FALSE)</f>
        <v>25.4</v>
      </c>
    </row>
    <row r="31" spans="2:7" x14ac:dyDescent="0.2">
      <c r="B31" s="780" t="s">
        <v>1326</v>
      </c>
      <c r="C31" s="780">
        <f>VLOOKUP(C29,ISMC!$A$5:$N$15,3,FALSE)</f>
        <v>38.67</v>
      </c>
      <c r="D31" s="780">
        <f>VLOOKUP(D29,ISMC!$A$5:$N$15,3,FALSE)</f>
        <v>45.64</v>
      </c>
      <c r="E31" s="780">
        <f>VLOOKUP(E29,ISMB!$A$6:$M$19,3,FALSE)</f>
        <v>32.33</v>
      </c>
      <c r="F31" s="780">
        <f>VLOOKUP(F29,ISMB!$A$6:$M$19,3,FALSE)</f>
        <v>32.33</v>
      </c>
      <c r="G31" s="780">
        <f>VLOOKUP(G29,ISMB!$A$6:$M$19,3,FALSE)</f>
        <v>32.33</v>
      </c>
    </row>
    <row r="32" spans="2:7" x14ac:dyDescent="0.2">
      <c r="B32" s="780" t="s">
        <v>1327</v>
      </c>
      <c r="C32" s="780">
        <f>VLOOKUP(C29,ISMC!$A$5:$N$15,4,FALSE)</f>
        <v>250</v>
      </c>
      <c r="D32" s="780">
        <f>VLOOKUP(D29,ISMC!$A$5:$N$15,4,FALSE)</f>
        <v>300</v>
      </c>
      <c r="E32" s="780">
        <f>VLOOKUP(E29,ISMB!$A$6:$M$19,4,FALSE)</f>
        <v>200</v>
      </c>
      <c r="F32" s="780">
        <f>VLOOKUP(F29,ISMB!$A$6:$M$19,4,FALSE)</f>
        <v>200</v>
      </c>
      <c r="G32" s="780">
        <f>VLOOKUP(G29,ISMB!$A$6:$M$19,4,FALSE)</f>
        <v>200</v>
      </c>
    </row>
    <row r="33" spans="2:7" x14ac:dyDescent="0.2">
      <c r="B33" s="780" t="s">
        <v>1328</v>
      </c>
      <c r="C33" s="780">
        <f>VLOOKUP(C29,ISMC!$A$5:$N$15,5,FALSE)</f>
        <v>80</v>
      </c>
      <c r="D33" s="780">
        <f>VLOOKUP(D29,ISMC!$A$5:$N$15,5,FALSE)</f>
        <v>90</v>
      </c>
      <c r="E33" s="780">
        <f>VLOOKUP(E29,ISMB!$A$6:$M$19,5,FALSE)</f>
        <v>100</v>
      </c>
      <c r="F33" s="780">
        <f>VLOOKUP(F29,ISMB!$A$6:$M$19,5,FALSE)</f>
        <v>100</v>
      </c>
      <c r="G33" s="780">
        <f>VLOOKUP(G29,ISMB!$A$6:$M$19,5,FALSE)</f>
        <v>100</v>
      </c>
    </row>
    <row r="34" spans="2:7" x14ac:dyDescent="0.2">
      <c r="B34" s="780" t="s">
        <v>1329</v>
      </c>
      <c r="C34" s="780">
        <f>VLOOKUP(C29,ISMC!$A$5:$N$15,6,FALSE)</f>
        <v>14.1</v>
      </c>
      <c r="D34" s="780">
        <f>VLOOKUP(D29,ISMC!$A$5:$N$15,6,FALSE)</f>
        <v>13.6</v>
      </c>
      <c r="E34" s="780">
        <f>VLOOKUP(E29,ISMB!$A$6:$M$19,6,FALSE)</f>
        <v>10.8</v>
      </c>
      <c r="F34" s="780">
        <f>VLOOKUP(F29,ISMB!$A$6:$M$19,6,FALSE)</f>
        <v>10.8</v>
      </c>
      <c r="G34" s="780">
        <f>VLOOKUP(G29,ISMB!$A$6:$M$19,6,FALSE)</f>
        <v>10.8</v>
      </c>
    </row>
    <row r="35" spans="2:7" x14ac:dyDescent="0.2">
      <c r="B35" s="780" t="s">
        <v>1330</v>
      </c>
      <c r="C35" s="780">
        <f>VLOOKUP(C29,ISMC!$A$5:$N$15,7,FALSE)</f>
        <v>7.1</v>
      </c>
      <c r="D35" s="780">
        <f>VLOOKUP(D29,ISMC!$A$5:$N$15,7,FALSE)</f>
        <v>7.6</v>
      </c>
      <c r="E35" s="780">
        <f>VLOOKUP(E29,ISMB!$A$6:$M$19,7,FALSE)</f>
        <v>5.7</v>
      </c>
      <c r="F35" s="780">
        <f>VLOOKUP(F29,ISMB!$A$6:$M$19,7,FALSE)</f>
        <v>5.7</v>
      </c>
      <c r="G35" s="780">
        <f>VLOOKUP(G29,ISMB!$A$6:$M$19,7,FALSE)</f>
        <v>5.7</v>
      </c>
    </row>
    <row r="36" spans="2:7" x14ac:dyDescent="0.2">
      <c r="B36" s="780" t="s">
        <v>1331</v>
      </c>
      <c r="C36" s="780">
        <f>VLOOKUP(C29,ISMC!$A$5:$N$15,9,FALSE)</f>
        <v>3816.8</v>
      </c>
      <c r="D36" s="780">
        <f>VLOOKUP(D29,ISMC!$A$5:$N$15,9,FALSE)</f>
        <v>6362.8</v>
      </c>
      <c r="E36" s="780">
        <f>VLOOKUP(E29,ISMB!$A$6:$M$19,8,FALSE)</f>
        <v>2235.4</v>
      </c>
      <c r="F36" s="780">
        <f>VLOOKUP(F29,ISMB!$A$6:$M$19,8,FALSE)</f>
        <v>2235.4</v>
      </c>
      <c r="G36" s="780">
        <f>VLOOKUP(G29,ISMB!$A$6:$M$19,8,FALSE)</f>
        <v>2235.4</v>
      </c>
    </row>
    <row r="37" spans="2:7" ht="15" thickBot="1" x14ac:dyDescent="0.25">
      <c r="B37" s="956" t="s">
        <v>1332</v>
      </c>
      <c r="C37" s="956">
        <f>VLOOKUP(C29,ISMC!$A$5:$N$15,13,FALSE)</f>
        <v>305.3</v>
      </c>
      <c r="D37" s="956">
        <f>VLOOKUP(D29,ISMC!$A$5:$N$15,13,FALSE)</f>
        <v>424.2</v>
      </c>
      <c r="E37" s="956">
        <f>VLOOKUP(E29,ISMB!$A$6:$M$19,12,FALSE)</f>
        <v>223.5</v>
      </c>
      <c r="F37" s="956">
        <f>VLOOKUP(F29,ISMB!$A$6:$M$19,12,FALSE)</f>
        <v>223.5</v>
      </c>
      <c r="G37" s="780">
        <f>VLOOKUP(G29,ISMB!$A$6:$M$19,12,FALSE)</f>
        <v>223.5</v>
      </c>
    </row>
    <row r="38" spans="2:7" x14ac:dyDescent="0.2">
      <c r="B38" s="958" t="s">
        <v>1305</v>
      </c>
      <c r="C38" s="959"/>
      <c r="D38" s="1219" t="s">
        <v>1357</v>
      </c>
      <c r="E38" s="1219"/>
      <c r="F38" s="960">
        <f ca="1">0.3*'Weight &amp; cg'!D6*9.81</f>
        <v>11137.136582497506</v>
      </c>
    </row>
    <row r="39" spans="2:7" x14ac:dyDescent="0.2">
      <c r="B39" s="961" t="s">
        <v>31</v>
      </c>
      <c r="C39" s="954">
        <f>+C25+C33+D33</f>
        <v>510</v>
      </c>
      <c r="D39" s="1197" t="s">
        <v>1356</v>
      </c>
      <c r="E39" s="1197"/>
      <c r="F39" s="962">
        <f ca="1">F38*C39^2/8/1000^2</f>
        <v>362.09615313845012</v>
      </c>
    </row>
    <row r="40" spans="2:7" ht="15" thickBot="1" x14ac:dyDescent="0.25">
      <c r="B40" s="963" t="s">
        <v>32</v>
      </c>
      <c r="C40" s="955">
        <v>8</v>
      </c>
      <c r="D40" s="1197" t="s">
        <v>1223</v>
      </c>
      <c r="E40" s="1197"/>
      <c r="F40" s="964">
        <f>C39*C40^2/6*1000^-3</f>
        <v>5.4400000000000004E-6</v>
      </c>
    </row>
    <row r="41" spans="2:7" ht="15" thickBot="1" x14ac:dyDescent="0.25">
      <c r="B41" s="965"/>
      <c r="C41" s="966"/>
      <c r="D41" s="1218" t="s">
        <v>429</v>
      </c>
      <c r="E41" s="1218"/>
      <c r="F41" s="967">
        <f ca="1">F39/F40/10^6</f>
        <v>66.56179285633273</v>
      </c>
      <c r="G41" s="968">
        <f>D15</f>
        <v>100</v>
      </c>
    </row>
    <row r="42" spans="2:7" x14ac:dyDescent="0.2">
      <c r="B42" s="343" t="s">
        <v>1307</v>
      </c>
      <c r="C42" s="957">
        <f>D32</f>
        <v>300</v>
      </c>
    </row>
    <row r="43" spans="2:7" x14ac:dyDescent="0.2">
      <c r="B43" s="197" t="s">
        <v>1301</v>
      </c>
      <c r="C43" s="891">
        <v>500</v>
      </c>
    </row>
    <row r="44" spans="2:7" x14ac:dyDescent="0.2">
      <c r="B44" s="197" t="s">
        <v>1333</v>
      </c>
      <c r="C44" s="892">
        <v>1</v>
      </c>
    </row>
    <row r="45" spans="2:7" x14ac:dyDescent="0.2">
      <c r="B45" s="197" t="s">
        <v>1334</v>
      </c>
      <c r="C45" s="892">
        <v>2</v>
      </c>
    </row>
    <row r="46" spans="2:7" x14ac:dyDescent="0.2">
      <c r="B46" s="197" t="s">
        <v>1335</v>
      </c>
      <c r="C46" s="892">
        <v>2</v>
      </c>
    </row>
    <row r="47" spans="2:7" x14ac:dyDescent="0.2">
      <c r="B47" s="197" t="s">
        <v>1340</v>
      </c>
      <c r="C47" s="892">
        <v>2</v>
      </c>
    </row>
    <row r="49" spans="2:10" x14ac:dyDescent="0.2">
      <c r="B49" s="197" t="s">
        <v>1308</v>
      </c>
      <c r="C49" s="804">
        <f>CEILING(C25+C35+D35+E64+MAX(E32,E65),1)</f>
        <v>705</v>
      </c>
    </row>
    <row r="50" spans="2:10" x14ac:dyDescent="0.2">
      <c r="B50" s="197" t="s">
        <v>1309</v>
      </c>
      <c r="C50" s="804">
        <f>CEILING(C42+C40+E66,1)</f>
        <v>458</v>
      </c>
    </row>
    <row r="51" spans="2:10" x14ac:dyDescent="0.2">
      <c r="B51" s="198" t="s">
        <v>865</v>
      </c>
      <c r="C51" s="694">
        <f>+Summary!D10</f>
        <v>738</v>
      </c>
    </row>
    <row r="52" spans="2:10" x14ac:dyDescent="0.2">
      <c r="B52" s="198" t="s">
        <v>866</v>
      </c>
      <c r="C52" s="694">
        <f>+Summary!D12</f>
        <v>747</v>
      </c>
    </row>
    <row r="53" spans="2:10" x14ac:dyDescent="0.2">
      <c r="B53" s="198"/>
      <c r="C53" s="880"/>
    </row>
    <row r="54" spans="2:10" x14ac:dyDescent="0.2">
      <c r="B54" s="198"/>
      <c r="C54" s="880"/>
    </row>
    <row r="55" spans="2:10" x14ac:dyDescent="0.2">
      <c r="B55" s="881"/>
    </row>
    <row r="56" spans="2:10" x14ac:dyDescent="0.2">
      <c r="B56" s="1202" t="s">
        <v>604</v>
      </c>
      <c r="C56" s="1202" t="s">
        <v>605</v>
      </c>
      <c r="D56" s="1202" t="s">
        <v>606</v>
      </c>
      <c r="E56" s="1202"/>
      <c r="F56" s="1202"/>
      <c r="G56" s="1202" t="s">
        <v>888</v>
      </c>
      <c r="H56" s="1202" t="s">
        <v>607</v>
      </c>
      <c r="I56" s="1202" t="s">
        <v>879</v>
      </c>
      <c r="J56" s="1202" t="s">
        <v>796</v>
      </c>
    </row>
    <row r="57" spans="2:10" x14ac:dyDescent="0.2">
      <c r="B57" s="1202"/>
      <c r="C57" s="1202"/>
      <c r="D57" s="780" t="s">
        <v>31</v>
      </c>
      <c r="E57" s="780" t="s">
        <v>611</v>
      </c>
      <c r="F57" s="780" t="s">
        <v>33</v>
      </c>
      <c r="G57" s="1202"/>
      <c r="H57" s="1202"/>
      <c r="I57" s="1202"/>
      <c r="J57" s="1202"/>
    </row>
    <row r="58" spans="2:10" ht="15" x14ac:dyDescent="0.25">
      <c r="B58" s="781" t="s">
        <v>892</v>
      </c>
      <c r="C58" s="780"/>
      <c r="D58" s="780"/>
      <c r="E58" s="780"/>
      <c r="F58" s="780"/>
      <c r="G58" s="780"/>
      <c r="H58" s="780"/>
      <c r="I58" s="780"/>
      <c r="J58" s="780"/>
    </row>
    <row r="59" spans="2:10" x14ac:dyDescent="0.2">
      <c r="B59" s="780" t="s">
        <v>1336</v>
      </c>
      <c r="C59" s="780">
        <v>2</v>
      </c>
      <c r="D59" s="802">
        <f>C33</f>
        <v>80</v>
      </c>
      <c r="E59" s="802">
        <f>($C$52-$C$51)*1000</f>
        <v>9000</v>
      </c>
      <c r="F59" s="802">
        <f>C32</f>
        <v>250</v>
      </c>
      <c r="G59" s="802"/>
      <c r="H59" s="802"/>
      <c r="I59" s="802">
        <f>C30*E59/1000</f>
        <v>273.60000000000002</v>
      </c>
      <c r="J59" s="802">
        <f>I59*C59</f>
        <v>547.20000000000005</v>
      </c>
    </row>
    <row r="60" spans="2:10" x14ac:dyDescent="0.2">
      <c r="B60" s="780" t="s">
        <v>1337</v>
      </c>
      <c r="C60" s="780">
        <v>2</v>
      </c>
      <c r="D60" s="802">
        <f>D33</f>
        <v>90</v>
      </c>
      <c r="E60" s="802">
        <f t="shared" ref="E60:E62" si="0">($C$52-$C$51)*1000</f>
        <v>9000</v>
      </c>
      <c r="F60" s="802">
        <f>D32</f>
        <v>300</v>
      </c>
      <c r="G60" s="802"/>
      <c r="H60" s="802"/>
      <c r="I60" s="802">
        <f>D30*E60/1000</f>
        <v>322.2</v>
      </c>
      <c r="J60" s="802">
        <f t="shared" ref="J60:J62" si="1">I60*C60</f>
        <v>644.4</v>
      </c>
    </row>
    <row r="61" spans="2:10" x14ac:dyDescent="0.2">
      <c r="B61" s="780" t="s">
        <v>878</v>
      </c>
      <c r="C61" s="780">
        <v>2</v>
      </c>
      <c r="D61" s="802">
        <f>C39</f>
        <v>510</v>
      </c>
      <c r="E61" s="802">
        <f t="shared" si="0"/>
        <v>9000</v>
      </c>
      <c r="F61" s="802">
        <f>C40</f>
        <v>8</v>
      </c>
      <c r="G61" s="802"/>
      <c r="H61" s="802">
        <f>E61*F61*D61</f>
        <v>36720000</v>
      </c>
      <c r="I61" s="802">
        <f>H61*7850/10^9</f>
        <v>288.25200000000001</v>
      </c>
      <c r="J61" s="802">
        <f t="shared" si="1"/>
        <v>576.50400000000002</v>
      </c>
    </row>
    <row r="62" spans="2:10" x14ac:dyDescent="0.2">
      <c r="B62" s="780" t="s">
        <v>883</v>
      </c>
      <c r="C62" s="780">
        <v>2</v>
      </c>
      <c r="D62" s="802">
        <f>E33</f>
        <v>100</v>
      </c>
      <c r="E62" s="802">
        <f t="shared" si="0"/>
        <v>9000</v>
      </c>
      <c r="F62" s="802">
        <f>E32</f>
        <v>200</v>
      </c>
      <c r="G62" s="802"/>
      <c r="H62" s="802"/>
      <c r="I62" s="802">
        <f>E30*E62/1000</f>
        <v>228.6</v>
      </c>
      <c r="J62" s="802">
        <f t="shared" si="1"/>
        <v>457.2</v>
      </c>
    </row>
    <row r="63" spans="2:10" x14ac:dyDescent="0.2">
      <c r="B63" s="780"/>
      <c r="C63" s="780"/>
      <c r="D63" s="802"/>
      <c r="E63" s="802"/>
      <c r="F63" s="802"/>
      <c r="G63" s="802"/>
      <c r="H63" s="802"/>
      <c r="I63" s="802"/>
      <c r="J63" s="802"/>
    </row>
    <row r="64" spans="2:10" x14ac:dyDescent="0.2">
      <c r="B64" s="780" t="s">
        <v>1339</v>
      </c>
      <c r="C64" s="780">
        <f>(C44*FLOOR(E59/$C$43,1)-1)*2</f>
        <v>34</v>
      </c>
      <c r="D64" s="802"/>
      <c r="E64" s="905">
        <v>150</v>
      </c>
      <c r="F64" s="802"/>
      <c r="G64" s="970">
        <v>16</v>
      </c>
      <c r="H64" s="802">
        <f>+PI()*G64^2/4*E64</f>
        <v>30159.289474462013</v>
      </c>
      <c r="I64" s="802">
        <f>+H64*7850*10^-9</f>
        <v>0.23675042237452681</v>
      </c>
      <c r="J64" s="802">
        <f>+I64*C64</f>
        <v>8.0495143607339124</v>
      </c>
    </row>
    <row r="65" spans="2:29" x14ac:dyDescent="0.2">
      <c r="B65" s="780" t="s">
        <v>1338</v>
      </c>
      <c r="C65" s="780">
        <f t="shared" ref="C65:C67" si="2">(C45*FLOOR(E60/$C$43,1)-1)*2</f>
        <v>70</v>
      </c>
      <c r="D65" s="802"/>
      <c r="E65" s="905">
        <v>150</v>
      </c>
      <c r="F65" s="802"/>
      <c r="G65" s="970">
        <v>16</v>
      </c>
      <c r="H65" s="802">
        <f>+PI()*G65^2/4*E65</f>
        <v>30159.289474462013</v>
      </c>
      <c r="I65" s="802">
        <f>+H65*7850*10^-9</f>
        <v>0.23675042237452681</v>
      </c>
      <c r="J65" s="802">
        <f>+I65*C65</f>
        <v>16.572529566216875</v>
      </c>
    </row>
    <row r="66" spans="2:29" x14ac:dyDescent="0.2">
      <c r="B66" s="780" t="s">
        <v>882</v>
      </c>
      <c r="C66" s="780">
        <f t="shared" si="2"/>
        <v>70</v>
      </c>
      <c r="D66" s="802"/>
      <c r="E66" s="905">
        <v>150</v>
      </c>
      <c r="F66" s="802"/>
      <c r="G66" s="970">
        <v>16</v>
      </c>
      <c r="H66" s="802">
        <f>+PI()*G66^2/4*E66</f>
        <v>30159.289474462013</v>
      </c>
      <c r="I66" s="802">
        <f>+H66*7850*10^-9</f>
        <v>0.23675042237452681</v>
      </c>
      <c r="J66" s="802">
        <f>+I66*C66</f>
        <v>16.572529566216875</v>
      </c>
    </row>
    <row r="67" spans="2:29" x14ac:dyDescent="0.2">
      <c r="B67" s="780" t="s">
        <v>884</v>
      </c>
      <c r="C67" s="780">
        <f t="shared" si="2"/>
        <v>70</v>
      </c>
      <c r="D67" s="802"/>
      <c r="E67" s="905">
        <v>150</v>
      </c>
      <c r="F67" s="802"/>
      <c r="G67" s="970">
        <v>16</v>
      </c>
      <c r="H67" s="802">
        <f>+PI()*G67^2/4*E67</f>
        <v>30159.289474462013</v>
      </c>
      <c r="I67" s="802">
        <f>+H67*7850*10^-9</f>
        <v>0.23675042237452681</v>
      </c>
      <c r="J67" s="802">
        <f>+I67*C67</f>
        <v>16.572529566216875</v>
      </c>
    </row>
    <row r="68" spans="2:29" x14ac:dyDescent="0.2">
      <c r="B68" s="780"/>
      <c r="C68" s="780"/>
      <c r="D68" s="802"/>
      <c r="E68" s="802"/>
      <c r="F68" s="802"/>
      <c r="G68" s="802"/>
      <c r="H68" s="802"/>
      <c r="I68" s="802"/>
      <c r="J68" s="802"/>
      <c r="AA68" s="197">
        <f>'Weight &amp; cg'!AA4</f>
        <v>258.27899999999903</v>
      </c>
      <c r="AB68" s="600">
        <f ca="1">'Weight &amp; cg'!D6</f>
        <v>3784.2801843348639</v>
      </c>
    </row>
    <row r="69" spans="2:29" x14ac:dyDescent="0.2">
      <c r="B69" s="780" t="s">
        <v>885</v>
      </c>
      <c r="C69" s="780">
        <v>2</v>
      </c>
      <c r="D69" s="802">
        <f>C20</f>
        <v>80</v>
      </c>
      <c r="E69" s="802">
        <f>E59</f>
        <v>9000</v>
      </c>
      <c r="F69" s="802">
        <v>10</v>
      </c>
      <c r="G69" s="802"/>
      <c r="H69" s="802">
        <f t="shared" ref="H69:H71" si="3">E69*F69*D69</f>
        <v>7200000</v>
      </c>
      <c r="I69" s="802">
        <f t="shared" ref="I69:I71" si="4">H69*7850/10^9</f>
        <v>56.52</v>
      </c>
      <c r="J69" s="802">
        <f t="shared" ref="J69:J71" si="5">I69*C69</f>
        <v>113.04</v>
      </c>
    </row>
    <row r="70" spans="2:29" x14ac:dyDescent="0.2">
      <c r="B70" s="780" t="s">
        <v>886</v>
      </c>
      <c r="C70" s="780">
        <v>2</v>
      </c>
      <c r="D70" s="802">
        <f>'Wheel Design'!C59*1000</f>
        <v>100</v>
      </c>
      <c r="E70" s="802">
        <f t="shared" ref="E70:E71" si="6">E60</f>
        <v>9000</v>
      </c>
      <c r="F70" s="802">
        <f>'Wheel Design'!C60*1000</f>
        <v>10</v>
      </c>
      <c r="G70" s="802"/>
      <c r="H70" s="802">
        <f t="shared" si="3"/>
        <v>9000000</v>
      </c>
      <c r="I70" s="802">
        <f t="shared" si="4"/>
        <v>70.650000000000006</v>
      </c>
      <c r="J70" s="802">
        <f t="shared" si="5"/>
        <v>141.30000000000001</v>
      </c>
      <c r="AA70" s="197" t="s">
        <v>1342</v>
      </c>
      <c r="AB70" s="197" t="s">
        <v>1306</v>
      </c>
    </row>
    <row r="71" spans="2:29" x14ac:dyDescent="0.2">
      <c r="B71" s="780" t="s">
        <v>887</v>
      </c>
      <c r="C71" s="780">
        <v>2</v>
      </c>
      <c r="D71" s="905">
        <v>60</v>
      </c>
      <c r="E71" s="802">
        <f t="shared" si="6"/>
        <v>9000</v>
      </c>
      <c r="F71" s="905">
        <v>14</v>
      </c>
      <c r="G71" s="802"/>
      <c r="H71" s="802">
        <f t="shared" si="3"/>
        <v>7560000</v>
      </c>
      <c r="I71" s="802">
        <f t="shared" si="4"/>
        <v>59.345999999999997</v>
      </c>
      <c r="J71" s="802">
        <f t="shared" si="5"/>
        <v>118.69199999999999</v>
      </c>
      <c r="AA71" s="197" t="s">
        <v>1343</v>
      </c>
      <c r="AB71" s="197">
        <v>75</v>
      </c>
      <c r="AC71" s="197">
        <v>0.193</v>
      </c>
    </row>
    <row r="72" spans="2:29" x14ac:dyDescent="0.2">
      <c r="B72" s="780"/>
      <c r="C72" s="780"/>
      <c r="D72" s="780"/>
      <c r="E72" s="780"/>
      <c r="F72" s="780"/>
      <c r="G72" s="780"/>
      <c r="H72" s="780"/>
      <c r="I72" s="780"/>
      <c r="J72" s="780"/>
      <c r="AA72" s="197" t="s">
        <v>1343</v>
      </c>
      <c r="AB72" s="197">
        <v>80</v>
      </c>
      <c r="AC72" s="197">
        <v>0.20100000000000001</v>
      </c>
    </row>
    <row r="73" spans="2:29" x14ac:dyDescent="0.2">
      <c r="B73" s="780" t="s">
        <v>889</v>
      </c>
      <c r="C73" s="780">
        <f>C64</f>
        <v>34</v>
      </c>
      <c r="D73" s="780"/>
      <c r="E73" s="780"/>
      <c r="F73" s="892">
        <v>75</v>
      </c>
      <c r="G73" s="892" t="s">
        <v>1343</v>
      </c>
      <c r="H73" s="780"/>
      <c r="I73" s="780">
        <f>VLOOKUP(F73,AA88:AB90,2,FALSE)</f>
        <v>0.193</v>
      </c>
      <c r="J73" s="780">
        <f>I73*C73</f>
        <v>6.5620000000000003</v>
      </c>
      <c r="AA73" s="197" t="s">
        <v>1343</v>
      </c>
      <c r="AB73" s="197">
        <v>100</v>
      </c>
      <c r="AC73" s="197">
        <v>0.23200000000000001</v>
      </c>
    </row>
    <row r="74" spans="2:29" x14ac:dyDescent="0.2">
      <c r="B74" s="1216" t="s">
        <v>902</v>
      </c>
      <c r="C74" s="1216"/>
      <c r="D74" s="1216"/>
      <c r="E74" s="1216"/>
      <c r="F74" s="1216"/>
      <c r="G74" s="1216"/>
      <c r="H74" s="1216"/>
      <c r="I74" s="1216"/>
      <c r="J74" s="780">
        <f>SUM(J59:J73)</f>
        <v>2662.6651030593844</v>
      </c>
    </row>
    <row r="75" spans="2:29" ht="15" x14ac:dyDescent="0.25">
      <c r="B75" s="781" t="s">
        <v>897</v>
      </c>
      <c r="C75" s="780"/>
      <c r="D75" s="780"/>
      <c r="E75" s="780"/>
      <c r="F75" s="780"/>
      <c r="G75" s="780"/>
      <c r="H75" s="780"/>
      <c r="I75" s="780"/>
      <c r="J75" s="780"/>
      <c r="AA75" s="197" t="s">
        <v>959</v>
      </c>
      <c r="AB75" s="197">
        <v>80</v>
      </c>
      <c r="AC75" s="197">
        <v>0.33700000000000002</v>
      </c>
    </row>
    <row r="76" spans="2:29" x14ac:dyDescent="0.2">
      <c r="B76" s="780" t="s">
        <v>883</v>
      </c>
      <c r="C76" s="780">
        <v>1</v>
      </c>
      <c r="D76" s="780">
        <f>G33</f>
        <v>100</v>
      </c>
      <c r="E76" s="780">
        <f>Summary!D5*1000+2*'Embedded Parts'!C42</f>
        <v>4100</v>
      </c>
      <c r="F76" s="780">
        <f>G32</f>
        <v>200</v>
      </c>
      <c r="G76" s="780"/>
      <c r="H76" s="780"/>
      <c r="I76" s="780">
        <f>G30*E76/1000</f>
        <v>104.14</v>
      </c>
      <c r="J76" s="780">
        <f>I76*C76</f>
        <v>104.14</v>
      </c>
      <c r="AA76" s="197" t="s">
        <v>959</v>
      </c>
      <c r="AB76" s="197">
        <v>100</v>
      </c>
      <c r="AC76" s="197">
        <v>0.38500000000000001</v>
      </c>
    </row>
    <row r="77" spans="2:29" x14ac:dyDescent="0.2">
      <c r="B77" s="780" t="s">
        <v>895</v>
      </c>
      <c r="C77" s="780">
        <v>1</v>
      </c>
      <c r="D77" s="780">
        <f>C20</f>
        <v>80</v>
      </c>
      <c r="E77" s="780">
        <f>Summary!D5*1000+2*'Embedded Parts'!C42</f>
        <v>4100</v>
      </c>
      <c r="F77" s="780">
        <f>C21</f>
        <v>8</v>
      </c>
      <c r="G77" s="780"/>
      <c r="H77" s="780">
        <f>F77*E77*D77</f>
        <v>2624000</v>
      </c>
      <c r="I77" s="780">
        <f>H77*7850/10^9</f>
        <v>20.598400000000002</v>
      </c>
      <c r="J77" s="780">
        <f>I77*C77</f>
        <v>20.598400000000002</v>
      </c>
      <c r="AA77" s="197" t="s">
        <v>959</v>
      </c>
      <c r="AB77" s="197">
        <v>130</v>
      </c>
      <c r="AC77" s="197">
        <v>0.45600000000000002</v>
      </c>
    </row>
    <row r="78" spans="2:29" x14ac:dyDescent="0.2">
      <c r="B78" s="780" t="s">
        <v>884</v>
      </c>
      <c r="C78" s="780">
        <f>FLOOR(E76/C43,1)-1</f>
        <v>7</v>
      </c>
      <c r="D78" s="780"/>
      <c r="E78" s="892">
        <v>150</v>
      </c>
      <c r="F78" s="780"/>
      <c r="G78" s="969">
        <v>16</v>
      </c>
      <c r="H78" s="780">
        <f>+PI()*G78^2/4*E78</f>
        <v>30159.289474462013</v>
      </c>
      <c r="I78" s="780">
        <f>+H78*7850*10^-9</f>
        <v>0.23675042237452681</v>
      </c>
      <c r="J78" s="780">
        <f t="shared" ref="J78:J79" si="7">I78*C78</f>
        <v>1.6572529566216878</v>
      </c>
    </row>
    <row r="79" spans="2:29" x14ac:dyDescent="0.2">
      <c r="B79" s="780" t="s">
        <v>889</v>
      </c>
      <c r="C79" s="780">
        <v>4</v>
      </c>
      <c r="D79" s="780"/>
      <c r="E79" s="780"/>
      <c r="F79" s="892">
        <v>75</v>
      </c>
      <c r="G79" s="892" t="s">
        <v>1343</v>
      </c>
      <c r="H79" s="780"/>
      <c r="I79" s="780">
        <f>VLOOKUP(F79,AA92:AB95,2,FALSE)</f>
        <v>0.193</v>
      </c>
      <c r="J79" s="780">
        <f t="shared" si="7"/>
        <v>0.77200000000000002</v>
      </c>
      <c r="AA79" s="197" t="s">
        <v>1344</v>
      </c>
      <c r="AB79" s="197">
        <v>90</v>
      </c>
      <c r="AC79" s="197">
        <v>0.57199999999999995</v>
      </c>
    </row>
    <row r="80" spans="2:29" x14ac:dyDescent="0.2">
      <c r="B80" s="1216" t="s">
        <v>903</v>
      </c>
      <c r="C80" s="1216"/>
      <c r="D80" s="1216"/>
      <c r="E80" s="1216"/>
      <c r="F80" s="1216"/>
      <c r="G80" s="1216"/>
      <c r="H80" s="1216"/>
      <c r="I80" s="1216"/>
      <c r="J80" s="780">
        <f>SUM(J76:J79)</f>
        <v>127.16765295662169</v>
      </c>
      <c r="AA80" s="197" t="s">
        <v>960</v>
      </c>
      <c r="AB80" s="197">
        <v>100</v>
      </c>
      <c r="AC80" s="197">
        <v>0.60799999999999998</v>
      </c>
    </row>
    <row r="81" spans="2:29" ht="15" x14ac:dyDescent="0.25">
      <c r="B81" s="781" t="s">
        <v>891</v>
      </c>
      <c r="C81" s="780"/>
      <c r="D81" s="780"/>
      <c r="E81" s="780"/>
      <c r="F81" s="780"/>
      <c r="G81" s="780"/>
      <c r="H81" s="780"/>
      <c r="I81" s="780"/>
      <c r="J81" s="780"/>
      <c r="AA81" s="197" t="s">
        <v>1346</v>
      </c>
      <c r="AB81" s="197">
        <v>120</v>
      </c>
      <c r="AC81" s="197">
        <v>0.67900000000000005</v>
      </c>
    </row>
    <row r="82" spans="2:29" x14ac:dyDescent="0.2">
      <c r="B82" s="780" t="s">
        <v>883</v>
      </c>
      <c r="C82" s="780">
        <v>1</v>
      </c>
      <c r="D82" s="780">
        <f>F33</f>
        <v>100</v>
      </c>
      <c r="E82" s="780">
        <f>C5*1000</f>
        <v>3900</v>
      </c>
      <c r="F82" s="780">
        <f>F32</f>
        <v>200</v>
      </c>
      <c r="G82" s="780"/>
      <c r="H82" s="780"/>
      <c r="I82" s="780">
        <v>106.68</v>
      </c>
      <c r="J82" s="780">
        <f>I82*C82</f>
        <v>106.68</v>
      </c>
      <c r="AA82" s="197" t="s">
        <v>1345</v>
      </c>
      <c r="AB82" s="197">
        <v>160</v>
      </c>
      <c r="AC82" s="197">
        <v>0.80900000000000005</v>
      </c>
    </row>
    <row r="83" spans="2:29" x14ac:dyDescent="0.2">
      <c r="B83" s="780" t="s">
        <v>895</v>
      </c>
      <c r="C83" s="780">
        <v>1</v>
      </c>
      <c r="D83" s="780">
        <v>80</v>
      </c>
      <c r="E83" s="780">
        <f>C5*1000</f>
        <v>3900</v>
      </c>
      <c r="F83" s="780">
        <v>80</v>
      </c>
      <c r="G83" s="780"/>
      <c r="H83" s="780">
        <f>F83*E83*D83</f>
        <v>24960000</v>
      </c>
      <c r="I83" s="780">
        <f>H83*7850/10^9</f>
        <v>195.93600000000001</v>
      </c>
      <c r="J83" s="780">
        <f t="shared" ref="J83:J84" si="8">I83*C83</f>
        <v>195.93600000000001</v>
      </c>
      <c r="AA83" s="197" t="s">
        <v>1345</v>
      </c>
      <c r="AB83" s="197">
        <v>110</v>
      </c>
      <c r="AC83" s="197">
        <v>0.85499999999999998</v>
      </c>
    </row>
    <row r="84" spans="2:29" x14ac:dyDescent="0.2">
      <c r="B84" s="780" t="s">
        <v>884</v>
      </c>
      <c r="C84" s="780">
        <f>C17</f>
        <v>6</v>
      </c>
      <c r="D84" s="780"/>
      <c r="E84" s="892">
        <v>150</v>
      </c>
      <c r="F84" s="780"/>
      <c r="G84" s="969">
        <v>16</v>
      </c>
      <c r="H84" s="780">
        <f>+PI()*G84^2/4*E84</f>
        <v>30159.289474462013</v>
      </c>
      <c r="I84" s="780">
        <f>+H84*7850*10^-9</f>
        <v>0.23675042237452681</v>
      </c>
      <c r="J84" s="780">
        <f t="shared" si="8"/>
        <v>1.4205025342471609</v>
      </c>
      <c r="AA84" s="197" t="s">
        <v>1347</v>
      </c>
      <c r="AB84" s="197">
        <v>120</v>
      </c>
      <c r="AC84" s="197">
        <v>0.90100000000000002</v>
      </c>
    </row>
    <row r="85" spans="2:29" x14ac:dyDescent="0.2">
      <c r="B85" s="1216" t="s">
        <v>904</v>
      </c>
      <c r="C85" s="1216"/>
      <c r="D85" s="1216"/>
      <c r="E85" s="1216"/>
      <c r="F85" s="1216"/>
      <c r="G85" s="1216"/>
      <c r="H85" s="1216"/>
      <c r="I85" s="1216"/>
      <c r="J85" s="780">
        <f>SUM(J82:J84)</f>
        <v>304.03650253424712</v>
      </c>
      <c r="AA85" s="197" t="s">
        <v>1348</v>
      </c>
      <c r="AB85" s="197">
        <v>140</v>
      </c>
      <c r="AC85" s="197">
        <v>0.97099999999999997</v>
      </c>
    </row>
    <row r="86" spans="2:29" x14ac:dyDescent="0.2">
      <c r="B86" s="1216" t="s">
        <v>901</v>
      </c>
      <c r="C86" s="1216"/>
      <c r="D86" s="1216"/>
      <c r="E86" s="1216"/>
      <c r="F86" s="1216"/>
      <c r="G86" s="1216"/>
      <c r="H86" s="1216"/>
      <c r="I86" s="1216"/>
      <c r="J86" s="780">
        <f>+J85+J80+J74</f>
        <v>3093.8692585502531</v>
      </c>
      <c r="AA86" s="197" t="s">
        <v>961</v>
      </c>
      <c r="AB86" s="197">
        <v>170</v>
      </c>
      <c r="AC86" s="197">
        <v>1.105</v>
      </c>
    </row>
    <row r="87" spans="2:29" ht="15" x14ac:dyDescent="0.25">
      <c r="B87" s="1217" t="s">
        <v>796</v>
      </c>
      <c r="C87" s="1217"/>
      <c r="D87" s="1217"/>
      <c r="E87" s="1217"/>
      <c r="F87" s="1217"/>
      <c r="G87" s="1217"/>
      <c r="H87" s="1217"/>
      <c r="I87" s="1217"/>
      <c r="J87" s="781">
        <f>1.1*J86</f>
        <v>3403.2561844052789</v>
      </c>
    </row>
    <row r="88" spans="2:29" hidden="1" x14ac:dyDescent="0.2">
      <c r="B88" s="1210" t="s">
        <v>1349</v>
      </c>
      <c r="C88" s="1211"/>
      <c r="D88" s="1211"/>
      <c r="E88" s="1211"/>
      <c r="F88" s="1211"/>
      <c r="G88" s="1211"/>
      <c r="H88" s="1212"/>
      <c r="I88" s="820" t="s">
        <v>636</v>
      </c>
      <c r="J88" s="780">
        <f ca="1">IF(AA68&gt;2000,0.1,0.11)*AB68</f>
        <v>416.27082027683502</v>
      </c>
      <c r="AA88" s="197">
        <f>IF($G$73="M16",AB71,IF($G$73="M20",AB75,IF($G$73="M24",AB79,AB83)))</f>
        <v>75</v>
      </c>
      <c r="AB88" s="197">
        <f>IF($G$73="M16",AC71,IF($G$73="M20",AC75,IF($G$73="M24",AC79,AC83)))</f>
        <v>0.193</v>
      </c>
    </row>
    <row r="89" spans="2:29" hidden="1" x14ac:dyDescent="0.2">
      <c r="B89" s="1213"/>
      <c r="C89" s="1214"/>
      <c r="D89" s="1214"/>
      <c r="E89" s="1214"/>
      <c r="F89" s="1214"/>
      <c r="G89" s="1214"/>
      <c r="H89" s="1215"/>
      <c r="I89" s="820" t="s">
        <v>637</v>
      </c>
      <c r="J89" s="780">
        <f ca="1">IF(AA68&gt;2000,0.5,0.54)*AB68</f>
        <v>2043.5112995408267</v>
      </c>
      <c r="AA89" s="197">
        <f t="shared" ref="AA89:AB89" si="9">IF($G$73="M16",AB72,IF($G$73="M20",AB76,IF($G$73="M24",AB80,AB84)))</f>
        <v>80</v>
      </c>
      <c r="AB89" s="197">
        <f t="shared" si="9"/>
        <v>0.20100000000000001</v>
      </c>
    </row>
    <row r="90" spans="2:29" x14ac:dyDescent="0.2">
      <c r="AA90" s="197">
        <f>IF($G$73="M16",AB74,IF($G$73="M20",AB78,IF($G$73="M24",AB82,AB86)))</f>
        <v>0</v>
      </c>
      <c r="AB90" s="197">
        <f>IF($G$73="M16",AC74,IF($G$73="M20",AC78,IF($G$73="M24",AC82,AC86)))</f>
        <v>0</v>
      </c>
    </row>
    <row r="92" spans="2:29" x14ac:dyDescent="0.2">
      <c r="AA92" s="197">
        <f>IF($G$79="M16",AB71,IF($G$79="M20",AB75,IF($G$79="M24",AB79,AB83)))</f>
        <v>75</v>
      </c>
      <c r="AB92" s="197">
        <f>IF($G$79="M16",AC71,IF($G$79="M20",AC75,IF($G$79="M24",AC79,AC83)))</f>
        <v>0.193</v>
      </c>
    </row>
    <row r="93" spans="2:29" x14ac:dyDescent="0.2">
      <c r="AA93" s="197">
        <f t="shared" ref="AA93:AB94" si="10">IF($G$79="M16",AB72,IF($G$79="M20",AB76,IF($G$79="M24",AB80,AB84)))</f>
        <v>80</v>
      </c>
      <c r="AB93" s="197">
        <f t="shared" si="10"/>
        <v>0.20100000000000001</v>
      </c>
    </row>
    <row r="94" spans="2:29" x14ac:dyDescent="0.2">
      <c r="AA94" s="197">
        <f t="shared" si="10"/>
        <v>100</v>
      </c>
      <c r="AB94" s="197">
        <f t="shared" si="10"/>
        <v>0.23200000000000001</v>
      </c>
    </row>
    <row r="95" spans="2:29" x14ac:dyDescent="0.2">
      <c r="AA95" s="197">
        <f>IF($G$79="M16",AB74,IF($G$79="M20",AB78,IF($G$79="M24",AB82,AB86)))</f>
        <v>0</v>
      </c>
      <c r="AB95" s="197">
        <f t="shared" ref="AB95" si="11">IF($G$79="M16",AC74,IF($G$79="M20",AC78,IF($G$79="M24",AC82,AC86)))</f>
        <v>0</v>
      </c>
    </row>
    <row r="160" spans="17:17" x14ac:dyDescent="0.2">
      <c r="Q160" s="951">
        <f>+'Embedded Parts'!C25-'Embedded Parts'!C21</f>
        <v>332</v>
      </c>
    </row>
  </sheetData>
  <sheetProtection algorithmName="SHA-512" hashValue="OxqbNnB5+ExJ/GXcfjOu8icLVrzWbsKyvoYw/3333QwaIFGth0cJOuKgT6R65fBe1Iuz/atA9/ihQjZzVanZ6w==" saltValue="ya/o5f7G+8IPRM7o7Olgxg==" spinCount="100000" sheet="1" objects="1" scenarios="1" selectLockedCells="1"/>
  <mergeCells count="19">
    <mergeCell ref="D40:E40"/>
    <mergeCell ref="D41:E41"/>
    <mergeCell ref="D38:E38"/>
    <mergeCell ref="B1:J1"/>
    <mergeCell ref="B2:J2"/>
    <mergeCell ref="D39:E39"/>
    <mergeCell ref="J56:J57"/>
    <mergeCell ref="B88:H89"/>
    <mergeCell ref="B85:I85"/>
    <mergeCell ref="B86:I86"/>
    <mergeCell ref="B87:I87"/>
    <mergeCell ref="B56:B57"/>
    <mergeCell ref="C56:C57"/>
    <mergeCell ref="D56:F56"/>
    <mergeCell ref="G56:G57"/>
    <mergeCell ref="H56:H57"/>
    <mergeCell ref="I56:I57"/>
    <mergeCell ref="B74:I74"/>
    <mergeCell ref="B80:I80"/>
  </mergeCells>
  <conditionalFormatting sqref="C15:D15">
    <cfRule type="expression" dxfId="27" priority="3">
      <formula>$C$15&gt;$D$15</formula>
    </cfRule>
    <cfRule type="expression" dxfId="26" priority="4">
      <formula>$C$15&lt;$D$15</formula>
    </cfRule>
  </conditionalFormatting>
  <conditionalFormatting sqref="F41 G41">
    <cfRule type="expression" dxfId="25" priority="1">
      <formula>$F$41&gt;$G$41</formula>
    </cfRule>
    <cfRule type="expression" dxfId="24" priority="2">
      <formula>$F$41&lt;$G$41</formula>
    </cfRule>
  </conditionalFormatting>
  <dataValidations count="5">
    <dataValidation type="list" allowBlank="1" showInputMessage="1" showErrorMessage="1" sqref="C13 G29">
      <formula1>IShape</formula1>
    </dataValidation>
    <dataValidation type="custom" allowBlank="1" showInputMessage="1" showErrorMessage="1" error="Check With linten Beam_x000a_" sqref="C20">
      <formula1>C20&lt;G33</formula1>
    </dataValidation>
    <dataValidation type="list" allowBlank="1" showInputMessage="1" showErrorMessage="1" sqref="G73 G79">
      <formula1>"M16,M20,M24,M27"</formula1>
    </dataValidation>
    <dataValidation type="list" allowBlank="1" showInputMessage="1" showErrorMessage="1" sqref="F79">
      <formula1>$AA$92:$AA$95</formula1>
    </dataValidation>
    <dataValidation type="list" allowBlank="1" showInputMessage="1" showErrorMessage="1" sqref="F73">
      <formula1>$AA$88:$AA$90</formula1>
    </dataValidation>
  </dataValidations>
  <pageMargins left="0.7" right="0.7" top="0.75" bottom="0.75" header="0.3" footer="0.3"/>
  <pageSetup paperSize="9" scale="54" orientation="portrait" blackAndWhite="1" r:id="rId1"/>
  <headerFooter>
    <oddHeader>&amp;L
Summary&amp;C
&amp;R
Lower Likhu Hydropower Project (28.1 MW)</oddHeader>
    <oddFooter>Page &amp;P of &amp;N</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14:formula1>
            <xm:f>ISMC!$J$20:$J$30</xm:f>
          </x14:formula1>
          <xm:sqref>C29</xm:sqref>
        </x14:dataValidation>
        <x14:dataValidation type="list" allowBlank="1" showInputMessage="1" showErrorMessage="1" error="Input again_x000a_">
          <x14:formula1>
            <xm:f>ISMC!$P$18:$P$28</xm:f>
          </x14:formula1>
          <xm:sqref>D29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P31"/>
  <sheetViews>
    <sheetView workbookViewId="0">
      <selection activeCell="O6" sqref="O6"/>
    </sheetView>
  </sheetViews>
  <sheetFormatPr defaultRowHeight="15" x14ac:dyDescent="0.25"/>
  <sheetData>
    <row r="2" spans="2:16" ht="15" customHeight="1" x14ac:dyDescent="0.25">
      <c r="B2" s="1224" t="s">
        <v>1010</v>
      </c>
      <c r="C2" s="1225" t="s">
        <v>687</v>
      </c>
      <c r="D2" s="1225"/>
      <c r="E2" s="1223" t="s">
        <v>1011</v>
      </c>
      <c r="F2" s="1223"/>
      <c r="G2" s="1223"/>
      <c r="H2" s="1223"/>
      <c r="I2" s="1223"/>
      <c r="J2" s="1223"/>
    </row>
    <row r="3" spans="2:16" x14ac:dyDescent="0.25">
      <c r="B3" s="1224"/>
      <c r="C3" s="1225"/>
      <c r="D3" s="1225"/>
      <c r="E3" s="1223">
        <v>1570</v>
      </c>
      <c r="F3" s="1223"/>
      <c r="G3" s="1223">
        <v>1770</v>
      </c>
      <c r="H3" s="1223"/>
      <c r="I3" s="1223">
        <v>1960</v>
      </c>
      <c r="J3" s="1223"/>
    </row>
    <row r="4" spans="2:16" x14ac:dyDescent="0.25">
      <c r="B4" s="1224"/>
      <c r="C4" t="s">
        <v>688</v>
      </c>
      <c r="D4" t="s">
        <v>689</v>
      </c>
      <c r="E4" t="s">
        <v>688</v>
      </c>
      <c r="F4" t="s">
        <v>689</v>
      </c>
      <c r="G4" t="s">
        <v>688</v>
      </c>
      <c r="H4" t="s">
        <v>689</v>
      </c>
      <c r="I4" t="s">
        <v>688</v>
      </c>
      <c r="J4" t="s">
        <v>688</v>
      </c>
    </row>
    <row r="5" spans="2:16" x14ac:dyDescent="0.25">
      <c r="B5" s="1224"/>
      <c r="C5" t="s">
        <v>1008</v>
      </c>
      <c r="D5" t="s">
        <v>1009</v>
      </c>
      <c r="E5" t="s">
        <v>1008</v>
      </c>
      <c r="F5" t="s">
        <v>1009</v>
      </c>
      <c r="G5" t="s">
        <v>1008</v>
      </c>
      <c r="H5" t="s">
        <v>1009</v>
      </c>
      <c r="I5" t="s">
        <v>1008</v>
      </c>
      <c r="J5" t="s">
        <v>1009</v>
      </c>
    </row>
    <row r="6" spans="2:16" x14ac:dyDescent="0.25">
      <c r="B6" t="s">
        <v>652</v>
      </c>
      <c r="C6" s="1223" t="s">
        <v>1148</v>
      </c>
      <c r="D6" s="1223"/>
      <c r="E6" t="s">
        <v>659</v>
      </c>
      <c r="F6" t="s">
        <v>659</v>
      </c>
      <c r="G6" t="s">
        <v>659</v>
      </c>
      <c r="H6" t="s">
        <v>659</v>
      </c>
      <c r="I6" t="s">
        <v>659</v>
      </c>
      <c r="J6" t="s">
        <v>659</v>
      </c>
    </row>
    <row r="7" spans="2:16" x14ac:dyDescent="0.25">
      <c r="B7">
        <v>8</v>
      </c>
      <c r="C7">
        <v>0.221</v>
      </c>
      <c r="D7">
        <v>0.24399999999999999</v>
      </c>
      <c r="E7">
        <v>30</v>
      </c>
      <c r="F7">
        <v>32</v>
      </c>
      <c r="G7">
        <v>33</v>
      </c>
      <c r="H7">
        <v>36</v>
      </c>
      <c r="I7">
        <v>37</v>
      </c>
      <c r="J7">
        <v>40</v>
      </c>
    </row>
    <row r="8" spans="2:16" x14ac:dyDescent="0.25">
      <c r="B8">
        <v>9</v>
      </c>
      <c r="C8">
        <v>0.28000000000000003</v>
      </c>
      <c r="D8">
        <v>0.308</v>
      </c>
      <c r="E8">
        <v>37</v>
      </c>
      <c r="F8">
        <v>40</v>
      </c>
      <c r="G8">
        <v>42</v>
      </c>
      <c r="H8">
        <v>46</v>
      </c>
      <c r="I8">
        <v>47</v>
      </c>
      <c r="J8">
        <v>51</v>
      </c>
    </row>
    <row r="9" spans="2:16" x14ac:dyDescent="0.25">
      <c r="B9">
        <v>10</v>
      </c>
      <c r="C9">
        <v>0.34600000000000003</v>
      </c>
      <c r="D9">
        <v>0.38100000000000001</v>
      </c>
      <c r="E9">
        <v>46</v>
      </c>
      <c r="F9">
        <v>50</v>
      </c>
      <c r="G9">
        <v>52</v>
      </c>
      <c r="H9">
        <v>56</v>
      </c>
      <c r="I9">
        <v>58</v>
      </c>
      <c r="J9">
        <v>62</v>
      </c>
    </row>
    <row r="10" spans="2:16" x14ac:dyDescent="0.25">
      <c r="B10">
        <v>11</v>
      </c>
      <c r="C10">
        <v>0.41899999999999998</v>
      </c>
      <c r="D10">
        <v>0.46100000000000002</v>
      </c>
      <c r="E10">
        <v>56</v>
      </c>
      <c r="F10">
        <v>60</v>
      </c>
      <c r="G10">
        <v>63</v>
      </c>
      <c r="H10">
        <v>68</v>
      </c>
      <c r="I10">
        <v>70</v>
      </c>
      <c r="J10">
        <v>76</v>
      </c>
    </row>
    <row r="11" spans="2:16" x14ac:dyDescent="0.25">
      <c r="B11">
        <v>12</v>
      </c>
      <c r="C11">
        <v>0.498</v>
      </c>
      <c r="D11">
        <v>0.54799999999999993</v>
      </c>
      <c r="E11">
        <v>67</v>
      </c>
      <c r="F11">
        <v>72</v>
      </c>
      <c r="G11">
        <v>75</v>
      </c>
      <c r="H11">
        <v>81</v>
      </c>
      <c r="I11">
        <v>83</v>
      </c>
      <c r="J11">
        <v>90</v>
      </c>
    </row>
    <row r="12" spans="2:16" x14ac:dyDescent="0.25">
      <c r="B12">
        <v>13</v>
      </c>
      <c r="C12">
        <v>0.58499999999999996</v>
      </c>
      <c r="D12">
        <v>0.64300000000000002</v>
      </c>
      <c r="E12">
        <v>78</v>
      </c>
      <c r="F12">
        <v>84</v>
      </c>
      <c r="G12">
        <v>88</v>
      </c>
      <c r="H12">
        <v>95</v>
      </c>
      <c r="I12">
        <v>98</v>
      </c>
      <c r="J12">
        <v>105</v>
      </c>
    </row>
    <row r="13" spans="2:16" x14ac:dyDescent="0.25">
      <c r="B13">
        <v>14</v>
      </c>
      <c r="C13">
        <v>0.67799999999999994</v>
      </c>
      <c r="D13">
        <v>0.746</v>
      </c>
      <c r="E13">
        <v>91</v>
      </c>
      <c r="F13">
        <v>98</v>
      </c>
      <c r="G13">
        <v>102</v>
      </c>
      <c r="H13">
        <v>110</v>
      </c>
      <c r="I13">
        <v>113</v>
      </c>
      <c r="J13">
        <v>122</v>
      </c>
    </row>
    <row r="14" spans="2:16" x14ac:dyDescent="0.25">
      <c r="B14">
        <v>16</v>
      </c>
      <c r="C14">
        <v>0.8859999999999999</v>
      </c>
      <c r="D14">
        <v>0.97400000000000009</v>
      </c>
      <c r="E14">
        <v>118</v>
      </c>
      <c r="F14">
        <v>128</v>
      </c>
      <c r="G14">
        <v>134</v>
      </c>
      <c r="H14">
        <v>144</v>
      </c>
      <c r="I14">
        <v>148</v>
      </c>
      <c r="J14">
        <v>160</v>
      </c>
    </row>
    <row r="15" spans="2:16" x14ac:dyDescent="0.25">
      <c r="B15">
        <v>18</v>
      </c>
      <c r="C15">
        <v>1.1200000000000001</v>
      </c>
      <c r="D15">
        <v>1.23</v>
      </c>
      <c r="E15">
        <v>150</v>
      </c>
      <c r="F15">
        <v>162</v>
      </c>
      <c r="G15">
        <v>169</v>
      </c>
      <c r="H15">
        <v>183</v>
      </c>
      <c r="I15">
        <v>187</v>
      </c>
      <c r="J15">
        <v>202</v>
      </c>
    </row>
    <row r="16" spans="2:16" x14ac:dyDescent="0.25">
      <c r="B16">
        <v>19</v>
      </c>
      <c r="C16">
        <v>1.25</v>
      </c>
      <c r="D16">
        <v>1.37</v>
      </c>
      <c r="E16">
        <v>167</v>
      </c>
      <c r="F16">
        <v>180</v>
      </c>
      <c r="G16">
        <v>188</v>
      </c>
      <c r="H16">
        <v>203</v>
      </c>
      <c r="I16">
        <v>209</v>
      </c>
      <c r="J16">
        <v>225</v>
      </c>
      <c r="P16" s="775"/>
    </row>
    <row r="17" spans="2:10" x14ac:dyDescent="0.25">
      <c r="B17">
        <v>20</v>
      </c>
      <c r="C17">
        <v>1.38</v>
      </c>
      <c r="D17">
        <v>1.52</v>
      </c>
      <c r="E17">
        <v>185</v>
      </c>
      <c r="F17">
        <v>200</v>
      </c>
      <c r="G17">
        <v>209</v>
      </c>
      <c r="H17">
        <v>225</v>
      </c>
      <c r="I17">
        <v>231</v>
      </c>
      <c r="J17">
        <v>250</v>
      </c>
    </row>
    <row r="18" spans="2:10" x14ac:dyDescent="0.25">
      <c r="B18">
        <v>22</v>
      </c>
      <c r="C18">
        <v>1.67</v>
      </c>
      <c r="D18">
        <v>1.84</v>
      </c>
      <c r="E18">
        <v>224</v>
      </c>
      <c r="F18">
        <v>242</v>
      </c>
      <c r="G18">
        <v>253</v>
      </c>
      <c r="H18">
        <v>273</v>
      </c>
      <c r="I18">
        <v>280</v>
      </c>
      <c r="J18">
        <v>302</v>
      </c>
    </row>
    <row r="19" spans="2:10" x14ac:dyDescent="0.25">
      <c r="B19">
        <v>24</v>
      </c>
      <c r="C19">
        <v>1.99</v>
      </c>
      <c r="D19">
        <v>2.19</v>
      </c>
      <c r="E19">
        <v>267</v>
      </c>
      <c r="F19">
        <v>288</v>
      </c>
      <c r="G19">
        <v>301</v>
      </c>
      <c r="H19">
        <v>325</v>
      </c>
      <c r="I19">
        <v>333</v>
      </c>
      <c r="J19">
        <v>359</v>
      </c>
    </row>
    <row r="20" spans="2:10" x14ac:dyDescent="0.25">
      <c r="B20">
        <v>26</v>
      </c>
      <c r="C20">
        <v>2.34</v>
      </c>
      <c r="D20">
        <v>2.57</v>
      </c>
      <c r="E20">
        <v>313</v>
      </c>
      <c r="F20">
        <v>338</v>
      </c>
      <c r="G20">
        <v>353</v>
      </c>
      <c r="H20">
        <v>381</v>
      </c>
      <c r="I20">
        <v>391</v>
      </c>
      <c r="J20">
        <v>422</v>
      </c>
    </row>
    <row r="21" spans="2:10" x14ac:dyDescent="0.25">
      <c r="B21">
        <v>28</v>
      </c>
      <c r="C21">
        <v>2.71</v>
      </c>
      <c r="D21">
        <v>2.98</v>
      </c>
      <c r="E21">
        <v>363</v>
      </c>
      <c r="F21">
        <v>392</v>
      </c>
      <c r="G21">
        <v>409</v>
      </c>
      <c r="H21">
        <v>442</v>
      </c>
      <c r="I21">
        <v>453</v>
      </c>
      <c r="J21">
        <v>489</v>
      </c>
    </row>
    <row r="22" spans="2:10" x14ac:dyDescent="0.25">
      <c r="B22">
        <v>32</v>
      </c>
      <c r="C22">
        <v>3.54</v>
      </c>
      <c r="D22">
        <v>3.9</v>
      </c>
      <c r="E22">
        <v>474</v>
      </c>
      <c r="F22">
        <v>512</v>
      </c>
      <c r="G22">
        <v>534</v>
      </c>
      <c r="H22">
        <v>577</v>
      </c>
      <c r="I22">
        <v>592</v>
      </c>
      <c r="J22">
        <v>639</v>
      </c>
    </row>
    <row r="23" spans="2:10" x14ac:dyDescent="0.25">
      <c r="B23">
        <v>36</v>
      </c>
      <c r="C23">
        <v>4.4800000000000004</v>
      </c>
      <c r="D23">
        <v>4.93</v>
      </c>
      <c r="E23">
        <v>600</v>
      </c>
      <c r="F23">
        <v>648</v>
      </c>
      <c r="G23">
        <v>676</v>
      </c>
      <c r="H23">
        <v>730</v>
      </c>
      <c r="I23">
        <v>749</v>
      </c>
      <c r="J23">
        <v>809</v>
      </c>
    </row>
    <row r="24" spans="2:10" x14ac:dyDescent="0.25">
      <c r="B24">
        <v>38</v>
      </c>
      <c r="C24">
        <v>5</v>
      </c>
      <c r="D24">
        <v>5.5</v>
      </c>
      <c r="E24">
        <v>668</v>
      </c>
      <c r="F24">
        <v>722</v>
      </c>
      <c r="G24">
        <v>753</v>
      </c>
      <c r="H24">
        <v>814</v>
      </c>
      <c r="I24">
        <v>834</v>
      </c>
      <c r="J24">
        <v>901</v>
      </c>
    </row>
    <row r="25" spans="2:10" x14ac:dyDescent="0.25">
      <c r="B25">
        <v>40</v>
      </c>
      <c r="C25">
        <v>5.54</v>
      </c>
      <c r="D25">
        <v>6.09</v>
      </c>
      <c r="E25">
        <v>741</v>
      </c>
      <c r="F25">
        <v>800</v>
      </c>
      <c r="G25">
        <v>835</v>
      </c>
      <c r="H25">
        <v>902</v>
      </c>
      <c r="I25">
        <v>924</v>
      </c>
      <c r="J25">
        <v>999</v>
      </c>
    </row>
    <row r="26" spans="2:10" x14ac:dyDescent="0.25">
      <c r="B26">
        <v>44</v>
      </c>
      <c r="C26">
        <v>6.7</v>
      </c>
      <c r="D26">
        <v>7.37</v>
      </c>
      <c r="E26">
        <v>896</v>
      </c>
      <c r="F26">
        <v>968</v>
      </c>
      <c r="G26">
        <v>1010</v>
      </c>
      <c r="H26">
        <v>1091</v>
      </c>
      <c r="I26">
        <v>1119</v>
      </c>
      <c r="J26">
        <v>1208</v>
      </c>
    </row>
    <row r="27" spans="2:10" x14ac:dyDescent="0.25">
      <c r="B27">
        <v>48</v>
      </c>
      <c r="C27">
        <v>7.97</v>
      </c>
      <c r="D27">
        <v>8.77</v>
      </c>
      <c r="E27">
        <v>1066</v>
      </c>
      <c r="F27">
        <v>1152</v>
      </c>
      <c r="G27">
        <v>1202</v>
      </c>
      <c r="H27">
        <v>1298</v>
      </c>
      <c r="I27">
        <v>1331</v>
      </c>
      <c r="J27">
        <v>1438</v>
      </c>
    </row>
    <row r="28" spans="2:10" x14ac:dyDescent="0.25">
      <c r="B28">
        <v>52</v>
      </c>
      <c r="C28">
        <v>9.36</v>
      </c>
      <c r="D28">
        <v>10.29</v>
      </c>
      <c r="E28">
        <v>1252</v>
      </c>
      <c r="F28">
        <v>1352</v>
      </c>
      <c r="G28">
        <v>1411</v>
      </c>
      <c r="H28">
        <v>11524</v>
      </c>
      <c r="I28">
        <v>1562</v>
      </c>
      <c r="J28">
        <v>1687</v>
      </c>
    </row>
    <row r="29" spans="2:10" x14ac:dyDescent="0.25">
      <c r="B29">
        <v>56</v>
      </c>
      <c r="C29">
        <v>10.85</v>
      </c>
      <c r="D29">
        <v>0</v>
      </c>
      <c r="E29">
        <v>1451</v>
      </c>
      <c r="F29">
        <v>0</v>
      </c>
      <c r="G29">
        <v>1636</v>
      </c>
      <c r="H29">
        <v>0</v>
      </c>
      <c r="I29">
        <v>1812</v>
      </c>
      <c r="J29">
        <v>0</v>
      </c>
    </row>
    <row r="30" spans="2:10" x14ac:dyDescent="0.25">
      <c r="B30">
        <v>60</v>
      </c>
      <c r="C30">
        <v>12.46</v>
      </c>
      <c r="D30">
        <v>0</v>
      </c>
      <c r="E30">
        <v>1666</v>
      </c>
      <c r="F30">
        <v>0</v>
      </c>
      <c r="G30">
        <v>1878</v>
      </c>
      <c r="H30">
        <v>0</v>
      </c>
      <c r="I30">
        <v>2080</v>
      </c>
      <c r="J30">
        <v>0</v>
      </c>
    </row>
    <row r="31" spans="2:10" x14ac:dyDescent="0.25">
      <c r="B31">
        <v>64</v>
      </c>
      <c r="C31">
        <v>14.71</v>
      </c>
      <c r="D31">
        <v>0</v>
      </c>
      <c r="E31">
        <v>1896</v>
      </c>
      <c r="F31">
        <v>0</v>
      </c>
      <c r="G31">
        <v>2137</v>
      </c>
      <c r="H31">
        <v>0</v>
      </c>
      <c r="I31">
        <v>2367</v>
      </c>
      <c r="J31">
        <v>0</v>
      </c>
    </row>
  </sheetData>
  <mergeCells count="7">
    <mergeCell ref="C6:D6"/>
    <mergeCell ref="B2:B5"/>
    <mergeCell ref="E2:J2"/>
    <mergeCell ref="E3:F3"/>
    <mergeCell ref="G3:H3"/>
    <mergeCell ref="I3:J3"/>
    <mergeCell ref="C2:D3"/>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30"/>
  <sheetViews>
    <sheetView topLeftCell="E10" workbookViewId="0">
      <selection activeCell="K21" sqref="K21"/>
    </sheetView>
  </sheetViews>
  <sheetFormatPr defaultRowHeight="12.75" x14ac:dyDescent="0.2"/>
  <cols>
    <col min="1" max="1" width="11.42578125" style="836" customWidth="1"/>
    <col min="2" max="5" width="9.140625" style="836"/>
    <col min="6" max="6" width="11.140625" style="836" customWidth="1"/>
    <col min="7" max="7" width="10.28515625" style="836" customWidth="1"/>
    <col min="8" max="21" width="9.140625" style="836"/>
    <col min="22" max="22" width="11.42578125" style="836" customWidth="1"/>
    <col min="23" max="256" width="9.140625" style="836"/>
    <col min="257" max="257" width="11.42578125" style="836" customWidth="1"/>
    <col min="258" max="261" width="9.140625" style="836"/>
    <col min="262" max="262" width="11.140625" style="836" customWidth="1"/>
    <col min="263" max="263" width="10.28515625" style="836" customWidth="1"/>
    <col min="264" max="277" width="9.140625" style="836"/>
    <col min="278" max="278" width="11.42578125" style="836" customWidth="1"/>
    <col min="279" max="512" width="9.140625" style="836"/>
    <col min="513" max="513" width="11.42578125" style="836" customWidth="1"/>
    <col min="514" max="517" width="9.140625" style="836"/>
    <col min="518" max="518" width="11.140625" style="836" customWidth="1"/>
    <col min="519" max="519" width="10.28515625" style="836" customWidth="1"/>
    <col min="520" max="533" width="9.140625" style="836"/>
    <col min="534" max="534" width="11.42578125" style="836" customWidth="1"/>
    <col min="535" max="768" width="9.140625" style="836"/>
    <col min="769" max="769" width="11.42578125" style="836" customWidth="1"/>
    <col min="770" max="773" width="9.140625" style="836"/>
    <col min="774" max="774" width="11.140625" style="836" customWidth="1"/>
    <col min="775" max="775" width="10.28515625" style="836" customWidth="1"/>
    <col min="776" max="789" width="9.140625" style="836"/>
    <col min="790" max="790" width="11.42578125" style="836" customWidth="1"/>
    <col min="791" max="1024" width="9.140625" style="836"/>
    <col min="1025" max="1025" width="11.42578125" style="836" customWidth="1"/>
    <col min="1026" max="1029" width="9.140625" style="836"/>
    <col min="1030" max="1030" width="11.140625" style="836" customWidth="1"/>
    <col min="1031" max="1031" width="10.28515625" style="836" customWidth="1"/>
    <col min="1032" max="1045" width="9.140625" style="836"/>
    <col min="1046" max="1046" width="11.42578125" style="836" customWidth="1"/>
    <col min="1047" max="1280" width="9.140625" style="836"/>
    <col min="1281" max="1281" width="11.42578125" style="836" customWidth="1"/>
    <col min="1282" max="1285" width="9.140625" style="836"/>
    <col min="1286" max="1286" width="11.140625" style="836" customWidth="1"/>
    <col min="1287" max="1287" width="10.28515625" style="836" customWidth="1"/>
    <col min="1288" max="1301" width="9.140625" style="836"/>
    <col min="1302" max="1302" width="11.42578125" style="836" customWidth="1"/>
    <col min="1303" max="1536" width="9.140625" style="836"/>
    <col min="1537" max="1537" width="11.42578125" style="836" customWidth="1"/>
    <col min="1538" max="1541" width="9.140625" style="836"/>
    <col min="1542" max="1542" width="11.140625" style="836" customWidth="1"/>
    <col min="1543" max="1543" width="10.28515625" style="836" customWidth="1"/>
    <col min="1544" max="1557" width="9.140625" style="836"/>
    <col min="1558" max="1558" width="11.42578125" style="836" customWidth="1"/>
    <col min="1559" max="1792" width="9.140625" style="836"/>
    <col min="1793" max="1793" width="11.42578125" style="836" customWidth="1"/>
    <col min="1794" max="1797" width="9.140625" style="836"/>
    <col min="1798" max="1798" width="11.140625" style="836" customWidth="1"/>
    <col min="1799" max="1799" width="10.28515625" style="836" customWidth="1"/>
    <col min="1800" max="1813" width="9.140625" style="836"/>
    <col min="1814" max="1814" width="11.42578125" style="836" customWidth="1"/>
    <col min="1815" max="2048" width="9.140625" style="836"/>
    <col min="2049" max="2049" width="11.42578125" style="836" customWidth="1"/>
    <col min="2050" max="2053" width="9.140625" style="836"/>
    <col min="2054" max="2054" width="11.140625" style="836" customWidth="1"/>
    <col min="2055" max="2055" width="10.28515625" style="836" customWidth="1"/>
    <col min="2056" max="2069" width="9.140625" style="836"/>
    <col min="2070" max="2070" width="11.42578125" style="836" customWidth="1"/>
    <col min="2071" max="2304" width="9.140625" style="836"/>
    <col min="2305" max="2305" width="11.42578125" style="836" customWidth="1"/>
    <col min="2306" max="2309" width="9.140625" style="836"/>
    <col min="2310" max="2310" width="11.140625" style="836" customWidth="1"/>
    <col min="2311" max="2311" width="10.28515625" style="836" customWidth="1"/>
    <col min="2312" max="2325" width="9.140625" style="836"/>
    <col min="2326" max="2326" width="11.42578125" style="836" customWidth="1"/>
    <col min="2327" max="2560" width="9.140625" style="836"/>
    <col min="2561" max="2561" width="11.42578125" style="836" customWidth="1"/>
    <col min="2562" max="2565" width="9.140625" style="836"/>
    <col min="2566" max="2566" width="11.140625" style="836" customWidth="1"/>
    <col min="2567" max="2567" width="10.28515625" style="836" customWidth="1"/>
    <col min="2568" max="2581" width="9.140625" style="836"/>
    <col min="2582" max="2582" width="11.42578125" style="836" customWidth="1"/>
    <col min="2583" max="2816" width="9.140625" style="836"/>
    <col min="2817" max="2817" width="11.42578125" style="836" customWidth="1"/>
    <col min="2818" max="2821" width="9.140625" style="836"/>
    <col min="2822" max="2822" width="11.140625" style="836" customWidth="1"/>
    <col min="2823" max="2823" width="10.28515625" style="836" customWidth="1"/>
    <col min="2824" max="2837" width="9.140625" style="836"/>
    <col min="2838" max="2838" width="11.42578125" style="836" customWidth="1"/>
    <col min="2839" max="3072" width="9.140625" style="836"/>
    <col min="3073" max="3073" width="11.42578125" style="836" customWidth="1"/>
    <col min="3074" max="3077" width="9.140625" style="836"/>
    <col min="3078" max="3078" width="11.140625" style="836" customWidth="1"/>
    <col min="3079" max="3079" width="10.28515625" style="836" customWidth="1"/>
    <col min="3080" max="3093" width="9.140625" style="836"/>
    <col min="3094" max="3094" width="11.42578125" style="836" customWidth="1"/>
    <col min="3095" max="3328" width="9.140625" style="836"/>
    <col min="3329" max="3329" width="11.42578125" style="836" customWidth="1"/>
    <col min="3330" max="3333" width="9.140625" style="836"/>
    <col min="3334" max="3334" width="11.140625" style="836" customWidth="1"/>
    <col min="3335" max="3335" width="10.28515625" style="836" customWidth="1"/>
    <col min="3336" max="3349" width="9.140625" style="836"/>
    <col min="3350" max="3350" width="11.42578125" style="836" customWidth="1"/>
    <col min="3351" max="3584" width="9.140625" style="836"/>
    <col min="3585" max="3585" width="11.42578125" style="836" customWidth="1"/>
    <col min="3586" max="3589" width="9.140625" style="836"/>
    <col min="3590" max="3590" width="11.140625" style="836" customWidth="1"/>
    <col min="3591" max="3591" width="10.28515625" style="836" customWidth="1"/>
    <col min="3592" max="3605" width="9.140625" style="836"/>
    <col min="3606" max="3606" width="11.42578125" style="836" customWidth="1"/>
    <col min="3607" max="3840" width="9.140625" style="836"/>
    <col min="3841" max="3841" width="11.42578125" style="836" customWidth="1"/>
    <col min="3842" max="3845" width="9.140625" style="836"/>
    <col min="3846" max="3846" width="11.140625" style="836" customWidth="1"/>
    <col min="3847" max="3847" width="10.28515625" style="836" customWidth="1"/>
    <col min="3848" max="3861" width="9.140625" style="836"/>
    <col min="3862" max="3862" width="11.42578125" style="836" customWidth="1"/>
    <col min="3863" max="4096" width="9.140625" style="836"/>
    <col min="4097" max="4097" width="11.42578125" style="836" customWidth="1"/>
    <col min="4098" max="4101" width="9.140625" style="836"/>
    <col min="4102" max="4102" width="11.140625" style="836" customWidth="1"/>
    <col min="4103" max="4103" width="10.28515625" style="836" customWidth="1"/>
    <col min="4104" max="4117" width="9.140625" style="836"/>
    <col min="4118" max="4118" width="11.42578125" style="836" customWidth="1"/>
    <col min="4119" max="4352" width="9.140625" style="836"/>
    <col min="4353" max="4353" width="11.42578125" style="836" customWidth="1"/>
    <col min="4354" max="4357" width="9.140625" style="836"/>
    <col min="4358" max="4358" width="11.140625" style="836" customWidth="1"/>
    <col min="4359" max="4359" width="10.28515625" style="836" customWidth="1"/>
    <col min="4360" max="4373" width="9.140625" style="836"/>
    <col min="4374" max="4374" width="11.42578125" style="836" customWidth="1"/>
    <col min="4375" max="4608" width="9.140625" style="836"/>
    <col min="4609" max="4609" width="11.42578125" style="836" customWidth="1"/>
    <col min="4610" max="4613" width="9.140625" style="836"/>
    <col min="4614" max="4614" width="11.140625" style="836" customWidth="1"/>
    <col min="4615" max="4615" width="10.28515625" style="836" customWidth="1"/>
    <col min="4616" max="4629" width="9.140625" style="836"/>
    <col min="4630" max="4630" width="11.42578125" style="836" customWidth="1"/>
    <col min="4631" max="4864" width="9.140625" style="836"/>
    <col min="4865" max="4865" width="11.42578125" style="836" customWidth="1"/>
    <col min="4866" max="4869" width="9.140625" style="836"/>
    <col min="4870" max="4870" width="11.140625" style="836" customWidth="1"/>
    <col min="4871" max="4871" width="10.28515625" style="836" customWidth="1"/>
    <col min="4872" max="4885" width="9.140625" style="836"/>
    <col min="4886" max="4886" width="11.42578125" style="836" customWidth="1"/>
    <col min="4887" max="5120" width="9.140625" style="836"/>
    <col min="5121" max="5121" width="11.42578125" style="836" customWidth="1"/>
    <col min="5122" max="5125" width="9.140625" style="836"/>
    <col min="5126" max="5126" width="11.140625" style="836" customWidth="1"/>
    <col min="5127" max="5127" width="10.28515625" style="836" customWidth="1"/>
    <col min="5128" max="5141" width="9.140625" style="836"/>
    <col min="5142" max="5142" width="11.42578125" style="836" customWidth="1"/>
    <col min="5143" max="5376" width="9.140625" style="836"/>
    <col min="5377" max="5377" width="11.42578125" style="836" customWidth="1"/>
    <col min="5378" max="5381" width="9.140625" style="836"/>
    <col min="5382" max="5382" width="11.140625" style="836" customWidth="1"/>
    <col min="5383" max="5383" width="10.28515625" style="836" customWidth="1"/>
    <col min="5384" max="5397" width="9.140625" style="836"/>
    <col min="5398" max="5398" width="11.42578125" style="836" customWidth="1"/>
    <col min="5399" max="5632" width="9.140625" style="836"/>
    <col min="5633" max="5633" width="11.42578125" style="836" customWidth="1"/>
    <col min="5634" max="5637" width="9.140625" style="836"/>
    <col min="5638" max="5638" width="11.140625" style="836" customWidth="1"/>
    <col min="5639" max="5639" width="10.28515625" style="836" customWidth="1"/>
    <col min="5640" max="5653" width="9.140625" style="836"/>
    <col min="5654" max="5654" width="11.42578125" style="836" customWidth="1"/>
    <col min="5655" max="5888" width="9.140625" style="836"/>
    <col min="5889" max="5889" width="11.42578125" style="836" customWidth="1"/>
    <col min="5890" max="5893" width="9.140625" style="836"/>
    <col min="5894" max="5894" width="11.140625" style="836" customWidth="1"/>
    <col min="5895" max="5895" width="10.28515625" style="836" customWidth="1"/>
    <col min="5896" max="5909" width="9.140625" style="836"/>
    <col min="5910" max="5910" width="11.42578125" style="836" customWidth="1"/>
    <col min="5911" max="6144" width="9.140625" style="836"/>
    <col min="6145" max="6145" width="11.42578125" style="836" customWidth="1"/>
    <col min="6146" max="6149" width="9.140625" style="836"/>
    <col min="6150" max="6150" width="11.140625" style="836" customWidth="1"/>
    <col min="6151" max="6151" width="10.28515625" style="836" customWidth="1"/>
    <col min="6152" max="6165" width="9.140625" style="836"/>
    <col min="6166" max="6166" width="11.42578125" style="836" customWidth="1"/>
    <col min="6167" max="6400" width="9.140625" style="836"/>
    <col min="6401" max="6401" width="11.42578125" style="836" customWidth="1"/>
    <col min="6402" max="6405" width="9.140625" style="836"/>
    <col min="6406" max="6406" width="11.140625" style="836" customWidth="1"/>
    <col min="6407" max="6407" width="10.28515625" style="836" customWidth="1"/>
    <col min="6408" max="6421" width="9.140625" style="836"/>
    <col min="6422" max="6422" width="11.42578125" style="836" customWidth="1"/>
    <col min="6423" max="6656" width="9.140625" style="836"/>
    <col min="6657" max="6657" width="11.42578125" style="836" customWidth="1"/>
    <col min="6658" max="6661" width="9.140625" style="836"/>
    <col min="6662" max="6662" width="11.140625" style="836" customWidth="1"/>
    <col min="6663" max="6663" width="10.28515625" style="836" customWidth="1"/>
    <col min="6664" max="6677" width="9.140625" style="836"/>
    <col min="6678" max="6678" width="11.42578125" style="836" customWidth="1"/>
    <col min="6679" max="6912" width="9.140625" style="836"/>
    <col min="6913" max="6913" width="11.42578125" style="836" customWidth="1"/>
    <col min="6914" max="6917" width="9.140625" style="836"/>
    <col min="6918" max="6918" width="11.140625" style="836" customWidth="1"/>
    <col min="6919" max="6919" width="10.28515625" style="836" customWidth="1"/>
    <col min="6920" max="6933" width="9.140625" style="836"/>
    <col min="6934" max="6934" width="11.42578125" style="836" customWidth="1"/>
    <col min="6935" max="7168" width="9.140625" style="836"/>
    <col min="7169" max="7169" width="11.42578125" style="836" customWidth="1"/>
    <col min="7170" max="7173" width="9.140625" style="836"/>
    <col min="7174" max="7174" width="11.140625" style="836" customWidth="1"/>
    <col min="7175" max="7175" width="10.28515625" style="836" customWidth="1"/>
    <col min="7176" max="7189" width="9.140625" style="836"/>
    <col min="7190" max="7190" width="11.42578125" style="836" customWidth="1"/>
    <col min="7191" max="7424" width="9.140625" style="836"/>
    <col min="7425" max="7425" width="11.42578125" style="836" customWidth="1"/>
    <col min="7426" max="7429" width="9.140625" style="836"/>
    <col min="7430" max="7430" width="11.140625" style="836" customWidth="1"/>
    <col min="7431" max="7431" width="10.28515625" style="836" customWidth="1"/>
    <col min="7432" max="7445" width="9.140625" style="836"/>
    <col min="7446" max="7446" width="11.42578125" style="836" customWidth="1"/>
    <col min="7447" max="7680" width="9.140625" style="836"/>
    <col min="7681" max="7681" width="11.42578125" style="836" customWidth="1"/>
    <col min="7682" max="7685" width="9.140625" style="836"/>
    <col min="7686" max="7686" width="11.140625" style="836" customWidth="1"/>
    <col min="7687" max="7687" width="10.28515625" style="836" customWidth="1"/>
    <col min="7688" max="7701" width="9.140625" style="836"/>
    <col min="7702" max="7702" width="11.42578125" style="836" customWidth="1"/>
    <col min="7703" max="7936" width="9.140625" style="836"/>
    <col min="7937" max="7937" width="11.42578125" style="836" customWidth="1"/>
    <col min="7938" max="7941" width="9.140625" style="836"/>
    <col min="7942" max="7942" width="11.140625" style="836" customWidth="1"/>
    <col min="7943" max="7943" width="10.28515625" style="836" customWidth="1"/>
    <col min="7944" max="7957" width="9.140625" style="836"/>
    <col min="7958" max="7958" width="11.42578125" style="836" customWidth="1"/>
    <col min="7959" max="8192" width="9.140625" style="836"/>
    <col min="8193" max="8193" width="11.42578125" style="836" customWidth="1"/>
    <col min="8194" max="8197" width="9.140625" style="836"/>
    <col min="8198" max="8198" width="11.140625" style="836" customWidth="1"/>
    <col min="8199" max="8199" width="10.28515625" style="836" customWidth="1"/>
    <col min="8200" max="8213" width="9.140625" style="836"/>
    <col min="8214" max="8214" width="11.42578125" style="836" customWidth="1"/>
    <col min="8215" max="8448" width="9.140625" style="836"/>
    <col min="8449" max="8449" width="11.42578125" style="836" customWidth="1"/>
    <col min="8450" max="8453" width="9.140625" style="836"/>
    <col min="8454" max="8454" width="11.140625" style="836" customWidth="1"/>
    <col min="8455" max="8455" width="10.28515625" style="836" customWidth="1"/>
    <col min="8456" max="8469" width="9.140625" style="836"/>
    <col min="8470" max="8470" width="11.42578125" style="836" customWidth="1"/>
    <col min="8471" max="8704" width="9.140625" style="836"/>
    <col min="8705" max="8705" width="11.42578125" style="836" customWidth="1"/>
    <col min="8706" max="8709" width="9.140625" style="836"/>
    <col min="8710" max="8710" width="11.140625" style="836" customWidth="1"/>
    <col min="8711" max="8711" width="10.28515625" style="836" customWidth="1"/>
    <col min="8712" max="8725" width="9.140625" style="836"/>
    <col min="8726" max="8726" width="11.42578125" style="836" customWidth="1"/>
    <col min="8727" max="8960" width="9.140625" style="836"/>
    <col min="8961" max="8961" width="11.42578125" style="836" customWidth="1"/>
    <col min="8962" max="8965" width="9.140625" style="836"/>
    <col min="8966" max="8966" width="11.140625" style="836" customWidth="1"/>
    <col min="8967" max="8967" width="10.28515625" style="836" customWidth="1"/>
    <col min="8968" max="8981" width="9.140625" style="836"/>
    <col min="8982" max="8982" width="11.42578125" style="836" customWidth="1"/>
    <col min="8983" max="9216" width="9.140625" style="836"/>
    <col min="9217" max="9217" width="11.42578125" style="836" customWidth="1"/>
    <col min="9218" max="9221" width="9.140625" style="836"/>
    <col min="9222" max="9222" width="11.140625" style="836" customWidth="1"/>
    <col min="9223" max="9223" width="10.28515625" style="836" customWidth="1"/>
    <col min="9224" max="9237" width="9.140625" style="836"/>
    <col min="9238" max="9238" width="11.42578125" style="836" customWidth="1"/>
    <col min="9239" max="9472" width="9.140625" style="836"/>
    <col min="9473" max="9473" width="11.42578125" style="836" customWidth="1"/>
    <col min="9474" max="9477" width="9.140625" style="836"/>
    <col min="9478" max="9478" width="11.140625" style="836" customWidth="1"/>
    <col min="9479" max="9479" width="10.28515625" style="836" customWidth="1"/>
    <col min="9480" max="9493" width="9.140625" style="836"/>
    <col min="9494" max="9494" width="11.42578125" style="836" customWidth="1"/>
    <col min="9495" max="9728" width="9.140625" style="836"/>
    <col min="9729" max="9729" width="11.42578125" style="836" customWidth="1"/>
    <col min="9730" max="9733" width="9.140625" style="836"/>
    <col min="9734" max="9734" width="11.140625" style="836" customWidth="1"/>
    <col min="9735" max="9735" width="10.28515625" style="836" customWidth="1"/>
    <col min="9736" max="9749" width="9.140625" style="836"/>
    <col min="9750" max="9750" width="11.42578125" style="836" customWidth="1"/>
    <col min="9751" max="9984" width="9.140625" style="836"/>
    <col min="9985" max="9985" width="11.42578125" style="836" customWidth="1"/>
    <col min="9986" max="9989" width="9.140625" style="836"/>
    <col min="9990" max="9990" width="11.140625" style="836" customWidth="1"/>
    <col min="9991" max="9991" width="10.28515625" style="836" customWidth="1"/>
    <col min="9992" max="10005" width="9.140625" style="836"/>
    <col min="10006" max="10006" width="11.42578125" style="836" customWidth="1"/>
    <col min="10007" max="10240" width="9.140625" style="836"/>
    <col min="10241" max="10241" width="11.42578125" style="836" customWidth="1"/>
    <col min="10242" max="10245" width="9.140625" style="836"/>
    <col min="10246" max="10246" width="11.140625" style="836" customWidth="1"/>
    <col min="10247" max="10247" width="10.28515625" style="836" customWidth="1"/>
    <col min="10248" max="10261" width="9.140625" style="836"/>
    <col min="10262" max="10262" width="11.42578125" style="836" customWidth="1"/>
    <col min="10263" max="10496" width="9.140625" style="836"/>
    <col min="10497" max="10497" width="11.42578125" style="836" customWidth="1"/>
    <col min="10498" max="10501" width="9.140625" style="836"/>
    <col min="10502" max="10502" width="11.140625" style="836" customWidth="1"/>
    <col min="10503" max="10503" width="10.28515625" style="836" customWidth="1"/>
    <col min="10504" max="10517" width="9.140625" style="836"/>
    <col min="10518" max="10518" width="11.42578125" style="836" customWidth="1"/>
    <col min="10519" max="10752" width="9.140625" style="836"/>
    <col min="10753" max="10753" width="11.42578125" style="836" customWidth="1"/>
    <col min="10754" max="10757" width="9.140625" style="836"/>
    <col min="10758" max="10758" width="11.140625" style="836" customWidth="1"/>
    <col min="10759" max="10759" width="10.28515625" style="836" customWidth="1"/>
    <col min="10760" max="10773" width="9.140625" style="836"/>
    <col min="10774" max="10774" width="11.42578125" style="836" customWidth="1"/>
    <col min="10775" max="11008" width="9.140625" style="836"/>
    <col min="11009" max="11009" width="11.42578125" style="836" customWidth="1"/>
    <col min="11010" max="11013" width="9.140625" style="836"/>
    <col min="11014" max="11014" width="11.140625" style="836" customWidth="1"/>
    <col min="11015" max="11015" width="10.28515625" style="836" customWidth="1"/>
    <col min="11016" max="11029" width="9.140625" style="836"/>
    <col min="11030" max="11030" width="11.42578125" style="836" customWidth="1"/>
    <col min="11031" max="11264" width="9.140625" style="836"/>
    <col min="11265" max="11265" width="11.42578125" style="836" customWidth="1"/>
    <col min="11266" max="11269" width="9.140625" style="836"/>
    <col min="11270" max="11270" width="11.140625" style="836" customWidth="1"/>
    <col min="11271" max="11271" width="10.28515625" style="836" customWidth="1"/>
    <col min="11272" max="11285" width="9.140625" style="836"/>
    <col min="11286" max="11286" width="11.42578125" style="836" customWidth="1"/>
    <col min="11287" max="11520" width="9.140625" style="836"/>
    <col min="11521" max="11521" width="11.42578125" style="836" customWidth="1"/>
    <col min="11522" max="11525" width="9.140625" style="836"/>
    <col min="11526" max="11526" width="11.140625" style="836" customWidth="1"/>
    <col min="11527" max="11527" width="10.28515625" style="836" customWidth="1"/>
    <col min="11528" max="11541" width="9.140625" style="836"/>
    <col min="11542" max="11542" width="11.42578125" style="836" customWidth="1"/>
    <col min="11543" max="11776" width="9.140625" style="836"/>
    <col min="11777" max="11777" width="11.42578125" style="836" customWidth="1"/>
    <col min="11778" max="11781" width="9.140625" style="836"/>
    <col min="11782" max="11782" width="11.140625" style="836" customWidth="1"/>
    <col min="11783" max="11783" width="10.28515625" style="836" customWidth="1"/>
    <col min="11784" max="11797" width="9.140625" style="836"/>
    <col min="11798" max="11798" width="11.42578125" style="836" customWidth="1"/>
    <col min="11799" max="12032" width="9.140625" style="836"/>
    <col min="12033" max="12033" width="11.42578125" style="836" customWidth="1"/>
    <col min="12034" max="12037" width="9.140625" style="836"/>
    <col min="12038" max="12038" width="11.140625" style="836" customWidth="1"/>
    <col min="12039" max="12039" width="10.28515625" style="836" customWidth="1"/>
    <col min="12040" max="12053" width="9.140625" style="836"/>
    <col min="12054" max="12054" width="11.42578125" style="836" customWidth="1"/>
    <col min="12055" max="12288" width="9.140625" style="836"/>
    <col min="12289" max="12289" width="11.42578125" style="836" customWidth="1"/>
    <col min="12290" max="12293" width="9.140625" style="836"/>
    <col min="12294" max="12294" width="11.140625" style="836" customWidth="1"/>
    <col min="12295" max="12295" width="10.28515625" style="836" customWidth="1"/>
    <col min="12296" max="12309" width="9.140625" style="836"/>
    <col min="12310" max="12310" width="11.42578125" style="836" customWidth="1"/>
    <col min="12311" max="12544" width="9.140625" style="836"/>
    <col min="12545" max="12545" width="11.42578125" style="836" customWidth="1"/>
    <col min="12546" max="12549" width="9.140625" style="836"/>
    <col min="12550" max="12550" width="11.140625" style="836" customWidth="1"/>
    <col min="12551" max="12551" width="10.28515625" style="836" customWidth="1"/>
    <col min="12552" max="12565" width="9.140625" style="836"/>
    <col min="12566" max="12566" width="11.42578125" style="836" customWidth="1"/>
    <col min="12567" max="12800" width="9.140625" style="836"/>
    <col min="12801" max="12801" width="11.42578125" style="836" customWidth="1"/>
    <col min="12802" max="12805" width="9.140625" style="836"/>
    <col min="12806" max="12806" width="11.140625" style="836" customWidth="1"/>
    <col min="12807" max="12807" width="10.28515625" style="836" customWidth="1"/>
    <col min="12808" max="12821" width="9.140625" style="836"/>
    <col min="12822" max="12822" width="11.42578125" style="836" customWidth="1"/>
    <col min="12823" max="13056" width="9.140625" style="836"/>
    <col min="13057" max="13057" width="11.42578125" style="836" customWidth="1"/>
    <col min="13058" max="13061" width="9.140625" style="836"/>
    <col min="13062" max="13062" width="11.140625" style="836" customWidth="1"/>
    <col min="13063" max="13063" width="10.28515625" style="836" customWidth="1"/>
    <col min="13064" max="13077" width="9.140625" style="836"/>
    <col min="13078" max="13078" width="11.42578125" style="836" customWidth="1"/>
    <col min="13079" max="13312" width="9.140625" style="836"/>
    <col min="13313" max="13313" width="11.42578125" style="836" customWidth="1"/>
    <col min="13314" max="13317" width="9.140625" style="836"/>
    <col min="13318" max="13318" width="11.140625" style="836" customWidth="1"/>
    <col min="13319" max="13319" width="10.28515625" style="836" customWidth="1"/>
    <col min="13320" max="13333" width="9.140625" style="836"/>
    <col min="13334" max="13334" width="11.42578125" style="836" customWidth="1"/>
    <col min="13335" max="13568" width="9.140625" style="836"/>
    <col min="13569" max="13569" width="11.42578125" style="836" customWidth="1"/>
    <col min="13570" max="13573" width="9.140625" style="836"/>
    <col min="13574" max="13574" width="11.140625" style="836" customWidth="1"/>
    <col min="13575" max="13575" width="10.28515625" style="836" customWidth="1"/>
    <col min="13576" max="13589" width="9.140625" style="836"/>
    <col min="13590" max="13590" width="11.42578125" style="836" customWidth="1"/>
    <col min="13591" max="13824" width="9.140625" style="836"/>
    <col min="13825" max="13825" width="11.42578125" style="836" customWidth="1"/>
    <col min="13826" max="13829" width="9.140625" style="836"/>
    <col min="13830" max="13830" width="11.140625" style="836" customWidth="1"/>
    <col min="13831" max="13831" width="10.28515625" style="836" customWidth="1"/>
    <col min="13832" max="13845" width="9.140625" style="836"/>
    <col min="13846" max="13846" width="11.42578125" style="836" customWidth="1"/>
    <col min="13847" max="14080" width="9.140625" style="836"/>
    <col min="14081" max="14081" width="11.42578125" style="836" customWidth="1"/>
    <col min="14082" max="14085" width="9.140625" style="836"/>
    <col min="14086" max="14086" width="11.140625" style="836" customWidth="1"/>
    <col min="14087" max="14087" width="10.28515625" style="836" customWidth="1"/>
    <col min="14088" max="14101" width="9.140625" style="836"/>
    <col min="14102" max="14102" width="11.42578125" style="836" customWidth="1"/>
    <col min="14103" max="14336" width="9.140625" style="836"/>
    <col min="14337" max="14337" width="11.42578125" style="836" customWidth="1"/>
    <col min="14338" max="14341" width="9.140625" style="836"/>
    <col min="14342" max="14342" width="11.140625" style="836" customWidth="1"/>
    <col min="14343" max="14343" width="10.28515625" style="836" customWidth="1"/>
    <col min="14344" max="14357" width="9.140625" style="836"/>
    <col min="14358" max="14358" width="11.42578125" style="836" customWidth="1"/>
    <col min="14359" max="14592" width="9.140625" style="836"/>
    <col min="14593" max="14593" width="11.42578125" style="836" customWidth="1"/>
    <col min="14594" max="14597" width="9.140625" style="836"/>
    <col min="14598" max="14598" width="11.140625" style="836" customWidth="1"/>
    <col min="14599" max="14599" width="10.28515625" style="836" customWidth="1"/>
    <col min="14600" max="14613" width="9.140625" style="836"/>
    <col min="14614" max="14614" width="11.42578125" style="836" customWidth="1"/>
    <col min="14615" max="14848" width="9.140625" style="836"/>
    <col min="14849" max="14849" width="11.42578125" style="836" customWidth="1"/>
    <col min="14850" max="14853" width="9.140625" style="836"/>
    <col min="14854" max="14854" width="11.140625" style="836" customWidth="1"/>
    <col min="14855" max="14855" width="10.28515625" style="836" customWidth="1"/>
    <col min="14856" max="14869" width="9.140625" style="836"/>
    <col min="14870" max="14870" width="11.42578125" style="836" customWidth="1"/>
    <col min="14871" max="15104" width="9.140625" style="836"/>
    <col min="15105" max="15105" width="11.42578125" style="836" customWidth="1"/>
    <col min="15106" max="15109" width="9.140625" style="836"/>
    <col min="15110" max="15110" width="11.140625" style="836" customWidth="1"/>
    <col min="15111" max="15111" width="10.28515625" style="836" customWidth="1"/>
    <col min="15112" max="15125" width="9.140625" style="836"/>
    <col min="15126" max="15126" width="11.42578125" style="836" customWidth="1"/>
    <col min="15127" max="15360" width="9.140625" style="836"/>
    <col min="15361" max="15361" width="11.42578125" style="836" customWidth="1"/>
    <col min="15362" max="15365" width="9.140625" style="836"/>
    <col min="15366" max="15366" width="11.140625" style="836" customWidth="1"/>
    <col min="15367" max="15367" width="10.28515625" style="836" customWidth="1"/>
    <col min="15368" max="15381" width="9.140625" style="836"/>
    <col min="15382" max="15382" width="11.42578125" style="836" customWidth="1"/>
    <col min="15383" max="15616" width="9.140625" style="836"/>
    <col min="15617" max="15617" width="11.42578125" style="836" customWidth="1"/>
    <col min="15618" max="15621" width="9.140625" style="836"/>
    <col min="15622" max="15622" width="11.140625" style="836" customWidth="1"/>
    <col min="15623" max="15623" width="10.28515625" style="836" customWidth="1"/>
    <col min="15624" max="15637" width="9.140625" style="836"/>
    <col min="15638" max="15638" width="11.42578125" style="836" customWidth="1"/>
    <col min="15639" max="15872" width="9.140625" style="836"/>
    <col min="15873" max="15873" width="11.42578125" style="836" customWidth="1"/>
    <col min="15874" max="15877" width="9.140625" style="836"/>
    <col min="15878" max="15878" width="11.140625" style="836" customWidth="1"/>
    <col min="15879" max="15879" width="10.28515625" style="836" customWidth="1"/>
    <col min="15880" max="15893" width="9.140625" style="836"/>
    <col min="15894" max="15894" width="11.42578125" style="836" customWidth="1"/>
    <col min="15895" max="16128" width="9.140625" style="836"/>
    <col min="16129" max="16129" width="11.42578125" style="836" customWidth="1"/>
    <col min="16130" max="16133" width="9.140625" style="836"/>
    <col min="16134" max="16134" width="11.140625" style="836" customWidth="1"/>
    <col min="16135" max="16135" width="10.28515625" style="836" customWidth="1"/>
    <col min="16136" max="16149" width="9.140625" style="836"/>
    <col min="16150" max="16150" width="11.42578125" style="836" customWidth="1"/>
    <col min="16151" max="16384" width="9.140625" style="836"/>
  </cols>
  <sheetData>
    <row r="1" spans="1:22" ht="66.75" thickBot="1" x14ac:dyDescent="0.3">
      <c r="A1" s="1226" t="s">
        <v>29</v>
      </c>
      <c r="B1" s="834" t="s">
        <v>1273</v>
      </c>
      <c r="C1" s="834" t="s">
        <v>1274</v>
      </c>
      <c r="D1" s="834" t="s">
        <v>1275</v>
      </c>
      <c r="E1" s="834" t="s">
        <v>1276</v>
      </c>
      <c r="F1" s="834" t="s">
        <v>1277</v>
      </c>
      <c r="G1" s="834" t="s">
        <v>1278</v>
      </c>
      <c r="H1" s="834" t="s">
        <v>1279</v>
      </c>
      <c r="I1" s="1226" t="s">
        <v>1280</v>
      </c>
      <c r="J1" s="1226" t="s">
        <v>1281</v>
      </c>
      <c r="K1" s="834" t="s">
        <v>1282</v>
      </c>
      <c r="L1" s="834" t="s">
        <v>1283</v>
      </c>
      <c r="M1" s="834" t="s">
        <v>1284</v>
      </c>
      <c r="N1" s="834" t="s">
        <v>1285</v>
      </c>
      <c r="O1" s="1229" t="s">
        <v>1286</v>
      </c>
      <c r="P1" s="1230"/>
      <c r="Q1" s="1230"/>
      <c r="R1" s="1230"/>
      <c r="S1" s="1230"/>
      <c r="T1" s="1231"/>
      <c r="U1" s="835" t="s">
        <v>1287</v>
      </c>
      <c r="V1" s="1226" t="s">
        <v>29</v>
      </c>
    </row>
    <row r="2" spans="1:22" ht="20.25" x14ac:dyDescent="0.35">
      <c r="A2" s="1227"/>
      <c r="B2" s="837" t="s">
        <v>656</v>
      </c>
      <c r="C2" s="838" t="s">
        <v>1288</v>
      </c>
      <c r="D2" s="837" t="s">
        <v>1289</v>
      </c>
      <c r="E2" s="837" t="s">
        <v>652</v>
      </c>
      <c r="F2" s="837" t="s">
        <v>1289</v>
      </c>
      <c r="G2" s="837" t="s">
        <v>1289</v>
      </c>
      <c r="H2" s="839" t="s">
        <v>1290</v>
      </c>
      <c r="I2" s="1227"/>
      <c r="J2" s="1227"/>
      <c r="K2" s="839" t="s">
        <v>1290</v>
      </c>
      <c r="L2" s="837" t="s">
        <v>1291</v>
      </c>
      <c r="M2" s="839" t="s">
        <v>1292</v>
      </c>
      <c r="N2" s="837" t="s">
        <v>1293</v>
      </c>
      <c r="O2" s="840" t="s">
        <v>1294</v>
      </c>
      <c r="P2" s="841" t="s">
        <v>1295</v>
      </c>
      <c r="Q2" s="841" t="s">
        <v>1296</v>
      </c>
      <c r="R2" s="841" t="s">
        <v>487</v>
      </c>
      <c r="S2" s="841" t="s">
        <v>1297</v>
      </c>
      <c r="T2" s="841" t="s">
        <v>1298</v>
      </c>
      <c r="U2" s="841" t="s">
        <v>652</v>
      </c>
      <c r="V2" s="1227"/>
    </row>
    <row r="3" spans="1:22" ht="15" customHeight="1" thickBot="1" x14ac:dyDescent="0.3">
      <c r="A3" s="1228"/>
      <c r="B3" s="842"/>
      <c r="C3" s="842"/>
      <c r="D3" s="842"/>
      <c r="E3" s="842"/>
      <c r="F3" s="842"/>
      <c r="G3" s="842"/>
      <c r="H3" s="843"/>
      <c r="I3" s="1228"/>
      <c r="J3" s="1228"/>
      <c r="K3" s="842"/>
      <c r="L3" s="842"/>
      <c r="M3" s="842"/>
      <c r="N3" s="842"/>
      <c r="O3" s="844" t="s">
        <v>652</v>
      </c>
      <c r="P3" s="845" t="s">
        <v>652</v>
      </c>
      <c r="Q3" s="845" t="s">
        <v>652</v>
      </c>
      <c r="R3" s="845" t="s">
        <v>652</v>
      </c>
      <c r="S3" s="845" t="s">
        <v>652</v>
      </c>
      <c r="T3" s="845" t="s">
        <v>1299</v>
      </c>
      <c r="U3" s="846"/>
      <c r="V3" s="1228"/>
    </row>
    <row r="4" spans="1:22" ht="15" customHeight="1" x14ac:dyDescent="0.25">
      <c r="A4" s="847"/>
      <c r="B4" s="848"/>
      <c r="C4" s="848"/>
      <c r="D4" s="848"/>
      <c r="E4" s="848"/>
      <c r="F4" s="848"/>
      <c r="G4" s="848"/>
      <c r="H4" s="849"/>
      <c r="I4" s="848"/>
      <c r="J4" s="848"/>
      <c r="K4" s="848"/>
      <c r="L4" s="848"/>
      <c r="M4" s="848"/>
      <c r="N4" s="848"/>
      <c r="O4" s="850"/>
      <c r="P4" s="850"/>
      <c r="Q4" s="850"/>
      <c r="R4" s="850"/>
      <c r="S4" s="850"/>
      <c r="T4" s="850"/>
      <c r="U4" s="851"/>
      <c r="V4" s="852"/>
    </row>
    <row r="5" spans="1:22" x14ac:dyDescent="0.2">
      <c r="A5" s="853" t="s">
        <v>831</v>
      </c>
      <c r="B5" s="854">
        <v>6.8</v>
      </c>
      <c r="C5" s="854">
        <v>8.67</v>
      </c>
      <c r="D5" s="854">
        <v>75</v>
      </c>
      <c r="E5" s="854">
        <v>40</v>
      </c>
      <c r="F5" s="854">
        <v>7.3</v>
      </c>
      <c r="G5" s="854">
        <v>4.4000000000000004</v>
      </c>
      <c r="H5" s="854">
        <v>1.31</v>
      </c>
      <c r="I5" s="854">
        <v>76</v>
      </c>
      <c r="J5" s="854">
        <v>12.6</v>
      </c>
      <c r="K5" s="854">
        <v>2.96</v>
      </c>
      <c r="L5" s="854">
        <v>1.21</v>
      </c>
      <c r="M5" s="854">
        <v>20.3</v>
      </c>
      <c r="N5" s="854">
        <v>4.7</v>
      </c>
      <c r="O5" s="854">
        <v>41.4</v>
      </c>
      <c r="P5" s="854">
        <v>16.8</v>
      </c>
      <c r="Q5" s="854">
        <v>17.8</v>
      </c>
      <c r="R5" s="854">
        <v>5.9</v>
      </c>
      <c r="S5" s="854">
        <v>21</v>
      </c>
      <c r="T5" s="854">
        <v>50</v>
      </c>
      <c r="U5" s="854">
        <v>12</v>
      </c>
      <c r="V5" s="855" t="s">
        <v>831</v>
      </c>
    </row>
    <row r="6" spans="1:22" x14ac:dyDescent="0.2">
      <c r="A6" s="853" t="s">
        <v>832</v>
      </c>
      <c r="B6" s="854">
        <v>9.1999999999999993</v>
      </c>
      <c r="C6" s="854">
        <v>11.7</v>
      </c>
      <c r="D6" s="854">
        <v>100</v>
      </c>
      <c r="E6" s="854">
        <v>50</v>
      </c>
      <c r="F6" s="854">
        <v>7.5</v>
      </c>
      <c r="G6" s="854">
        <v>4.7</v>
      </c>
      <c r="H6" s="854">
        <v>1.53</v>
      </c>
      <c r="I6" s="854">
        <v>186.7</v>
      </c>
      <c r="J6" s="854">
        <v>25.9</v>
      </c>
      <c r="K6" s="854">
        <v>4</v>
      </c>
      <c r="L6" s="854">
        <v>1.49</v>
      </c>
      <c r="M6" s="854">
        <v>37.299999999999997</v>
      </c>
      <c r="N6" s="854">
        <v>7.5</v>
      </c>
      <c r="O6" s="854">
        <v>64</v>
      </c>
      <c r="P6" s="854">
        <v>18</v>
      </c>
      <c r="Q6" s="854">
        <v>22.7</v>
      </c>
      <c r="R6" s="854">
        <v>6.2</v>
      </c>
      <c r="S6" s="854">
        <v>28</v>
      </c>
      <c r="T6" s="854">
        <v>50</v>
      </c>
      <c r="U6" s="854">
        <v>16</v>
      </c>
      <c r="V6" s="855" t="s">
        <v>832</v>
      </c>
    </row>
    <row r="7" spans="1:22" x14ac:dyDescent="0.2">
      <c r="A7" s="853" t="s">
        <v>833</v>
      </c>
      <c r="B7" s="854">
        <v>12.7</v>
      </c>
      <c r="C7" s="854">
        <v>16.190000000000001</v>
      </c>
      <c r="D7" s="854">
        <v>125</v>
      </c>
      <c r="E7" s="854">
        <v>65</v>
      </c>
      <c r="F7" s="854">
        <v>8.1</v>
      </c>
      <c r="G7" s="854">
        <v>5</v>
      </c>
      <c r="H7" s="854">
        <v>1.94</v>
      </c>
      <c r="I7" s="854">
        <v>416.4</v>
      </c>
      <c r="J7" s="854">
        <v>59.9</v>
      </c>
      <c r="K7" s="854">
        <v>5.07</v>
      </c>
      <c r="L7" s="854">
        <v>1.92</v>
      </c>
      <c r="M7" s="854">
        <v>66.599999999999994</v>
      </c>
      <c r="N7" s="854">
        <v>13.1</v>
      </c>
      <c r="O7" s="854">
        <v>85.4</v>
      </c>
      <c r="P7" s="854">
        <v>19.8</v>
      </c>
      <c r="Q7" s="854">
        <v>30</v>
      </c>
      <c r="R7" s="854">
        <v>6.5</v>
      </c>
      <c r="S7" s="854">
        <v>35</v>
      </c>
      <c r="T7" s="854">
        <v>55</v>
      </c>
      <c r="U7" s="854">
        <v>22</v>
      </c>
      <c r="V7" s="855" t="s">
        <v>833</v>
      </c>
    </row>
    <row r="8" spans="1:22" x14ac:dyDescent="0.2">
      <c r="A8" s="853" t="s">
        <v>834</v>
      </c>
      <c r="B8" s="854">
        <v>16.399999999999999</v>
      </c>
      <c r="C8" s="854">
        <v>20.88</v>
      </c>
      <c r="D8" s="854">
        <v>150</v>
      </c>
      <c r="E8" s="854">
        <v>75</v>
      </c>
      <c r="F8" s="854">
        <v>9</v>
      </c>
      <c r="G8" s="854">
        <v>5.4</v>
      </c>
      <c r="H8" s="854">
        <v>2.2200000000000002</v>
      </c>
      <c r="I8" s="854">
        <v>779.4</v>
      </c>
      <c r="J8" s="854">
        <v>102.3</v>
      </c>
      <c r="K8" s="854">
        <v>6.11</v>
      </c>
      <c r="L8" s="854">
        <v>2.21</v>
      </c>
      <c r="M8" s="854">
        <v>103.9</v>
      </c>
      <c r="N8" s="854">
        <v>19.399999999999999</v>
      </c>
      <c r="O8" s="854">
        <v>106.7</v>
      </c>
      <c r="P8" s="854">
        <v>21.7</v>
      </c>
      <c r="Q8" s="854">
        <v>34.799999999999997</v>
      </c>
      <c r="R8" s="854">
        <v>6.9</v>
      </c>
      <c r="S8" s="854">
        <v>40</v>
      </c>
      <c r="T8" s="854">
        <v>55</v>
      </c>
      <c r="U8" s="854">
        <v>25</v>
      </c>
      <c r="V8" s="855" t="s">
        <v>834</v>
      </c>
    </row>
    <row r="9" spans="1:22" x14ac:dyDescent="0.2">
      <c r="A9" s="853" t="s">
        <v>835</v>
      </c>
      <c r="B9" s="854">
        <v>19.100000000000001</v>
      </c>
      <c r="C9" s="854">
        <v>24.38</v>
      </c>
      <c r="D9" s="854">
        <v>175</v>
      </c>
      <c r="E9" s="854">
        <v>75</v>
      </c>
      <c r="F9" s="854">
        <v>10.199999999999999</v>
      </c>
      <c r="G9" s="854">
        <v>5.7</v>
      </c>
      <c r="H9" s="854">
        <v>2.2000000000000002</v>
      </c>
      <c r="I9" s="854">
        <v>1223.3</v>
      </c>
      <c r="J9" s="854">
        <v>121</v>
      </c>
      <c r="K9" s="854">
        <v>7.08</v>
      </c>
      <c r="L9" s="854">
        <v>2.23</v>
      </c>
      <c r="M9" s="854">
        <v>139.80000000000001</v>
      </c>
      <c r="N9" s="854">
        <v>22.8</v>
      </c>
      <c r="O9" s="854">
        <v>128.4</v>
      </c>
      <c r="P9" s="854">
        <v>23.3</v>
      </c>
      <c r="Q9" s="854">
        <v>34.700000000000003</v>
      </c>
      <c r="R9" s="854">
        <v>7.2</v>
      </c>
      <c r="S9" s="854">
        <v>40</v>
      </c>
      <c r="T9" s="854">
        <v>55</v>
      </c>
      <c r="U9" s="854">
        <v>25</v>
      </c>
      <c r="V9" s="855" t="s">
        <v>835</v>
      </c>
    </row>
    <row r="10" spans="1:22" x14ac:dyDescent="0.2">
      <c r="A10" s="853" t="s">
        <v>836</v>
      </c>
      <c r="B10" s="854">
        <v>22.1</v>
      </c>
      <c r="C10" s="854">
        <v>28.21</v>
      </c>
      <c r="D10" s="854">
        <v>200</v>
      </c>
      <c r="E10" s="854">
        <v>75</v>
      </c>
      <c r="F10" s="854">
        <v>11.4</v>
      </c>
      <c r="G10" s="854">
        <v>6.1</v>
      </c>
      <c r="H10" s="854">
        <v>2.17</v>
      </c>
      <c r="I10" s="854">
        <v>1819.3</v>
      </c>
      <c r="J10" s="854">
        <v>140.4</v>
      </c>
      <c r="K10" s="854">
        <v>8.0299999999999994</v>
      </c>
      <c r="L10" s="854">
        <v>2.23</v>
      </c>
      <c r="M10" s="854">
        <v>181.9</v>
      </c>
      <c r="N10" s="854">
        <v>26.3</v>
      </c>
      <c r="O10" s="854">
        <v>150.19999999999999</v>
      </c>
      <c r="P10" s="854">
        <v>24.9</v>
      </c>
      <c r="Q10" s="854">
        <v>34.5</v>
      </c>
      <c r="R10" s="854">
        <v>7.6</v>
      </c>
      <c r="S10" s="854">
        <v>40</v>
      </c>
      <c r="T10" s="854">
        <v>60</v>
      </c>
      <c r="U10" s="854">
        <v>25</v>
      </c>
      <c r="V10" s="855" t="s">
        <v>836</v>
      </c>
    </row>
    <row r="11" spans="1:22" x14ac:dyDescent="0.2">
      <c r="A11" s="853" t="s">
        <v>837</v>
      </c>
      <c r="B11" s="854">
        <v>25.9</v>
      </c>
      <c r="C11" s="854">
        <v>33.01</v>
      </c>
      <c r="D11" s="854">
        <v>225</v>
      </c>
      <c r="E11" s="854">
        <v>80</v>
      </c>
      <c r="F11" s="854">
        <v>12.4</v>
      </c>
      <c r="G11" s="854">
        <v>6.4</v>
      </c>
      <c r="H11" s="854">
        <v>2.2999999999999998</v>
      </c>
      <c r="I11" s="854">
        <v>2694.6</v>
      </c>
      <c r="J11" s="854">
        <v>187.2</v>
      </c>
      <c r="K11" s="854">
        <v>9.0299999999999994</v>
      </c>
      <c r="L11" s="854">
        <v>2.38</v>
      </c>
      <c r="M11" s="854">
        <v>239.5</v>
      </c>
      <c r="N11" s="854">
        <v>32.799999999999997</v>
      </c>
      <c r="O11" s="854">
        <v>170.9</v>
      </c>
      <c r="P11" s="854">
        <v>27.1</v>
      </c>
      <c r="Q11" s="854">
        <v>36.799999999999997</v>
      </c>
      <c r="R11" s="854">
        <v>7.9</v>
      </c>
      <c r="S11" s="854">
        <v>45</v>
      </c>
      <c r="T11" s="854">
        <v>60</v>
      </c>
      <c r="U11" s="854">
        <v>25</v>
      </c>
      <c r="V11" s="855" t="s">
        <v>837</v>
      </c>
    </row>
    <row r="12" spans="1:22" x14ac:dyDescent="0.2">
      <c r="A12" s="853" t="s">
        <v>838</v>
      </c>
      <c r="B12" s="854">
        <v>30.4</v>
      </c>
      <c r="C12" s="854">
        <v>38.67</v>
      </c>
      <c r="D12" s="854">
        <v>250</v>
      </c>
      <c r="E12" s="854">
        <v>80</v>
      </c>
      <c r="F12" s="854">
        <v>14.1</v>
      </c>
      <c r="G12" s="854">
        <v>7.1</v>
      </c>
      <c r="H12" s="854">
        <v>2.2999999999999998</v>
      </c>
      <c r="I12" s="854">
        <v>3816.8</v>
      </c>
      <c r="J12" s="854">
        <v>219.1</v>
      </c>
      <c r="K12" s="854">
        <v>9.94</v>
      </c>
      <c r="L12" s="854">
        <v>2.38</v>
      </c>
      <c r="M12" s="854">
        <v>305.3</v>
      </c>
      <c r="N12" s="854">
        <v>38.4</v>
      </c>
      <c r="O12" s="854">
        <v>192.5</v>
      </c>
      <c r="P12" s="854">
        <v>28.7</v>
      </c>
      <c r="Q12" s="854">
        <v>36.5</v>
      </c>
      <c r="R12" s="854">
        <v>8.6</v>
      </c>
      <c r="S12" s="854">
        <v>45</v>
      </c>
      <c r="T12" s="854">
        <v>65</v>
      </c>
      <c r="U12" s="854">
        <v>25</v>
      </c>
      <c r="V12" s="855" t="s">
        <v>838</v>
      </c>
    </row>
    <row r="13" spans="1:22" x14ac:dyDescent="0.2">
      <c r="A13" s="853" t="s">
        <v>839</v>
      </c>
      <c r="B13" s="854">
        <v>35.799999999999997</v>
      </c>
      <c r="C13" s="854">
        <v>45.64</v>
      </c>
      <c r="D13" s="854">
        <v>300</v>
      </c>
      <c r="E13" s="854">
        <v>90</v>
      </c>
      <c r="F13" s="854">
        <v>13.6</v>
      </c>
      <c r="G13" s="854">
        <v>7.6</v>
      </c>
      <c r="H13" s="854">
        <v>2.36</v>
      </c>
      <c r="I13" s="854">
        <v>6362.8</v>
      </c>
      <c r="J13" s="854">
        <v>310.8</v>
      </c>
      <c r="K13" s="854">
        <v>11.81</v>
      </c>
      <c r="L13" s="854">
        <v>2.61</v>
      </c>
      <c r="M13" s="854">
        <v>424.2</v>
      </c>
      <c r="N13" s="854">
        <v>46.8</v>
      </c>
      <c r="O13" s="854">
        <v>240.7</v>
      </c>
      <c r="P13" s="854">
        <v>29.6</v>
      </c>
      <c r="Q13" s="854">
        <v>41.2</v>
      </c>
      <c r="R13" s="854">
        <v>9.1</v>
      </c>
      <c r="S13" s="854">
        <v>50</v>
      </c>
      <c r="T13" s="854">
        <v>65</v>
      </c>
      <c r="U13" s="854">
        <v>28</v>
      </c>
      <c r="V13" s="855" t="s">
        <v>839</v>
      </c>
    </row>
    <row r="14" spans="1:22" x14ac:dyDescent="0.2">
      <c r="A14" s="853" t="s">
        <v>840</v>
      </c>
      <c r="B14" s="854">
        <v>42.1</v>
      </c>
      <c r="C14" s="854">
        <v>53.66</v>
      </c>
      <c r="D14" s="854">
        <v>350</v>
      </c>
      <c r="E14" s="854">
        <v>100</v>
      </c>
      <c r="F14" s="854">
        <v>13.5</v>
      </c>
      <c r="G14" s="854">
        <v>8.1</v>
      </c>
      <c r="H14" s="854">
        <v>2.44</v>
      </c>
      <c r="I14" s="854">
        <v>10008</v>
      </c>
      <c r="J14" s="854">
        <v>430.6</v>
      </c>
      <c r="K14" s="854">
        <v>13.66</v>
      </c>
      <c r="L14" s="854">
        <v>2.83</v>
      </c>
      <c r="M14" s="854">
        <v>571.9</v>
      </c>
      <c r="N14" s="854">
        <v>51</v>
      </c>
      <c r="O14" s="854">
        <v>288.10000000000002</v>
      </c>
      <c r="P14" s="854">
        <v>30.9</v>
      </c>
      <c r="Q14" s="854">
        <v>46</v>
      </c>
      <c r="R14" s="854">
        <v>9.6</v>
      </c>
      <c r="S14" s="854">
        <v>60</v>
      </c>
      <c r="T14" s="854">
        <v>65</v>
      </c>
      <c r="U14" s="854">
        <v>28</v>
      </c>
      <c r="V14" s="855" t="s">
        <v>840</v>
      </c>
    </row>
    <row r="15" spans="1:22" ht="13.5" thickBot="1" x14ac:dyDescent="0.25">
      <c r="A15" s="856" t="s">
        <v>841</v>
      </c>
      <c r="B15" s="857">
        <v>49.4</v>
      </c>
      <c r="C15" s="857">
        <v>62.93</v>
      </c>
      <c r="D15" s="857">
        <v>400</v>
      </c>
      <c r="E15" s="857">
        <v>100</v>
      </c>
      <c r="F15" s="857">
        <v>15.3</v>
      </c>
      <c r="G15" s="857">
        <v>8.6</v>
      </c>
      <c r="H15" s="857">
        <v>2.42</v>
      </c>
      <c r="I15" s="857">
        <v>15082.8</v>
      </c>
      <c r="J15" s="857">
        <v>504.8</v>
      </c>
      <c r="K15" s="857">
        <v>15.48</v>
      </c>
      <c r="L15" s="857">
        <v>2.83</v>
      </c>
      <c r="M15" s="857">
        <v>754.1</v>
      </c>
      <c r="N15" s="857">
        <v>66.599999999999994</v>
      </c>
      <c r="O15" s="857">
        <v>332.8</v>
      </c>
      <c r="P15" s="857">
        <v>33.6</v>
      </c>
      <c r="Q15" s="857">
        <v>45.7</v>
      </c>
      <c r="R15" s="857">
        <v>10.1</v>
      </c>
      <c r="S15" s="857">
        <v>60</v>
      </c>
      <c r="T15" s="857">
        <v>70</v>
      </c>
      <c r="U15" s="857">
        <v>28</v>
      </c>
      <c r="V15" s="858" t="s">
        <v>841</v>
      </c>
    </row>
    <row r="16" spans="1:22" x14ac:dyDescent="0.2">
      <c r="J16" s="861"/>
    </row>
    <row r="18" spans="3:16" x14ac:dyDescent="0.2">
      <c r="O18" s="950">
        <f>0.136-SecProp!I13+'Wheel Design'!C132+'Wheel Design'!C32+'Embedded Parts'!C21/1000</f>
        <v>0.21400000000000002</v>
      </c>
      <c r="P18" s="836" t="str">
        <f>IF(RIGHT(A5,3)/1000&gt;$O$18,A5,"")</f>
        <v/>
      </c>
    </row>
    <row r="19" spans="3:16" x14ac:dyDescent="0.2">
      <c r="C19" s="836">
        <f>Lsup-Summary!D5+'Wheel Design'!C132+'Wheel Design'!C32</f>
        <v>0.48199999999999993</v>
      </c>
      <c r="D19" s="836">
        <f>(RIGHT(A5,3)/100+'Embedded Parts'!$C$26/1000)</f>
        <v>0.8</v>
      </c>
      <c r="E19" s="836" t="str">
        <f>IF(D19&gt;$C$19,A5,"")</f>
        <v>ISMC 75</v>
      </c>
      <c r="F19" s="836" t="str">
        <f>IF($C$21&lt;RIGHT(A5,3)/100,A5,"")</f>
        <v/>
      </c>
      <c r="P19" s="836" t="str">
        <f t="shared" ref="P19:P28" si="0">IF(RIGHT(A6,3)/1000&gt;$O$18,A6,"")</f>
        <v/>
      </c>
    </row>
    <row r="20" spans="3:16" x14ac:dyDescent="0.2">
      <c r="D20" s="836">
        <f>(RIGHT(A6,3)/100+'Embedded Parts'!$C$26/1000)</f>
        <v>1.05</v>
      </c>
      <c r="E20" s="836" t="str">
        <f t="shared" ref="E20:E29" si="1">IF(D20&gt;$C$19,A6,"")</f>
        <v>ISMC 100</v>
      </c>
      <c r="F20" s="836" t="str">
        <f t="shared" ref="F20:F29" si="2">IF($C$21&lt;RIGHT(A6,3)/100,A6,"")</f>
        <v/>
      </c>
      <c r="J20" s="836" t="str">
        <f>IF(RIGHT(A5,3)/1&lt;=$K$21,A5,"")</f>
        <v>ISMC 75</v>
      </c>
      <c r="K20" s="836">
        <f>'Embedded Parts'!D32</f>
        <v>300</v>
      </c>
      <c r="P20" s="836" t="str">
        <f t="shared" si="0"/>
        <v/>
      </c>
    </row>
    <row r="21" spans="3:16" x14ac:dyDescent="0.2">
      <c r="C21" s="836">
        <f>RIGHT('Embedded Parts'!C29,3)/100+'Embedded Parts'!C26/1000</f>
        <v>2.5499999999999998</v>
      </c>
      <c r="D21" s="836">
        <f>(RIGHT(A7,3)/100+'Embedded Parts'!$C$26/1000)</f>
        <v>1.3</v>
      </c>
      <c r="E21" s="836" t="str">
        <f t="shared" si="1"/>
        <v>ISMC 125</v>
      </c>
      <c r="F21" s="836" t="str">
        <f t="shared" si="2"/>
        <v/>
      </c>
      <c r="J21" s="836" t="str">
        <f t="shared" ref="J21:J30" si="3">IF(RIGHT(A6,3)/1&lt;=$K$21,A6,"")</f>
        <v>ISMC 100</v>
      </c>
      <c r="K21" s="836">
        <f>'Embedded Parts'!D32-IF('Embedded Parts'!C26&lt;50,50,'Embedded Parts'!C26)</f>
        <v>250</v>
      </c>
      <c r="P21" s="836" t="str">
        <f t="shared" si="0"/>
        <v/>
      </c>
    </row>
    <row r="22" spans="3:16" x14ac:dyDescent="0.2">
      <c r="D22" s="836">
        <f>(RIGHT(A8,3)/100+'Embedded Parts'!$C$26/1000)</f>
        <v>1.55</v>
      </c>
      <c r="E22" s="836" t="str">
        <f t="shared" si="1"/>
        <v>ISMC 150</v>
      </c>
      <c r="F22" s="836" t="str">
        <f t="shared" si="2"/>
        <v/>
      </c>
      <c r="J22" s="836" t="str">
        <f t="shared" si="3"/>
        <v>ISMC 125</v>
      </c>
      <c r="P22" s="836" t="str">
        <f t="shared" si="0"/>
        <v/>
      </c>
    </row>
    <row r="23" spans="3:16" x14ac:dyDescent="0.2">
      <c r="D23" s="836">
        <f>(RIGHT(A9,3)/100+'Embedded Parts'!$C$26/1000)</f>
        <v>1.8</v>
      </c>
      <c r="E23" s="836" t="str">
        <f t="shared" si="1"/>
        <v>ISMC 175</v>
      </c>
      <c r="F23" s="836" t="str">
        <f t="shared" si="2"/>
        <v/>
      </c>
      <c r="J23" s="836" t="str">
        <f t="shared" si="3"/>
        <v>ISMC 150</v>
      </c>
      <c r="P23" s="836" t="str">
        <f t="shared" si="0"/>
        <v/>
      </c>
    </row>
    <row r="24" spans="3:16" x14ac:dyDescent="0.2">
      <c r="D24" s="836">
        <f>(RIGHT(A10,3)/100+'Embedded Parts'!$C$26/1000)</f>
        <v>2.0499999999999998</v>
      </c>
      <c r="E24" s="836" t="str">
        <f t="shared" si="1"/>
        <v>ISMC 200</v>
      </c>
      <c r="F24" s="836" t="str">
        <f t="shared" si="2"/>
        <v/>
      </c>
      <c r="J24" s="836" t="str">
        <f t="shared" si="3"/>
        <v>ISMC 175</v>
      </c>
      <c r="P24" s="836" t="str">
        <f t="shared" si="0"/>
        <v>ISMC 225</v>
      </c>
    </row>
    <row r="25" spans="3:16" x14ac:dyDescent="0.2">
      <c r="D25" s="836">
        <f>(RIGHT(A11,3)/100+'Embedded Parts'!$C$26/1000)</f>
        <v>2.2999999999999998</v>
      </c>
      <c r="E25" s="836" t="str">
        <f t="shared" si="1"/>
        <v>ISMC 225</v>
      </c>
      <c r="F25" s="836" t="str">
        <f t="shared" si="2"/>
        <v/>
      </c>
      <c r="J25" s="836" t="str">
        <f t="shared" si="3"/>
        <v>ISMC 200</v>
      </c>
      <c r="P25" s="836" t="str">
        <f t="shared" si="0"/>
        <v>ISMC 250</v>
      </c>
    </row>
    <row r="26" spans="3:16" x14ac:dyDescent="0.2">
      <c r="D26" s="836">
        <f>(RIGHT(A12,3)/100+'Embedded Parts'!$C$26/1000)</f>
        <v>2.5499999999999998</v>
      </c>
      <c r="E26" s="836" t="str">
        <f t="shared" si="1"/>
        <v>ISMC 250</v>
      </c>
      <c r="F26" s="836" t="str">
        <f t="shared" si="2"/>
        <v/>
      </c>
      <c r="J26" s="836" t="str">
        <f t="shared" si="3"/>
        <v>ISMC 225</v>
      </c>
      <c r="L26" s="836" t="str">
        <f>RIGHT(A5,3)</f>
        <v xml:space="preserve"> 75</v>
      </c>
      <c r="P26" s="836" t="str">
        <f t="shared" si="0"/>
        <v>ISMC 300</v>
      </c>
    </row>
    <row r="27" spans="3:16" x14ac:dyDescent="0.2">
      <c r="D27" s="836">
        <f>(RIGHT(A13,3)/100+'Embedded Parts'!$C$26/1000)</f>
        <v>3.05</v>
      </c>
      <c r="E27" s="836" t="str">
        <f t="shared" si="1"/>
        <v>ISMC 300</v>
      </c>
      <c r="F27" s="836" t="str">
        <f t="shared" si="2"/>
        <v>ISMC 300</v>
      </c>
      <c r="J27" s="836" t="str">
        <f t="shared" si="3"/>
        <v>ISMC 250</v>
      </c>
      <c r="L27" s="836" t="str">
        <f>IF(L26/1&lt;K21,A5,"")</f>
        <v>ISMC 75</v>
      </c>
      <c r="P27" s="836" t="str">
        <f t="shared" si="0"/>
        <v>ISMC 350</v>
      </c>
    </row>
    <row r="28" spans="3:16" x14ac:dyDescent="0.2">
      <c r="D28" s="836">
        <f>(RIGHT(A14,3)/100+'Embedded Parts'!$C$26/1000)</f>
        <v>3.55</v>
      </c>
      <c r="E28" s="836" t="str">
        <f t="shared" si="1"/>
        <v>ISMC 350</v>
      </c>
      <c r="F28" s="836" t="str">
        <f t="shared" si="2"/>
        <v>ISMC 350</v>
      </c>
      <c r="J28" s="836" t="str">
        <f t="shared" si="3"/>
        <v/>
      </c>
      <c r="P28" s="836" t="str">
        <f t="shared" si="0"/>
        <v>ISMC 400</v>
      </c>
    </row>
    <row r="29" spans="3:16" x14ac:dyDescent="0.2">
      <c r="D29" s="836">
        <f>(RIGHT(A15,3)/100+'Embedded Parts'!$C$26/1000)</f>
        <v>4.05</v>
      </c>
      <c r="E29" s="836" t="str">
        <f t="shared" si="1"/>
        <v>ISMC 400</v>
      </c>
      <c r="F29" s="836" t="str">
        <f t="shared" si="2"/>
        <v>ISMC 400</v>
      </c>
      <c r="J29" s="836" t="str">
        <f t="shared" si="3"/>
        <v/>
      </c>
    </row>
    <row r="30" spans="3:16" x14ac:dyDescent="0.2">
      <c r="J30" s="836" t="str">
        <f t="shared" si="3"/>
        <v/>
      </c>
    </row>
  </sheetData>
  <mergeCells count="5">
    <mergeCell ref="A1:A3"/>
    <mergeCell ref="I1:I3"/>
    <mergeCell ref="J1:J3"/>
    <mergeCell ref="O1:T1"/>
    <mergeCell ref="V1:V3"/>
  </mergeCells>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3"/>
  <sheetViews>
    <sheetView workbookViewId="0">
      <selection activeCell="P6" sqref="P6:P19"/>
    </sheetView>
  </sheetViews>
  <sheetFormatPr defaultRowHeight="12.75" x14ac:dyDescent="0.2"/>
  <cols>
    <col min="1" max="1" width="12" style="836" customWidth="1"/>
    <col min="2" max="2" width="10.28515625" style="836" customWidth="1"/>
    <col min="3" max="5" width="9.140625" style="836"/>
    <col min="6" max="7" width="9.7109375" style="836" customWidth="1"/>
    <col min="8" max="256" width="9.140625" style="836"/>
    <col min="257" max="257" width="12" style="836" customWidth="1"/>
    <col min="258" max="258" width="10.28515625" style="836" customWidth="1"/>
    <col min="259" max="261" width="9.140625" style="836"/>
    <col min="262" max="263" width="9.7109375" style="836" customWidth="1"/>
    <col min="264" max="512" width="9.140625" style="836"/>
    <col min="513" max="513" width="12" style="836" customWidth="1"/>
    <col min="514" max="514" width="10.28515625" style="836" customWidth="1"/>
    <col min="515" max="517" width="9.140625" style="836"/>
    <col min="518" max="519" width="9.7109375" style="836" customWidth="1"/>
    <col min="520" max="768" width="9.140625" style="836"/>
    <col min="769" max="769" width="12" style="836" customWidth="1"/>
    <col min="770" max="770" width="10.28515625" style="836" customWidth="1"/>
    <col min="771" max="773" width="9.140625" style="836"/>
    <col min="774" max="775" width="9.7109375" style="836" customWidth="1"/>
    <col min="776" max="1024" width="9.140625" style="836"/>
    <col min="1025" max="1025" width="12" style="836" customWidth="1"/>
    <col min="1026" max="1026" width="10.28515625" style="836" customWidth="1"/>
    <col min="1027" max="1029" width="9.140625" style="836"/>
    <col min="1030" max="1031" width="9.7109375" style="836" customWidth="1"/>
    <col min="1032" max="1280" width="9.140625" style="836"/>
    <col min="1281" max="1281" width="12" style="836" customWidth="1"/>
    <col min="1282" max="1282" width="10.28515625" style="836" customWidth="1"/>
    <col min="1283" max="1285" width="9.140625" style="836"/>
    <col min="1286" max="1287" width="9.7109375" style="836" customWidth="1"/>
    <col min="1288" max="1536" width="9.140625" style="836"/>
    <col min="1537" max="1537" width="12" style="836" customWidth="1"/>
    <col min="1538" max="1538" width="10.28515625" style="836" customWidth="1"/>
    <col min="1539" max="1541" width="9.140625" style="836"/>
    <col min="1542" max="1543" width="9.7109375" style="836" customWidth="1"/>
    <col min="1544" max="1792" width="9.140625" style="836"/>
    <col min="1793" max="1793" width="12" style="836" customWidth="1"/>
    <col min="1794" max="1794" width="10.28515625" style="836" customWidth="1"/>
    <col min="1795" max="1797" width="9.140625" style="836"/>
    <col min="1798" max="1799" width="9.7109375" style="836" customWidth="1"/>
    <col min="1800" max="2048" width="9.140625" style="836"/>
    <col min="2049" max="2049" width="12" style="836" customWidth="1"/>
    <col min="2050" max="2050" width="10.28515625" style="836" customWidth="1"/>
    <col min="2051" max="2053" width="9.140625" style="836"/>
    <col min="2054" max="2055" width="9.7109375" style="836" customWidth="1"/>
    <col min="2056" max="2304" width="9.140625" style="836"/>
    <col min="2305" max="2305" width="12" style="836" customWidth="1"/>
    <col min="2306" max="2306" width="10.28515625" style="836" customWidth="1"/>
    <col min="2307" max="2309" width="9.140625" style="836"/>
    <col min="2310" max="2311" width="9.7109375" style="836" customWidth="1"/>
    <col min="2312" max="2560" width="9.140625" style="836"/>
    <col min="2561" max="2561" width="12" style="836" customWidth="1"/>
    <col min="2562" max="2562" width="10.28515625" style="836" customWidth="1"/>
    <col min="2563" max="2565" width="9.140625" style="836"/>
    <col min="2566" max="2567" width="9.7109375" style="836" customWidth="1"/>
    <col min="2568" max="2816" width="9.140625" style="836"/>
    <col min="2817" max="2817" width="12" style="836" customWidth="1"/>
    <col min="2818" max="2818" width="10.28515625" style="836" customWidth="1"/>
    <col min="2819" max="2821" width="9.140625" style="836"/>
    <col min="2822" max="2823" width="9.7109375" style="836" customWidth="1"/>
    <col min="2824" max="3072" width="9.140625" style="836"/>
    <col min="3073" max="3073" width="12" style="836" customWidth="1"/>
    <col min="3074" max="3074" width="10.28515625" style="836" customWidth="1"/>
    <col min="3075" max="3077" width="9.140625" style="836"/>
    <col min="3078" max="3079" width="9.7109375" style="836" customWidth="1"/>
    <col min="3080" max="3328" width="9.140625" style="836"/>
    <col min="3329" max="3329" width="12" style="836" customWidth="1"/>
    <col min="3330" max="3330" width="10.28515625" style="836" customWidth="1"/>
    <col min="3331" max="3333" width="9.140625" style="836"/>
    <col min="3334" max="3335" width="9.7109375" style="836" customWidth="1"/>
    <col min="3336" max="3584" width="9.140625" style="836"/>
    <col min="3585" max="3585" width="12" style="836" customWidth="1"/>
    <col min="3586" max="3586" width="10.28515625" style="836" customWidth="1"/>
    <col min="3587" max="3589" width="9.140625" style="836"/>
    <col min="3590" max="3591" width="9.7109375" style="836" customWidth="1"/>
    <col min="3592" max="3840" width="9.140625" style="836"/>
    <col min="3841" max="3841" width="12" style="836" customWidth="1"/>
    <col min="3842" max="3842" width="10.28515625" style="836" customWidth="1"/>
    <col min="3843" max="3845" width="9.140625" style="836"/>
    <col min="3846" max="3847" width="9.7109375" style="836" customWidth="1"/>
    <col min="3848" max="4096" width="9.140625" style="836"/>
    <col min="4097" max="4097" width="12" style="836" customWidth="1"/>
    <col min="4098" max="4098" width="10.28515625" style="836" customWidth="1"/>
    <col min="4099" max="4101" width="9.140625" style="836"/>
    <col min="4102" max="4103" width="9.7109375" style="836" customWidth="1"/>
    <col min="4104" max="4352" width="9.140625" style="836"/>
    <col min="4353" max="4353" width="12" style="836" customWidth="1"/>
    <col min="4354" max="4354" width="10.28515625" style="836" customWidth="1"/>
    <col min="4355" max="4357" width="9.140625" style="836"/>
    <col min="4358" max="4359" width="9.7109375" style="836" customWidth="1"/>
    <col min="4360" max="4608" width="9.140625" style="836"/>
    <col min="4609" max="4609" width="12" style="836" customWidth="1"/>
    <col min="4610" max="4610" width="10.28515625" style="836" customWidth="1"/>
    <col min="4611" max="4613" width="9.140625" style="836"/>
    <col min="4614" max="4615" width="9.7109375" style="836" customWidth="1"/>
    <col min="4616" max="4864" width="9.140625" style="836"/>
    <col min="4865" max="4865" width="12" style="836" customWidth="1"/>
    <col min="4866" max="4866" width="10.28515625" style="836" customWidth="1"/>
    <col min="4867" max="4869" width="9.140625" style="836"/>
    <col min="4870" max="4871" width="9.7109375" style="836" customWidth="1"/>
    <col min="4872" max="5120" width="9.140625" style="836"/>
    <col min="5121" max="5121" width="12" style="836" customWidth="1"/>
    <col min="5122" max="5122" width="10.28515625" style="836" customWidth="1"/>
    <col min="5123" max="5125" width="9.140625" style="836"/>
    <col min="5126" max="5127" width="9.7109375" style="836" customWidth="1"/>
    <col min="5128" max="5376" width="9.140625" style="836"/>
    <col min="5377" max="5377" width="12" style="836" customWidth="1"/>
    <col min="5378" max="5378" width="10.28515625" style="836" customWidth="1"/>
    <col min="5379" max="5381" width="9.140625" style="836"/>
    <col min="5382" max="5383" width="9.7109375" style="836" customWidth="1"/>
    <col min="5384" max="5632" width="9.140625" style="836"/>
    <col min="5633" max="5633" width="12" style="836" customWidth="1"/>
    <col min="5634" max="5634" width="10.28515625" style="836" customWidth="1"/>
    <col min="5635" max="5637" width="9.140625" style="836"/>
    <col min="5638" max="5639" width="9.7109375" style="836" customWidth="1"/>
    <col min="5640" max="5888" width="9.140625" style="836"/>
    <col min="5889" max="5889" width="12" style="836" customWidth="1"/>
    <col min="5890" max="5890" width="10.28515625" style="836" customWidth="1"/>
    <col min="5891" max="5893" width="9.140625" style="836"/>
    <col min="5894" max="5895" width="9.7109375" style="836" customWidth="1"/>
    <col min="5896" max="6144" width="9.140625" style="836"/>
    <col min="6145" max="6145" width="12" style="836" customWidth="1"/>
    <col min="6146" max="6146" width="10.28515625" style="836" customWidth="1"/>
    <col min="6147" max="6149" width="9.140625" style="836"/>
    <col min="6150" max="6151" width="9.7109375" style="836" customWidth="1"/>
    <col min="6152" max="6400" width="9.140625" style="836"/>
    <col min="6401" max="6401" width="12" style="836" customWidth="1"/>
    <col min="6402" max="6402" width="10.28515625" style="836" customWidth="1"/>
    <col min="6403" max="6405" width="9.140625" style="836"/>
    <col min="6406" max="6407" width="9.7109375" style="836" customWidth="1"/>
    <col min="6408" max="6656" width="9.140625" style="836"/>
    <col min="6657" max="6657" width="12" style="836" customWidth="1"/>
    <col min="6658" max="6658" width="10.28515625" style="836" customWidth="1"/>
    <col min="6659" max="6661" width="9.140625" style="836"/>
    <col min="6662" max="6663" width="9.7109375" style="836" customWidth="1"/>
    <col min="6664" max="6912" width="9.140625" style="836"/>
    <col min="6913" max="6913" width="12" style="836" customWidth="1"/>
    <col min="6914" max="6914" width="10.28515625" style="836" customWidth="1"/>
    <col min="6915" max="6917" width="9.140625" style="836"/>
    <col min="6918" max="6919" width="9.7109375" style="836" customWidth="1"/>
    <col min="6920" max="7168" width="9.140625" style="836"/>
    <col min="7169" max="7169" width="12" style="836" customWidth="1"/>
    <col min="7170" max="7170" width="10.28515625" style="836" customWidth="1"/>
    <col min="7171" max="7173" width="9.140625" style="836"/>
    <col min="7174" max="7175" width="9.7109375" style="836" customWidth="1"/>
    <col min="7176" max="7424" width="9.140625" style="836"/>
    <col min="7425" max="7425" width="12" style="836" customWidth="1"/>
    <col min="7426" max="7426" width="10.28515625" style="836" customWidth="1"/>
    <col min="7427" max="7429" width="9.140625" style="836"/>
    <col min="7430" max="7431" width="9.7109375" style="836" customWidth="1"/>
    <col min="7432" max="7680" width="9.140625" style="836"/>
    <col min="7681" max="7681" width="12" style="836" customWidth="1"/>
    <col min="7682" max="7682" width="10.28515625" style="836" customWidth="1"/>
    <col min="7683" max="7685" width="9.140625" style="836"/>
    <col min="7686" max="7687" width="9.7109375" style="836" customWidth="1"/>
    <col min="7688" max="7936" width="9.140625" style="836"/>
    <col min="7937" max="7937" width="12" style="836" customWidth="1"/>
    <col min="7938" max="7938" width="10.28515625" style="836" customWidth="1"/>
    <col min="7939" max="7941" width="9.140625" style="836"/>
    <col min="7942" max="7943" width="9.7109375" style="836" customWidth="1"/>
    <col min="7944" max="8192" width="9.140625" style="836"/>
    <col min="8193" max="8193" width="12" style="836" customWidth="1"/>
    <col min="8194" max="8194" width="10.28515625" style="836" customWidth="1"/>
    <col min="8195" max="8197" width="9.140625" style="836"/>
    <col min="8198" max="8199" width="9.7109375" style="836" customWidth="1"/>
    <col min="8200" max="8448" width="9.140625" style="836"/>
    <col min="8449" max="8449" width="12" style="836" customWidth="1"/>
    <col min="8450" max="8450" width="10.28515625" style="836" customWidth="1"/>
    <col min="8451" max="8453" width="9.140625" style="836"/>
    <col min="8454" max="8455" width="9.7109375" style="836" customWidth="1"/>
    <col min="8456" max="8704" width="9.140625" style="836"/>
    <col min="8705" max="8705" width="12" style="836" customWidth="1"/>
    <col min="8706" max="8706" width="10.28515625" style="836" customWidth="1"/>
    <col min="8707" max="8709" width="9.140625" style="836"/>
    <col min="8710" max="8711" width="9.7109375" style="836" customWidth="1"/>
    <col min="8712" max="8960" width="9.140625" style="836"/>
    <col min="8961" max="8961" width="12" style="836" customWidth="1"/>
    <col min="8962" max="8962" width="10.28515625" style="836" customWidth="1"/>
    <col min="8963" max="8965" width="9.140625" style="836"/>
    <col min="8966" max="8967" width="9.7109375" style="836" customWidth="1"/>
    <col min="8968" max="9216" width="9.140625" style="836"/>
    <col min="9217" max="9217" width="12" style="836" customWidth="1"/>
    <col min="9218" max="9218" width="10.28515625" style="836" customWidth="1"/>
    <col min="9219" max="9221" width="9.140625" style="836"/>
    <col min="9222" max="9223" width="9.7109375" style="836" customWidth="1"/>
    <col min="9224" max="9472" width="9.140625" style="836"/>
    <col min="9473" max="9473" width="12" style="836" customWidth="1"/>
    <col min="9474" max="9474" width="10.28515625" style="836" customWidth="1"/>
    <col min="9475" max="9477" width="9.140625" style="836"/>
    <col min="9478" max="9479" width="9.7109375" style="836" customWidth="1"/>
    <col min="9480" max="9728" width="9.140625" style="836"/>
    <col min="9729" max="9729" width="12" style="836" customWidth="1"/>
    <col min="9730" max="9730" width="10.28515625" style="836" customWidth="1"/>
    <col min="9731" max="9733" width="9.140625" style="836"/>
    <col min="9734" max="9735" width="9.7109375" style="836" customWidth="1"/>
    <col min="9736" max="9984" width="9.140625" style="836"/>
    <col min="9985" max="9985" width="12" style="836" customWidth="1"/>
    <col min="9986" max="9986" width="10.28515625" style="836" customWidth="1"/>
    <col min="9987" max="9989" width="9.140625" style="836"/>
    <col min="9990" max="9991" width="9.7109375" style="836" customWidth="1"/>
    <col min="9992" max="10240" width="9.140625" style="836"/>
    <col min="10241" max="10241" width="12" style="836" customWidth="1"/>
    <col min="10242" max="10242" width="10.28515625" style="836" customWidth="1"/>
    <col min="10243" max="10245" width="9.140625" style="836"/>
    <col min="10246" max="10247" width="9.7109375" style="836" customWidth="1"/>
    <col min="10248" max="10496" width="9.140625" style="836"/>
    <col min="10497" max="10497" width="12" style="836" customWidth="1"/>
    <col min="10498" max="10498" width="10.28515625" style="836" customWidth="1"/>
    <col min="10499" max="10501" width="9.140625" style="836"/>
    <col min="10502" max="10503" width="9.7109375" style="836" customWidth="1"/>
    <col min="10504" max="10752" width="9.140625" style="836"/>
    <col min="10753" max="10753" width="12" style="836" customWidth="1"/>
    <col min="10754" max="10754" width="10.28515625" style="836" customWidth="1"/>
    <col min="10755" max="10757" width="9.140625" style="836"/>
    <col min="10758" max="10759" width="9.7109375" style="836" customWidth="1"/>
    <col min="10760" max="11008" width="9.140625" style="836"/>
    <col min="11009" max="11009" width="12" style="836" customWidth="1"/>
    <col min="11010" max="11010" width="10.28515625" style="836" customWidth="1"/>
    <col min="11011" max="11013" width="9.140625" style="836"/>
    <col min="11014" max="11015" width="9.7109375" style="836" customWidth="1"/>
    <col min="11016" max="11264" width="9.140625" style="836"/>
    <col min="11265" max="11265" width="12" style="836" customWidth="1"/>
    <col min="11266" max="11266" width="10.28515625" style="836" customWidth="1"/>
    <col min="11267" max="11269" width="9.140625" style="836"/>
    <col min="11270" max="11271" width="9.7109375" style="836" customWidth="1"/>
    <col min="11272" max="11520" width="9.140625" style="836"/>
    <col min="11521" max="11521" width="12" style="836" customWidth="1"/>
    <col min="11522" max="11522" width="10.28515625" style="836" customWidth="1"/>
    <col min="11523" max="11525" width="9.140625" style="836"/>
    <col min="11526" max="11527" width="9.7109375" style="836" customWidth="1"/>
    <col min="11528" max="11776" width="9.140625" style="836"/>
    <col min="11777" max="11777" width="12" style="836" customWidth="1"/>
    <col min="11778" max="11778" width="10.28515625" style="836" customWidth="1"/>
    <col min="11779" max="11781" width="9.140625" style="836"/>
    <col min="11782" max="11783" width="9.7109375" style="836" customWidth="1"/>
    <col min="11784" max="12032" width="9.140625" style="836"/>
    <col min="12033" max="12033" width="12" style="836" customWidth="1"/>
    <col min="12034" max="12034" width="10.28515625" style="836" customWidth="1"/>
    <col min="12035" max="12037" width="9.140625" style="836"/>
    <col min="12038" max="12039" width="9.7109375" style="836" customWidth="1"/>
    <col min="12040" max="12288" width="9.140625" style="836"/>
    <col min="12289" max="12289" width="12" style="836" customWidth="1"/>
    <col min="12290" max="12290" width="10.28515625" style="836" customWidth="1"/>
    <col min="12291" max="12293" width="9.140625" style="836"/>
    <col min="12294" max="12295" width="9.7109375" style="836" customWidth="1"/>
    <col min="12296" max="12544" width="9.140625" style="836"/>
    <col min="12545" max="12545" width="12" style="836" customWidth="1"/>
    <col min="12546" max="12546" width="10.28515625" style="836" customWidth="1"/>
    <col min="12547" max="12549" width="9.140625" style="836"/>
    <col min="12550" max="12551" width="9.7109375" style="836" customWidth="1"/>
    <col min="12552" max="12800" width="9.140625" style="836"/>
    <col min="12801" max="12801" width="12" style="836" customWidth="1"/>
    <col min="12802" max="12802" width="10.28515625" style="836" customWidth="1"/>
    <col min="12803" max="12805" width="9.140625" style="836"/>
    <col min="12806" max="12807" width="9.7109375" style="836" customWidth="1"/>
    <col min="12808" max="13056" width="9.140625" style="836"/>
    <col min="13057" max="13057" width="12" style="836" customWidth="1"/>
    <col min="13058" max="13058" width="10.28515625" style="836" customWidth="1"/>
    <col min="13059" max="13061" width="9.140625" style="836"/>
    <col min="13062" max="13063" width="9.7109375" style="836" customWidth="1"/>
    <col min="13064" max="13312" width="9.140625" style="836"/>
    <col min="13313" max="13313" width="12" style="836" customWidth="1"/>
    <col min="13314" max="13314" width="10.28515625" style="836" customWidth="1"/>
    <col min="13315" max="13317" width="9.140625" style="836"/>
    <col min="13318" max="13319" width="9.7109375" style="836" customWidth="1"/>
    <col min="13320" max="13568" width="9.140625" style="836"/>
    <col min="13569" max="13569" width="12" style="836" customWidth="1"/>
    <col min="13570" max="13570" width="10.28515625" style="836" customWidth="1"/>
    <col min="13571" max="13573" width="9.140625" style="836"/>
    <col min="13574" max="13575" width="9.7109375" style="836" customWidth="1"/>
    <col min="13576" max="13824" width="9.140625" style="836"/>
    <col min="13825" max="13825" width="12" style="836" customWidth="1"/>
    <col min="13826" max="13826" width="10.28515625" style="836" customWidth="1"/>
    <col min="13827" max="13829" width="9.140625" style="836"/>
    <col min="13830" max="13831" width="9.7109375" style="836" customWidth="1"/>
    <col min="13832" max="14080" width="9.140625" style="836"/>
    <col min="14081" max="14081" width="12" style="836" customWidth="1"/>
    <col min="14082" max="14082" width="10.28515625" style="836" customWidth="1"/>
    <col min="14083" max="14085" width="9.140625" style="836"/>
    <col min="14086" max="14087" width="9.7109375" style="836" customWidth="1"/>
    <col min="14088" max="14336" width="9.140625" style="836"/>
    <col min="14337" max="14337" width="12" style="836" customWidth="1"/>
    <col min="14338" max="14338" width="10.28515625" style="836" customWidth="1"/>
    <col min="14339" max="14341" width="9.140625" style="836"/>
    <col min="14342" max="14343" width="9.7109375" style="836" customWidth="1"/>
    <col min="14344" max="14592" width="9.140625" style="836"/>
    <col min="14593" max="14593" width="12" style="836" customWidth="1"/>
    <col min="14594" max="14594" width="10.28515625" style="836" customWidth="1"/>
    <col min="14595" max="14597" width="9.140625" style="836"/>
    <col min="14598" max="14599" width="9.7109375" style="836" customWidth="1"/>
    <col min="14600" max="14848" width="9.140625" style="836"/>
    <col min="14849" max="14849" width="12" style="836" customWidth="1"/>
    <col min="14850" max="14850" width="10.28515625" style="836" customWidth="1"/>
    <col min="14851" max="14853" width="9.140625" style="836"/>
    <col min="14854" max="14855" width="9.7109375" style="836" customWidth="1"/>
    <col min="14856" max="15104" width="9.140625" style="836"/>
    <col min="15105" max="15105" width="12" style="836" customWidth="1"/>
    <col min="15106" max="15106" width="10.28515625" style="836" customWidth="1"/>
    <col min="15107" max="15109" width="9.140625" style="836"/>
    <col min="15110" max="15111" width="9.7109375" style="836" customWidth="1"/>
    <col min="15112" max="15360" width="9.140625" style="836"/>
    <col min="15361" max="15361" width="12" style="836" customWidth="1"/>
    <col min="15362" max="15362" width="10.28515625" style="836" customWidth="1"/>
    <col min="15363" max="15365" width="9.140625" style="836"/>
    <col min="15366" max="15367" width="9.7109375" style="836" customWidth="1"/>
    <col min="15368" max="15616" width="9.140625" style="836"/>
    <col min="15617" max="15617" width="12" style="836" customWidth="1"/>
    <col min="15618" max="15618" width="10.28515625" style="836" customWidth="1"/>
    <col min="15619" max="15621" width="9.140625" style="836"/>
    <col min="15622" max="15623" width="9.7109375" style="836" customWidth="1"/>
    <col min="15624" max="15872" width="9.140625" style="836"/>
    <col min="15873" max="15873" width="12" style="836" customWidth="1"/>
    <col min="15874" max="15874" width="10.28515625" style="836" customWidth="1"/>
    <col min="15875" max="15877" width="9.140625" style="836"/>
    <col min="15878" max="15879" width="9.7109375" style="836" customWidth="1"/>
    <col min="15880" max="16128" width="9.140625" style="836"/>
    <col min="16129" max="16129" width="12" style="836" customWidth="1"/>
    <col min="16130" max="16130" width="10.28515625" style="836" customWidth="1"/>
    <col min="16131" max="16133" width="9.140625" style="836"/>
    <col min="16134" max="16135" width="9.7109375" style="836" customWidth="1"/>
    <col min="16136" max="16384" width="9.140625" style="836"/>
  </cols>
  <sheetData>
    <row r="1" spans="1:16" ht="50.25" x14ac:dyDescent="0.2">
      <c r="A1" s="1232" t="s">
        <v>29</v>
      </c>
      <c r="B1" s="862" t="s">
        <v>1312</v>
      </c>
      <c r="C1" s="862" t="s">
        <v>1274</v>
      </c>
      <c r="D1" s="862" t="s">
        <v>1275</v>
      </c>
      <c r="E1" s="862" t="s">
        <v>1276</v>
      </c>
      <c r="F1" s="862" t="s">
        <v>1313</v>
      </c>
      <c r="G1" s="862" t="s">
        <v>1314</v>
      </c>
      <c r="H1" s="1235" t="s">
        <v>1315</v>
      </c>
      <c r="I1" s="1236"/>
      <c r="J1" s="1235" t="s">
        <v>1316</v>
      </c>
      <c r="K1" s="1236"/>
      <c r="L1" s="1235" t="s">
        <v>1317</v>
      </c>
      <c r="M1" s="1236"/>
    </row>
    <row r="2" spans="1:16" ht="19.5" thickBot="1" x14ac:dyDescent="0.25">
      <c r="A2" s="1233"/>
      <c r="B2" s="863" t="s">
        <v>656</v>
      </c>
      <c r="C2" s="864" t="s">
        <v>1318</v>
      </c>
      <c r="D2" s="863" t="s">
        <v>1289</v>
      </c>
      <c r="E2" s="863" t="s">
        <v>652</v>
      </c>
      <c r="F2" s="863" t="s">
        <v>1289</v>
      </c>
      <c r="G2" s="863" t="s">
        <v>1289</v>
      </c>
      <c r="H2" s="1237"/>
      <c r="I2" s="1238"/>
      <c r="J2" s="1237"/>
      <c r="K2" s="1238"/>
      <c r="L2" s="1237"/>
      <c r="M2" s="1238"/>
    </row>
    <row r="3" spans="1:16" ht="15.75" x14ac:dyDescent="0.2">
      <c r="A3" s="1233"/>
      <c r="B3" s="863"/>
      <c r="C3" s="863"/>
      <c r="D3" s="863"/>
      <c r="E3" s="863"/>
      <c r="F3" s="863"/>
      <c r="G3" s="863"/>
      <c r="H3" s="1232" t="s">
        <v>1319</v>
      </c>
      <c r="I3" s="1232" t="s">
        <v>1320</v>
      </c>
      <c r="J3" s="1232" t="s">
        <v>1321</v>
      </c>
      <c r="K3" s="1232" t="s">
        <v>1322</v>
      </c>
      <c r="L3" s="1232" t="s">
        <v>1323</v>
      </c>
      <c r="M3" s="1239" t="s">
        <v>1324</v>
      </c>
    </row>
    <row r="4" spans="1:16" ht="13.5" thickBot="1" x14ac:dyDescent="0.25">
      <c r="A4" s="1234"/>
      <c r="B4" s="865"/>
      <c r="C4" s="865"/>
      <c r="D4" s="865"/>
      <c r="E4" s="865"/>
      <c r="F4" s="865"/>
      <c r="G4" s="865"/>
      <c r="H4" s="1234"/>
      <c r="I4" s="1234"/>
      <c r="J4" s="1234"/>
      <c r="K4" s="1234"/>
      <c r="L4" s="1234"/>
      <c r="M4" s="1240"/>
    </row>
    <row r="5" spans="1:16" ht="15.75" customHeight="1" thickBot="1" x14ac:dyDescent="0.25">
      <c r="A5" s="866"/>
      <c r="B5" s="867"/>
      <c r="C5" s="867"/>
      <c r="D5" s="867"/>
      <c r="E5" s="867"/>
      <c r="F5" s="867"/>
      <c r="G5" s="867"/>
      <c r="H5" s="868"/>
      <c r="I5" s="868"/>
      <c r="J5" s="868"/>
      <c r="K5" s="868"/>
      <c r="L5" s="868"/>
      <c r="M5" s="869"/>
    </row>
    <row r="6" spans="1:16" x14ac:dyDescent="0.2">
      <c r="A6" s="870" t="s">
        <v>54</v>
      </c>
      <c r="B6" s="871">
        <v>11.5</v>
      </c>
      <c r="C6" s="871">
        <v>14.6</v>
      </c>
      <c r="D6" s="871">
        <v>100</v>
      </c>
      <c r="E6" s="871">
        <v>75</v>
      </c>
      <c r="F6" s="871">
        <v>7.2</v>
      </c>
      <c r="G6" s="871">
        <v>4</v>
      </c>
      <c r="H6" s="871">
        <v>257.5</v>
      </c>
      <c r="I6" s="871">
        <v>40.799999999999997</v>
      </c>
      <c r="J6" s="871">
        <v>4.2</v>
      </c>
      <c r="K6" s="871">
        <v>1.67</v>
      </c>
      <c r="L6" s="871">
        <v>51.5</v>
      </c>
      <c r="M6" s="872">
        <v>10.9</v>
      </c>
      <c r="O6" s="836">
        <f>'Wheel Design'!C32*1000</f>
        <v>80</v>
      </c>
      <c r="P6" s="836" t="str">
        <f>IF(E6&gt;=$O$6,A6,"")</f>
        <v/>
      </c>
    </row>
    <row r="7" spans="1:16" x14ac:dyDescent="0.2">
      <c r="A7" s="873" t="s">
        <v>55</v>
      </c>
      <c r="B7" s="854">
        <v>13</v>
      </c>
      <c r="C7" s="854">
        <v>16.600000000000001</v>
      </c>
      <c r="D7" s="854">
        <v>125</v>
      </c>
      <c r="E7" s="854">
        <v>75</v>
      </c>
      <c r="F7" s="854">
        <v>7.6</v>
      </c>
      <c r="G7" s="854">
        <v>4.4000000000000004</v>
      </c>
      <c r="H7" s="854">
        <v>449</v>
      </c>
      <c r="I7" s="854">
        <v>43.7</v>
      </c>
      <c r="J7" s="854">
        <v>5.2</v>
      </c>
      <c r="K7" s="854">
        <v>1.62</v>
      </c>
      <c r="L7" s="854">
        <v>71.8</v>
      </c>
      <c r="M7" s="874">
        <v>11.7</v>
      </c>
      <c r="P7" s="836" t="str">
        <f t="shared" ref="P7:P19" si="0">IF(E7&gt;=$O$6,A7,"")</f>
        <v/>
      </c>
    </row>
    <row r="8" spans="1:16" x14ac:dyDescent="0.2">
      <c r="A8" s="873" t="s">
        <v>56</v>
      </c>
      <c r="B8" s="854">
        <v>14.9</v>
      </c>
      <c r="C8" s="854">
        <v>19</v>
      </c>
      <c r="D8" s="854">
        <v>150</v>
      </c>
      <c r="E8" s="854">
        <v>80</v>
      </c>
      <c r="F8" s="854">
        <v>7.6</v>
      </c>
      <c r="G8" s="854">
        <v>4.8</v>
      </c>
      <c r="H8" s="854">
        <v>726.4</v>
      </c>
      <c r="I8" s="854">
        <v>52.6</v>
      </c>
      <c r="J8" s="854">
        <v>6.18</v>
      </c>
      <c r="K8" s="854">
        <v>1.66</v>
      </c>
      <c r="L8" s="854">
        <v>96.9</v>
      </c>
      <c r="M8" s="874">
        <v>13.1</v>
      </c>
      <c r="P8" s="836" t="str">
        <f t="shared" si="0"/>
        <v>ISMB 150</v>
      </c>
    </row>
    <row r="9" spans="1:16" x14ac:dyDescent="0.2">
      <c r="A9" s="873" t="s">
        <v>57</v>
      </c>
      <c r="B9" s="854">
        <v>19.3</v>
      </c>
      <c r="C9" s="854">
        <v>24.62</v>
      </c>
      <c r="D9" s="854">
        <v>175</v>
      </c>
      <c r="E9" s="854">
        <v>90</v>
      </c>
      <c r="F9" s="854">
        <v>8.6</v>
      </c>
      <c r="G9" s="854">
        <v>5.5</v>
      </c>
      <c r="H9" s="854">
        <v>1272</v>
      </c>
      <c r="I9" s="854">
        <v>85</v>
      </c>
      <c r="J9" s="854">
        <v>7.19</v>
      </c>
      <c r="K9" s="854">
        <v>1.86</v>
      </c>
      <c r="L9" s="854">
        <v>145.4</v>
      </c>
      <c r="M9" s="874">
        <v>18.899999999999999</v>
      </c>
      <c r="P9" s="836" t="str">
        <f t="shared" si="0"/>
        <v>ISMB 175</v>
      </c>
    </row>
    <row r="10" spans="1:16" x14ac:dyDescent="0.2">
      <c r="A10" s="873" t="s">
        <v>58</v>
      </c>
      <c r="B10" s="854">
        <v>25.4</v>
      </c>
      <c r="C10" s="854">
        <v>32.33</v>
      </c>
      <c r="D10" s="854">
        <v>200</v>
      </c>
      <c r="E10" s="854">
        <v>100</v>
      </c>
      <c r="F10" s="854">
        <v>10.8</v>
      </c>
      <c r="G10" s="854">
        <v>5.7</v>
      </c>
      <c r="H10" s="854">
        <v>2235.4</v>
      </c>
      <c r="I10" s="854">
        <v>150</v>
      </c>
      <c r="J10" s="854">
        <v>8.32</v>
      </c>
      <c r="K10" s="854">
        <v>2.15</v>
      </c>
      <c r="L10" s="854">
        <v>223.5</v>
      </c>
      <c r="M10" s="874">
        <v>30</v>
      </c>
      <c r="P10" s="836" t="str">
        <f t="shared" si="0"/>
        <v>ISMB 200</v>
      </c>
    </row>
    <row r="11" spans="1:16" x14ac:dyDescent="0.2">
      <c r="A11" s="873" t="s">
        <v>59</v>
      </c>
      <c r="B11" s="854">
        <v>31.2</v>
      </c>
      <c r="C11" s="854">
        <v>39.72</v>
      </c>
      <c r="D11" s="854">
        <v>225</v>
      </c>
      <c r="E11" s="854">
        <v>110</v>
      </c>
      <c r="F11" s="854">
        <v>11.8</v>
      </c>
      <c r="G11" s="854">
        <v>6.5</v>
      </c>
      <c r="H11" s="854">
        <v>3441.8</v>
      </c>
      <c r="I11" s="854">
        <v>218.3</v>
      </c>
      <c r="J11" s="854">
        <v>9.31</v>
      </c>
      <c r="K11" s="854">
        <v>2.34</v>
      </c>
      <c r="L11" s="854">
        <v>305.89999999999998</v>
      </c>
      <c r="M11" s="874">
        <v>39.700000000000003</v>
      </c>
      <c r="P11" s="836" t="str">
        <f t="shared" si="0"/>
        <v>ISMB 225</v>
      </c>
    </row>
    <row r="12" spans="1:16" x14ac:dyDescent="0.2">
      <c r="A12" s="873" t="s">
        <v>60</v>
      </c>
      <c r="B12" s="854">
        <v>37.299999999999997</v>
      </c>
      <c r="C12" s="854">
        <v>47.55</v>
      </c>
      <c r="D12" s="854">
        <v>250</v>
      </c>
      <c r="E12" s="854">
        <v>125</v>
      </c>
      <c r="F12" s="854">
        <v>12.5</v>
      </c>
      <c r="G12" s="854">
        <v>6.9</v>
      </c>
      <c r="H12" s="854">
        <v>5131.6000000000004</v>
      </c>
      <c r="I12" s="854">
        <v>334.5</v>
      </c>
      <c r="J12" s="854">
        <v>10.39</v>
      </c>
      <c r="K12" s="854">
        <v>2.65</v>
      </c>
      <c r="L12" s="854">
        <v>410.5</v>
      </c>
      <c r="M12" s="874">
        <v>53.5</v>
      </c>
      <c r="P12" s="836" t="str">
        <f t="shared" si="0"/>
        <v>ISMB 250</v>
      </c>
    </row>
    <row r="13" spans="1:16" x14ac:dyDescent="0.2">
      <c r="A13" s="873" t="s">
        <v>61</v>
      </c>
      <c r="B13" s="854">
        <v>44.2</v>
      </c>
      <c r="C13" s="854">
        <v>56.26</v>
      </c>
      <c r="D13" s="854">
        <v>300</v>
      </c>
      <c r="E13" s="854">
        <v>140</v>
      </c>
      <c r="F13" s="854">
        <v>12.4</v>
      </c>
      <c r="G13" s="854">
        <v>7.5</v>
      </c>
      <c r="H13" s="854">
        <v>8603.6</v>
      </c>
      <c r="I13" s="854">
        <v>453.9</v>
      </c>
      <c r="J13" s="854">
        <v>12.37</v>
      </c>
      <c r="K13" s="854">
        <v>2.84</v>
      </c>
      <c r="L13" s="854">
        <v>573.6</v>
      </c>
      <c r="M13" s="874">
        <v>64.8</v>
      </c>
      <c r="P13" s="836" t="str">
        <f t="shared" si="0"/>
        <v>ISMB 300</v>
      </c>
    </row>
    <row r="14" spans="1:16" x14ac:dyDescent="0.2">
      <c r="A14" s="873" t="s">
        <v>62</v>
      </c>
      <c r="B14" s="854">
        <v>52.4</v>
      </c>
      <c r="C14" s="854">
        <v>66.709999999999994</v>
      </c>
      <c r="D14" s="854">
        <v>350</v>
      </c>
      <c r="E14" s="854">
        <v>140</v>
      </c>
      <c r="F14" s="854">
        <v>14.2</v>
      </c>
      <c r="G14" s="854">
        <v>8.1</v>
      </c>
      <c r="H14" s="854">
        <v>13630.3</v>
      </c>
      <c r="I14" s="854">
        <v>537.70000000000005</v>
      </c>
      <c r="J14" s="854">
        <v>14.29</v>
      </c>
      <c r="K14" s="854">
        <v>2.84</v>
      </c>
      <c r="L14" s="854">
        <v>778.9</v>
      </c>
      <c r="M14" s="874">
        <v>76.8</v>
      </c>
      <c r="P14" s="836" t="str">
        <f t="shared" si="0"/>
        <v>ISMB 350</v>
      </c>
    </row>
    <row r="15" spans="1:16" x14ac:dyDescent="0.2">
      <c r="A15" s="873" t="s">
        <v>63</v>
      </c>
      <c r="B15" s="854">
        <v>61.6</v>
      </c>
      <c r="C15" s="854">
        <v>78.459999999999994</v>
      </c>
      <c r="D15" s="854">
        <v>400</v>
      </c>
      <c r="E15" s="854">
        <v>140</v>
      </c>
      <c r="F15" s="854">
        <v>16</v>
      </c>
      <c r="G15" s="854">
        <v>8.9</v>
      </c>
      <c r="H15" s="854">
        <v>20458.400000000001</v>
      </c>
      <c r="I15" s="854">
        <v>422.1</v>
      </c>
      <c r="J15" s="854">
        <v>16.149999999999999</v>
      </c>
      <c r="K15" s="854">
        <v>2.82</v>
      </c>
      <c r="L15" s="854">
        <v>1022.9</v>
      </c>
      <c r="M15" s="874">
        <v>88.9</v>
      </c>
      <c r="P15" s="836" t="str">
        <f t="shared" si="0"/>
        <v>ISMB 400</v>
      </c>
    </row>
    <row r="16" spans="1:16" x14ac:dyDescent="0.2">
      <c r="A16" s="873" t="s">
        <v>64</v>
      </c>
      <c r="B16" s="854">
        <v>72.400000000000006</v>
      </c>
      <c r="C16" s="854">
        <v>92.27</v>
      </c>
      <c r="D16" s="854">
        <v>450</v>
      </c>
      <c r="E16" s="854">
        <v>150</v>
      </c>
      <c r="F16" s="854">
        <v>17.399999999999999</v>
      </c>
      <c r="G16" s="854">
        <v>9.4</v>
      </c>
      <c r="H16" s="854">
        <v>30390.799999999999</v>
      </c>
      <c r="I16" s="854">
        <v>834</v>
      </c>
      <c r="J16" s="854">
        <v>18.149999999999999</v>
      </c>
      <c r="K16" s="854">
        <v>3.01</v>
      </c>
      <c r="L16" s="854">
        <v>1350.7</v>
      </c>
      <c r="M16" s="874">
        <v>111.2</v>
      </c>
      <c r="P16" s="836" t="str">
        <f t="shared" si="0"/>
        <v>ISMB 450</v>
      </c>
    </row>
    <row r="17" spans="1:16" x14ac:dyDescent="0.2">
      <c r="A17" s="873" t="s">
        <v>65</v>
      </c>
      <c r="B17" s="854">
        <v>86.9</v>
      </c>
      <c r="C17" s="854">
        <v>110.74</v>
      </c>
      <c r="D17" s="854">
        <v>500</v>
      </c>
      <c r="E17" s="854">
        <v>180</v>
      </c>
      <c r="F17" s="854">
        <v>17.2</v>
      </c>
      <c r="G17" s="854">
        <v>10.199999999999999</v>
      </c>
      <c r="H17" s="854">
        <v>45218.3</v>
      </c>
      <c r="I17" s="854">
        <v>1369.8</v>
      </c>
      <c r="J17" s="854">
        <v>20.21</v>
      </c>
      <c r="K17" s="854">
        <v>3.52</v>
      </c>
      <c r="L17" s="854">
        <v>1808.7</v>
      </c>
      <c r="M17" s="874">
        <v>152.19999999999999</v>
      </c>
      <c r="P17" s="836" t="str">
        <f t="shared" si="0"/>
        <v>ISMB 500</v>
      </c>
    </row>
    <row r="18" spans="1:16" x14ac:dyDescent="0.2">
      <c r="A18" s="873" t="s">
        <v>66</v>
      </c>
      <c r="B18" s="854">
        <v>103.7</v>
      </c>
      <c r="C18" s="854">
        <v>132.11000000000001</v>
      </c>
      <c r="D18" s="854">
        <v>550</v>
      </c>
      <c r="E18" s="854">
        <v>190</v>
      </c>
      <c r="F18" s="854">
        <v>19.3</v>
      </c>
      <c r="G18" s="854">
        <v>11.2</v>
      </c>
      <c r="H18" s="854">
        <v>64893.599999999999</v>
      </c>
      <c r="I18" s="854">
        <v>1833.8</v>
      </c>
      <c r="J18" s="854">
        <v>22.16</v>
      </c>
      <c r="K18" s="854">
        <v>3.73</v>
      </c>
      <c r="L18" s="854">
        <v>2359.8000000000002</v>
      </c>
      <c r="M18" s="874">
        <v>193</v>
      </c>
      <c r="P18" s="836" t="str">
        <f t="shared" si="0"/>
        <v>ISMB 550</v>
      </c>
    </row>
    <row r="19" spans="1:16" ht="13.5" thickBot="1" x14ac:dyDescent="0.25">
      <c r="A19" s="875" t="s">
        <v>67</v>
      </c>
      <c r="B19" s="876">
        <v>122.6</v>
      </c>
      <c r="C19" s="876">
        <v>156.21</v>
      </c>
      <c r="D19" s="876">
        <v>600</v>
      </c>
      <c r="E19" s="876">
        <v>210</v>
      </c>
      <c r="F19" s="876">
        <v>20.8</v>
      </c>
      <c r="G19" s="876">
        <v>12</v>
      </c>
      <c r="H19" s="876">
        <v>91813</v>
      </c>
      <c r="I19" s="876">
        <v>2651</v>
      </c>
      <c r="J19" s="876">
        <v>24.24</v>
      </c>
      <c r="K19" s="876">
        <v>4.12</v>
      </c>
      <c r="L19" s="876">
        <v>3060.4</v>
      </c>
      <c r="M19" s="877">
        <v>252.5</v>
      </c>
      <c r="P19" s="836" t="str">
        <f t="shared" si="0"/>
        <v>ISMB 600</v>
      </c>
    </row>
    <row r="20" spans="1:16" x14ac:dyDescent="0.2">
      <c r="F20" s="859"/>
      <c r="G20" s="878"/>
    </row>
    <row r="21" spans="1:16" x14ac:dyDescent="0.2">
      <c r="F21" s="859"/>
      <c r="G21" s="860" t="s">
        <v>1300</v>
      </c>
    </row>
    <row r="22" spans="1:16" ht="13.5" thickBot="1" x14ac:dyDescent="0.25">
      <c r="F22" s="859"/>
      <c r="G22" s="879"/>
    </row>
    <row r="23" spans="1:16" x14ac:dyDescent="0.2">
      <c r="G23" s="861"/>
    </row>
  </sheetData>
  <mergeCells count="10">
    <mergeCell ref="A1:A4"/>
    <mergeCell ref="H1:I2"/>
    <mergeCell ref="J1:K2"/>
    <mergeCell ref="L1:M2"/>
    <mergeCell ref="H3:H4"/>
    <mergeCell ref="I3:I4"/>
    <mergeCell ref="J3:J4"/>
    <mergeCell ref="K3:K4"/>
    <mergeCell ref="L3:L4"/>
    <mergeCell ref="M3:M4"/>
  </mergeCells>
  <hyperlinks>
    <hyperlink ref="G21" r:id="rId1" location="'Main menu'!A1"/>
  </hyperlinks>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I13"/>
  <sheetViews>
    <sheetView workbookViewId="0">
      <selection activeCell="K14" sqref="K14"/>
    </sheetView>
  </sheetViews>
  <sheetFormatPr defaultRowHeight="15" x14ac:dyDescent="0.25"/>
  <sheetData>
    <row r="2" spans="2:9" x14ac:dyDescent="0.25">
      <c r="B2" t="s">
        <v>1269</v>
      </c>
    </row>
    <row r="3" spans="2:9" x14ac:dyDescent="0.25">
      <c r="D3" s="1223" t="s">
        <v>970</v>
      </c>
      <c r="E3" s="1223"/>
      <c r="F3" s="1223"/>
    </row>
    <row r="4" spans="2:9" x14ac:dyDescent="0.25">
      <c r="C4" t="s">
        <v>971</v>
      </c>
      <c r="D4" t="s">
        <v>1266</v>
      </c>
      <c r="E4" t="s">
        <v>1267</v>
      </c>
      <c r="F4" t="s">
        <v>1268</v>
      </c>
    </row>
    <row r="5" spans="2:9" x14ac:dyDescent="0.25">
      <c r="B5" t="s">
        <v>1257</v>
      </c>
      <c r="C5" s="833" t="s">
        <v>1225</v>
      </c>
      <c r="D5" s="833" t="s">
        <v>1226</v>
      </c>
      <c r="E5" s="833" t="s">
        <v>1227</v>
      </c>
      <c r="F5" s="833" t="s">
        <v>1228</v>
      </c>
      <c r="G5" s="833"/>
      <c r="H5" s="833"/>
      <c r="I5" s="833"/>
    </row>
    <row r="6" spans="2:9" x14ac:dyDescent="0.25">
      <c r="B6" t="s">
        <v>1258</v>
      </c>
      <c r="C6" s="833" t="s">
        <v>1229</v>
      </c>
      <c r="D6" s="833" t="s">
        <v>1230</v>
      </c>
      <c r="E6" s="833" t="s">
        <v>1231</v>
      </c>
      <c r="F6" s="833" t="s">
        <v>1232</v>
      </c>
      <c r="G6" s="833"/>
      <c r="H6" s="833"/>
      <c r="I6" s="833"/>
    </row>
    <row r="7" spans="2:9" x14ac:dyDescent="0.25">
      <c r="B7" t="s">
        <v>1259</v>
      </c>
      <c r="C7" s="833" t="s">
        <v>1233</v>
      </c>
      <c r="D7" s="833" t="s">
        <v>1234</v>
      </c>
      <c r="E7" s="833" t="s">
        <v>1235</v>
      </c>
      <c r="F7" s="833" t="s">
        <v>1236</v>
      </c>
      <c r="G7" s="833"/>
      <c r="H7" s="833"/>
      <c r="I7" s="833"/>
    </row>
    <row r="8" spans="2:9" x14ac:dyDescent="0.25">
      <c r="B8" t="s">
        <v>1260</v>
      </c>
      <c r="C8" s="833" t="s">
        <v>1237</v>
      </c>
      <c r="D8" s="833" t="s">
        <v>1238</v>
      </c>
      <c r="E8" s="833" t="s">
        <v>1239</v>
      </c>
      <c r="F8" s="833" t="s">
        <v>1240</v>
      </c>
      <c r="G8" s="833"/>
      <c r="H8" s="833"/>
      <c r="I8" s="833"/>
    </row>
    <row r="9" spans="2:9" x14ac:dyDescent="0.25">
      <c r="B9" t="s">
        <v>1261</v>
      </c>
      <c r="C9" s="833" t="s">
        <v>1241</v>
      </c>
      <c r="D9" s="833" t="s">
        <v>1225</v>
      </c>
      <c r="E9" s="833" t="s">
        <v>1242</v>
      </c>
      <c r="F9" s="833" t="s">
        <v>1243</v>
      </c>
      <c r="G9" s="833"/>
      <c r="H9" s="833"/>
      <c r="I9" s="833"/>
    </row>
    <row r="10" spans="2:9" x14ac:dyDescent="0.25">
      <c r="B10" t="s">
        <v>1262</v>
      </c>
      <c r="C10" s="833" t="s">
        <v>1244</v>
      </c>
      <c r="D10" s="833" t="s">
        <v>1245</v>
      </c>
      <c r="E10" s="833" t="s">
        <v>1229</v>
      </c>
      <c r="F10" s="833" t="s">
        <v>1246</v>
      </c>
      <c r="G10" s="833"/>
      <c r="H10" s="833"/>
      <c r="I10" s="833"/>
    </row>
    <row r="11" spans="2:9" x14ac:dyDescent="0.25">
      <c r="B11" t="s">
        <v>1263</v>
      </c>
      <c r="C11" s="833" t="s">
        <v>1247</v>
      </c>
      <c r="D11" s="833" t="s">
        <v>1248</v>
      </c>
      <c r="E11" s="833" t="s">
        <v>1249</v>
      </c>
      <c r="F11" s="833" t="s">
        <v>1250</v>
      </c>
      <c r="G11" s="833"/>
      <c r="H11" s="833"/>
      <c r="I11" s="833"/>
    </row>
    <row r="12" spans="2:9" x14ac:dyDescent="0.25">
      <c r="B12" t="s">
        <v>1264</v>
      </c>
      <c r="C12" s="833" t="s">
        <v>1251</v>
      </c>
      <c r="D12" s="833" t="s">
        <v>1252</v>
      </c>
      <c r="E12" s="833" t="s">
        <v>1253</v>
      </c>
      <c r="F12" s="833" t="s">
        <v>1244</v>
      </c>
      <c r="G12" s="833"/>
      <c r="H12" s="833"/>
      <c r="I12" s="833"/>
    </row>
    <row r="13" spans="2:9" x14ac:dyDescent="0.25">
      <c r="B13" t="s">
        <v>1265</v>
      </c>
      <c r="C13" s="833" t="s">
        <v>1254</v>
      </c>
      <c r="D13" s="833" t="s">
        <v>1247</v>
      </c>
      <c r="E13" s="833" t="s">
        <v>1255</v>
      </c>
      <c r="F13" s="833" t="s">
        <v>1256</v>
      </c>
      <c r="G13" s="833"/>
      <c r="H13" s="833"/>
      <c r="I13" s="833"/>
    </row>
  </sheetData>
  <mergeCells count="1">
    <mergeCell ref="D3:F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34"/>
  <sheetViews>
    <sheetView topLeftCell="A4" workbookViewId="0">
      <selection activeCell="N10" sqref="N10"/>
    </sheetView>
  </sheetViews>
  <sheetFormatPr defaultRowHeight="12.75" x14ac:dyDescent="0.2"/>
  <cols>
    <col min="1" max="1" width="35.42578125" style="1" bestFit="1" customWidth="1"/>
    <col min="2" max="2" width="10.42578125" style="1" bestFit="1" customWidth="1"/>
    <col min="3" max="9" width="10.28515625" style="1" bestFit="1" customWidth="1"/>
    <col min="10" max="16384" width="9.140625" style="1"/>
  </cols>
  <sheetData>
    <row r="1" spans="1:12" x14ac:dyDescent="0.2">
      <c r="A1" s="1" t="s">
        <v>681</v>
      </c>
    </row>
    <row r="2" spans="1:12" x14ac:dyDescent="0.2">
      <c r="A2" s="1" t="s">
        <v>682</v>
      </c>
      <c r="B2" s="1" t="s">
        <v>684</v>
      </c>
    </row>
    <row r="3" spans="1:12" x14ac:dyDescent="0.2">
      <c r="A3" s="1" t="s">
        <v>683</v>
      </c>
      <c r="B3" s="1" t="s">
        <v>685</v>
      </c>
    </row>
    <row r="5" spans="1:12" x14ac:dyDescent="0.2">
      <c r="A5" s="1241" t="s">
        <v>686</v>
      </c>
      <c r="B5" s="1241" t="s">
        <v>687</v>
      </c>
      <c r="C5" s="1241"/>
      <c r="D5" s="1242" t="s">
        <v>690</v>
      </c>
      <c r="E5" s="1243"/>
      <c r="F5" s="1243"/>
      <c r="G5" s="1243"/>
      <c r="H5" s="1243"/>
      <c r="I5" s="1244"/>
    </row>
    <row r="6" spans="1:12" x14ac:dyDescent="0.2">
      <c r="A6" s="1241"/>
      <c r="B6" s="1241"/>
      <c r="C6" s="1241"/>
      <c r="D6" s="1241">
        <v>1570</v>
      </c>
      <c r="E6" s="1241"/>
      <c r="F6" s="1241">
        <v>1770</v>
      </c>
      <c r="G6" s="1241"/>
      <c r="H6" s="1241">
        <v>1960</v>
      </c>
      <c r="I6" s="1241"/>
    </row>
    <row r="7" spans="1:12" x14ac:dyDescent="0.2">
      <c r="A7" s="1241"/>
      <c r="B7" s="86" t="s">
        <v>688</v>
      </c>
      <c r="C7" s="86" t="s">
        <v>689</v>
      </c>
      <c r="D7" s="86" t="s">
        <v>688</v>
      </c>
      <c r="E7" s="86" t="s">
        <v>689</v>
      </c>
      <c r="F7" s="86" t="s">
        <v>688</v>
      </c>
      <c r="G7" s="86" t="s">
        <v>689</v>
      </c>
      <c r="H7" s="86" t="s">
        <v>688</v>
      </c>
      <c r="I7" s="86" t="s">
        <v>689</v>
      </c>
    </row>
    <row r="8" spans="1:12" x14ac:dyDescent="0.2">
      <c r="A8" s="86"/>
      <c r="B8" s="86" t="s">
        <v>691</v>
      </c>
      <c r="C8" s="86" t="s">
        <v>692</v>
      </c>
      <c r="D8" s="86" t="s">
        <v>691</v>
      </c>
      <c r="E8" s="86" t="s">
        <v>692</v>
      </c>
      <c r="F8" s="86" t="s">
        <v>691</v>
      </c>
      <c r="G8" s="86" t="s">
        <v>692</v>
      </c>
      <c r="H8" s="86" t="s">
        <v>691</v>
      </c>
      <c r="I8" s="86" t="s">
        <v>692</v>
      </c>
    </row>
    <row r="9" spans="1:12" x14ac:dyDescent="0.2">
      <c r="A9" s="86" t="s">
        <v>652</v>
      </c>
      <c r="B9" s="1241" t="s">
        <v>693</v>
      </c>
      <c r="C9" s="1241"/>
      <c r="D9" s="86" t="s">
        <v>659</v>
      </c>
      <c r="E9" s="86" t="s">
        <v>659</v>
      </c>
      <c r="F9" s="86" t="s">
        <v>659</v>
      </c>
      <c r="G9" s="86" t="s">
        <v>659</v>
      </c>
      <c r="H9" s="86" t="s">
        <v>659</v>
      </c>
      <c r="I9" s="86" t="s">
        <v>659</v>
      </c>
      <c r="L9" s="1" t="s">
        <v>723</v>
      </c>
    </row>
    <row r="10" spans="1:12" x14ac:dyDescent="0.2">
      <c r="A10" s="1">
        <v>8</v>
      </c>
      <c r="B10" s="1">
        <v>22.1</v>
      </c>
      <c r="C10" s="1">
        <v>24.4</v>
      </c>
      <c r="D10" s="1">
        <v>30</v>
      </c>
      <c r="E10" s="1">
        <v>32</v>
      </c>
      <c r="F10" s="1">
        <v>33</v>
      </c>
      <c r="G10" s="1">
        <v>36</v>
      </c>
      <c r="H10" s="1">
        <v>37</v>
      </c>
      <c r="I10" s="1">
        <v>40</v>
      </c>
      <c r="L10" s="1">
        <v>0.52</v>
      </c>
    </row>
    <row r="11" spans="1:12" x14ac:dyDescent="0.2">
      <c r="A11" s="1">
        <v>9</v>
      </c>
      <c r="B11" s="1">
        <v>28</v>
      </c>
      <c r="C11" s="1">
        <v>30.8</v>
      </c>
      <c r="D11" s="1">
        <v>37</v>
      </c>
      <c r="E11" s="1">
        <v>40</v>
      </c>
      <c r="F11" s="1">
        <v>42</v>
      </c>
      <c r="G11" s="1">
        <v>46</v>
      </c>
      <c r="H11" s="1">
        <v>47</v>
      </c>
      <c r="I11" s="1">
        <v>51</v>
      </c>
      <c r="L11" s="1">
        <v>0.75</v>
      </c>
    </row>
    <row r="12" spans="1:12" x14ac:dyDescent="0.2">
      <c r="A12" s="1">
        <v>10</v>
      </c>
      <c r="B12" s="1">
        <v>34.6</v>
      </c>
      <c r="C12" s="1">
        <v>38.1</v>
      </c>
      <c r="D12" s="1">
        <v>46</v>
      </c>
      <c r="E12" s="1">
        <v>50</v>
      </c>
      <c r="F12" s="1">
        <v>52</v>
      </c>
      <c r="G12" s="1">
        <v>56</v>
      </c>
      <c r="H12" s="1">
        <v>58</v>
      </c>
      <c r="I12" s="1">
        <v>62</v>
      </c>
      <c r="L12" s="1">
        <v>1.5</v>
      </c>
    </row>
    <row r="13" spans="1:12" x14ac:dyDescent="0.2">
      <c r="A13" s="1">
        <v>11</v>
      </c>
      <c r="B13" s="1">
        <v>41.9</v>
      </c>
      <c r="C13" s="1">
        <v>46.1</v>
      </c>
      <c r="D13" s="1">
        <v>56</v>
      </c>
      <c r="E13" s="1">
        <v>60</v>
      </c>
      <c r="F13" s="1">
        <v>63</v>
      </c>
      <c r="G13" s="1">
        <v>68</v>
      </c>
      <c r="H13" s="1">
        <v>70</v>
      </c>
      <c r="I13" s="1">
        <v>76</v>
      </c>
      <c r="L13" s="1">
        <v>2.2000000000000002</v>
      </c>
    </row>
    <row r="14" spans="1:12" x14ac:dyDescent="0.2">
      <c r="A14" s="1">
        <v>12</v>
      </c>
      <c r="B14" s="1">
        <v>49.8</v>
      </c>
      <c r="C14" s="1">
        <v>54.8</v>
      </c>
      <c r="D14" s="1">
        <v>67</v>
      </c>
      <c r="E14" s="1">
        <v>72</v>
      </c>
      <c r="F14" s="1">
        <v>75</v>
      </c>
      <c r="G14" s="1">
        <v>81</v>
      </c>
      <c r="H14" s="1">
        <v>83</v>
      </c>
      <c r="I14" s="1">
        <v>90</v>
      </c>
      <c r="L14" s="1">
        <v>3.7</v>
      </c>
    </row>
    <row r="15" spans="1:12" x14ac:dyDescent="0.2">
      <c r="A15" s="1">
        <v>13</v>
      </c>
      <c r="B15" s="1">
        <v>58.5</v>
      </c>
      <c r="C15" s="1">
        <v>64.3</v>
      </c>
      <c r="D15" s="1">
        <v>78</v>
      </c>
      <c r="E15" s="1">
        <v>84</v>
      </c>
      <c r="F15" s="1">
        <v>88</v>
      </c>
      <c r="G15" s="1">
        <v>95</v>
      </c>
      <c r="H15" s="1">
        <v>98</v>
      </c>
      <c r="I15" s="1">
        <v>105</v>
      </c>
      <c r="L15" s="1">
        <v>5.5</v>
      </c>
    </row>
    <row r="16" spans="1:12" x14ac:dyDescent="0.2">
      <c r="A16" s="1">
        <v>14</v>
      </c>
      <c r="B16" s="1">
        <v>67.8</v>
      </c>
      <c r="C16" s="1">
        <v>74.599999999999994</v>
      </c>
      <c r="D16" s="1">
        <v>91</v>
      </c>
      <c r="E16" s="1">
        <v>98</v>
      </c>
      <c r="F16" s="1">
        <v>102</v>
      </c>
      <c r="G16" s="1">
        <v>110</v>
      </c>
      <c r="H16" s="1">
        <v>113</v>
      </c>
      <c r="I16" s="1">
        <v>122</v>
      </c>
      <c r="L16" s="1">
        <v>7.5</v>
      </c>
    </row>
    <row r="17" spans="1:12" x14ac:dyDescent="0.2">
      <c r="A17" s="1">
        <v>16</v>
      </c>
      <c r="B17" s="1">
        <v>88.6</v>
      </c>
      <c r="C17" s="1">
        <v>97.4</v>
      </c>
      <c r="D17" s="1">
        <v>118</v>
      </c>
      <c r="E17" s="1">
        <v>128</v>
      </c>
      <c r="F17" s="1">
        <v>134</v>
      </c>
      <c r="G17" s="1">
        <v>114</v>
      </c>
      <c r="H17" s="1">
        <v>148</v>
      </c>
      <c r="I17" s="1">
        <v>160</v>
      </c>
      <c r="L17" s="1">
        <v>9.3000000000000007</v>
      </c>
    </row>
    <row r="18" spans="1:12" x14ac:dyDescent="0.2">
      <c r="A18" s="1">
        <v>18</v>
      </c>
      <c r="B18" s="1">
        <v>112</v>
      </c>
      <c r="C18" s="1">
        <v>123</v>
      </c>
      <c r="D18" s="1">
        <v>150</v>
      </c>
      <c r="E18" s="1">
        <v>162</v>
      </c>
      <c r="F18" s="1">
        <v>169</v>
      </c>
      <c r="G18" s="1">
        <v>183</v>
      </c>
      <c r="H18" s="1">
        <v>187</v>
      </c>
      <c r="I18" s="1">
        <v>202</v>
      </c>
      <c r="L18" s="1">
        <v>11</v>
      </c>
    </row>
    <row r="19" spans="1:12" x14ac:dyDescent="0.2">
      <c r="A19" s="1">
        <v>19</v>
      </c>
      <c r="B19" s="1">
        <v>125</v>
      </c>
      <c r="C19" s="1">
        <v>137</v>
      </c>
      <c r="D19" s="1">
        <v>167</v>
      </c>
      <c r="E19" s="1">
        <v>180</v>
      </c>
      <c r="F19" s="1">
        <v>188</v>
      </c>
      <c r="G19" s="1">
        <v>203</v>
      </c>
      <c r="H19" s="1">
        <v>209</v>
      </c>
      <c r="I19" s="1">
        <v>225</v>
      </c>
      <c r="L19" s="1">
        <v>15</v>
      </c>
    </row>
    <row r="20" spans="1:12" x14ac:dyDescent="0.2">
      <c r="A20" s="1">
        <v>20</v>
      </c>
      <c r="B20" s="1">
        <v>138</v>
      </c>
      <c r="C20" s="1">
        <v>152</v>
      </c>
      <c r="D20" s="1">
        <v>185</v>
      </c>
      <c r="E20" s="1">
        <v>200</v>
      </c>
      <c r="F20" s="1">
        <v>209</v>
      </c>
      <c r="G20" s="1">
        <v>225</v>
      </c>
      <c r="H20" s="1">
        <v>231</v>
      </c>
      <c r="I20" s="1">
        <v>250</v>
      </c>
      <c r="L20" s="1">
        <v>18.5</v>
      </c>
    </row>
    <row r="21" spans="1:12" x14ac:dyDescent="0.2">
      <c r="A21" s="1">
        <v>22</v>
      </c>
      <c r="B21" s="1">
        <v>167</v>
      </c>
      <c r="C21" s="1">
        <v>184</v>
      </c>
      <c r="D21" s="1">
        <v>224</v>
      </c>
      <c r="E21" s="1">
        <v>242</v>
      </c>
      <c r="F21" s="1">
        <v>253</v>
      </c>
      <c r="G21" s="1">
        <v>273</v>
      </c>
      <c r="H21" s="1">
        <v>280</v>
      </c>
      <c r="I21" s="1">
        <v>302</v>
      </c>
      <c r="L21" s="1">
        <v>22.5</v>
      </c>
    </row>
    <row r="22" spans="1:12" x14ac:dyDescent="0.2">
      <c r="A22" s="1">
        <v>24</v>
      </c>
      <c r="B22" s="1">
        <v>199</v>
      </c>
      <c r="C22" s="1">
        <v>219</v>
      </c>
      <c r="D22" s="1">
        <v>267</v>
      </c>
      <c r="E22" s="1">
        <v>288</v>
      </c>
      <c r="F22" s="1">
        <v>301</v>
      </c>
      <c r="G22" s="1">
        <v>325</v>
      </c>
      <c r="H22" s="1">
        <v>333</v>
      </c>
      <c r="I22" s="1">
        <v>359</v>
      </c>
      <c r="L22" s="1">
        <v>26</v>
      </c>
    </row>
    <row r="23" spans="1:12" x14ac:dyDescent="0.2">
      <c r="A23" s="1">
        <v>26</v>
      </c>
      <c r="B23" s="1">
        <v>234</v>
      </c>
      <c r="C23" s="1">
        <v>257</v>
      </c>
      <c r="D23" s="1">
        <v>313</v>
      </c>
      <c r="E23" s="1">
        <v>338</v>
      </c>
      <c r="F23" s="1">
        <v>353</v>
      </c>
      <c r="G23" s="1">
        <v>381</v>
      </c>
      <c r="H23" s="1">
        <v>391</v>
      </c>
      <c r="I23" s="1">
        <v>422</v>
      </c>
      <c r="L23" s="1">
        <v>37</v>
      </c>
    </row>
    <row r="24" spans="1:12" x14ac:dyDescent="0.2">
      <c r="A24" s="1">
        <v>28</v>
      </c>
      <c r="B24" s="1">
        <v>271</v>
      </c>
      <c r="C24" s="1">
        <v>298</v>
      </c>
      <c r="D24" s="1">
        <v>363</v>
      </c>
      <c r="E24" s="1">
        <v>392</v>
      </c>
      <c r="F24" s="1">
        <v>409</v>
      </c>
      <c r="G24" s="1">
        <v>442</v>
      </c>
      <c r="H24" s="1">
        <v>453</v>
      </c>
      <c r="I24" s="1">
        <v>489</v>
      </c>
      <c r="L24" s="1">
        <v>45</v>
      </c>
    </row>
    <row r="25" spans="1:12" x14ac:dyDescent="0.2">
      <c r="A25" s="1">
        <v>32</v>
      </c>
      <c r="B25" s="1">
        <v>354</v>
      </c>
      <c r="C25" s="1">
        <v>390</v>
      </c>
      <c r="D25" s="1">
        <v>474</v>
      </c>
      <c r="E25" s="1">
        <v>512</v>
      </c>
      <c r="F25" s="1">
        <v>534</v>
      </c>
      <c r="G25" s="1">
        <v>577</v>
      </c>
      <c r="H25" s="1">
        <v>592</v>
      </c>
      <c r="I25" s="1">
        <v>639</v>
      </c>
      <c r="L25" s="1">
        <v>55</v>
      </c>
    </row>
    <row r="26" spans="1:12" x14ac:dyDescent="0.2">
      <c r="A26" s="1">
        <v>36</v>
      </c>
      <c r="B26" s="1">
        <v>448</v>
      </c>
      <c r="C26" s="1">
        <v>493</v>
      </c>
      <c r="D26" s="1">
        <v>600</v>
      </c>
      <c r="E26" s="1">
        <v>648</v>
      </c>
      <c r="F26" s="1">
        <v>676</v>
      </c>
      <c r="G26" s="1">
        <v>730</v>
      </c>
      <c r="H26" s="1">
        <v>749</v>
      </c>
      <c r="I26" s="1">
        <v>809</v>
      </c>
      <c r="L26" s="1">
        <v>67.5</v>
      </c>
    </row>
    <row r="27" spans="1:12" x14ac:dyDescent="0.2">
      <c r="A27" s="1">
        <v>38</v>
      </c>
      <c r="B27" s="1">
        <v>500</v>
      </c>
      <c r="C27" s="1">
        <v>550</v>
      </c>
      <c r="D27" s="1">
        <v>668</v>
      </c>
      <c r="E27" s="1">
        <v>722</v>
      </c>
      <c r="F27" s="1">
        <v>753</v>
      </c>
      <c r="G27" s="1">
        <v>814</v>
      </c>
      <c r="H27" s="1">
        <v>834</v>
      </c>
      <c r="I27" s="1">
        <v>301</v>
      </c>
      <c r="L27" s="1">
        <v>75</v>
      </c>
    </row>
    <row r="28" spans="1:12" x14ac:dyDescent="0.2">
      <c r="A28" s="1">
        <v>40</v>
      </c>
      <c r="B28" s="1">
        <v>554</v>
      </c>
      <c r="C28" s="1">
        <v>609</v>
      </c>
      <c r="D28" s="1">
        <v>741</v>
      </c>
      <c r="E28" s="1">
        <v>800</v>
      </c>
      <c r="F28" s="1">
        <v>835</v>
      </c>
      <c r="G28" s="1">
        <v>902</v>
      </c>
      <c r="H28" s="1">
        <v>924</v>
      </c>
      <c r="I28" s="1">
        <v>999</v>
      </c>
      <c r="L28" s="1">
        <v>90</v>
      </c>
    </row>
    <row r="29" spans="1:12" x14ac:dyDescent="0.2">
      <c r="A29" s="1">
        <v>44</v>
      </c>
      <c r="B29" s="1">
        <v>670</v>
      </c>
      <c r="C29" s="1">
        <v>737</v>
      </c>
      <c r="D29" s="1">
        <v>896</v>
      </c>
      <c r="E29" s="1">
        <v>968</v>
      </c>
      <c r="F29" s="1">
        <v>1010</v>
      </c>
      <c r="G29" s="1">
        <v>1091</v>
      </c>
      <c r="H29" s="1">
        <v>1119</v>
      </c>
      <c r="I29" s="1">
        <v>1208</v>
      </c>
      <c r="L29" s="1">
        <v>110</v>
      </c>
    </row>
    <row r="30" spans="1:12" x14ac:dyDescent="0.2">
      <c r="A30" s="1">
        <v>48</v>
      </c>
      <c r="B30" s="1">
        <v>797</v>
      </c>
      <c r="C30" s="1">
        <v>877</v>
      </c>
      <c r="D30" s="1">
        <v>1066</v>
      </c>
      <c r="E30" s="1">
        <v>1152</v>
      </c>
      <c r="F30" s="1">
        <v>1202</v>
      </c>
      <c r="G30" s="1">
        <v>1298</v>
      </c>
      <c r="H30" s="1">
        <v>1331</v>
      </c>
      <c r="I30" s="1">
        <v>1438</v>
      </c>
    </row>
    <row r="31" spans="1:12" x14ac:dyDescent="0.2">
      <c r="A31" s="1">
        <v>52</v>
      </c>
      <c r="B31" s="1">
        <v>936</v>
      </c>
      <c r="C31" s="1">
        <v>1029</v>
      </c>
      <c r="D31" s="1">
        <v>1252</v>
      </c>
      <c r="E31" s="1">
        <v>1352</v>
      </c>
      <c r="F31" s="1">
        <v>1411</v>
      </c>
      <c r="G31" s="1">
        <v>1524</v>
      </c>
      <c r="H31" s="1">
        <v>1562</v>
      </c>
      <c r="I31" s="1">
        <v>1687</v>
      </c>
    </row>
    <row r="32" spans="1:12" x14ac:dyDescent="0.2">
      <c r="A32" s="1">
        <v>56</v>
      </c>
      <c r="B32" s="1">
        <v>1085</v>
      </c>
      <c r="C32" s="1">
        <v>0</v>
      </c>
      <c r="D32" s="1">
        <v>1451</v>
      </c>
      <c r="E32" s="1">
        <v>0</v>
      </c>
      <c r="F32" s="1">
        <v>1636</v>
      </c>
      <c r="G32" s="1">
        <v>0</v>
      </c>
      <c r="H32" s="1">
        <v>1812</v>
      </c>
      <c r="I32" s="1">
        <v>0</v>
      </c>
    </row>
    <row r="33" spans="1:9" x14ac:dyDescent="0.2">
      <c r="A33" s="1">
        <v>60</v>
      </c>
      <c r="B33" s="1">
        <v>1246</v>
      </c>
      <c r="C33" s="1">
        <v>0</v>
      </c>
      <c r="D33" s="1">
        <v>1666</v>
      </c>
      <c r="E33" s="1">
        <v>0</v>
      </c>
      <c r="F33" s="1">
        <v>1878</v>
      </c>
      <c r="G33" s="1">
        <v>0</v>
      </c>
      <c r="H33" s="1">
        <v>2080</v>
      </c>
      <c r="I33" s="1">
        <v>0</v>
      </c>
    </row>
    <row r="34" spans="1:9" x14ac:dyDescent="0.2">
      <c r="A34" s="1">
        <v>64</v>
      </c>
      <c r="B34" s="1">
        <v>1417</v>
      </c>
      <c r="C34" s="1">
        <v>0</v>
      </c>
      <c r="D34" s="1">
        <v>1896</v>
      </c>
      <c r="E34" s="1">
        <v>0</v>
      </c>
      <c r="F34" s="1">
        <v>2137</v>
      </c>
      <c r="G34" s="1">
        <v>0</v>
      </c>
      <c r="H34" s="1">
        <v>2367</v>
      </c>
      <c r="I34" s="1">
        <v>0</v>
      </c>
    </row>
  </sheetData>
  <mergeCells count="7">
    <mergeCell ref="A5:A7"/>
    <mergeCell ref="B9:C9"/>
    <mergeCell ref="D5:I5"/>
    <mergeCell ref="D6:E6"/>
    <mergeCell ref="F6:G6"/>
    <mergeCell ref="H6:I6"/>
    <mergeCell ref="B5:C6"/>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108</vt:i4>
      </vt:variant>
    </vt:vector>
  </HeadingPairs>
  <TitlesOfParts>
    <vt:vector size="131" baseType="lpstr">
      <vt:lpstr>Summary</vt:lpstr>
      <vt:lpstr>Beam Spacing</vt:lpstr>
      <vt:lpstr>Define Beam</vt:lpstr>
      <vt:lpstr>Stiffeners</vt:lpstr>
      <vt:lpstr>SecProp</vt:lpstr>
      <vt:lpstr>Stress</vt:lpstr>
      <vt:lpstr>Seals</vt:lpstr>
      <vt:lpstr>Wheel Spacing</vt:lpstr>
      <vt:lpstr>Wheel Design</vt:lpstr>
      <vt:lpstr>Wheel Design IS</vt:lpstr>
      <vt:lpstr>Lib</vt:lpstr>
      <vt:lpstr>Plates</vt:lpstr>
      <vt:lpstr>Weight &amp; cg</vt:lpstr>
      <vt:lpstr>Operation</vt:lpstr>
      <vt:lpstr>Rope Drum Hoist</vt:lpstr>
      <vt:lpstr>Embedded</vt:lpstr>
      <vt:lpstr>Hoist(Rope Drum)</vt:lpstr>
      <vt:lpstr>Embedded Parts</vt:lpstr>
      <vt:lpstr>6x37 Rope specification</vt:lpstr>
      <vt:lpstr>ISMC</vt:lpstr>
      <vt:lpstr>ISMB</vt:lpstr>
      <vt:lpstr>material </vt:lpstr>
      <vt:lpstr>Sheet3</vt:lpstr>
      <vt:lpstr>Acc</vt:lpstr>
      <vt:lpstr>Alp</vt:lpstr>
      <vt:lpstr>Ballast</vt:lpstr>
      <vt:lpstr>BeamT</vt:lpstr>
      <vt:lpstr>BeamTypes</vt:lpstr>
      <vt:lpstr>Bolt16</vt:lpstr>
      <vt:lpstr>Bolt20</vt:lpstr>
      <vt:lpstr>Bolt24</vt:lpstr>
      <vt:lpstr>Bolt27</vt:lpstr>
      <vt:lpstr>BSref</vt:lpstr>
      <vt:lpstr>BSrow</vt:lpstr>
      <vt:lpstr>CCCC</vt:lpstr>
      <vt:lpstr>CCCCA</vt:lpstr>
      <vt:lpstr>CCCCB</vt:lpstr>
      <vt:lpstr>CCCCC</vt:lpstr>
      <vt:lpstr>CCCCD</vt:lpstr>
      <vt:lpstr>CCCCE</vt:lpstr>
      <vt:lpstr>CCCCF</vt:lpstr>
      <vt:lpstr>CCCCG</vt:lpstr>
      <vt:lpstr>CCCCH</vt:lpstr>
      <vt:lpstr>CCCCI</vt:lpstr>
      <vt:lpstr>CCCF</vt:lpstr>
      <vt:lpstr>CCCFA</vt:lpstr>
      <vt:lpstr>CCCFB</vt:lpstr>
      <vt:lpstr>CCCFD</vt:lpstr>
      <vt:lpstr>CCCFE</vt:lpstr>
      <vt:lpstr>CCCFG</vt:lpstr>
      <vt:lpstr>CCCFH</vt:lpstr>
      <vt:lpstr>CorAll</vt:lpstr>
      <vt:lpstr>CType</vt:lpstr>
      <vt:lpstr>D</vt:lpstr>
      <vt:lpstr>DBref</vt:lpstr>
      <vt:lpstr>DBrow</vt:lpstr>
      <vt:lpstr>dh</vt:lpstr>
      <vt:lpstr>DKG</vt:lpstr>
      <vt:lpstr>dt</vt:lpstr>
      <vt:lpstr>dweb</vt:lpstr>
      <vt:lpstr>E</vt:lpstr>
      <vt:lpstr>ExistN</vt:lpstr>
      <vt:lpstr>existWSN</vt:lpstr>
      <vt:lpstr>friction</vt:lpstr>
      <vt:lpstr>Fyb</vt:lpstr>
      <vt:lpstr>Fys</vt:lpstr>
      <vt:lpstr>Fyw</vt:lpstr>
      <vt:lpstr>GateType</vt:lpstr>
      <vt:lpstr>GDF</vt:lpstr>
      <vt:lpstr>GType</vt:lpstr>
      <vt:lpstr>HB</vt:lpstr>
      <vt:lpstr>Hp</vt:lpstr>
      <vt:lpstr>IShape</vt:lpstr>
      <vt:lpstr>ISMB</vt:lpstr>
      <vt:lpstr>LFH</vt:lpstr>
      <vt:lpstr>LinType</vt:lpstr>
      <vt:lpstr>Loc</vt:lpstr>
      <vt:lpstr>Lse</vt:lpstr>
      <vt:lpstr>Lsup</vt:lpstr>
      <vt:lpstr>N</vt:lpstr>
      <vt:lpstr>'Beam Spacing'!Print_Area</vt:lpstr>
      <vt:lpstr>'Define Beam'!Print_Area</vt:lpstr>
      <vt:lpstr>Downpull!Print_Area</vt:lpstr>
      <vt:lpstr>Embedded!Print_Area</vt:lpstr>
      <vt:lpstr>'Embedded Parts'!Print_Area</vt:lpstr>
      <vt:lpstr>'Hoist(Rope Drum)'!Print_Area</vt:lpstr>
      <vt:lpstr>Operation!Print_Area</vt:lpstr>
      <vt:lpstr>'Rope Drum Hoist'!Print_Area</vt:lpstr>
      <vt:lpstr>Seals!Print_Area</vt:lpstr>
      <vt:lpstr>SecProp!Print_Area</vt:lpstr>
      <vt:lpstr>Stress!Print_Area</vt:lpstr>
      <vt:lpstr>Summary!Print_Area</vt:lpstr>
      <vt:lpstr>'Weight &amp; cg'!Print_Area</vt:lpstr>
      <vt:lpstr>'Wheel Spacing'!Print_Area</vt:lpstr>
      <vt:lpstr>Embedded!Print_Titles</vt:lpstr>
      <vt:lpstr>SecProp!Print_Titles</vt:lpstr>
      <vt:lpstr>Stiffeners!Print_Titles</vt:lpstr>
      <vt:lpstr>Stress!Print_Titles</vt:lpstr>
      <vt:lpstr>PType</vt:lpstr>
      <vt:lpstr>qr</vt:lpstr>
      <vt:lpstr>qv</vt:lpstr>
      <vt:lpstr>RopeData</vt:lpstr>
      <vt:lpstr>RPW</vt:lpstr>
      <vt:lpstr>RT</vt:lpstr>
      <vt:lpstr>RTB</vt:lpstr>
      <vt:lpstr>Rw</vt:lpstr>
      <vt:lpstr>Sdata</vt:lpstr>
      <vt:lpstr>ShapeData</vt:lpstr>
      <vt:lpstr>SidType</vt:lpstr>
      <vt:lpstr>Sigb</vt:lpstr>
      <vt:lpstr>SilType</vt:lpstr>
      <vt:lpstr>SpaceMethod</vt:lpstr>
      <vt:lpstr>SPref</vt:lpstr>
      <vt:lpstr>SProw</vt:lpstr>
      <vt:lpstr>STref</vt:lpstr>
      <vt:lpstr>STrow</vt:lpstr>
      <vt:lpstr>tap</vt:lpstr>
      <vt:lpstr>VSref</vt:lpstr>
      <vt:lpstr>VSrow</vt:lpstr>
      <vt:lpstr>WDD</vt:lpstr>
      <vt:lpstr>WDE</vt:lpstr>
      <vt:lpstr>WDmu</vt:lpstr>
      <vt:lpstr>WDRt</vt:lpstr>
      <vt:lpstr>WDT</vt:lpstr>
      <vt:lpstr>WSacc</vt:lpstr>
      <vt:lpstr>WSmethod</vt:lpstr>
      <vt:lpstr>WSN</vt:lpstr>
      <vt:lpstr>WSref</vt:lpstr>
      <vt:lpstr>WSrow</vt:lpstr>
      <vt:lpstr>WTref</vt:lpstr>
      <vt:lpstr>WTrow</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Gokarna Pyakurel</dc:creator>
  <cp:lastModifiedBy>Bikalpa Khadka</cp:lastModifiedBy>
  <cp:lastPrinted>2018-08-27T05:58:01Z</cp:lastPrinted>
  <dcterms:created xsi:type="dcterms:W3CDTF">2017-11-18T11:37:30Z</dcterms:created>
  <dcterms:modified xsi:type="dcterms:W3CDTF">2023-08-18T09:19:49Z</dcterms:modified>
</cp:coreProperties>
</file>