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myoffice.accenture.com/personal/asier_requena_accenture_com/Documents/Documentos Asier/MSc Corporate Finance @IEB/"/>
    </mc:Choice>
  </mc:AlternateContent>
  <xr:revisionPtr revIDLastSave="5860" documentId="8_{26F49966-2F0D-4126-B3ED-866215C5C32F}" xr6:coauthVersionLast="47" xr6:coauthVersionMax="47" xr10:uidLastSave="{EABBB65D-B7B1-4365-BE30-16940A7032BC}"/>
  <bookViews>
    <workbookView xWindow="-110" yWindow="-110" windowWidth="25820" windowHeight="15500" tabRatio="783" activeTab="8" xr2:uid="{1BDE1FBA-C85A-4A90-89F2-E960CE133B46}"/>
  </bookViews>
  <sheets>
    <sheet name="Dashboard" sheetId="13" r:id="rId1"/>
    <sheet name="Info" sheetId="9" r:id="rId2"/>
    <sheet name="Projections" sheetId="4" r:id="rId3"/>
    <sheet name="Ratios &amp; KPI's" sheetId="7" r:id="rId4"/>
    <sheet name="NWC Assumptions" sheetId="10" state="hidden" r:id="rId5"/>
    <sheet name="Fixed Assets" sheetId="11" r:id="rId6"/>
    <sheet name="WACC" sheetId="12" r:id="rId7"/>
    <sheet name="Income Statement" sheetId="3" r:id="rId8"/>
    <sheet name="Balance" sheetId="5" r:id="rId9"/>
    <sheet name="Cash Flow Statement" sheetId="6" r:id="rId10"/>
    <sheet name="DCF" sheetId="2" r:id="rId11"/>
    <sheet name="Graphics" sheetId="8" state="hidden" r:id="rId12"/>
  </sheets>
  <definedNames>
    <definedName name="_xlchart.v1.0" hidden="1">(DCF!$B$6:$B$7,DCF!$B$9,DCF!$B$11:$B$13)</definedName>
    <definedName name="_xlchart.v1.1" hidden="1">(DCF!$C$6:$C$7,DCF!$C$9,DCF!$C$11:$C$13)</definedName>
    <definedName name="_xlchart.v1.2" hidden="1">Info!$B$18:$B$24</definedName>
    <definedName name="_xlchart.v1.3" hidden="1">Info!$G$17</definedName>
    <definedName name="_xlchart.v1.4" hidden="1">Info!$G$18:$G$24</definedName>
    <definedName name="growth_rate">WACC!$C$19</definedName>
    <definedName name="WACC">WACC!$G$7</definedName>
  </definedNames>
  <calcPr calcId="191029" iterate="1" iterateCount="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3" l="1"/>
  <c r="J14" i="4"/>
  <c r="D20" i="8" l="1"/>
  <c r="D15" i="8"/>
  <c r="E15" i="8"/>
  <c r="F15" i="8"/>
  <c r="G15" i="8"/>
  <c r="C15" i="8"/>
  <c r="G8" i="8"/>
  <c r="F8" i="8"/>
  <c r="E8" i="8"/>
  <c r="D8" i="8"/>
  <c r="E3" i="8"/>
  <c r="F3" i="8"/>
  <c r="G3" i="8"/>
  <c r="D3" i="8"/>
  <c r="M21" i="5" l="1"/>
  <c r="L21" i="5"/>
  <c r="K21" i="5"/>
  <c r="J21" i="5"/>
  <c r="D10" i="11"/>
  <c r="E10" i="11"/>
  <c r="J10" i="11" s="1"/>
  <c r="F10" i="11"/>
  <c r="G10" i="11"/>
  <c r="H10" i="11"/>
  <c r="I10" i="11"/>
  <c r="J141" i="4"/>
  <c r="E141" i="4"/>
  <c r="F141" i="4"/>
  <c r="G141" i="4"/>
  <c r="H141" i="4"/>
  <c r="I141" i="4"/>
  <c r="D141" i="4"/>
  <c r="D140" i="4"/>
  <c r="E140" i="4"/>
  <c r="F140" i="4"/>
  <c r="G140" i="4"/>
  <c r="H140" i="4"/>
  <c r="I140" i="4"/>
  <c r="C140" i="4"/>
  <c r="E25" i="11"/>
  <c r="F25" i="11"/>
  <c r="G25" i="11"/>
  <c r="H25" i="11"/>
  <c r="I25" i="11"/>
  <c r="D25" i="11"/>
  <c r="E23" i="11"/>
  <c r="F23" i="11"/>
  <c r="G23" i="11"/>
  <c r="H23" i="11"/>
  <c r="I23" i="11"/>
  <c r="D23" i="11"/>
  <c r="K25" i="6"/>
  <c r="L25" i="6"/>
  <c r="M25" i="6"/>
  <c r="D15" i="9" a="1"/>
  <c r="D15" i="9" s="1"/>
  <c r="G24" i="9" a="1"/>
  <c r="G24" i="9" s="1"/>
  <c r="F24" i="9" a="1"/>
  <c r="F24" i="9" s="1"/>
  <c r="E24" i="9" a="1"/>
  <c r="E24" i="9" s="1"/>
  <c r="D24" i="9" a="1"/>
  <c r="D24" i="9" s="1"/>
  <c r="G23" i="9" a="1"/>
  <c r="G23" i="9" s="1"/>
  <c r="F23" i="9" a="1"/>
  <c r="F23" i="9" s="1"/>
  <c r="E23" i="9" a="1"/>
  <c r="E23" i="9" s="1"/>
  <c r="D23" i="9" a="1"/>
  <c r="D23" i="9" s="1"/>
  <c r="G22" i="9" a="1"/>
  <c r="G22" i="9" s="1"/>
  <c r="F22" i="9" a="1"/>
  <c r="F22" i="9" s="1"/>
  <c r="E22" i="9" a="1"/>
  <c r="E22" i="9" s="1"/>
  <c r="D22" i="9" a="1"/>
  <c r="D22" i="9" s="1"/>
  <c r="G21" i="9" a="1"/>
  <c r="G21" i="9" s="1"/>
  <c r="F21" i="9" a="1"/>
  <c r="F21" i="9" s="1"/>
  <c r="E21" i="9" a="1"/>
  <c r="E21" i="9" s="1"/>
  <c r="D21" i="9" a="1"/>
  <c r="D21" i="9" s="1"/>
  <c r="G20" i="9" a="1"/>
  <c r="G20" i="9" s="1"/>
  <c r="F20" i="9" a="1"/>
  <c r="F20" i="9" s="1"/>
  <c r="E20" i="9" a="1"/>
  <c r="E20" i="9" s="1"/>
  <c r="D20" i="9" a="1"/>
  <c r="D20" i="9" s="1"/>
  <c r="G19" i="9" a="1"/>
  <c r="G19" i="9" s="1"/>
  <c r="F19" i="9" a="1"/>
  <c r="F19" i="9" s="1"/>
  <c r="E19" i="9" a="1"/>
  <c r="E19" i="9" s="1"/>
  <c r="D19" i="9" a="1"/>
  <c r="D19" i="9" s="1"/>
  <c r="G18" i="9" a="1"/>
  <c r="G18" i="9" s="1"/>
  <c r="F18" i="9" a="1"/>
  <c r="F18" i="9" s="1"/>
  <c r="E18" i="9" a="1"/>
  <c r="E18" i="9" s="1"/>
  <c r="D18" i="9" a="1"/>
  <c r="D18" i="9" s="1"/>
  <c r="G15" i="9" l="1" a="1"/>
  <c r="G15" i="9" s="1"/>
  <c r="C16" i="12" s="1"/>
  <c r="L8" i="2"/>
  <c r="C8" i="12" l="1"/>
  <c r="I8" i="11" l="1"/>
  <c r="J5" i="11" s="1"/>
  <c r="J7" i="11" s="1"/>
  <c r="E21" i="11"/>
  <c r="F21" i="11"/>
  <c r="G21" i="11"/>
  <c r="H21" i="11"/>
  <c r="I21" i="11"/>
  <c r="J18" i="11" s="1"/>
  <c r="J19" i="11" s="1"/>
  <c r="J24" i="11" s="1"/>
  <c r="E19" i="11"/>
  <c r="E24" i="11" s="1"/>
  <c r="E26" i="11" s="1"/>
  <c r="F19" i="11"/>
  <c r="F24" i="11" s="1"/>
  <c r="F26" i="11" s="1"/>
  <c r="G19" i="11"/>
  <c r="G24" i="11" s="1"/>
  <c r="G26" i="11" s="1"/>
  <c r="H19" i="11"/>
  <c r="H24" i="11" s="1"/>
  <c r="H26" i="11" s="1"/>
  <c r="I19" i="11"/>
  <c r="I24" i="11" s="1"/>
  <c r="I26" i="11" s="1"/>
  <c r="E18" i="11"/>
  <c r="F18" i="11"/>
  <c r="G18" i="11"/>
  <c r="H18" i="11"/>
  <c r="I18" i="11"/>
  <c r="E8" i="11"/>
  <c r="F8" i="11"/>
  <c r="G8" i="11"/>
  <c r="H8" i="11"/>
  <c r="E6" i="11"/>
  <c r="F6" i="11"/>
  <c r="G6" i="11"/>
  <c r="H6" i="11"/>
  <c r="I6" i="11"/>
  <c r="E5" i="11"/>
  <c r="F5" i="11"/>
  <c r="G5" i="11"/>
  <c r="H5" i="11"/>
  <c r="I5" i="11"/>
  <c r="D21" i="11"/>
  <c r="D19" i="11"/>
  <c r="D24" i="11" s="1"/>
  <c r="D26" i="11" s="1"/>
  <c r="D18" i="11"/>
  <c r="I13" i="10"/>
  <c r="D18" i="10"/>
  <c r="E18" i="10"/>
  <c r="F18" i="10"/>
  <c r="G18" i="10"/>
  <c r="H18" i="10"/>
  <c r="I18" i="10"/>
  <c r="C18" i="10"/>
  <c r="C22" i="10" s="1"/>
  <c r="D17" i="10"/>
  <c r="E17" i="10"/>
  <c r="F17" i="10"/>
  <c r="G17" i="10"/>
  <c r="H17" i="10"/>
  <c r="I17" i="10"/>
  <c r="C17" i="10"/>
  <c r="M28" i="3"/>
  <c r="L28" i="3"/>
  <c r="K28" i="3"/>
  <c r="J28" i="3"/>
  <c r="K23" i="3"/>
  <c r="L23" i="3"/>
  <c r="M23" i="3"/>
  <c r="J23" i="3"/>
  <c r="K20" i="3"/>
  <c r="L20" i="3"/>
  <c r="M20" i="3"/>
  <c r="J20" i="3"/>
  <c r="K87" i="4"/>
  <c r="L87" i="4"/>
  <c r="M87" i="4"/>
  <c r="J87" i="4"/>
  <c r="D137" i="4"/>
  <c r="E137" i="4"/>
  <c r="F137" i="4"/>
  <c r="G137" i="4"/>
  <c r="H137" i="4"/>
  <c r="I137" i="4"/>
  <c r="C137" i="4"/>
  <c r="C21" i="10" l="1"/>
  <c r="G29" i="11"/>
  <c r="F29" i="11"/>
  <c r="H29" i="11"/>
  <c r="I29" i="11"/>
  <c r="D29" i="11"/>
  <c r="E29" i="11"/>
  <c r="J29" i="11"/>
  <c r="E20" i="11"/>
  <c r="E32" i="11" s="1"/>
  <c r="D31" i="11"/>
  <c r="J74" i="4"/>
  <c r="J20" i="11"/>
  <c r="F12" i="11"/>
  <c r="J6" i="11"/>
  <c r="J73" i="4" s="1"/>
  <c r="I31" i="11"/>
  <c r="H31" i="11"/>
  <c r="G31" i="11"/>
  <c r="F31" i="11"/>
  <c r="E31" i="11"/>
  <c r="I12" i="11"/>
  <c r="H12" i="11"/>
  <c r="G12" i="11"/>
  <c r="I20" i="11"/>
  <c r="I32" i="11" s="1"/>
  <c r="H20" i="11"/>
  <c r="H32" i="11" s="1"/>
  <c r="E12" i="11"/>
  <c r="G20" i="11"/>
  <c r="G32" i="11" s="1"/>
  <c r="I7" i="11"/>
  <c r="I13" i="11" s="1"/>
  <c r="F20" i="11"/>
  <c r="F32" i="11" s="1"/>
  <c r="H7" i="11"/>
  <c r="H13" i="11" s="1"/>
  <c r="G7" i="11"/>
  <c r="G13" i="11" s="1"/>
  <c r="F7" i="11"/>
  <c r="F13" i="11" s="1"/>
  <c r="E7" i="11"/>
  <c r="E13" i="11" s="1"/>
  <c r="J137" i="4"/>
  <c r="I126" i="4"/>
  <c r="H126" i="4"/>
  <c r="G126" i="4"/>
  <c r="F126" i="4"/>
  <c r="E126" i="4"/>
  <c r="D126" i="4"/>
  <c r="C126" i="4"/>
  <c r="F118" i="4"/>
  <c r="G118" i="4"/>
  <c r="H118" i="4"/>
  <c r="I118" i="4"/>
  <c r="E118" i="4"/>
  <c r="D118" i="4"/>
  <c r="K60" i="4"/>
  <c r="L60" i="4" s="1"/>
  <c r="M60" i="4" s="1"/>
  <c r="D8" i="11"/>
  <c r="E128" i="4"/>
  <c r="E130" i="4" s="1"/>
  <c r="F128" i="4"/>
  <c r="G128" i="4"/>
  <c r="H128" i="4"/>
  <c r="I128" i="4"/>
  <c r="M31" i="3"/>
  <c r="L31" i="3"/>
  <c r="K31" i="3"/>
  <c r="J31" i="3"/>
  <c r="E119" i="4"/>
  <c r="F119" i="4"/>
  <c r="G119" i="4"/>
  <c r="H119" i="4"/>
  <c r="I119" i="4"/>
  <c r="D119" i="4"/>
  <c r="D128" i="4"/>
  <c r="E129" i="4"/>
  <c r="F129" i="4"/>
  <c r="G129" i="4"/>
  <c r="H129" i="4"/>
  <c r="I129" i="4"/>
  <c r="D129" i="4"/>
  <c r="I122" i="4"/>
  <c r="H122" i="4"/>
  <c r="G122" i="4"/>
  <c r="F122" i="4"/>
  <c r="E122" i="4"/>
  <c r="D122" i="4"/>
  <c r="C122" i="4"/>
  <c r="D130" i="4" l="1"/>
  <c r="H130" i="4"/>
  <c r="J8" i="11"/>
  <c r="I130" i="4"/>
  <c r="G130" i="4"/>
  <c r="J21" i="11"/>
  <c r="F130" i="4"/>
  <c r="J119" i="4"/>
  <c r="J122" i="4"/>
  <c r="K18" i="11" l="1"/>
  <c r="J9" i="5"/>
  <c r="K5" i="11"/>
  <c r="K7" i="11" s="1"/>
  <c r="J8" i="5"/>
  <c r="J130" i="4"/>
  <c r="D6" i="11"/>
  <c r="J25" i="6" s="1"/>
  <c r="D5" i="11"/>
  <c r="K59" i="4"/>
  <c r="L59" i="4"/>
  <c r="M59" i="4"/>
  <c r="K54" i="4"/>
  <c r="L54" i="4"/>
  <c r="M54" i="4"/>
  <c r="K49" i="4"/>
  <c r="L49" i="4"/>
  <c r="M49" i="4"/>
  <c r="K44" i="4"/>
  <c r="L44" i="4"/>
  <c r="M44" i="4"/>
  <c r="K39" i="4"/>
  <c r="L39" i="4"/>
  <c r="M39" i="4"/>
  <c r="K34" i="4"/>
  <c r="L34" i="4"/>
  <c r="M34" i="4"/>
  <c r="K29" i="4"/>
  <c r="L29" i="4"/>
  <c r="M29" i="4"/>
  <c r="K24" i="4"/>
  <c r="L24" i="4"/>
  <c r="M24" i="4"/>
  <c r="K19" i="4"/>
  <c r="L19" i="4"/>
  <c r="M19" i="4"/>
  <c r="J59" i="4"/>
  <c r="J58" i="4" s="1"/>
  <c r="J54" i="4"/>
  <c r="J53" i="4" s="1"/>
  <c r="J49" i="4"/>
  <c r="J48" i="4" s="1"/>
  <c r="J44" i="4"/>
  <c r="J43" i="4" s="1"/>
  <c r="J39" i="4"/>
  <c r="J38" i="4" s="1"/>
  <c r="J34" i="4"/>
  <c r="J33" i="4" s="1"/>
  <c r="J29" i="4"/>
  <c r="J28" i="4" s="1"/>
  <c r="J24" i="4"/>
  <c r="J23" i="4" s="1"/>
  <c r="J19" i="4"/>
  <c r="J18" i="4" s="1"/>
  <c r="K14" i="4"/>
  <c r="L14" i="4"/>
  <c r="M14" i="4"/>
  <c r="K30" i="4"/>
  <c r="L30" i="4" s="1"/>
  <c r="M30" i="4" s="1"/>
  <c r="D13" i="8" l="1"/>
  <c r="D12" i="8"/>
  <c r="D10" i="8"/>
  <c r="D11" i="8"/>
  <c r="D5" i="8"/>
  <c r="K6" i="11"/>
  <c r="K73" i="4" s="1"/>
  <c r="D12" i="11"/>
  <c r="K58" i="4"/>
  <c r="L58" i="4" s="1"/>
  <c r="M58" i="4" s="1"/>
  <c r="K43" i="4"/>
  <c r="K53" i="4"/>
  <c r="K48" i="4"/>
  <c r="L48" i="4" s="1"/>
  <c r="M48" i="4" s="1"/>
  <c r="K23" i="4"/>
  <c r="K18" i="4"/>
  <c r="K28" i="4"/>
  <c r="L28" i="4" s="1"/>
  <c r="M28" i="4" s="1"/>
  <c r="K38" i="4"/>
  <c r="L38" i="4" s="1"/>
  <c r="M38" i="4" s="1"/>
  <c r="K33" i="4"/>
  <c r="L33" i="4" l="1"/>
  <c r="E11" i="8"/>
  <c r="L23" i="4"/>
  <c r="F10" i="8" s="1"/>
  <c r="E10" i="8"/>
  <c r="L53" i="4"/>
  <c r="E13" i="8"/>
  <c r="L43" i="4"/>
  <c r="E12" i="8"/>
  <c r="L18" i="4"/>
  <c r="E5" i="8"/>
  <c r="K8" i="11"/>
  <c r="I15" i="7"/>
  <c r="C7" i="12" s="1"/>
  <c r="C9" i="12" s="1"/>
  <c r="I21" i="10"/>
  <c r="H21" i="10"/>
  <c r="G22" i="10"/>
  <c r="F22" i="10"/>
  <c r="E22" i="10"/>
  <c r="D21" i="10"/>
  <c r="I20" i="10"/>
  <c r="H20" i="10"/>
  <c r="G20" i="10"/>
  <c r="F20" i="10"/>
  <c r="E20" i="10"/>
  <c r="D20" i="10"/>
  <c r="C20" i="10"/>
  <c r="D8" i="10"/>
  <c r="E8" i="10"/>
  <c r="F8" i="10"/>
  <c r="G8" i="10"/>
  <c r="H8" i="10"/>
  <c r="I8" i="10"/>
  <c r="C8" i="10"/>
  <c r="C12" i="10"/>
  <c r="F15" i="9" a="1"/>
  <c r="F15" i="9" s="1"/>
  <c r="E15" i="9" a="1"/>
  <c r="E15" i="9" s="1"/>
  <c r="I11" i="7"/>
  <c r="M43" i="4" l="1"/>
  <c r="G12" i="8" s="1"/>
  <c r="F12" i="8"/>
  <c r="M53" i="4"/>
  <c r="G13" i="8" s="1"/>
  <c r="F13" i="8"/>
  <c r="M33" i="4"/>
  <c r="G11" i="8" s="1"/>
  <c r="F11" i="8"/>
  <c r="M18" i="4"/>
  <c r="G5" i="8" s="1"/>
  <c r="F5" i="8"/>
  <c r="L5" i="11"/>
  <c r="L7" i="11" s="1"/>
  <c r="K8" i="5"/>
  <c r="C14" i="12"/>
  <c r="C17" i="12" s="1"/>
  <c r="G7" i="12" s="1"/>
  <c r="J128" i="4"/>
  <c r="J129" i="4"/>
  <c r="D22" i="10"/>
  <c r="C24" i="10"/>
  <c r="D24" i="10"/>
  <c r="H22" i="10"/>
  <c r="I22" i="10"/>
  <c r="J20" i="10"/>
  <c r="K20" i="10" s="1"/>
  <c r="I24" i="10"/>
  <c r="H24" i="10"/>
  <c r="G24" i="10"/>
  <c r="F24" i="10"/>
  <c r="E24" i="10"/>
  <c r="E21" i="10"/>
  <c r="F21" i="10"/>
  <c r="G21" i="10"/>
  <c r="J126" i="4"/>
  <c r="K126" i="4" s="1"/>
  <c r="L126" i="4" s="1"/>
  <c r="C18" i="6"/>
  <c r="I29" i="7"/>
  <c r="H29" i="7"/>
  <c r="G29" i="7"/>
  <c r="F29" i="7"/>
  <c r="E29" i="7"/>
  <c r="D29" i="7"/>
  <c r="C29" i="7"/>
  <c r="I22" i="7"/>
  <c r="H22" i="7"/>
  <c r="G22" i="7"/>
  <c r="F22" i="7"/>
  <c r="E22" i="7"/>
  <c r="D22" i="7"/>
  <c r="C22" i="7"/>
  <c r="I19" i="7"/>
  <c r="H19" i="7"/>
  <c r="G19" i="7"/>
  <c r="F19" i="7"/>
  <c r="E19" i="7"/>
  <c r="D19" i="7"/>
  <c r="C19" i="7"/>
  <c r="I18" i="7"/>
  <c r="H18" i="7"/>
  <c r="G18" i="7"/>
  <c r="F18" i="7"/>
  <c r="E18" i="7"/>
  <c r="D18" i="7"/>
  <c r="C18" i="7"/>
  <c r="I17" i="7"/>
  <c r="H17" i="7"/>
  <c r="G17" i="7"/>
  <c r="F17" i="7"/>
  <c r="E17" i="7"/>
  <c r="D17" i="7"/>
  <c r="C17" i="7"/>
  <c r="I16" i="7"/>
  <c r="H16" i="7"/>
  <c r="G16" i="7"/>
  <c r="F16" i="7"/>
  <c r="E16" i="7"/>
  <c r="D16" i="7"/>
  <c r="C16" i="7"/>
  <c r="H15" i="7"/>
  <c r="G15" i="7"/>
  <c r="F15" i="7"/>
  <c r="E15" i="7"/>
  <c r="D15" i="7"/>
  <c r="C15" i="7"/>
  <c r="H11" i="7"/>
  <c r="G11" i="7"/>
  <c r="F11" i="7"/>
  <c r="E11" i="7"/>
  <c r="D11" i="7"/>
  <c r="C11" i="7"/>
  <c r="I10" i="7"/>
  <c r="H10" i="7"/>
  <c r="G10" i="7"/>
  <c r="F10" i="7"/>
  <c r="E10" i="7"/>
  <c r="D10" i="7"/>
  <c r="C10" i="7"/>
  <c r="I9" i="7"/>
  <c r="H9" i="7"/>
  <c r="G9" i="7"/>
  <c r="F9" i="7"/>
  <c r="E9" i="7"/>
  <c r="D9" i="7"/>
  <c r="C9" i="7"/>
  <c r="I8" i="7"/>
  <c r="H8" i="7"/>
  <c r="G8" i="7"/>
  <c r="F8" i="7"/>
  <c r="E8" i="7"/>
  <c r="D8" i="7"/>
  <c r="C8" i="7"/>
  <c r="M7" i="7"/>
  <c r="L7" i="7"/>
  <c r="K7" i="7"/>
  <c r="J7" i="7"/>
  <c r="I6" i="7"/>
  <c r="I7" i="7" s="1"/>
  <c r="H6" i="7"/>
  <c r="H7" i="7" s="1"/>
  <c r="G6" i="7"/>
  <c r="G7" i="7" s="1"/>
  <c r="F6" i="7"/>
  <c r="F7" i="7" s="1"/>
  <c r="E6" i="7"/>
  <c r="E7" i="7" s="1"/>
  <c r="D6" i="7"/>
  <c r="D7" i="7" s="1"/>
  <c r="C6" i="7"/>
  <c r="C7" i="7" s="1"/>
  <c r="I4" i="7"/>
  <c r="I5" i="7" s="1"/>
  <c r="H4" i="7"/>
  <c r="H5" i="7" s="1"/>
  <c r="G4" i="7"/>
  <c r="G5" i="7" s="1"/>
  <c r="F4" i="7"/>
  <c r="F5" i="7" s="1"/>
  <c r="E4" i="7"/>
  <c r="E5" i="7" s="1"/>
  <c r="D4" i="7"/>
  <c r="D5" i="7" s="1"/>
  <c r="C4" i="7"/>
  <c r="C5" i="7" s="1"/>
  <c r="I42" i="6"/>
  <c r="H42" i="6"/>
  <c r="G42" i="6"/>
  <c r="F42" i="6"/>
  <c r="E42" i="6"/>
  <c r="D42" i="6"/>
  <c r="C42" i="6"/>
  <c r="M36" i="6"/>
  <c r="L36" i="6"/>
  <c r="K36" i="6"/>
  <c r="J36" i="6"/>
  <c r="H30" i="6"/>
  <c r="G30" i="6"/>
  <c r="F30" i="6"/>
  <c r="E30" i="6"/>
  <c r="D30" i="6"/>
  <c r="C30" i="6"/>
  <c r="I18" i="6"/>
  <c r="H18" i="6"/>
  <c r="G18" i="6"/>
  <c r="F18" i="6"/>
  <c r="E18" i="6"/>
  <c r="D18" i="6"/>
  <c r="M8" i="6"/>
  <c r="L8" i="6"/>
  <c r="K8" i="6"/>
  <c r="J8" i="6"/>
  <c r="I53" i="5"/>
  <c r="H53" i="5"/>
  <c r="G53" i="5"/>
  <c r="F53" i="5"/>
  <c r="E53" i="5"/>
  <c r="D53" i="5"/>
  <c r="C53" i="5"/>
  <c r="I45" i="5"/>
  <c r="H45" i="5"/>
  <c r="G45" i="5"/>
  <c r="F45" i="5"/>
  <c r="E45" i="5"/>
  <c r="D45" i="5"/>
  <c r="C45" i="5"/>
  <c r="I34" i="5"/>
  <c r="H34" i="5"/>
  <c r="H36" i="5" s="1"/>
  <c r="G34" i="5"/>
  <c r="G36" i="5" s="1"/>
  <c r="F34" i="5"/>
  <c r="F36" i="5" s="1"/>
  <c r="E34" i="5"/>
  <c r="E36" i="5" s="1"/>
  <c r="D34" i="5"/>
  <c r="D36" i="5" s="1"/>
  <c r="C34" i="5"/>
  <c r="C36" i="5" s="1"/>
  <c r="I22" i="5"/>
  <c r="H22" i="5"/>
  <c r="G22" i="5"/>
  <c r="F22" i="5"/>
  <c r="E22" i="5"/>
  <c r="D22" i="5"/>
  <c r="C22" i="5"/>
  <c r="I14" i="5"/>
  <c r="H14" i="5"/>
  <c r="G14" i="5"/>
  <c r="G24" i="5" s="1"/>
  <c r="F14" i="5"/>
  <c r="E14" i="5"/>
  <c r="D14" i="5"/>
  <c r="C14" i="5"/>
  <c r="F24" i="5" l="1"/>
  <c r="E24" i="5"/>
  <c r="I24" i="5"/>
  <c r="C55" i="5"/>
  <c r="D24" i="5"/>
  <c r="C24" i="5"/>
  <c r="H55" i="5"/>
  <c r="I36" i="5"/>
  <c r="I55" i="5" s="1"/>
  <c r="H24" i="5"/>
  <c r="D55" i="5"/>
  <c r="L6" i="11"/>
  <c r="G16" i="2"/>
  <c r="F16" i="2"/>
  <c r="E16" i="2"/>
  <c r="D16" i="2"/>
  <c r="C16" i="2"/>
  <c r="I30" i="6"/>
  <c r="I44" i="6" s="1"/>
  <c r="I47" i="6" s="1"/>
  <c r="I49" i="6" s="1"/>
  <c r="I50" i="6" s="1"/>
  <c r="J24" i="6"/>
  <c r="K24" i="6" s="1"/>
  <c r="L24" i="6" s="1"/>
  <c r="M24" i="6" s="1"/>
  <c r="J22" i="10"/>
  <c r="K22" i="10" s="1"/>
  <c r="L22" i="10" s="1"/>
  <c r="M22" i="10" s="1"/>
  <c r="K128" i="4"/>
  <c r="K129" i="4"/>
  <c r="L129" i="4" s="1"/>
  <c r="J21" i="10"/>
  <c r="L20" i="10"/>
  <c r="M20" i="10" s="1"/>
  <c r="M126" i="4"/>
  <c r="D44" i="6"/>
  <c r="D47" i="6" s="1"/>
  <c r="D49" i="6" s="1"/>
  <c r="D50" i="6" s="1"/>
  <c r="E44" i="6"/>
  <c r="E47" i="6" s="1"/>
  <c r="E49" i="6" s="1"/>
  <c r="E50" i="6" s="1"/>
  <c r="F44" i="6"/>
  <c r="F47" i="6" s="1"/>
  <c r="F49" i="6" s="1"/>
  <c r="F50" i="6" s="1"/>
  <c r="G44" i="6"/>
  <c r="G47" i="6" s="1"/>
  <c r="G49" i="6" s="1"/>
  <c r="G50" i="6" s="1"/>
  <c r="H44" i="6"/>
  <c r="H47" i="6" s="1"/>
  <c r="H49" i="6" s="1"/>
  <c r="H50" i="6" s="1"/>
  <c r="C44" i="6"/>
  <c r="C47" i="6" s="1"/>
  <c r="C49" i="6" s="1"/>
  <c r="C50" i="6" s="1"/>
  <c r="E55" i="5"/>
  <c r="F55" i="5"/>
  <c r="G55" i="5"/>
  <c r="L8" i="11" l="1"/>
  <c r="L73" i="4"/>
  <c r="L128" i="4"/>
  <c r="M128" i="4" s="1"/>
  <c r="M129" i="4"/>
  <c r="K21" i="10"/>
  <c r="L21" i="10" s="1"/>
  <c r="M21" i="10" s="1"/>
  <c r="G12" i="10"/>
  <c r="I12" i="10"/>
  <c r="E12" i="10"/>
  <c r="H12" i="10"/>
  <c r="O34" i="3"/>
  <c r="O7" i="3"/>
  <c r="D127" i="4"/>
  <c r="E127" i="4"/>
  <c r="F127" i="4"/>
  <c r="G127" i="4"/>
  <c r="H127" i="4"/>
  <c r="C127" i="4"/>
  <c r="I27" i="3"/>
  <c r="D134" i="4"/>
  <c r="E134" i="4"/>
  <c r="F134" i="4"/>
  <c r="G134" i="4"/>
  <c r="H134" i="4"/>
  <c r="I134" i="4"/>
  <c r="C134" i="4"/>
  <c r="F125" i="4"/>
  <c r="G125" i="4"/>
  <c r="H125" i="4"/>
  <c r="I125" i="4"/>
  <c r="D125" i="4"/>
  <c r="E125" i="4"/>
  <c r="C125" i="4"/>
  <c r="K7" i="3"/>
  <c r="K11" i="6" s="1"/>
  <c r="L7" i="3"/>
  <c r="L11" i="6" s="1"/>
  <c r="M7" i="3"/>
  <c r="M11" i="6" s="1"/>
  <c r="J7" i="3"/>
  <c r="J11" i="6" s="1"/>
  <c r="O11" i="4"/>
  <c r="M5" i="11" l="1"/>
  <c r="M7" i="11" s="1"/>
  <c r="L8" i="5"/>
  <c r="D12" i="10"/>
  <c r="F12" i="10"/>
  <c r="J125" i="4"/>
  <c r="K125" i="4" s="1"/>
  <c r="L125" i="4" s="1"/>
  <c r="M6" i="11" l="1"/>
  <c r="M125" i="4"/>
  <c r="M8" i="11" l="1"/>
  <c r="M8" i="5" s="1"/>
  <c r="M73" i="4"/>
  <c r="J13" i="4"/>
  <c r="I59" i="4"/>
  <c r="H59" i="4"/>
  <c r="G59" i="4"/>
  <c r="F59" i="4"/>
  <c r="E59" i="4"/>
  <c r="D59" i="4"/>
  <c r="I49" i="4"/>
  <c r="H49" i="4"/>
  <c r="G49" i="4"/>
  <c r="F49" i="4"/>
  <c r="E49" i="4"/>
  <c r="D49" i="4"/>
  <c r="O49" i="4" s="1"/>
  <c r="I39" i="4"/>
  <c r="H39" i="4"/>
  <c r="G39" i="4"/>
  <c r="F39" i="4"/>
  <c r="E39" i="4"/>
  <c r="D39" i="4"/>
  <c r="I34" i="4"/>
  <c r="H34" i="4"/>
  <c r="G34" i="4"/>
  <c r="F34" i="4"/>
  <c r="E34" i="4"/>
  <c r="D34" i="4"/>
  <c r="I29" i="4"/>
  <c r="H29" i="4"/>
  <c r="G29" i="4"/>
  <c r="F29" i="4"/>
  <c r="E29" i="4"/>
  <c r="D29" i="4"/>
  <c r="H24" i="4"/>
  <c r="G24" i="4"/>
  <c r="F24" i="4"/>
  <c r="E24" i="4"/>
  <c r="D24" i="4"/>
  <c r="I19" i="4"/>
  <c r="H19" i="4"/>
  <c r="G19" i="4"/>
  <c r="F19" i="4"/>
  <c r="E19" i="4"/>
  <c r="D19" i="4"/>
  <c r="C118" i="4"/>
  <c r="J118" i="4" s="1"/>
  <c r="K118" i="4" s="1"/>
  <c r="L118" i="4" s="1"/>
  <c r="M118" i="4" s="1"/>
  <c r="D117" i="4"/>
  <c r="E117" i="4"/>
  <c r="F117" i="4"/>
  <c r="G117" i="4"/>
  <c r="H117" i="4"/>
  <c r="I117" i="4"/>
  <c r="C117" i="4"/>
  <c r="D114" i="4"/>
  <c r="E114" i="4"/>
  <c r="F114" i="4"/>
  <c r="G114" i="4"/>
  <c r="H114" i="4"/>
  <c r="I114" i="4"/>
  <c r="C114" i="4"/>
  <c r="E54" i="4"/>
  <c r="F54" i="4"/>
  <c r="G54" i="4"/>
  <c r="H54" i="4"/>
  <c r="I54" i="4"/>
  <c r="D54" i="4"/>
  <c r="E44" i="4"/>
  <c r="F44" i="4"/>
  <c r="G44" i="4"/>
  <c r="H44" i="4"/>
  <c r="I44" i="4"/>
  <c r="D44" i="4"/>
  <c r="E14" i="4"/>
  <c r="F14" i="4"/>
  <c r="G14" i="4"/>
  <c r="H14" i="4"/>
  <c r="I14" i="4"/>
  <c r="D14" i="4"/>
  <c r="D111" i="4"/>
  <c r="E111" i="4"/>
  <c r="F111" i="4"/>
  <c r="G111" i="4"/>
  <c r="H111" i="4"/>
  <c r="I111" i="4"/>
  <c r="C111" i="4"/>
  <c r="D105" i="4"/>
  <c r="E105" i="4"/>
  <c r="F105" i="4"/>
  <c r="G105" i="4"/>
  <c r="H105" i="4"/>
  <c r="I105" i="4"/>
  <c r="C105" i="4"/>
  <c r="D108" i="4"/>
  <c r="E108" i="4"/>
  <c r="F108" i="4"/>
  <c r="G108" i="4"/>
  <c r="H108" i="4"/>
  <c r="I108" i="4"/>
  <c r="C108" i="4"/>
  <c r="J103" i="4"/>
  <c r="K103" i="4" s="1"/>
  <c r="L103" i="4" s="1"/>
  <c r="M103" i="4" s="1"/>
  <c r="D104" i="4"/>
  <c r="E104" i="4"/>
  <c r="F104" i="4"/>
  <c r="G104" i="4"/>
  <c r="H104" i="4"/>
  <c r="I104" i="4"/>
  <c r="D101" i="4"/>
  <c r="E101" i="4"/>
  <c r="F101" i="4"/>
  <c r="G101" i="4"/>
  <c r="H101" i="4"/>
  <c r="I101" i="4"/>
  <c r="J101" i="4" s="1"/>
  <c r="C101" i="4"/>
  <c r="I100" i="4"/>
  <c r="H100" i="4"/>
  <c r="G100" i="4"/>
  <c r="F100" i="4"/>
  <c r="E100" i="4"/>
  <c r="D100" i="4"/>
  <c r="H98" i="4"/>
  <c r="I98" i="4"/>
  <c r="F98" i="4"/>
  <c r="G98" i="4"/>
  <c r="E98" i="4"/>
  <c r="D98" i="4"/>
  <c r="E11" i="4"/>
  <c r="F11" i="4"/>
  <c r="G11" i="4"/>
  <c r="H11" i="4"/>
  <c r="I11" i="4"/>
  <c r="D11" i="4"/>
  <c r="D4" i="8" l="1"/>
  <c r="D9" i="8"/>
  <c r="O44" i="4"/>
  <c r="K13" i="4"/>
  <c r="J9" i="4"/>
  <c r="O14" i="4"/>
  <c r="O34" i="4"/>
  <c r="O54" i="4"/>
  <c r="J114" i="4"/>
  <c r="K114" i="4" s="1"/>
  <c r="L114" i="4" s="1"/>
  <c r="M114" i="4" s="1"/>
  <c r="O29" i="4"/>
  <c r="O59" i="4"/>
  <c r="O39" i="4"/>
  <c r="J111" i="4"/>
  <c r="K111" i="4" s="1"/>
  <c r="O19" i="4"/>
  <c r="J108" i="4"/>
  <c r="K108" i="4" s="1"/>
  <c r="J117" i="4"/>
  <c r="K117" i="4" s="1"/>
  <c r="J97" i="4"/>
  <c r="J98" i="4" s="1"/>
  <c r="D102" i="4"/>
  <c r="F102" i="4"/>
  <c r="E102" i="4"/>
  <c r="I102" i="4"/>
  <c r="G102" i="4"/>
  <c r="H102" i="4"/>
  <c r="H9" i="8" l="1"/>
  <c r="H12" i="8"/>
  <c r="H13" i="8"/>
  <c r="H10" i="8"/>
  <c r="H11" i="8"/>
  <c r="E4" i="8"/>
  <c r="E9" i="8"/>
  <c r="J82" i="4"/>
  <c r="J26" i="3" s="1"/>
  <c r="J12" i="6" s="1"/>
  <c r="J17" i="10"/>
  <c r="L13" i="4"/>
  <c r="K9" i="4"/>
  <c r="J99" i="4"/>
  <c r="L111" i="4"/>
  <c r="M111" i="4" s="1"/>
  <c r="L117" i="4"/>
  <c r="M117" i="4" s="1"/>
  <c r="L108" i="4"/>
  <c r="M108" i="4" s="1"/>
  <c r="I127" i="4"/>
  <c r="K101" i="4"/>
  <c r="K97" i="4"/>
  <c r="K98" i="4" s="1"/>
  <c r="D27" i="3"/>
  <c r="E27" i="3"/>
  <c r="F27" i="3"/>
  <c r="G27" i="3"/>
  <c r="H27" i="3"/>
  <c r="C27" i="3"/>
  <c r="D12" i="3"/>
  <c r="E12" i="3"/>
  <c r="F12" i="3"/>
  <c r="G12" i="3"/>
  <c r="H12" i="3"/>
  <c r="I12" i="3"/>
  <c r="C12" i="3"/>
  <c r="D8" i="3"/>
  <c r="E8" i="3"/>
  <c r="F8" i="3"/>
  <c r="G8" i="3"/>
  <c r="H8" i="3"/>
  <c r="I8" i="3"/>
  <c r="C8" i="3"/>
  <c r="F4" i="8" l="1"/>
  <c r="F9" i="8"/>
  <c r="K82" i="4"/>
  <c r="K26" i="3" s="1"/>
  <c r="K12" i="6" s="1"/>
  <c r="K17" i="10"/>
  <c r="M13" i="4"/>
  <c r="G9" i="8" s="1"/>
  <c r="L9" i="4"/>
  <c r="L101" i="4"/>
  <c r="K99" i="4"/>
  <c r="K65" i="4" s="1"/>
  <c r="K10" i="3" s="1"/>
  <c r="J127" i="4"/>
  <c r="J65" i="4"/>
  <c r="J10" i="3" s="1"/>
  <c r="J100" i="4"/>
  <c r="M97" i="4"/>
  <c r="L97" i="4"/>
  <c r="H13" i="3"/>
  <c r="H15" i="3" s="1"/>
  <c r="D13" i="3"/>
  <c r="D15" i="3" s="1"/>
  <c r="C13" i="3"/>
  <c r="C15" i="3" s="1"/>
  <c r="I13" i="3"/>
  <c r="G13" i="3"/>
  <c r="G15" i="3" s="1"/>
  <c r="F13" i="3"/>
  <c r="F15" i="3" s="1"/>
  <c r="E13" i="3"/>
  <c r="L82" i="4" l="1"/>
  <c r="L26" i="3" s="1"/>
  <c r="L12" i="6" s="1"/>
  <c r="L17" i="10"/>
  <c r="G16" i="3"/>
  <c r="D16" i="3"/>
  <c r="H16" i="3"/>
  <c r="M101" i="4"/>
  <c r="M99" i="4" s="1"/>
  <c r="L99" i="4"/>
  <c r="L65" i="4" s="1"/>
  <c r="L10" i="3" s="1"/>
  <c r="K127" i="4"/>
  <c r="G14" i="7"/>
  <c r="G54" i="6"/>
  <c r="H14" i="7"/>
  <c r="H54" i="6"/>
  <c r="F14" i="7"/>
  <c r="F54" i="6"/>
  <c r="C14" i="7"/>
  <c r="C54" i="6"/>
  <c r="D14" i="7"/>
  <c r="D54" i="6"/>
  <c r="I15" i="3"/>
  <c r="I16" i="3" s="1"/>
  <c r="O13" i="3"/>
  <c r="D17" i="3"/>
  <c r="C21" i="3"/>
  <c r="L98" i="4"/>
  <c r="M98" i="4"/>
  <c r="K100" i="4"/>
  <c r="D21" i="3"/>
  <c r="C17" i="3"/>
  <c r="H21" i="3"/>
  <c r="H17" i="3"/>
  <c r="F21" i="3"/>
  <c r="F17" i="3"/>
  <c r="G21" i="3"/>
  <c r="G17" i="3"/>
  <c r="E15" i="3"/>
  <c r="E16" i="3" s="1"/>
  <c r="F16" i="3" l="1"/>
  <c r="G23" i="7"/>
  <c r="D23" i="7"/>
  <c r="F23" i="7"/>
  <c r="H23" i="7"/>
  <c r="L127" i="4"/>
  <c r="M127" i="4" s="1"/>
  <c r="I14" i="7"/>
  <c r="O15" i="3"/>
  <c r="I54" i="6"/>
  <c r="I17" i="3"/>
  <c r="E14" i="7"/>
  <c r="E54" i="6"/>
  <c r="C22" i="3"/>
  <c r="C23" i="7"/>
  <c r="I21" i="3"/>
  <c r="C29" i="3"/>
  <c r="C30" i="7" s="1"/>
  <c r="M65" i="4"/>
  <c r="M10" i="3" s="1"/>
  <c r="L100" i="4"/>
  <c r="M100" i="4"/>
  <c r="D22" i="3"/>
  <c r="D29" i="3"/>
  <c r="D30" i="7" s="1"/>
  <c r="H22" i="3"/>
  <c r="H29" i="3"/>
  <c r="H30" i="7" s="1"/>
  <c r="G29" i="3"/>
  <c r="G30" i="7" s="1"/>
  <c r="G22" i="3"/>
  <c r="F29" i="3"/>
  <c r="F30" i="7" s="1"/>
  <c r="F22" i="3"/>
  <c r="E21" i="3"/>
  <c r="E17" i="3"/>
  <c r="I23" i="7" l="1"/>
  <c r="I22" i="3"/>
  <c r="I29" i="3"/>
  <c r="I30" i="7" s="1"/>
  <c r="E23" i="7"/>
  <c r="O29" i="3"/>
  <c r="I133" i="4"/>
  <c r="C31" i="3"/>
  <c r="H133" i="4"/>
  <c r="F133" i="4"/>
  <c r="G133" i="4"/>
  <c r="D32" i="3"/>
  <c r="D133" i="4"/>
  <c r="C32" i="3"/>
  <c r="C133" i="4"/>
  <c r="D31" i="3"/>
  <c r="I32" i="3"/>
  <c r="I26" i="7" s="1"/>
  <c r="I31" i="3"/>
  <c r="F32" i="3"/>
  <c r="F31" i="3"/>
  <c r="G32" i="3"/>
  <c r="G31" i="3"/>
  <c r="H32" i="3"/>
  <c r="H31" i="3"/>
  <c r="E29" i="3"/>
  <c r="E30" i="7" s="1"/>
  <c r="E22" i="3"/>
  <c r="G33" i="7" l="1"/>
  <c r="G26" i="7"/>
  <c r="I33" i="7"/>
  <c r="C33" i="7"/>
  <c r="C26" i="7"/>
  <c r="D26" i="7"/>
  <c r="D33" i="7"/>
  <c r="F26" i="7"/>
  <c r="F33" i="7"/>
  <c r="H33" i="7"/>
  <c r="H26" i="7"/>
  <c r="D33" i="3"/>
  <c r="O32" i="3"/>
  <c r="E133" i="4"/>
  <c r="H33" i="3"/>
  <c r="I33" i="3"/>
  <c r="G33" i="3"/>
  <c r="C33" i="3"/>
  <c r="F33" i="3"/>
  <c r="E32" i="3"/>
  <c r="E31" i="3"/>
  <c r="E33" i="7" l="1"/>
  <c r="E26" i="7"/>
  <c r="E33" i="3"/>
  <c r="M23" i="4"/>
  <c r="G10" i="8" s="1"/>
  <c r="I24" i="4"/>
  <c r="O24" i="4"/>
  <c r="M9" i="4" l="1"/>
  <c r="M82" i="4" s="1"/>
  <c r="M26" i="3" s="1"/>
  <c r="M12" i="6" s="1"/>
  <c r="G4" i="8"/>
  <c r="J64" i="4"/>
  <c r="M17" i="10" l="1"/>
  <c r="K11" i="4"/>
  <c r="J124" i="4"/>
  <c r="J9" i="3"/>
  <c r="K69" i="4"/>
  <c r="K14" i="3" s="1"/>
  <c r="J11" i="4"/>
  <c r="J69" i="4"/>
  <c r="J14" i="3" s="1"/>
  <c r="K124" i="4"/>
  <c r="K66" i="4"/>
  <c r="K11" i="3" s="1"/>
  <c r="J66" i="4"/>
  <c r="J11" i="3" s="1"/>
  <c r="K64" i="4"/>
  <c r="J6" i="3"/>
  <c r="K105" i="4"/>
  <c r="J105" i="4"/>
  <c r="K6" i="3"/>
  <c r="K30" i="6" s="1"/>
  <c r="D11" i="2" l="1"/>
  <c r="J30" i="6"/>
  <c r="K18" i="10"/>
  <c r="J18" i="10"/>
  <c r="J16" i="5"/>
  <c r="J8" i="3"/>
  <c r="G3" i="13" s="1"/>
  <c r="J17" i="5"/>
  <c r="J50" i="5"/>
  <c r="K9" i="3"/>
  <c r="K67" i="4"/>
  <c r="K68" i="4" s="1"/>
  <c r="K70" i="4" s="1"/>
  <c r="K17" i="5"/>
  <c r="K50" i="5"/>
  <c r="K8" i="3"/>
  <c r="K16" i="5"/>
  <c r="J12" i="3"/>
  <c r="J67" i="4"/>
  <c r="J68" i="4" s="1"/>
  <c r="J70" i="4" s="1"/>
  <c r="C11" i="2" l="1"/>
  <c r="L69" i="4"/>
  <c r="L14" i="3" s="1"/>
  <c r="L105" i="4"/>
  <c r="L124" i="4"/>
  <c r="L66" i="4"/>
  <c r="L11" i="3" s="1"/>
  <c r="L6" i="3"/>
  <c r="L30" i="6" s="1"/>
  <c r="L64" i="4"/>
  <c r="L11" i="4"/>
  <c r="R11" i="4"/>
  <c r="M69" i="4"/>
  <c r="M14" i="3" s="1"/>
  <c r="M66" i="4"/>
  <c r="M11" i="3" s="1"/>
  <c r="M64" i="4"/>
  <c r="M11" i="4"/>
  <c r="M124" i="4"/>
  <c r="M105" i="4"/>
  <c r="M6" i="3"/>
  <c r="M30" i="6" s="1"/>
  <c r="K6" i="10"/>
  <c r="K11" i="10"/>
  <c r="K4" i="7"/>
  <c r="K5" i="7" s="1"/>
  <c r="K53" i="5"/>
  <c r="K15" i="6"/>
  <c r="J72" i="4"/>
  <c r="J71" i="4"/>
  <c r="J92" i="4" s="1"/>
  <c r="J10" i="10"/>
  <c r="J5" i="10"/>
  <c r="K71" i="4"/>
  <c r="K72" i="4"/>
  <c r="K12" i="3"/>
  <c r="K13" i="3" s="1"/>
  <c r="K15" i="3" s="1"/>
  <c r="J53" i="5"/>
  <c r="J15" i="6"/>
  <c r="K13" i="6"/>
  <c r="J13" i="6"/>
  <c r="J13" i="3"/>
  <c r="J15" i="3" s="1"/>
  <c r="J16" i="3" s="1"/>
  <c r="J6" i="10"/>
  <c r="J11" i="10"/>
  <c r="J4" i="7"/>
  <c r="J5" i="7" s="1"/>
  <c r="J14" i="6"/>
  <c r="K14" i="6"/>
  <c r="F11" i="2" l="1"/>
  <c r="E11" i="2"/>
  <c r="D12" i="2"/>
  <c r="C12" i="2"/>
  <c r="M18" i="10"/>
  <c r="L18" i="10"/>
  <c r="K16" i="3"/>
  <c r="M50" i="5"/>
  <c r="M8" i="3"/>
  <c r="R7" i="3"/>
  <c r="M16" i="5"/>
  <c r="M17" i="5"/>
  <c r="L67" i="4"/>
  <c r="L68" i="4" s="1"/>
  <c r="L70" i="4" s="1"/>
  <c r="L9" i="3"/>
  <c r="M67" i="4"/>
  <c r="M68" i="4" s="1"/>
  <c r="M70" i="4" s="1"/>
  <c r="M9" i="3"/>
  <c r="L50" i="5"/>
  <c r="L17" i="5"/>
  <c r="L16" i="5"/>
  <c r="L8" i="3"/>
  <c r="J8" i="10"/>
  <c r="J12" i="10"/>
  <c r="J17" i="3"/>
  <c r="K17" i="3"/>
  <c r="K5" i="10"/>
  <c r="K8" i="10" s="1"/>
  <c r="K10" i="10"/>
  <c r="K12" i="10" s="1"/>
  <c r="L6" i="10" l="1"/>
  <c r="L11" i="10"/>
  <c r="L53" i="5"/>
  <c r="L15" i="6"/>
  <c r="L12" i="3"/>
  <c r="L13" i="3" s="1"/>
  <c r="L15" i="3" s="1"/>
  <c r="L16" i="3" s="1"/>
  <c r="L13" i="6"/>
  <c r="M13" i="6"/>
  <c r="M12" i="3"/>
  <c r="M13" i="3" s="1"/>
  <c r="L14" i="6"/>
  <c r="M14" i="6"/>
  <c r="L4" i="7"/>
  <c r="L5" i="7" s="1"/>
  <c r="M72" i="4"/>
  <c r="M71" i="4"/>
  <c r="L71" i="4"/>
  <c r="L72" i="4"/>
  <c r="M6" i="10"/>
  <c r="M11" i="10"/>
  <c r="M4" i="7"/>
  <c r="M5" i="7" s="1"/>
  <c r="M15" i="6"/>
  <c r="M53" i="5"/>
  <c r="J13" i="10"/>
  <c r="K13" i="10"/>
  <c r="F12" i="2" l="1"/>
  <c r="E12" i="2"/>
  <c r="M10" i="10"/>
  <c r="M12" i="10" s="1"/>
  <c r="M5" i="10"/>
  <c r="M8" i="10" s="1"/>
  <c r="R13" i="3"/>
  <c r="M15" i="3"/>
  <c r="M16" i="3" s="1"/>
  <c r="L17" i="3"/>
  <c r="L5" i="10"/>
  <c r="L8" i="10" s="1"/>
  <c r="L10" i="10"/>
  <c r="L12" i="10" s="1"/>
  <c r="M13" i="10" l="1"/>
  <c r="M17" i="3"/>
  <c r="R15" i="3"/>
  <c r="L13" i="10"/>
  <c r="D7" i="11" l="1"/>
  <c r="D13" i="11" s="1"/>
  <c r="D20" i="11"/>
  <c r="D32" i="11" s="1"/>
  <c r="J18" i="3"/>
  <c r="K18" i="3"/>
  <c r="L18" i="3"/>
  <c r="M18" i="3"/>
  <c r="J19" i="3" l="1"/>
  <c r="J7" i="6" s="1" a="1"/>
  <c r="J7" i="6" s="1"/>
  <c r="C9" i="2" s="1"/>
  <c r="J76" i="4"/>
  <c r="J77" i="4" s="1"/>
  <c r="J21" i="3" l="1"/>
  <c r="J78" i="4"/>
  <c r="J22" i="3" l="1"/>
  <c r="C6" i="2"/>
  <c r="C7" i="2" l="1"/>
  <c r="C8" i="2" s="1"/>
  <c r="C10" i="2" l="1"/>
  <c r="C13" i="2" l="1"/>
  <c r="M3" i="13" l="1"/>
  <c r="C17" i="2"/>
  <c r="K19" i="11"/>
  <c r="K20" i="11"/>
  <c r="K24" i="11"/>
  <c r="K74" i="4"/>
  <c r="K76" i="4" s="1"/>
  <c r="K21" i="11" l="1"/>
  <c r="K21" i="3"/>
  <c r="K77" i="4"/>
  <c r="K78" i="4"/>
  <c r="K19" i="3"/>
  <c r="K7" i="6" s="1" a="1"/>
  <c r="K7" i="6" s="1"/>
  <c r="D9" i="2" s="1"/>
  <c r="L18" i="11" l="1"/>
  <c r="K9" i="5"/>
  <c r="D6" i="2"/>
  <c r="K22" i="3"/>
  <c r="D7" i="2" l="1"/>
  <c r="D8" i="2" s="1"/>
  <c r="D10" i="2" s="1"/>
  <c r="D13" i="2" s="1"/>
  <c r="L19" i="11"/>
  <c r="L24" i="11" s="1"/>
  <c r="L20" i="11"/>
  <c r="L21" i="11"/>
  <c r="D17" i="2" l="1"/>
  <c r="M18" i="11"/>
  <c r="M20" i="11" s="1"/>
  <c r="L9" i="5"/>
  <c r="M19" i="11"/>
  <c r="L74" i="4"/>
  <c r="L19" i="3" l="1"/>
  <c r="L7" i="6" s="1" a="1"/>
  <c r="L7" i="6" s="1"/>
  <c r="E9" i="2" s="1"/>
  <c r="L76" i="4"/>
  <c r="M24" i="11"/>
  <c r="M74" i="4"/>
  <c r="M21" i="11"/>
  <c r="M9" i="5" s="1"/>
  <c r="M76" i="4" l="1"/>
  <c r="M19" i="3"/>
  <c r="M7" i="6" s="1" a="1"/>
  <c r="M7" i="6" s="1"/>
  <c r="F9" i="2" s="1"/>
  <c r="L77" i="4"/>
  <c r="L78" i="4"/>
  <c r="L21" i="3"/>
  <c r="L22" i="3" l="1"/>
  <c r="E6" i="2"/>
  <c r="M21" i="3"/>
  <c r="M77" i="4"/>
  <c r="M78" i="4"/>
  <c r="F6" i="2" l="1"/>
  <c r="M22" i="3"/>
  <c r="E7" i="2"/>
  <c r="E8" i="2" s="1"/>
  <c r="E10" i="2" s="1"/>
  <c r="E13" i="2" s="1"/>
  <c r="E17" i="2" l="1"/>
  <c r="F7" i="2"/>
  <c r="F8" i="2" s="1"/>
  <c r="F10" i="2" s="1"/>
  <c r="F13" i="2" s="1"/>
  <c r="F17" i="2" l="1"/>
  <c r="G13" i="2"/>
  <c r="G17" i="2" s="1"/>
  <c r="L7" i="2" l="1"/>
  <c r="L10" i="2" s="1"/>
  <c r="L12" i="2" s="1"/>
  <c r="L17" i="2" s="1"/>
  <c r="J14" i="5"/>
  <c r="K14" i="5"/>
  <c r="L14" i="5"/>
  <c r="M14" i="5"/>
  <c r="J35" i="3"/>
  <c r="J35" i="5" l="1"/>
  <c r="J4" i="5"/>
  <c r="K4" i="5"/>
  <c r="L4" i="5"/>
  <c r="M4" i="5"/>
  <c r="J20" i="5"/>
  <c r="K20" i="5"/>
  <c r="L20" i="5"/>
  <c r="M20" i="5"/>
  <c r="J22" i="5"/>
  <c r="K22" i="5"/>
  <c r="L22" i="5"/>
  <c r="M22" i="5"/>
  <c r="J24" i="5"/>
  <c r="K24" i="5"/>
  <c r="L24" i="5"/>
  <c r="M24" i="5"/>
  <c r="J30" i="5"/>
  <c r="K30" i="5"/>
  <c r="L30" i="5"/>
  <c r="M30" i="5"/>
  <c r="J34" i="5"/>
  <c r="K34" i="5"/>
  <c r="L34" i="5"/>
  <c r="M34" i="5"/>
  <c r="K35" i="5"/>
  <c r="L35" i="5"/>
  <c r="M35" i="5"/>
  <c r="J36" i="5"/>
  <c r="K36" i="5"/>
  <c r="L36" i="5"/>
  <c r="M36" i="5"/>
  <c r="J39" i="5"/>
  <c r="K39" i="5"/>
  <c r="L39" i="5"/>
  <c r="M39" i="5"/>
  <c r="J40" i="5"/>
  <c r="K40" i="5"/>
  <c r="L40" i="5"/>
  <c r="M40" i="5"/>
  <c r="J45" i="5"/>
  <c r="K45" i="5"/>
  <c r="L45" i="5"/>
  <c r="M45" i="5"/>
  <c r="J55" i="5"/>
  <c r="K55" i="5"/>
  <c r="L55" i="5"/>
  <c r="M55" i="5"/>
  <c r="K56" i="5"/>
  <c r="L56" i="5"/>
  <c r="M56" i="5"/>
  <c r="J6" i="6"/>
  <c r="K6" i="6"/>
  <c r="L6" i="6"/>
  <c r="M6" i="6"/>
  <c r="J9" i="6"/>
  <c r="K9" i="6"/>
  <c r="L9" i="6"/>
  <c r="M9" i="6"/>
  <c r="J10" i="6"/>
  <c r="K10" i="6"/>
  <c r="L10" i="6"/>
  <c r="M10" i="6"/>
  <c r="J17" i="6"/>
  <c r="K17" i="6"/>
  <c r="L17" i="6"/>
  <c r="M17" i="6"/>
  <c r="J18" i="6"/>
  <c r="K18" i="6"/>
  <c r="L18" i="6"/>
  <c r="M18" i="6"/>
  <c r="J32" i="6"/>
  <c r="K32" i="6"/>
  <c r="L32" i="6"/>
  <c r="M32" i="6"/>
  <c r="J37" i="6"/>
  <c r="K37" i="6"/>
  <c r="L37" i="6"/>
  <c r="M37" i="6"/>
  <c r="J38" i="6"/>
  <c r="K38" i="6"/>
  <c r="L38" i="6"/>
  <c r="M38" i="6"/>
  <c r="J39" i="6"/>
  <c r="K39" i="6"/>
  <c r="L39" i="6"/>
  <c r="M39" i="6"/>
  <c r="J40" i="6"/>
  <c r="K40" i="6"/>
  <c r="L40" i="6"/>
  <c r="M40" i="6"/>
  <c r="J42" i="6"/>
  <c r="K42" i="6"/>
  <c r="L42" i="6"/>
  <c r="M42" i="6"/>
  <c r="J44" i="6"/>
  <c r="K44" i="6"/>
  <c r="L44" i="6"/>
  <c r="M44" i="6"/>
  <c r="J47" i="6"/>
  <c r="K47" i="6"/>
  <c r="L47" i="6"/>
  <c r="M47" i="6"/>
  <c r="K48" i="6"/>
  <c r="L48" i="6"/>
  <c r="M48" i="6"/>
  <c r="J49" i="6"/>
  <c r="K49" i="6"/>
  <c r="L49" i="6"/>
  <c r="M49" i="6"/>
  <c r="J50" i="6"/>
  <c r="K50" i="6"/>
  <c r="L50" i="6"/>
  <c r="M50" i="6"/>
  <c r="J54" i="6"/>
  <c r="K54" i="6"/>
  <c r="L54" i="6"/>
  <c r="M54" i="6"/>
  <c r="J3" i="13"/>
  <c r="L13" i="2"/>
  <c r="L14" i="2"/>
  <c r="J23" i="11"/>
  <c r="K23" i="11"/>
  <c r="L23" i="11"/>
  <c r="M23" i="11"/>
  <c r="J25" i="11"/>
  <c r="K25" i="11"/>
  <c r="L25" i="11"/>
  <c r="M25" i="11"/>
  <c r="J26" i="11"/>
  <c r="K26" i="11"/>
  <c r="L26" i="11"/>
  <c r="M26" i="11"/>
  <c r="J27" i="11"/>
  <c r="K27" i="11"/>
  <c r="L27" i="11"/>
  <c r="M27" i="11"/>
  <c r="J24" i="3"/>
  <c r="K24" i="3"/>
  <c r="L24" i="3"/>
  <c r="M24" i="3"/>
  <c r="J25" i="3"/>
  <c r="K25" i="3"/>
  <c r="L25" i="3"/>
  <c r="M25" i="3"/>
  <c r="J27" i="3"/>
  <c r="K27" i="3"/>
  <c r="L27" i="3"/>
  <c r="M27" i="3"/>
  <c r="J29" i="3"/>
  <c r="K29" i="3"/>
  <c r="L29" i="3"/>
  <c r="M29" i="3"/>
  <c r="R29" i="3"/>
  <c r="J30" i="3"/>
  <c r="K30" i="3"/>
  <c r="L30" i="3"/>
  <c r="M30" i="3"/>
  <c r="J32" i="3"/>
  <c r="K32" i="3"/>
  <c r="L32" i="3"/>
  <c r="M32" i="3"/>
  <c r="R32" i="3"/>
  <c r="J33" i="3"/>
  <c r="K33" i="3"/>
  <c r="L33" i="3"/>
  <c r="M33" i="3"/>
  <c r="J34" i="3"/>
  <c r="K34" i="3"/>
  <c r="L34" i="3"/>
  <c r="M34" i="3"/>
  <c r="R34" i="3"/>
  <c r="K35" i="3"/>
  <c r="L35" i="3"/>
  <c r="M35" i="3"/>
  <c r="J80" i="4"/>
  <c r="K80" i="4"/>
  <c r="L80" i="4"/>
  <c r="M80" i="4"/>
  <c r="J81" i="4"/>
  <c r="K81" i="4"/>
  <c r="L81" i="4"/>
  <c r="M81" i="4"/>
  <c r="J83" i="4"/>
  <c r="K83" i="4"/>
  <c r="L83" i="4"/>
  <c r="M83" i="4"/>
  <c r="J85" i="4"/>
  <c r="K85" i="4"/>
  <c r="L85" i="4"/>
  <c r="M85" i="4"/>
  <c r="J86" i="4"/>
  <c r="K86" i="4"/>
  <c r="L86" i="4"/>
  <c r="M86" i="4"/>
  <c r="J88" i="4"/>
  <c r="K88" i="4"/>
  <c r="L88" i="4"/>
  <c r="M88" i="4"/>
  <c r="J89" i="4"/>
  <c r="K89" i="4"/>
  <c r="L89" i="4"/>
  <c r="M89" i="4"/>
  <c r="J90" i="4"/>
  <c r="K90" i="4"/>
  <c r="L90" i="4"/>
  <c r="M90" i="4"/>
  <c r="J91" i="4"/>
  <c r="K91" i="4"/>
  <c r="L91" i="4"/>
  <c r="M91" i="4"/>
  <c r="K92" i="4"/>
  <c r="L92" i="4"/>
  <c r="M92" i="4"/>
  <c r="J13" i="7"/>
  <c r="K13" i="7"/>
  <c r="L13" i="7"/>
  <c r="M13" i="7"/>
  <c r="J14" i="7"/>
  <c r="K14" i="7"/>
  <c r="L14" i="7"/>
  <c r="M14" i="7"/>
  <c r="J33" i="7"/>
  <c r="K33" i="7"/>
  <c r="L33" i="7"/>
  <c r="M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tc={8B5C16C9-992D-4B9F-90E3-73C267EF1B05}</author>
  </authors>
  <commentList>
    <comment ref="B103" authorId="0" shapeId="0" xr:uid="{8B5C16C9-992D-4B9F-90E3-73C267EF1B05}">
      <text>
        <t>[Threaded comment]
Your version of Excel allows you to read this threaded comment; however, any edits to it will get removed if the file is opened in a newer version of Excel. Learn more: https://go.microsoft.com/fwlink/?linkid=870924
Comment:
    Suponemos que abrimos 20 hoteles por año.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tc={EDCBD708-994D-4D06-9AD6-C2039B8391C9}</author>
  </authors>
  <commentList>
    <comment ref="B18" authorId="0" shapeId="0" xr:uid="{EDCBD708-994D-4D06-9AD6-C2039B8391C9}">
      <text>
        <t>[Threaded comment]
Your version of Excel allows you to read this threaded comment; however, any edits to it will get removed if the file is opened in a newer version of Excel. Learn more: https://go.microsoft.com/fwlink/?linkid=870924
Comment:
    Duda aquí, al ser una empresa hotelera, como se cuales son los aprovisionamientos?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tc={7C60A446-072F-4758-B414-A10D4251E391}</author>
  </authors>
  <commentList>
    <comment ref="J9" authorId="0" shapeId="0" xr:uid="{7C60A446-072F-4758-B414-A10D4251E391}">
      <text>
        <t>[Threaded comment]
Your version of Excel allows you to read this threaded comment; however, any edits to it will get removed if the file is opened in a newer version of Excel. Learn more: https://go.microsoft.com/fwlink/?linkid=870924
Comment:
    No tengo una partida en CFS que indique la inversión en Right of Use por lo que no sumo nada de inversión y de ahí que disminuya mi partida, pero esto no tiene sentido.</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<sst xmlns="http://schemas.openxmlformats.org/spreadsheetml/2006/main" count="454" uniqueCount="302">
  <si>
    <t>Investment Property</t>
  </si>
  <si>
    <t>Ratios</t>
  </si>
  <si>
    <t>Working Capital</t>
  </si>
  <si>
    <t>Working Capital / Sales</t>
  </si>
  <si>
    <t>Inventories / Sales</t>
  </si>
  <si>
    <t>Asset turnover</t>
  </si>
  <si>
    <t>Accounts Payables / Expenses</t>
  </si>
  <si>
    <t>Goodwill</t>
  </si>
  <si>
    <t>Other intangible assets</t>
  </si>
  <si>
    <t>Property, Plant &amp; Equipment</t>
  </si>
  <si>
    <t>Right of use</t>
  </si>
  <si>
    <t>Equity Method</t>
  </si>
  <si>
    <t>Other non-current financial assets</t>
  </si>
  <si>
    <t>Deferred tax assets</t>
  </si>
  <si>
    <t>Non-current assets held for sale</t>
  </si>
  <si>
    <t>Inventories</t>
  </si>
  <si>
    <t>Trade and other receivables</t>
  </si>
  <si>
    <t>Current tax assets</t>
  </si>
  <si>
    <t>Other current financial assets</t>
  </si>
  <si>
    <t>Cash and other cash equivalents</t>
  </si>
  <si>
    <t>Total Non-Current Assets</t>
  </si>
  <si>
    <t>Total Current Assets</t>
  </si>
  <si>
    <t>Total Assets</t>
  </si>
  <si>
    <t>Total Equity</t>
  </si>
  <si>
    <t>Share capital</t>
  </si>
  <si>
    <t>Share premium</t>
  </si>
  <si>
    <t>Reserves</t>
  </si>
  <si>
    <t>Treasury shares</t>
  </si>
  <si>
    <t>Retained earnings</t>
  </si>
  <si>
    <t>Translation differences</t>
  </si>
  <si>
    <t>Other measurement adjustments</t>
  </si>
  <si>
    <t>Profit / (loss) for the year attributed to the parent company</t>
  </si>
  <si>
    <t>NET EQUITY ATTRIBUTED TO THE PARENT COMPANY</t>
  </si>
  <si>
    <t>Non-Controling Shareholders</t>
  </si>
  <si>
    <t>Bonds and other negotiables securities</t>
  </si>
  <si>
    <t>Financial liabilities</t>
  </si>
  <si>
    <t>Lease liabilities</t>
  </si>
  <si>
    <t>Other non-current financial liabilities</t>
  </si>
  <si>
    <t>Capital grants and other deferred income</t>
  </si>
  <si>
    <t>Provisions</t>
  </si>
  <si>
    <t>Deferred tax liabilities</t>
  </si>
  <si>
    <t>Total Non-Current Liabilities</t>
  </si>
  <si>
    <t>Trade creditors and other payables</t>
  </si>
  <si>
    <t>Current tax liabilities</t>
  </si>
  <si>
    <t>Other current liabilites</t>
  </si>
  <si>
    <t>Total Current Liabilities</t>
  </si>
  <si>
    <t>Total Equity + Liabilities</t>
  </si>
  <si>
    <t>Income Statement (Thousands €)</t>
  </si>
  <si>
    <t>Operating income</t>
  </si>
  <si>
    <t>Results from assets sale</t>
  </si>
  <si>
    <t>Total Operating Income</t>
  </si>
  <si>
    <t>Supplies</t>
  </si>
  <si>
    <t>Staff costs</t>
  </si>
  <si>
    <t>Other expenses</t>
  </si>
  <si>
    <t>Total Operating Expenses</t>
  </si>
  <si>
    <t>EBITDAR*</t>
  </si>
  <si>
    <t>Leases</t>
  </si>
  <si>
    <t>EBITDA</t>
  </si>
  <si>
    <t>Depreciation and impairment</t>
  </si>
  <si>
    <t>Depreciation Right of use</t>
  </si>
  <si>
    <t>Bargain purchase</t>
  </si>
  <si>
    <t>EBIT</t>
  </si>
  <si>
    <t>Exchange differences</t>
  </si>
  <si>
    <t>Borrowings</t>
  </si>
  <si>
    <t>Financial expenses leases</t>
  </si>
  <si>
    <t>Other financial income</t>
  </si>
  <si>
    <t>Net Financial Income</t>
  </si>
  <si>
    <t>Profit / (loss) from companies carried by the equity method</t>
  </si>
  <si>
    <t>Net Income Before Tax</t>
  </si>
  <si>
    <t>Income tax</t>
  </si>
  <si>
    <t>Consolidate Net Income</t>
  </si>
  <si>
    <t>a) Attributed to the parent</t>
  </si>
  <si>
    <t>b) Attributed to minority</t>
  </si>
  <si>
    <t>EBITDA %</t>
  </si>
  <si>
    <t>EBIT %</t>
  </si>
  <si>
    <t>Net Income %</t>
  </si>
  <si>
    <t>EBITDA crec %</t>
  </si>
  <si>
    <t>EBIT crec %</t>
  </si>
  <si>
    <t>Net Income crec %</t>
  </si>
  <si>
    <t>tax rate %</t>
  </si>
  <si>
    <t>Cash Flow Statement (Thousand €)</t>
  </si>
  <si>
    <t>Results from asset sale</t>
  </si>
  <si>
    <t>Other result adjustments</t>
  </si>
  <si>
    <t>Other assets</t>
  </si>
  <si>
    <t>Other liabilities</t>
  </si>
  <si>
    <t>Income taxes paid</t>
  </si>
  <si>
    <t>Cash Flow from Operating Activities</t>
  </si>
  <si>
    <t>Dividend income</t>
  </si>
  <si>
    <t>Investments (-)</t>
  </si>
  <si>
    <t>Investments in associates and joint ventures</t>
  </si>
  <si>
    <t>Loans to associates and joint ventures</t>
  </si>
  <si>
    <t>Property, Plant, Equipment and invesments properties</t>
  </si>
  <si>
    <t>Non-current financial investments</t>
  </si>
  <si>
    <t>Share purchase</t>
  </si>
  <si>
    <t>Divestments (+)</t>
  </si>
  <si>
    <t>Current financial investments</t>
  </si>
  <si>
    <t>Cash Flow from Investing Activities</t>
  </si>
  <si>
    <t>Dividend payments</t>
  </si>
  <si>
    <t>Treasury stock</t>
  </si>
  <si>
    <t>Debt interest paid</t>
  </si>
  <si>
    <t>Debt issue</t>
  </si>
  <si>
    <t>Debt redemption and payment</t>
  </si>
  <si>
    <t>Other financial liabilities</t>
  </si>
  <si>
    <t>Cash Flow from Financing Activities</t>
  </si>
  <si>
    <t>Cash Flow Total</t>
  </si>
  <si>
    <t>Effect of exchange rate</t>
  </si>
  <si>
    <t>Net Cash Flow</t>
  </si>
  <si>
    <t>Cash &amp; equivalents at the beginning</t>
  </si>
  <si>
    <t>Cash &amp; equivalents at the end of year</t>
  </si>
  <si>
    <t>Proceeds from changes in shareholdings in subsidiaries without loss of control</t>
  </si>
  <si>
    <t>Payments for changes in shareholdings in subsidiaries without loss of control</t>
  </si>
  <si>
    <t>Effect of changes in consolidation</t>
  </si>
  <si>
    <t>Change in investment</t>
  </si>
  <si>
    <t>Business combination</t>
  </si>
  <si>
    <t>2025e</t>
  </si>
  <si>
    <t>2026e</t>
  </si>
  <si>
    <t>2027e</t>
  </si>
  <si>
    <t>2028e</t>
  </si>
  <si>
    <t>Staff</t>
  </si>
  <si>
    <t>%crec</t>
  </si>
  <si>
    <t>Staffing costs</t>
  </si>
  <si>
    <t>Staff cost per capita</t>
  </si>
  <si>
    <t>Number of Hotels</t>
  </si>
  <si>
    <t>Spain O&amp;L</t>
  </si>
  <si>
    <t>Spain Management</t>
  </si>
  <si>
    <t>EMEA O&amp;L</t>
  </si>
  <si>
    <t>EMEA Management</t>
  </si>
  <si>
    <t>AMERICA O&amp;L</t>
  </si>
  <si>
    <t>AMERICA Management</t>
  </si>
  <si>
    <t>APAC O&amp;L</t>
  </si>
  <si>
    <t>APAC Management</t>
  </si>
  <si>
    <t>Cuba O&amp;L</t>
  </si>
  <si>
    <t>Cuba Management</t>
  </si>
  <si>
    <t>Avg num of employees per hotel</t>
  </si>
  <si>
    <t>Supplies costs</t>
  </si>
  <si>
    <t>as % of sales</t>
  </si>
  <si>
    <t>as % sales</t>
  </si>
  <si>
    <t>Depreciation Right of Use</t>
  </si>
  <si>
    <t>as % balance ROU</t>
  </si>
  <si>
    <t>CAGR % 2018 - 2024</t>
  </si>
  <si>
    <t>CAGR % 2024 - 2028e</t>
  </si>
  <si>
    <t>Depreciation Fixed Assets</t>
  </si>
  <si>
    <t>Capex</t>
  </si>
  <si>
    <t>Profit/Loss Equity Method</t>
  </si>
  <si>
    <t>as % net income pretax</t>
  </si>
  <si>
    <t>Net Debt</t>
  </si>
  <si>
    <t>Net Debt / EBITDA</t>
  </si>
  <si>
    <t>Avg cost of debt</t>
  </si>
  <si>
    <t>Receivables / Sales</t>
  </si>
  <si>
    <t>Dividends</t>
  </si>
  <si>
    <t>Payout Ratio</t>
  </si>
  <si>
    <t>Avg cost of Leases Expenses</t>
  </si>
  <si>
    <t>Avg cost of Financial Liabilities</t>
  </si>
  <si>
    <t>Income Taxes Paid</t>
  </si>
  <si>
    <t>as% sales</t>
  </si>
  <si>
    <t>as % income pre tax</t>
  </si>
  <si>
    <t>NCI ratio</t>
  </si>
  <si>
    <t>as % of consolidated income</t>
  </si>
  <si>
    <t>as % of sales (total investments)</t>
  </si>
  <si>
    <t>% Debt Redeption as Net Debt</t>
  </si>
  <si>
    <t>% Debt Redeption as Total Debt</t>
  </si>
  <si>
    <t>Reissue of debt</t>
  </si>
  <si>
    <t>Leases avg amortization</t>
  </si>
  <si>
    <t>CAGR % 2024 - 2028</t>
  </si>
  <si>
    <t>Other current assets</t>
  </si>
  <si>
    <t>Discounted FCF</t>
  </si>
  <si>
    <t>WACC</t>
  </si>
  <si>
    <t>Tax Rate</t>
  </si>
  <si>
    <t>Risk Free Rate (10y German Bund)</t>
  </si>
  <si>
    <t>Terminal Value</t>
  </si>
  <si>
    <t>Growth Rate</t>
  </si>
  <si>
    <t>Price per Share</t>
  </si>
  <si>
    <t>Interest Coverage Ratio</t>
  </si>
  <si>
    <t>Balance Sheet (Thousands €)</t>
  </si>
  <si>
    <t>as % of sales (plant/property)</t>
  </si>
  <si>
    <t>%growth</t>
  </si>
  <si>
    <t>CFO/EBITDA</t>
  </si>
  <si>
    <t>Info</t>
  </si>
  <si>
    <t>Name</t>
  </si>
  <si>
    <t>Meliá Hotels International</t>
  </si>
  <si>
    <t>Date</t>
  </si>
  <si>
    <t>Ticker</t>
  </si>
  <si>
    <t>Exchange</t>
  </si>
  <si>
    <t>Industry</t>
  </si>
  <si>
    <t>Sector</t>
  </si>
  <si>
    <t>Consumer Discretionary</t>
  </si>
  <si>
    <t>Hotels, Restaurants &amp; Leisure</t>
  </si>
  <si>
    <t>BME</t>
  </si>
  <si>
    <t>Nº of Shares (millions)</t>
  </si>
  <si>
    <t>Company Profile</t>
  </si>
  <si>
    <t>idea inicial (mantener el mismo % n-1</t>
  </si>
  <si>
    <t>as % of Balance</t>
  </si>
  <si>
    <t>NET increases Property(according to Pablo Fernandez)</t>
  </si>
  <si>
    <t>NET increases Right of Use(according to Pablo Fernandez)</t>
  </si>
  <si>
    <t>Stock Info</t>
  </si>
  <si>
    <t>Beta</t>
  </si>
  <si>
    <t>Opening</t>
  </si>
  <si>
    <t>Fiscal Year</t>
  </si>
  <si>
    <t>Assumptions</t>
  </si>
  <si>
    <t>Revenue</t>
  </si>
  <si>
    <t>COGS</t>
  </si>
  <si>
    <t>Days Sales Outstanding (DSO)</t>
  </si>
  <si>
    <t>Days Inventory Outstanding (DIO)</t>
  </si>
  <si>
    <t>Days Payable Outstanding (DPO)</t>
  </si>
  <si>
    <t>Current Assets (excl Cash&amp;Eq)</t>
  </si>
  <si>
    <t>Other current liabilities as %Sales</t>
  </si>
  <si>
    <t>Current Liabilites</t>
  </si>
  <si>
    <t>Income by region &amp; model (000's €)</t>
  </si>
  <si>
    <t>Projections</t>
  </si>
  <si>
    <t>Best Case Scenario</t>
  </si>
  <si>
    <t>Base Case Scenario</t>
  </si>
  <si>
    <t>Worst Case Scenario</t>
  </si>
  <si>
    <t>Depreciation</t>
  </si>
  <si>
    <t>PP&amp;E Initial</t>
  </si>
  <si>
    <t>PP&amp;E Final</t>
  </si>
  <si>
    <t>Depreciation PP&amp;E</t>
  </si>
  <si>
    <t>Right of Use Initial</t>
  </si>
  <si>
    <t>Right of Use Final</t>
  </si>
  <si>
    <t>Other Financial Income</t>
  </si>
  <si>
    <t>NET increases both average CAPEX Projections</t>
  </si>
  <si>
    <t>D&amp;A as % PP&amp;E Initial</t>
  </si>
  <si>
    <t>CapEx as % PP&amp;E Initial</t>
  </si>
  <si>
    <t>D&amp;A as % RoU Initial</t>
  </si>
  <si>
    <t>CapEx as % RoU Initial</t>
  </si>
  <si>
    <t>PP&amp;E Projections</t>
  </si>
  <si>
    <t>Right of Use Projections</t>
  </si>
  <si>
    <t>Depreciation and impairment PP&amp;E</t>
  </si>
  <si>
    <t>Free Cash Flow from Operations</t>
  </si>
  <si>
    <t>(+) EBIT</t>
  </si>
  <si>
    <t>(-) Taxes</t>
  </si>
  <si>
    <t>(=) NOPAT</t>
  </si>
  <si>
    <t>(+) D&amp;A</t>
  </si>
  <si>
    <t>(+) NOF var.</t>
  </si>
  <si>
    <t>Free Cash Flow to Firm</t>
  </si>
  <si>
    <t>Discount Factor</t>
  </si>
  <si>
    <t>Period</t>
  </si>
  <si>
    <t>Discounted Cash Flow</t>
  </si>
  <si>
    <t>Entreprise Value (EV)</t>
  </si>
  <si>
    <t>(-) Net Debt</t>
  </si>
  <si>
    <t>Equity Value (EqV)</t>
  </si>
  <si>
    <t>WACC CALCULATION</t>
  </si>
  <si>
    <t>Cost of Debt (Kd)</t>
  </si>
  <si>
    <t>Average Cost of Debt</t>
  </si>
  <si>
    <t>D/(D+E)</t>
  </si>
  <si>
    <t>Market Cap</t>
  </si>
  <si>
    <t>Cost of Equity (Ke)</t>
  </si>
  <si>
    <t>Levered Beta</t>
  </si>
  <si>
    <t>E/(E+D)</t>
  </si>
  <si>
    <t>Entreprise Value  + Equity Value</t>
  </si>
  <si>
    <t>BALANCE SHEET</t>
  </si>
  <si>
    <t>INCOME STATEMENT</t>
  </si>
  <si>
    <t>Cash Flow Statement</t>
  </si>
  <si>
    <t>Market Risk Premium (Spain's ERP + Spains's CDS) according to Damodaran Website</t>
  </si>
  <si>
    <t>Competitors</t>
  </si>
  <si>
    <t>IHG</t>
  </si>
  <si>
    <t>Marriott</t>
  </si>
  <si>
    <t>Accor</t>
  </si>
  <si>
    <t>Hyatt</t>
  </si>
  <si>
    <t>Hilton</t>
  </si>
  <si>
    <t>Wyndham</t>
  </si>
  <si>
    <t>Meliá</t>
  </si>
  <si>
    <t>Debt</t>
  </si>
  <si>
    <t>Cash</t>
  </si>
  <si>
    <t>Maintenance CapEx (70%)</t>
  </si>
  <si>
    <t>Maintenance CapEx (70% D&amp;A)</t>
  </si>
  <si>
    <t>▲Right of Use Final</t>
  </si>
  <si>
    <t>D&amp;A</t>
  </si>
  <si>
    <t>Interest</t>
  </si>
  <si>
    <t xml:space="preserve">▲ Liability Leases </t>
  </si>
  <si>
    <t>Minority</t>
  </si>
  <si>
    <t>% Total Net Income</t>
  </si>
  <si>
    <t>growth%</t>
  </si>
  <si>
    <t>Number of Employess</t>
  </si>
  <si>
    <t>Net Income</t>
  </si>
  <si>
    <t>Net Sales</t>
  </si>
  <si>
    <t>Revenues by Type of Management</t>
  </si>
  <si>
    <t>Owned &amp; Leased</t>
  </si>
  <si>
    <t>Management</t>
  </si>
  <si>
    <t>Net Sales by Type of Management</t>
  </si>
  <si>
    <t>Top Global Competitors</t>
  </si>
  <si>
    <t>Spain</t>
  </si>
  <si>
    <t>EMEA</t>
  </si>
  <si>
    <t>APAC</t>
  </si>
  <si>
    <t>Cuba</t>
  </si>
  <si>
    <t>Net Sales by Geography 2025e</t>
  </si>
  <si>
    <t>Americas</t>
  </si>
  <si>
    <t>Revenues by Geographies</t>
  </si>
  <si>
    <t>Forward Earnings per Share (EPS)</t>
  </si>
  <si>
    <t>Forward Price to Earnings Ratio (PER)</t>
  </si>
  <si>
    <t>Gain/Loss</t>
  </si>
  <si>
    <t>Best Case</t>
  </si>
  <si>
    <t>Base Case</t>
  </si>
  <si>
    <t>Worst Case</t>
  </si>
  <si>
    <t>Forecasted Cash Flow to Firm</t>
  </si>
  <si>
    <t>(-) CapEx</t>
  </si>
  <si>
    <t>FFCF</t>
  </si>
  <si>
    <t>Free Cash Flow Waterfall</t>
  </si>
  <si>
    <t>Hotels Portfolio by category</t>
  </si>
  <si>
    <t>Owned</t>
  </si>
  <si>
    <t>Leased</t>
  </si>
  <si>
    <t>Franchised</t>
  </si>
  <si>
    <t>Hotel Portfolio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</si>
</sst>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_(* \(#,##0.00\);_(* &quot;-&quot;??_);_(@_)"/>
    <numFmt numFmtId="164" formatCode="&quot;£&quot;#,##0.00;[Red]\-&quot;£&quot;#,##0.00"/>
    <numFmt numFmtId="165" formatCode="_-* #,##0.00_-;\-* #,##0.00_-;_-* &quot;-&quot;??_-;_-@_-"/>
    <numFmt numFmtId="166" formatCode="_-* #,##0_-;\-* #,##0_-;_-* &quot;-&quot;??_-;_-@_-"/>
    <numFmt numFmtId="167" formatCode="#,##0;\(#,##0\)"/>
    <numFmt numFmtId="168" formatCode="0.0%"/>
    <numFmt numFmtId="169" formatCode="#,##0.0;\(#,##0.0\)"/>
    <numFmt numFmtId="170" formatCode="#,##0;\ \(#,##0\);&quot;-&quot;"/>
    <numFmt numFmtId="171" formatCode="_([$€-2]\ * #,##0.00_);_([$€-2]\ * \(#,##0.00\);_([$€-2]\ * &quot;-&quot;??_);_(@_)"/>
    <numFmt numFmtId="172" formatCode="_(* #,##0_);_(* \(#,##0\);_(* &quot;-&quot;??_);_(@_)"/>
    <numFmt numFmtId="173" formatCode="#,000\ \€;\ \(#,000\ \€\);\ &quot;-&quot;"/>
    <numFmt numFmtId="174" formatCode="_([$€-2]\ * #,##0_);_([$€-2]\ * \(#,##0\);_([$€-2]\ * &quot;-&quot;_);_(@_)"/>
    <numFmt numFmtId="175" formatCode="_([$$-409]* #,##0_);_([$$-409]* \(#,##0\);_([$$-409]* &quot;-&quot;_);_(@_)"/>
    <numFmt numFmtId="176" formatCode="_([$$-409]* #,##0.00_);_([$$-409]* \(#,##0.00\);_([$$-409]* &quot;-&quot;??_);_(@_)"/>
    <numFmt numFmtId="177" formatCode="#,##0.00\ \€;\ \(#,##0.00\ \€\);\ &quot;-&quot;"/>
    <numFmt numFmtId="178" formatCode="\€#,##0,\ &quot;M&quot;"/>
    <numFmt numFmtId="179" formatCode="#,##0.00&quot;x&quot;"/>
  </numFmts>
  <fonts count="24" x14ac:knownFonts="1">
    <font>
      <sz val="11"/>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
      <b/>
      <sz val="11"/>
      <color theme="0"/>
      <name val="Aptos Narrow"/>
      <family val="2"/>
      <scheme val="minor"/>
    </font>
    <font>
      <sz val="11"/>
      <color theme="5" tint="-0.249977111117893"/>
      <name val="Aptos Narrow"/>
      <family val="2"/>
      <scheme val="minor"/>
    </font>
    <font>
      <i/>
      <sz val="11"/>
      <color theme="0" tint="-0.499984740745262"/>
      <name val="Aptos Narrow"/>
      <family val="2"/>
      <scheme val="minor"/>
    </font>
    <font>
      <sz val="11"/>
      <color theme="0"/>
      <name val="Aptos Narrow"/>
      <family val="2"/>
      <scheme val="minor"/>
    </font>
    <font>
      <sz val="11"/>
      <color theme="4"/>
      <name val="Aptos Narrow"/>
      <family val="2"/>
      <scheme val="minor"/>
    </font>
    <font>
      <b/>
      <sz val="26"/>
      <color theme="1"/>
      <name val="Aptos Narrow"/>
      <family val="2"/>
      <scheme val="minor"/>
    </font>
    <font>
      <i/>
      <sz val="12"/>
      <color theme="1"/>
      <name val="Aptos Narrow"/>
      <family val="2"/>
      <scheme val="minor"/>
    </font>
    <font>
      <b/>
      <sz val="36"/>
      <color theme="0"/>
      <name val="Aptos Narrow"/>
      <family val="2"/>
      <scheme val="minor"/>
    </font>
    <font>
      <sz val="11"/>
      <color theme="6"/>
      <name val="Aptos Narrow"/>
      <family val="2"/>
      <scheme val="minor"/>
    </font>
    <font>
      <b/>
      <sz val="11"/>
      <color theme="6"/>
      <name val="Aptos Narrow"/>
      <family val="2"/>
      <scheme val="minor"/>
    </font>
    <font>
      <b/>
      <i/>
      <sz val="11"/>
      <color theme="6"/>
      <name val="Aptos Narrow"/>
      <family val="2"/>
      <scheme val="minor"/>
    </font>
    <font>
      <sz val="11"/>
      <color theme="1" tint="0.499984740745262"/>
      <name val="Aptos Narrow"/>
      <family val="2"/>
      <scheme val="minor"/>
    </font>
    <font>
      <b/>
      <sz val="12"/>
      <color theme="0"/>
      <name val="Aptos Narrow"/>
      <family val="2"/>
      <scheme val="minor"/>
    </font>
    <font>
      <b/>
      <sz val="20"/>
      <color theme="0"/>
      <name val="Aptos Narrow"/>
      <family val="2"/>
      <scheme val="minor"/>
    </font>
    <font>
      <b/>
      <sz val="22"/>
      <color theme="0"/>
      <name val="Aptos Narrow"/>
      <family val="2"/>
      <scheme val="minor"/>
    </font>
    <font>
      <sz val="11"/>
      <color theme="1" tint="0.34998626667073579"/>
      <name val="Aptos Narrow"/>
      <family val="2"/>
      <scheme val="minor"/>
    </font>
    <font>
      <sz val="11"/>
      <color theme="3"/>
      <name val="Aptos Narrow"/>
      <family val="2"/>
      <scheme val="minor"/>
    </font>
    <font>
      <sz val="11"/>
      <color theme="9"/>
      <name val="Aptos Narrow"/>
      <family val="2"/>
      <scheme val="minor"/>
    </font>
    <font>
      <b/>
      <sz val="11"/>
      <color theme="9"/>
      <name val="Aptos Narrow"/>
      <family val="2"/>
      <scheme val="minor"/>
    </font>
    <font>
      <b/>
      <i/>
      <sz val="12"/>
      <color theme="1"/>
      <name val="Aptos Narrow"/>
      <family val="2"/>
      <scheme val="minor"/>
    </font>
  </fonts>
  <fills count="19">
    <fill>
      <patternFill patternType="none"/>
    </fill>
    <fill>
      <patternFill patternType="gray125"/>
    </fill>
    <fill>
      <patternFill patternType="solid">
        <fgColor theme="3" tint="0.74999237037263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bgColor indexed="64"/>
      </patternFill>
    </fill>
    <fill>
      <patternFill patternType="solid">
        <fgColor theme="3" tint="0.249977111117893"/>
        <bgColor indexed="64"/>
      </patternFill>
    </fill>
    <fill>
      <patternFill patternType="solid">
        <fgColor theme="3" tint="9.9978637043366805E-2"/>
        <bgColor indexed="64"/>
      </patternFill>
    </fill>
    <fill>
      <patternFill patternType="solid">
        <fgColor theme="4" tint="0.39997558519241921"/>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3"/>
        <bgColor indexed="64"/>
      </patternFill>
    </fill>
    <fill>
      <patternFill patternType="solid">
        <fgColor theme="0" tint="-0.34998626667073579"/>
        <bgColor indexed="64"/>
      </patternFill>
    </fill>
    <fill>
      <patternFill patternType="solid">
        <fgColor rgb="FF002060"/>
        <bgColor indexed="64"/>
      </patternFill>
    </fill>
    <fill>
      <patternFill patternType="solid">
        <fgColor rgb="FF0070C0"/>
        <bgColor indexed="64"/>
      </patternFill>
    </fill>
    <fill>
      <patternFill patternType="solid">
        <fgColor theme="7" tint="0.39997558519241921"/>
        <bgColor indexed="64"/>
      </patternFill>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bottom/>
      <diagonal/>
    </border>
    <border>
      <left/>
      <right/>
      <top style="thin">
        <color indexed="64"/>
      </top>
      <bottom style="thin">
        <color indexed="64"/>
      </bottom>
      <diagonal/>
    </border>
    <border>
      <left/>
      <right/>
      <top/>
      <bottom style="thin">
        <color theme="0" tint="-0.24994659260841701"/>
      </bottom>
      <diagonal/>
    </border>
    <border>
      <left/>
      <right/>
      <top/>
      <bottom style="double">
        <color indexed="64"/>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226">
    <xf numFmtId="0" fontId="0" fillId="0" borderId="0" xfId="0"/>
    <xf numFmtId="166" fontId="0" fillId="0" borderId="0" xfId="0" applyNumberFormat="1"/>
    <xf numFmtId="0" fontId="2" fillId="2" borderId="1" xfId="0" applyFont="1" applyFill="1" applyBorder="1" applyAlignment="1">
      <alignment horizontal="center" vertical="center"/>
    </xf>
    <xf numFmtId="166" fontId="2" fillId="2" borderId="1" xfId="1" applyNumberFormat="1" applyFont="1" applyFill="1" applyBorder="1" applyAlignment="1">
      <alignment horizontal="center" vertical="center"/>
    </xf>
    <xf numFmtId="0" fontId="0" fillId="3" borderId="1" xfId="0" applyFill="1" applyBorder="1" applyAlignment="1">
      <alignment horizontal="center" vertical="center"/>
    </xf>
    <xf numFmtId="166" fontId="1" fillId="3" borderId="1" xfId="1" applyNumberFormat="1" applyFont="1" applyFill="1" applyBorder="1" applyAlignment="1">
      <alignment horizontal="center" vertical="center"/>
    </xf>
    <xf numFmtId="0" fontId="3" fillId="4" borderId="0" xfId="0" applyFont="1" applyFill="1"/>
    <xf numFmtId="167" fontId="0" fillId="0" borderId="0" xfId="1" applyNumberFormat="1" applyFont="1"/>
    <xf numFmtId="167" fontId="0" fillId="4" borderId="0" xfId="1" applyNumberFormat="1" applyFont="1" applyFill="1"/>
    <xf numFmtId="167" fontId="1" fillId="3" borderId="1" xfId="1" applyNumberFormat="1" applyFont="1" applyFill="1" applyBorder="1" applyAlignment="1">
      <alignment horizontal="center" vertical="center"/>
    </xf>
    <xf numFmtId="0" fontId="0" fillId="0" borderId="1" xfId="0" applyBorder="1" applyAlignment="1">
      <alignment horizontal="center" vertical="center"/>
    </xf>
    <xf numFmtId="166" fontId="1" fillId="0" borderId="1" xfId="1" applyNumberFormat="1" applyFont="1" applyFill="1" applyBorder="1" applyAlignment="1">
      <alignment horizontal="center" vertical="center"/>
    </xf>
    <xf numFmtId="167" fontId="0" fillId="0" borderId="0" xfId="0" applyNumberFormat="1"/>
    <xf numFmtId="0" fontId="0" fillId="4" borderId="0" xfId="0" applyFill="1" applyAlignment="1">
      <alignment horizontal="center" vertical="center"/>
    </xf>
    <xf numFmtId="9" fontId="0" fillId="4" borderId="0" xfId="2" applyFont="1" applyFill="1"/>
    <xf numFmtId="0" fontId="5" fillId="4" borderId="0" xfId="0" applyFont="1" applyFill="1" applyAlignment="1">
      <alignment horizontal="center" vertical="center"/>
    </xf>
    <xf numFmtId="9" fontId="5" fillId="4" borderId="0" xfId="2" applyFont="1" applyFill="1"/>
    <xf numFmtId="9" fontId="0" fillId="0" borderId="0" xfId="2" applyFont="1"/>
    <xf numFmtId="0" fontId="6" fillId="0" borderId="0" xfId="0" applyFont="1" applyAlignment="1">
      <alignment horizontal="left" indent="1"/>
    </xf>
    <xf numFmtId="0" fontId="4" fillId="5" borderId="0" xfId="0" applyFont="1" applyFill="1" applyAlignment="1">
      <alignment horizontal="center"/>
    </xf>
    <xf numFmtId="0" fontId="4" fillId="5" borderId="2" xfId="0" applyFont="1" applyFill="1" applyBorder="1" applyAlignment="1">
      <alignment horizont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2" xfId="0" applyFont="1" applyFill="1" applyBorder="1" applyAlignment="1">
      <alignment horizontal="center"/>
    </xf>
    <xf numFmtId="168" fontId="0" fillId="0" borderId="0" xfId="2" applyNumberFormat="1" applyFont="1"/>
    <xf numFmtId="10" fontId="0" fillId="0" borderId="0" xfId="2" applyNumberFormat="1" applyFont="1"/>
    <xf numFmtId="0" fontId="0" fillId="0" borderId="1" xfId="0" applyBorder="1"/>
    <xf numFmtId="0" fontId="2" fillId="0" borderId="1" xfId="0" applyFont="1" applyBorder="1"/>
    <xf numFmtId="166" fontId="0" fillId="0" borderId="1" xfId="1" applyNumberFormat="1" applyFont="1" applyBorder="1"/>
    <xf numFmtId="9" fontId="0" fillId="9" borderId="0" xfId="2" applyFont="1" applyFill="1"/>
    <xf numFmtId="168" fontId="0" fillId="9" borderId="0" xfId="2" applyNumberFormat="1" applyFont="1" applyFill="1"/>
    <xf numFmtId="0" fontId="0" fillId="9" borderId="0" xfId="0" applyFill="1"/>
    <xf numFmtId="0" fontId="3" fillId="10" borderId="0" xfId="0" applyFont="1" applyFill="1"/>
    <xf numFmtId="166" fontId="3" fillId="10" borderId="0" xfId="1" applyNumberFormat="1" applyFont="1" applyFill="1"/>
    <xf numFmtId="9" fontId="0" fillId="0" borderId="0" xfId="0" applyNumberFormat="1"/>
    <xf numFmtId="166" fontId="0" fillId="0" borderId="0" xfId="1" applyNumberFormat="1" applyFont="1"/>
    <xf numFmtId="0" fontId="2" fillId="0" borderId="0" xfId="0" applyFont="1" applyAlignment="1">
      <alignment horizontal="centerContinuous" vertical="center"/>
    </xf>
    <xf numFmtId="168" fontId="2" fillId="0" borderId="0" xfId="2" applyNumberFormat="1" applyFont="1" applyAlignment="1">
      <alignment horizontal="centerContinuous" vertical="center"/>
    </xf>
    <xf numFmtId="165" fontId="0" fillId="0" borderId="0" xfId="0" applyNumberFormat="1"/>
    <xf numFmtId="0" fontId="4" fillId="5" borderId="3" xfId="0" applyFont="1" applyFill="1" applyBorder="1" applyAlignment="1">
      <alignment horizontal="center"/>
    </xf>
    <xf numFmtId="0" fontId="4" fillId="8" borderId="4" xfId="0" applyFont="1" applyFill="1" applyBorder="1" applyAlignment="1">
      <alignment horizontal="center"/>
    </xf>
    <xf numFmtId="0" fontId="4" fillId="8" borderId="0" xfId="0" applyFont="1" applyFill="1" applyAlignment="1">
      <alignment horizontal="center"/>
    </xf>
    <xf numFmtId="166" fontId="0" fillId="0" borderId="0" xfId="1" applyNumberFormat="1" applyFont="1" applyBorder="1"/>
    <xf numFmtId="0" fontId="2" fillId="0" borderId="0" xfId="0" applyFont="1"/>
    <xf numFmtId="169" fontId="0" fillId="0" borderId="0" xfId="0" applyNumberFormat="1"/>
    <xf numFmtId="9" fontId="0" fillId="0" borderId="0" xfId="2" applyFont="1" applyBorder="1"/>
    <xf numFmtId="2" fontId="0" fillId="0" borderId="0" xfId="0" applyNumberFormat="1"/>
    <xf numFmtId="169" fontId="0" fillId="11" borderId="0" xfId="0" applyNumberFormat="1" applyFill="1"/>
    <xf numFmtId="4" fontId="0" fillId="0" borderId="0" xfId="0" applyNumberFormat="1"/>
    <xf numFmtId="3" fontId="0" fillId="0" borderId="0" xfId="0" applyNumberFormat="1"/>
    <xf numFmtId="0" fontId="0" fillId="0" borderId="2" xfId="0" applyBorder="1"/>
    <xf numFmtId="0" fontId="2" fillId="0" borderId="3" xfId="0" applyFont="1" applyBorder="1" applyAlignment="1">
      <alignment horizontal="centerContinuous" vertical="center"/>
    </xf>
    <xf numFmtId="166" fontId="2" fillId="0" borderId="0" xfId="0" applyNumberFormat="1" applyFont="1"/>
    <xf numFmtId="10" fontId="0" fillId="0" borderId="0" xfId="0" applyNumberFormat="1"/>
    <xf numFmtId="164" fontId="0" fillId="0" borderId="0" xfId="0" applyNumberFormat="1"/>
    <xf numFmtId="0" fontId="0" fillId="0" borderId="3" xfId="0" applyBorder="1"/>
    <xf numFmtId="0" fontId="0" fillId="0" borderId="4" xfId="0" applyBorder="1"/>
    <xf numFmtId="168" fontId="0" fillId="0" borderId="0" xfId="0" applyNumberFormat="1"/>
    <xf numFmtId="2" fontId="0" fillId="0" borderId="0" xfId="2" applyNumberFormat="1" applyFont="1"/>
    <xf numFmtId="0" fontId="4" fillId="8" borderId="3" xfId="0" applyFont="1" applyFill="1" applyBorder="1" applyAlignment="1">
      <alignment horizontal="center"/>
    </xf>
    <xf numFmtId="167" fontId="1" fillId="3" borderId="6" xfId="1" applyNumberFormat="1" applyFont="1" applyFill="1" applyBorder="1" applyAlignment="1">
      <alignment horizontal="center" vertical="center"/>
    </xf>
    <xf numFmtId="167" fontId="0" fillId="0" borderId="3" xfId="1" applyNumberFormat="1" applyFont="1" applyBorder="1"/>
    <xf numFmtId="9" fontId="0" fillId="4" borderId="3" xfId="2" applyFont="1" applyFill="1" applyBorder="1"/>
    <xf numFmtId="9" fontId="5" fillId="4" borderId="3" xfId="2" applyFont="1" applyFill="1" applyBorder="1"/>
    <xf numFmtId="167" fontId="0" fillId="4" borderId="3" xfId="1" applyNumberFormat="1" applyFont="1" applyFill="1" applyBorder="1"/>
    <xf numFmtId="167" fontId="0" fillId="0" borderId="3" xfId="0" applyNumberFormat="1" applyBorder="1"/>
    <xf numFmtId="166" fontId="1" fillId="3" borderId="6" xfId="1" applyNumberFormat="1" applyFont="1" applyFill="1" applyBorder="1" applyAlignment="1">
      <alignment horizontal="center" vertical="center"/>
    </xf>
    <xf numFmtId="166" fontId="1" fillId="0" borderId="6" xfId="1" applyNumberFormat="1" applyFont="1" applyFill="1" applyBorder="1" applyAlignment="1">
      <alignment horizontal="center" vertical="center"/>
    </xf>
    <xf numFmtId="166" fontId="2" fillId="2" borderId="6" xfId="1" applyNumberFormat="1" applyFont="1" applyFill="1" applyBorder="1" applyAlignment="1">
      <alignment horizontal="center" vertical="center"/>
    </xf>
    <xf numFmtId="167" fontId="0" fillId="0" borderId="1" xfId="0" applyNumberFormat="1" applyBorder="1"/>
    <xf numFmtId="0" fontId="0" fillId="10" borderId="1" xfId="0" applyFill="1" applyBorder="1" applyAlignment="1">
      <alignment horizontal="center" vertical="center"/>
    </xf>
    <xf numFmtId="170" fontId="1" fillId="10" borderId="1" xfId="1" applyNumberFormat="1" applyFont="1" applyFill="1" applyBorder="1" applyAlignment="1">
      <alignment horizontal="center" vertical="center"/>
    </xf>
    <xf numFmtId="170" fontId="1" fillId="10" borderId="6" xfId="1" applyNumberFormat="1" applyFont="1" applyFill="1" applyBorder="1" applyAlignment="1">
      <alignment horizontal="center" vertical="center"/>
    </xf>
    <xf numFmtId="0" fontId="7" fillId="0" borderId="0" xfId="0" applyFont="1"/>
    <xf numFmtId="168" fontId="2" fillId="12" borderId="0" xfId="2" applyNumberFormat="1" applyFont="1" applyFill="1"/>
    <xf numFmtId="167" fontId="8" fillId="0" borderId="0" xfId="1" applyNumberFormat="1" applyFont="1"/>
    <xf numFmtId="167" fontId="8" fillId="0" borderId="3" xfId="1" applyNumberFormat="1" applyFont="1" applyFill="1" applyBorder="1"/>
    <xf numFmtId="167" fontId="8" fillId="0" borderId="0" xfId="1" applyNumberFormat="1" applyFont="1" applyFill="1"/>
    <xf numFmtId="0" fontId="0" fillId="2" borderId="0" xfId="0" applyFill="1"/>
    <xf numFmtId="0" fontId="9" fillId="2" borderId="0" xfId="0" applyFont="1" applyFill="1"/>
    <xf numFmtId="15" fontId="0" fillId="0" borderId="0" xfId="0" applyNumberFormat="1"/>
    <xf numFmtId="0" fontId="0" fillId="9" borderId="1" xfId="0" applyFill="1" applyBorder="1"/>
    <xf numFmtId="0" fontId="2" fillId="9" borderId="1" xfId="0" applyFont="1" applyFill="1" applyBorder="1"/>
    <xf numFmtId="167" fontId="0" fillId="12" borderId="3" xfId="1" applyNumberFormat="1" applyFont="1" applyFill="1" applyBorder="1"/>
    <xf numFmtId="9" fontId="0" fillId="12" borderId="0" xfId="2" applyFont="1" applyFill="1"/>
    <xf numFmtId="166" fontId="0" fillId="13" borderId="0" xfId="1" applyNumberFormat="1" applyFont="1" applyFill="1"/>
    <xf numFmtId="171" fontId="0" fillId="0" borderId="0" xfId="0" applyNumberFormat="1"/>
    <xf numFmtId="0" fontId="0" fillId="12" borderId="0" xfId="0" applyFill="1"/>
    <xf numFmtId="166" fontId="0" fillId="12" borderId="0" xfId="1" applyNumberFormat="1" applyFont="1" applyFill="1"/>
    <xf numFmtId="172" fontId="0" fillId="0" borderId="0" xfId="0" applyNumberFormat="1"/>
    <xf numFmtId="0" fontId="0" fillId="14" borderId="0" xfId="0" applyFill="1"/>
    <xf numFmtId="168" fontId="0" fillId="0" borderId="0" xfId="2" applyNumberFormat="1" applyFont="1" applyBorder="1"/>
    <xf numFmtId="0" fontId="0" fillId="4" borderId="1" xfId="0" applyFill="1" applyBorder="1" applyAlignment="1">
      <alignment horizontal="center"/>
    </xf>
    <xf numFmtId="9" fontId="0" fillId="4" borderId="1" xfId="2" applyFont="1" applyFill="1" applyBorder="1"/>
    <xf numFmtId="168" fontId="0" fillId="4" borderId="1" xfId="2" applyNumberFormat="1" applyFont="1" applyFill="1" applyBorder="1"/>
    <xf numFmtId="0" fontId="3" fillId="0" borderId="0" xfId="0" applyFont="1" applyAlignment="1">
      <alignment horizontal="right"/>
    </xf>
    <xf numFmtId="166" fontId="3" fillId="0" borderId="0" xfId="1" applyNumberFormat="1" applyFont="1" applyFill="1" applyBorder="1" applyAlignment="1">
      <alignment horizontal="right"/>
    </xf>
    <xf numFmtId="10" fontId="3" fillId="0" borderId="0" xfId="2" applyNumberFormat="1" applyFont="1" applyFill="1" applyBorder="1" applyAlignment="1">
      <alignment horizontal="right"/>
    </xf>
    <xf numFmtId="0" fontId="3" fillId="10" borderId="0" xfId="0" applyFont="1" applyFill="1" applyAlignment="1">
      <alignment horizontal="left" indent="1"/>
    </xf>
    <xf numFmtId="168" fontId="0" fillId="2" borderId="0" xfId="2" applyNumberFormat="1" applyFont="1" applyFill="1"/>
    <xf numFmtId="168" fontId="0" fillId="9" borderId="5" xfId="2" applyNumberFormat="1" applyFont="1" applyFill="1" applyBorder="1"/>
    <xf numFmtId="168" fontId="0" fillId="9" borderId="9" xfId="2" applyNumberFormat="1" applyFont="1" applyFill="1" applyBorder="1"/>
    <xf numFmtId="168" fontId="0" fillId="9" borderId="7" xfId="2" applyNumberFormat="1" applyFont="1" applyFill="1" applyBorder="1"/>
    <xf numFmtId="168" fontId="0" fillId="9" borderId="6" xfId="2" applyNumberFormat="1" applyFont="1" applyFill="1" applyBorder="1"/>
    <xf numFmtId="168" fontId="0" fillId="9" borderId="1" xfId="2" applyNumberFormat="1" applyFont="1" applyFill="1" applyBorder="1"/>
    <xf numFmtId="168" fontId="0" fillId="9" borderId="8" xfId="2" applyNumberFormat="1" applyFont="1" applyFill="1" applyBorder="1"/>
    <xf numFmtId="166" fontId="2" fillId="15" borderId="0" xfId="1" applyNumberFormat="1" applyFont="1" applyFill="1"/>
    <xf numFmtId="168" fontId="2" fillId="9" borderId="3" xfId="2" applyNumberFormat="1" applyFont="1" applyFill="1" applyBorder="1"/>
    <xf numFmtId="168" fontId="2" fillId="9" borderId="0" xfId="2" applyNumberFormat="1" applyFont="1" applyFill="1" applyBorder="1"/>
    <xf numFmtId="168" fontId="2" fillId="9" borderId="4" xfId="2" applyNumberFormat="1" applyFont="1" applyFill="1" applyBorder="1"/>
    <xf numFmtId="0" fontId="11" fillId="14" borderId="0" xfId="0" applyFont="1" applyFill="1"/>
    <xf numFmtId="173" fontId="0" fillId="0" borderId="0" xfId="1" applyNumberFormat="1" applyFont="1"/>
    <xf numFmtId="173" fontId="0" fillId="0" borderId="0" xfId="0" applyNumberFormat="1"/>
    <xf numFmtId="173" fontId="12" fillId="0" borderId="0" xfId="1" applyNumberFormat="1" applyFont="1"/>
    <xf numFmtId="9" fontId="12" fillId="4" borderId="0" xfId="2" applyFont="1" applyFill="1"/>
    <xf numFmtId="173" fontId="12" fillId="0" borderId="0" xfId="0" applyNumberFormat="1" applyFont="1"/>
    <xf numFmtId="173" fontId="12" fillId="4" borderId="0" xfId="1" applyNumberFormat="1" applyFont="1" applyFill="1"/>
    <xf numFmtId="9" fontId="12" fillId="0" borderId="0" xfId="2" applyFont="1"/>
    <xf numFmtId="166" fontId="0" fillId="9" borderId="0" xfId="1" applyNumberFormat="1" applyFont="1" applyFill="1"/>
    <xf numFmtId="173" fontId="14" fillId="10" borderId="0" xfId="0" applyNumberFormat="1" applyFont="1" applyFill="1"/>
    <xf numFmtId="173" fontId="2" fillId="15" borderId="0" xfId="1" applyNumberFormat="1" applyFont="1" applyFill="1"/>
    <xf numFmtId="173" fontId="13" fillId="2" borderId="1" xfId="1" applyNumberFormat="1" applyFont="1" applyFill="1" applyBorder="1" applyAlignment="1">
      <alignment horizontal="center" vertical="center"/>
    </xf>
    <xf numFmtId="173" fontId="0" fillId="0" borderId="3" xfId="1" applyNumberFormat="1" applyFont="1" applyBorder="1"/>
    <xf numFmtId="173" fontId="1" fillId="10" borderId="1" xfId="1" applyNumberFormat="1" applyFont="1" applyFill="1" applyBorder="1" applyAlignment="1">
      <alignment horizontal="center" vertical="center"/>
    </xf>
    <xf numFmtId="173" fontId="1" fillId="10" borderId="6" xfId="1" applyNumberFormat="1" applyFont="1" applyFill="1" applyBorder="1" applyAlignment="1">
      <alignment horizontal="center" vertical="center"/>
    </xf>
    <xf numFmtId="173" fontId="0" fillId="4" borderId="3" xfId="1" applyNumberFormat="1" applyFont="1" applyFill="1" applyBorder="1"/>
    <xf numFmtId="173" fontId="0" fillId="4" borderId="0" xfId="1" applyNumberFormat="1" applyFont="1" applyFill="1"/>
    <xf numFmtId="173" fontId="2" fillId="2" borderId="1" xfId="1" applyNumberFormat="1" applyFont="1" applyFill="1" applyBorder="1" applyAlignment="1">
      <alignment horizontal="center" vertical="center"/>
    </xf>
    <xf numFmtId="173" fontId="2" fillId="2" borderId="6" xfId="1" applyNumberFormat="1" applyFont="1" applyFill="1" applyBorder="1" applyAlignment="1">
      <alignment horizontal="center" vertical="center"/>
    </xf>
    <xf numFmtId="173" fontId="0" fillId="0" borderId="3" xfId="0" applyNumberFormat="1" applyBorder="1"/>
    <xf numFmtId="0" fontId="15" fillId="4" borderId="0" xfId="0" applyFont="1" applyFill="1" applyAlignment="1">
      <alignment horizontal="center" vertical="center"/>
    </xf>
    <xf numFmtId="9" fontId="15" fillId="4" borderId="0" xfId="2" applyFont="1" applyFill="1"/>
    <xf numFmtId="9" fontId="15" fillId="4" borderId="3" xfId="2" applyFont="1" applyFill="1" applyBorder="1"/>
    <xf numFmtId="9" fontId="15" fillId="0" borderId="0" xfId="2" applyFont="1"/>
    <xf numFmtId="9" fontId="15" fillId="0" borderId="3" xfId="2" applyFont="1" applyBorder="1"/>
    <xf numFmtId="0" fontId="4" fillId="14" borderId="0" xfId="0" applyFont="1" applyFill="1"/>
    <xf numFmtId="9" fontId="7" fillId="14" borderId="0" xfId="0" applyNumberFormat="1" applyFont="1" applyFill="1"/>
    <xf numFmtId="167" fontId="8" fillId="12" borderId="3" xfId="1" applyNumberFormat="1" applyFont="1" applyFill="1" applyBorder="1"/>
    <xf numFmtId="167" fontId="8" fillId="12" borderId="0" xfId="1" applyNumberFormat="1" applyFont="1" applyFill="1"/>
    <xf numFmtId="167" fontId="0" fillId="12" borderId="0" xfId="1" applyNumberFormat="1" applyFont="1" applyFill="1"/>
    <xf numFmtId="0" fontId="3" fillId="0" borderId="1" xfId="0" applyFont="1" applyBorder="1" applyAlignment="1">
      <alignment horizontal="right"/>
    </xf>
    <xf numFmtId="166" fontId="3" fillId="0" borderId="1" xfId="1" applyNumberFormat="1" applyFont="1" applyFill="1" applyBorder="1" applyAlignment="1">
      <alignment horizontal="right"/>
    </xf>
    <xf numFmtId="10" fontId="3" fillId="0" borderId="1" xfId="2" applyNumberFormat="1" applyFont="1" applyFill="1" applyBorder="1" applyAlignment="1">
      <alignment horizontal="right"/>
    </xf>
    <xf numFmtId="10" fontId="3" fillId="0" borderId="8" xfId="2" applyNumberFormat="1" applyFont="1" applyFill="1" applyBorder="1" applyAlignment="1">
      <alignment horizontal="right"/>
    </xf>
    <xf numFmtId="173" fontId="1" fillId="3" borderId="1" xfId="1" applyNumberFormat="1" applyFont="1" applyFill="1" applyBorder="1" applyAlignment="1">
      <alignment horizontal="center" vertical="center"/>
    </xf>
    <xf numFmtId="173" fontId="0" fillId="12" borderId="0" xfId="0" applyNumberFormat="1" applyFill="1"/>
    <xf numFmtId="173" fontId="4" fillId="6" borderId="1" xfId="1" applyNumberFormat="1" applyFont="1" applyFill="1" applyBorder="1" applyAlignment="1">
      <alignment horizontal="center" vertical="center"/>
    </xf>
    <xf numFmtId="173" fontId="4" fillId="7" borderId="1" xfId="1" applyNumberFormat="1" applyFont="1" applyFill="1" applyBorder="1" applyAlignment="1">
      <alignment horizontal="center" vertical="center"/>
    </xf>
    <xf numFmtId="173" fontId="2" fillId="11" borderId="0" xfId="1" applyNumberFormat="1" applyFont="1" applyFill="1"/>
    <xf numFmtId="173" fontId="0" fillId="12" borderId="3" xfId="1" applyNumberFormat="1" applyFont="1" applyFill="1" applyBorder="1"/>
    <xf numFmtId="173" fontId="0" fillId="12" borderId="0" xfId="1" applyNumberFormat="1" applyFont="1" applyFill="1"/>
    <xf numFmtId="167" fontId="0" fillId="12" borderId="3" xfId="0" applyNumberFormat="1" applyFill="1" applyBorder="1"/>
    <xf numFmtId="167" fontId="0" fillId="12" borderId="0" xfId="0" applyNumberFormat="1" applyFill="1"/>
    <xf numFmtId="0" fontId="4" fillId="5" borderId="0" xfId="0" applyFont="1" applyFill="1"/>
    <xf numFmtId="0" fontId="0" fillId="0" borderId="10" xfId="0" applyBorder="1"/>
    <xf numFmtId="173" fontId="0" fillId="0" borderId="10" xfId="0" applyNumberFormat="1" applyBorder="1"/>
    <xf numFmtId="173" fontId="0" fillId="0" borderId="10" xfId="1" applyNumberFormat="1" applyFont="1" applyBorder="1"/>
    <xf numFmtId="0" fontId="0" fillId="0" borderId="12" xfId="0" applyBorder="1"/>
    <xf numFmtId="168" fontId="0" fillId="0" borderId="12" xfId="2" applyNumberFormat="1" applyFont="1" applyBorder="1"/>
    <xf numFmtId="0" fontId="0" fillId="0" borderId="13" xfId="0" applyBorder="1"/>
    <xf numFmtId="0" fontId="4" fillId="11" borderId="0" xfId="0" applyFont="1" applyFill="1" applyAlignment="1">
      <alignment horizontal="right"/>
    </xf>
    <xf numFmtId="173" fontId="0" fillId="0" borderId="3" xfId="1" applyNumberFormat="1" applyFont="1" applyFill="1" applyBorder="1"/>
    <xf numFmtId="173" fontId="0" fillId="0" borderId="0" xfId="1" applyNumberFormat="1" applyFont="1" applyFill="1" applyBorder="1"/>
    <xf numFmtId="9" fontId="1" fillId="0" borderId="1" xfId="2" applyFont="1" applyFill="1" applyBorder="1" applyAlignment="1">
      <alignment horizontal="center" vertical="center"/>
    </xf>
    <xf numFmtId="0" fontId="0" fillId="0" borderId="0" xfId="0" applyAlignment="1">
      <alignment horizontal="left" indent="1"/>
    </xf>
    <xf numFmtId="0" fontId="0" fillId="0" borderId="1" xfId="0" applyBorder="1" applyAlignment="1">
      <alignment horizontal="left" indent="1"/>
    </xf>
    <xf numFmtId="0" fontId="4" fillId="14" borderId="10" xfId="0" applyFont="1" applyFill="1" applyBorder="1" applyAlignment="1">
      <alignment horizontal="center" vertical="center"/>
    </xf>
    <xf numFmtId="165" fontId="0" fillId="0" borderId="1" xfId="1" applyFont="1" applyBorder="1"/>
    <xf numFmtId="43" fontId="0" fillId="0" borderId="0" xfId="0" applyNumberFormat="1"/>
    <xf numFmtId="0" fontId="17" fillId="14" borderId="0" xfId="0" applyFont="1" applyFill="1"/>
    <xf numFmtId="0" fontId="18" fillId="14" borderId="0" xfId="0" applyFont="1" applyFill="1"/>
    <xf numFmtId="165" fontId="0" fillId="0" borderId="0" xfId="1" applyFont="1"/>
    <xf numFmtId="0" fontId="19" fillId="0" borderId="1" xfId="0" applyFont="1" applyBorder="1" applyAlignment="1">
      <alignment horizontal="left" indent="1"/>
    </xf>
    <xf numFmtId="174" fontId="0" fillId="0" borderId="0" xfId="0" applyNumberFormat="1"/>
    <xf numFmtId="9" fontId="0" fillId="0" borderId="1" xfId="2" applyFont="1" applyBorder="1"/>
    <xf numFmtId="0" fontId="4" fillId="17" borderId="0" xfId="0" applyFont="1" applyFill="1"/>
    <xf numFmtId="9" fontId="0" fillId="0" borderId="1" xfId="0" applyNumberFormat="1" applyBorder="1"/>
    <xf numFmtId="10" fontId="2" fillId="0" borderId="11" xfId="2" applyNumberFormat="1" applyFont="1" applyBorder="1" applyAlignment="1">
      <alignment horizontal="center"/>
    </xf>
    <xf numFmtId="0" fontId="16" fillId="17" borderId="0" xfId="0" applyFont="1" applyFill="1" applyAlignment="1">
      <alignment horizontal="left" vertical="top" indent="1"/>
    </xf>
    <xf numFmtId="0" fontId="2" fillId="0" borderId="0" xfId="0" applyFont="1" applyAlignment="1">
      <alignment horizontal="left"/>
    </xf>
    <xf numFmtId="167" fontId="15" fillId="0" borderId="1" xfId="0" applyNumberFormat="1" applyFont="1" applyBorder="1"/>
    <xf numFmtId="0" fontId="2" fillId="0" borderId="1" xfId="0" applyFont="1" applyBorder="1" applyAlignment="1">
      <alignment horizontal="center" vertical="center"/>
    </xf>
    <xf numFmtId="0" fontId="2" fillId="9" borderId="1" xfId="0" applyFont="1" applyFill="1" applyBorder="1" applyAlignment="1">
      <alignment horizontal="center" vertical="center"/>
    </xf>
    <xf numFmtId="0" fontId="0" fillId="14" borderId="2" xfId="0" applyFill="1" applyBorder="1"/>
    <xf numFmtId="0" fontId="20" fillId="14" borderId="0" xfId="0" applyFont="1" applyFill="1"/>
    <xf numFmtId="0" fontId="4" fillId="18" borderId="2" xfId="0" applyFont="1" applyFill="1" applyBorder="1" applyAlignment="1">
      <alignment horizontal="center"/>
    </xf>
    <xf numFmtId="0" fontId="4" fillId="18" borderId="0" xfId="0" applyFont="1" applyFill="1" applyAlignment="1">
      <alignment horizontal="center"/>
    </xf>
    <xf numFmtId="173" fontId="0" fillId="0" borderId="1" xfId="0" applyNumberFormat="1" applyBorder="1"/>
    <xf numFmtId="0" fontId="2" fillId="2" borderId="15" xfId="0" applyFont="1" applyFill="1" applyBorder="1" applyAlignment="1">
      <alignment horizontal="center" vertical="center"/>
    </xf>
    <xf numFmtId="173" fontId="0" fillId="0" borderId="15" xfId="0" applyNumberFormat="1" applyBorder="1"/>
    <xf numFmtId="0" fontId="0" fillId="0" borderId="15" xfId="0" applyBorder="1"/>
    <xf numFmtId="0" fontId="0" fillId="0" borderId="16" xfId="0" applyBorder="1" applyAlignment="1">
      <alignment horizontal="left" indent="1"/>
    </xf>
    <xf numFmtId="173" fontId="0" fillId="0" borderId="16" xfId="1" applyNumberFormat="1" applyFont="1" applyFill="1" applyBorder="1"/>
    <xf numFmtId="0" fontId="0" fillId="0" borderId="16" xfId="0" applyBorder="1"/>
    <xf numFmtId="173" fontId="21" fillId="0" borderId="0" xfId="1" applyNumberFormat="1" applyFont="1"/>
    <xf numFmtId="173" fontId="21" fillId="4" borderId="0" xfId="1" applyNumberFormat="1" applyFont="1" applyFill="1"/>
    <xf numFmtId="167" fontId="21" fillId="0" borderId="0" xfId="1" applyNumberFormat="1" applyFont="1"/>
    <xf numFmtId="167" fontId="21" fillId="0" borderId="3" xfId="1" applyNumberFormat="1" applyFont="1" applyBorder="1"/>
    <xf numFmtId="167" fontId="21" fillId="12" borderId="3" xfId="1" applyNumberFormat="1" applyFont="1" applyFill="1" applyBorder="1"/>
    <xf numFmtId="167" fontId="21" fillId="12" borderId="0" xfId="1" applyNumberFormat="1" applyFont="1" applyFill="1"/>
    <xf numFmtId="173" fontId="21" fillId="0" borderId="0" xfId="0" applyNumberFormat="1" applyFont="1"/>
    <xf numFmtId="173" fontId="21" fillId="3" borderId="1" xfId="1" applyNumberFormat="1" applyFont="1" applyFill="1" applyBorder="1" applyAlignment="1">
      <alignment horizontal="center" vertical="center"/>
    </xf>
    <xf numFmtId="173" fontId="22" fillId="6" borderId="1" xfId="1" applyNumberFormat="1" applyFont="1" applyFill="1" applyBorder="1" applyAlignment="1">
      <alignment horizontal="center" vertical="center"/>
    </xf>
    <xf numFmtId="167" fontId="2" fillId="0" borderId="10" xfId="0" applyNumberFormat="1" applyFont="1" applyBorder="1"/>
    <xf numFmtId="175" fontId="0" fillId="0" borderId="0" xfId="0" applyNumberFormat="1"/>
    <xf numFmtId="176" fontId="0" fillId="0" borderId="0" xfId="0" applyNumberFormat="1"/>
    <xf numFmtId="173" fontId="2" fillId="0" borderId="1" xfId="1" applyNumberFormat="1" applyFont="1" applyFill="1" applyBorder="1" applyAlignment="1">
      <alignment horizontal="center" vertical="center"/>
    </xf>
    <xf numFmtId="0" fontId="0" fillId="0" borderId="17" xfId="0" applyBorder="1"/>
    <xf numFmtId="173" fontId="0" fillId="0" borderId="17" xfId="1" applyNumberFormat="1" applyFont="1" applyBorder="1"/>
    <xf numFmtId="173" fontId="0" fillId="0" borderId="17" xfId="0" applyNumberFormat="1" applyBorder="1"/>
    <xf numFmtId="0" fontId="0" fillId="0" borderId="17" xfId="0" applyBorder="1" applyAlignment="1">
      <alignment horizontal="left" indent="1"/>
    </xf>
    <xf numFmtId="167" fontId="1" fillId="12" borderId="6" xfId="1" applyNumberFormat="1" applyFont="1" applyFill="1" applyBorder="1" applyAlignment="1">
      <alignment horizontal="center" vertical="center"/>
    </xf>
    <xf numFmtId="167" fontId="1" fillId="12" borderId="1" xfId="1" applyNumberFormat="1" applyFont="1" applyFill="1" applyBorder="1" applyAlignment="1">
      <alignment horizontal="center" vertical="center"/>
    </xf>
    <xf numFmtId="177" fontId="0" fillId="0" borderId="0" xfId="0" applyNumberFormat="1"/>
    <xf numFmtId="0" fontId="0" fillId="4" borderId="1" xfId="0" applyFill="1" applyBorder="1" applyAlignment="1">
      <alignment horizontal="left" indent="1"/>
    </xf>
    <xf numFmtId="0" fontId="10" fillId="0" borderId="0" xfId="0" applyFont="1" applyAlignment="1">
      <alignment vertical="center"/>
    </xf>
    <xf numFmtId="0" fontId="2" fillId="0" borderId="0" xfId="0" applyFont="1" applyAlignment="1">
      <alignment horizontal="left" indent="1"/>
    </xf>
    <xf numFmtId="0" fontId="23" fillId="0" borderId="0" xfId="0" applyFont="1" applyAlignment="1">
      <alignment horizontal="left" vertical="center" indent="1"/>
    </xf>
    <xf numFmtId="0" fontId="2" fillId="0" borderId="0" xfId="0" applyFont="1" applyAlignment="1">
      <alignment horizontal="left" vertical="center" indent="1"/>
    </xf>
    <xf numFmtId="173" fontId="0" fillId="0" borderId="0" xfId="1" applyNumberFormat="1" applyFont="1" applyBorder="1"/>
    <xf numFmtId="178" fontId="2" fillId="0" borderId="0" xfId="0" applyNumberFormat="1" applyFont="1" applyAlignment="1">
      <alignment horizontal="center" vertical="center"/>
    </xf>
    <xf numFmtId="179" fontId="0" fillId="0" borderId="0" xfId="1" applyNumberFormat="1" applyFont="1" applyBorder="1"/>
    <xf numFmtId="0" fontId="0" fillId="0" borderId="0" xfId="1" applyNumberFormat="1" applyFont="1" applyFill="1" applyBorder="1"/>
    <xf numFmtId="0" fontId="4" fillId="16" borderId="14" xfId="0" applyFont="1" applyFill="1" applyBorder="1" applyAlignment="1">
      <alignment horizontal="center"/>
    </xf>
    <xf numFmtId="0" fontId="4" fillId="16" borderId="0" xfId="0" applyFont="1" applyFill="1" applyAlignment="1">
      <alignment horizontal="center"/>
    </xf>
    <xf numFmtId="0" fontId="4" fillId="17" borderId="0" xfId="0" applyFont="1"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Graphics!$C$4</c:f>
              <c:strCache>
                <c:ptCount val="1"/>
                <c:pt idx="0">
                  <c:v>Owned &amp; Leased</c:v>
                </c:pt>
              </c:strCache>
            </c:strRef>
          </c:tx>
          <c:spPr>
            <a:ln w="28575" cap="rnd">
              <a:solidFill>
                <a:schemeClr val="accent1"/>
              </a:solidFill>
              <a:round/>
            </a:ln>
            <a:effectLst/>
          </c:spPr>
          <c:marker>
            <c:symbol val="square"/>
            <c:size val="10"/>
            <c:spPr>
              <a:solidFill>
                <a:schemeClr val="accent1"/>
              </a:solidFill>
              <a:ln w="9525">
                <a:solidFill>
                  <a:schemeClr val="accent1"/>
                </a:solidFill>
              </a:ln>
              <a:effectLst/>
            </c:spPr>
          </c:marker>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s-E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Graphics!$D$3:$G$3</c:f>
              <c:strCache>
                <c:ptCount val="4"/>
                <c:pt idx="0">
                  <c:v>2025e</c:v>
                </c:pt>
                <c:pt idx="1">
                  <c:v>2026e</c:v>
                </c:pt>
                <c:pt idx="2">
                  <c:v>2027e</c:v>
                </c:pt>
                <c:pt idx="3">
                  <c:v>2028e</c:v>
                </c:pt>
              </c:strCache>
            </c:strRef>
          </c:cat>
          <c:val>
            <c:numRef>
              <c:f>Graphics!$D$4:$G$4</c:f>
              <c:numCache>
                <c:formatCode>#,000\ \€;\ \(#,000\ \€\);\ "-"</c:formatCode>
                <c:ptCount val="4"/>
                <c:pt idx="0">
                  <c:v>1843628</c:v>
                </c:pt>
                <c:pt idx="1">
                  <c:v>1932745.8800000004</c:v>
                </c:pt>
                <c:pt idx="2">
                  <c:v>2026298.0888</c:v>
                </c:pt>
                <c:pt idx="3">
                  <c:v>2124511.5387680004</c:v>
                </c:pt>
              </c:numCache>
            </c:numRef>
          </c:val>
          <c:smooth val="0"/>
          <c:extLst>
            <c:ext xmlns:c16="http://schemas.microsoft.com/office/drawing/2014/chart" uri="{C3380CC4-5D6E-409C-BE32-E72D297353CC}">
              <c16:uniqueId val="{00000000-5263-41C3-A4D0-2C82C5F76020}"/>
            </c:ext>
          </c:extLst>
        </c:ser>
        <c:ser>
          <c:idx val="1"/>
          <c:order val="1"/>
          <c:tx>
            <c:strRef>
              <c:f>Graphics!$C$5</c:f>
              <c:strCache>
                <c:ptCount val="1"/>
                <c:pt idx="0">
                  <c:v>Management</c:v>
                </c:pt>
              </c:strCache>
            </c:strRef>
          </c:tx>
          <c:spPr>
            <a:ln w="28575" cap="rnd">
              <a:solidFill>
                <a:schemeClr val="accent2"/>
              </a:solidFill>
              <a:round/>
            </a:ln>
            <a:effectLst/>
          </c:spPr>
          <c:marker>
            <c:symbol val="square"/>
            <c:size val="10"/>
            <c:spPr>
              <a:solidFill>
                <a:schemeClr val="accent2"/>
              </a:solidFill>
              <a:ln w="9525">
                <a:solidFill>
                  <a:schemeClr val="accent2"/>
                </a:solidFill>
              </a:ln>
              <a:effectLst/>
            </c:spPr>
          </c:marker>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Graphics!$D$3:$G$3</c:f>
              <c:strCache>
                <c:ptCount val="4"/>
                <c:pt idx="0">
                  <c:v>2025e</c:v>
                </c:pt>
                <c:pt idx="1">
                  <c:v>2026e</c:v>
                </c:pt>
                <c:pt idx="2">
                  <c:v>2027e</c:v>
                </c:pt>
                <c:pt idx="3">
                  <c:v>2028e</c:v>
                </c:pt>
              </c:strCache>
            </c:strRef>
          </c:cat>
          <c:val>
            <c:numRef>
              <c:f>Graphics!$D$5:$G$5</c:f>
              <c:numCache>
                <c:formatCode>#,000\ \€;\ \(#,000\ \€\);\ "-"</c:formatCode>
                <c:ptCount val="4"/>
                <c:pt idx="0">
                  <c:v>201593</c:v>
                </c:pt>
                <c:pt idx="1">
                  <c:v>213756.85000000003</c:v>
                </c:pt>
                <c:pt idx="2">
                  <c:v>227733.79750000004</c:v>
                </c:pt>
                <c:pt idx="3">
                  <c:v>242952.73785700003</c:v>
                </c:pt>
              </c:numCache>
            </c:numRef>
          </c:val>
          <c:smooth val="0"/>
          <c:extLst>
            <c:ext xmlns:c16="http://schemas.microsoft.com/office/drawing/2014/chart" uri="{C3380CC4-5D6E-409C-BE32-E72D297353CC}">
              <c16:uniqueId val="{00000001-5263-41C3-A4D0-2C82C5F76020}"/>
            </c:ext>
          </c:extLst>
        </c:ser>
        <c:dLbls>
          <c:showLegendKey val="0"/>
          <c:showVal val="0"/>
          <c:showCatName val="0"/>
          <c:showSerName val="0"/>
          <c:showPercent val="0"/>
          <c:showBubbleSize val="0"/>
        </c:dLbls>
        <c:marker val="1"/>
        <c:smooth val="0"/>
        <c:axId val="764926767"/>
        <c:axId val="1284259855"/>
      </c:lineChart>
      <c:catAx>
        <c:axId val="76492676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no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1284259855"/>
        <c:crosses val="autoZero"/>
        <c:auto val="1"/>
        <c:lblAlgn val="ctr"/>
        <c:lblOffset val="100"/>
        <c:noMultiLvlLbl val="0"/>
      </c:catAx>
      <c:valAx>
        <c:axId val="1284259855"/>
        <c:scaling>
          <c:orientation val="minMax"/>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764926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AE-46AF-B1C8-C8D7923200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AE-46AF-B1C8-C8D7923200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AE-46AF-B1C8-C8D79232009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AE-46AF-B1C8-C8D79232009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AE-46AF-B1C8-C8D79232009C}"/>
              </c:ext>
            </c:extLst>
          </c:dPt>
          <c:dLbls>
            <c:dLbl>
              <c:idx val="0"/>
              <c:layout>
                <c:manualLayout>
                  <c:x val="-0.22086430807925217"/>
                  <c:y val="6.0758758636323795E-2"/>
                </c:manualLayout>
              </c:layout>
              <c:tx>
                <c:rich>
                  <a:bodyPr/>
                  <a:lstStyle/>
                  <a:p>
                    <a:fld id="{F091A7B0-4E37-42B0-86CA-1BD3CF24AE04}" type="CELLRANGE">
                      <a:rPr lang="en-US" sz="800"/>
                      <a:pPr/>
                      <a:t>[CELLRANGE]</a:t>
                    </a:fld>
                    <a:endParaRPr lang="en-US" sz="800" baseline="0"/>
                  </a:p>
                  <a:p>
                    <a:fld id="{1E7A7A59-5059-4256-AFA8-4F839FDD98EE}" type="VALUE">
                      <a:rPr lang="en-US" sz="800"/>
                      <a:pPr/>
                      <a:t>[VALUE]</a:t>
                    </a:fld>
                    <a:endParaRPr lang="es-ES"/>
                  </a:p>
                </c:rich>
              </c:tx>
              <c:showLegendKey val="0"/>
              <c:showVal val="1"/>
              <c:showCatName val="0"/>
              <c:showSerName val="0"/>
              <c:showPercent val="0"/>
              <c:showBubbleSize val="0"/>
              <c:separator>
</c:separator>
              <c:extLst>
                <c:ext xmlns:c15="http://schemas.microsoft.com/office/drawing/2012/chart" uri="{CE6537A1-D6FC-4f65-9D91-7224C49458BB}">
                  <c15:layout>
                    <c:manualLayout>
                      <c:w val="0.19367106400846476"/>
                      <c:h val="0.19144930172643534"/>
                    </c:manualLayout>
                  </c15:layout>
                  <c15:dlblFieldTable/>
                  <c15:showDataLabelsRange val="1"/>
                </c:ext>
                <c:ext xmlns:c16="http://schemas.microsoft.com/office/drawing/2014/chart" uri="{C3380CC4-5D6E-409C-BE32-E72D297353CC}">
                  <c16:uniqueId val="{00000001-7FAE-46AF-B1C8-C8D79232009C}"/>
                </c:ext>
              </c:extLst>
            </c:dLbl>
            <c:dLbl>
              <c:idx val="1"/>
              <c:layout>
                <c:manualLayout>
                  <c:x val="0.19028379364556369"/>
                  <c:y val="-0.21940300776302574"/>
                </c:manualLayout>
              </c:layout>
              <c:tx>
                <c:rich>
                  <a:bodyPr/>
                  <a:lstStyle/>
                  <a:p>
                    <a:fld id="{D7F109E1-F00B-4BB4-92F4-08418CB7D82C}" type="CELLRANGE">
                      <a:rPr lang="en-US"/>
                      <a:pPr/>
                      <a:t>[CELLRANGE]</a:t>
                    </a:fld>
                    <a:endParaRPr lang="en-US" baseline="0"/>
                  </a:p>
                  <a:p>
                    <a:fld id="{AAD79A6F-B777-498E-8319-D3414E16F96C}" type="VALUE">
                      <a:rPr lang="en-US"/>
                      <a:pPr/>
                      <a:t>[VALUE]</a:t>
                    </a:fld>
                    <a:endParaRPr lang="es-ES"/>
                  </a:p>
                </c:rich>
              </c:tx>
              <c:showLegendKey val="0"/>
              <c:showVal val="1"/>
              <c:showCatName val="0"/>
              <c:showSerName val="0"/>
              <c:showPercent val="0"/>
              <c:showBubbleSize val="0"/>
              <c:separator>
</c:separator>
              <c:extLst>
                <c:ext xmlns:c15="http://schemas.microsoft.com/office/drawing/2012/chart" uri="{CE6537A1-D6FC-4f65-9D91-7224C49458BB}">
                  <c15:layout>
                    <c:manualLayout>
                      <c:w val="0.20220676139324639"/>
                      <c:h val="0.19731330156745308"/>
                    </c:manualLayout>
                  </c15:layout>
                  <c15:dlblFieldTable/>
                  <c15:showDataLabelsRange val="1"/>
                </c:ext>
                <c:ext xmlns:c16="http://schemas.microsoft.com/office/drawing/2014/chart" uri="{C3380CC4-5D6E-409C-BE32-E72D297353CC}">
                  <c16:uniqueId val="{00000003-7FAE-46AF-B1C8-C8D79232009C}"/>
                </c:ext>
              </c:extLst>
            </c:dLbl>
            <c:dLbl>
              <c:idx val="2"/>
              <c:layout>
                <c:manualLayout>
                  <c:x val="0.21980968807302959"/>
                  <c:y val="0.20462750505354696"/>
                </c:manualLayout>
              </c:layout>
              <c:tx>
                <c:rich>
                  <a:bodyPr/>
                  <a:lstStyle/>
                  <a:p>
                    <a:fld id="{1FAC287E-1532-4495-A17D-F0E2E618A356}" type="CELLRANGE">
                      <a:rPr lang="en-US"/>
                      <a:pPr/>
                      <a:t>[CELLRANGE]</a:t>
                    </a:fld>
                    <a:endParaRPr lang="en-US" baseline="0"/>
                  </a:p>
                  <a:p>
                    <a:fld id="{228C230A-6C2D-4FD8-AD6E-6394819127A8}" type="VALUE">
                      <a:rPr lang="en-US"/>
                      <a:pPr/>
                      <a:t>[VALUE]</a:t>
                    </a:fld>
                    <a:endParaRPr lang="es-ES"/>
                  </a:p>
                </c:rich>
              </c:tx>
              <c:showLegendKey val="0"/>
              <c:showVal val="1"/>
              <c:showCatName val="0"/>
              <c:showSerName val="0"/>
              <c:showPercent val="0"/>
              <c:showBubbleSize val="0"/>
              <c:separator>
</c:separator>
              <c:extLst>
                <c:ext xmlns:c15="http://schemas.microsoft.com/office/drawing/2012/chart" uri="{CE6537A1-D6FC-4f65-9D91-7224C49458BB}">
                  <c15:layout>
                    <c:manualLayout>
                      <c:w val="0.22935014348197696"/>
                      <c:h val="0.19138815469993881"/>
                    </c:manualLayout>
                  </c15:layout>
                  <c15:dlblFieldTable/>
                  <c15:showDataLabelsRange val="1"/>
                </c:ext>
                <c:ext xmlns:c16="http://schemas.microsoft.com/office/drawing/2014/chart" uri="{C3380CC4-5D6E-409C-BE32-E72D297353CC}">
                  <c16:uniqueId val="{00000005-7FAE-46AF-B1C8-C8D79232009C}"/>
                </c:ext>
              </c:extLst>
            </c:dLbl>
            <c:dLbl>
              <c:idx val="3"/>
              <c:layout>
                <c:manualLayout>
                  <c:x val="-0.26183348054483752"/>
                  <c:y val="5.0021965207920426E-2"/>
                </c:manualLayout>
              </c:layout>
              <c:tx>
                <c:rich>
                  <a:bodyPr/>
                  <a:lstStyle/>
                  <a:p>
                    <a:fld id="{F6FAF807-DCC6-4D93-996C-75D56197744D}" type="CELLRANGE">
                      <a:rPr lang="en-US"/>
                      <a:pPr/>
                      <a:t>[CELLRANGE]</a:t>
                    </a:fld>
                    <a:endParaRPr lang="en-US" baseline="0"/>
                  </a:p>
                  <a:p>
                    <a:fld id="{B4F01751-5E27-4890-A2F0-E71994ADF687}" type="VALUE">
                      <a:rPr lang="en-US"/>
                      <a:pPr/>
                      <a:t>[VALUE]</a:t>
                    </a:fld>
                    <a:endParaRPr lang="es-ES"/>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7FAE-46AF-B1C8-C8D79232009C}"/>
                </c:ext>
              </c:extLst>
            </c:dLbl>
            <c:dLbl>
              <c:idx val="4"/>
              <c:layout>
                <c:manualLayout>
                  <c:x val="0.31459105489369077"/>
                  <c:y val="2.4399094669033911E-2"/>
                </c:manualLayout>
              </c:layout>
              <c:tx>
                <c:rich>
                  <a:bodyPr/>
                  <a:lstStyle/>
                  <a:p>
                    <a:fld id="{23AA6FE7-A11A-4FAE-9361-2DDC8247C22A}" type="CELLRANGE">
                      <a:rPr lang="en-US"/>
                      <a:pPr/>
                      <a:t>[CELLRANGE]</a:t>
                    </a:fld>
                    <a:endParaRPr lang="en-US" baseline="0"/>
                  </a:p>
                  <a:p>
                    <a:fld id="{2FF3687E-C77D-48F4-97EF-E10D937B436F}" type="VALUE">
                      <a:rPr lang="en-US"/>
                      <a:pPr/>
                      <a:t>[VALUE]</a:t>
                    </a:fld>
                    <a:endParaRPr lang="es-ES"/>
                  </a:p>
                </c:rich>
              </c:tx>
              <c:showLegendKey val="0"/>
              <c:showVal val="1"/>
              <c:showCatName val="0"/>
              <c:showSerName val="0"/>
              <c:showPercent val="0"/>
              <c:showBubbleSize val="0"/>
              <c:separator>
</c:separator>
              <c:extLst>
                <c:ext xmlns:c15="http://schemas.microsoft.com/office/drawing/2012/chart" uri="{CE6537A1-D6FC-4f65-9D91-7224C49458BB}">
                  <c15:layout>
                    <c:manualLayout>
                      <c:w val="0.18409173806866796"/>
                      <c:h val="0.16459607548192773"/>
                    </c:manualLayout>
                  </c15:layout>
                  <c15:dlblFieldTable/>
                  <c15:showDataLabelsRange val="1"/>
                </c:ext>
                <c:ext xmlns:c16="http://schemas.microsoft.com/office/drawing/2014/chart" uri="{C3380CC4-5D6E-409C-BE32-E72D297353CC}">
                  <c16:uniqueId val="{00000009-7FAE-46AF-B1C8-C8D79232009C}"/>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s-ES"/>
              </a:p>
            </c:txP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15:showDataLabelsRange val="1"/>
              </c:ext>
            </c:extLst>
          </c:dLbls>
          <c:cat>
            <c:strRef>
              <c:f>Graphics!$C$9:$C$13</c:f>
              <c:strCache>
                <c:ptCount val="5"/>
                <c:pt idx="0">
                  <c:v>Spain</c:v>
                </c:pt>
                <c:pt idx="1">
                  <c:v>EMEA</c:v>
                </c:pt>
                <c:pt idx="2">
                  <c:v>Americas</c:v>
                </c:pt>
                <c:pt idx="3">
                  <c:v>APAC</c:v>
                </c:pt>
                <c:pt idx="4">
                  <c:v>Cuba</c:v>
                </c:pt>
              </c:strCache>
            </c:strRef>
          </c:cat>
          <c:val>
            <c:numRef>
              <c:f>Graphics!$H$9:$H$13</c:f>
              <c:numCache>
                <c:formatCode>0%</c:formatCode>
                <c:ptCount val="5"/>
                <c:pt idx="0">
                  <c:v>0.4442766820798339</c:v>
                </c:pt>
                <c:pt idx="1">
                  <c:v>0.2761990024549914</c:v>
                </c:pt>
                <c:pt idx="2">
                  <c:v>0.26745520410752677</c:v>
                </c:pt>
                <c:pt idx="3">
                  <c:v>5.8595134706713858E-3</c:v>
                </c:pt>
                <c:pt idx="4">
                  <c:v>6.2095978869765173E-3</c:v>
                </c:pt>
              </c:numCache>
            </c:numRef>
          </c:val>
          <c:extLst>
            <c:ext xmlns:c15="http://schemas.microsoft.com/office/drawing/2012/chart" uri="{02D57815-91ED-43cb-92C2-25804820EDAC}">
              <c15:datalabelsRange>
                <c15:f>Graphics!$C$9:$C$13</c15:f>
                <c15:dlblRangeCache>
                  <c:ptCount val="5"/>
                  <c:pt idx="0">
                    <c:v>Spain</c:v>
                  </c:pt>
                  <c:pt idx="1">
                    <c:v>EMEA</c:v>
                  </c:pt>
                  <c:pt idx="2">
                    <c:v>Americas</c:v>
                  </c:pt>
                  <c:pt idx="3">
                    <c:v>APAC</c:v>
                  </c:pt>
                  <c:pt idx="4">
                    <c:v>Cuba</c:v>
                  </c:pt>
                </c15:dlblRangeCache>
              </c15:datalabelsRange>
            </c:ext>
            <c:ext xmlns:c16="http://schemas.microsoft.com/office/drawing/2014/chart" uri="{C3380CC4-5D6E-409C-BE32-E72D297353CC}">
              <c16:uniqueId val="{0000000A-7FAE-46AF-B1C8-C8D79232009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88823359531152"/>
          <c:y val="2.88906490239016E-2"/>
          <c:w val="0.85276192295694264"/>
          <c:h val="0.74006738405422201"/>
        </c:manualLayout>
      </c:layout>
      <c:lineChart>
        <c:grouping val="standard"/>
        <c:varyColors val="0"/>
        <c:ser>
          <c:idx val="0"/>
          <c:order val="0"/>
          <c:tx>
            <c:strRef>
              <c:f>Graphics!$C$16</c:f>
              <c:strCache>
                <c:ptCount val="1"/>
                <c:pt idx="0">
                  <c:v>Best Case</c:v>
                </c:pt>
              </c:strCache>
            </c:strRef>
          </c:tx>
          <c:spPr>
            <a:ln w="28575" cap="rnd">
              <a:solidFill>
                <a:schemeClr val="accent1"/>
              </a:solidFill>
              <a:round/>
            </a:ln>
            <a:effectLst/>
          </c:spPr>
          <c:marker>
            <c:symbol val="square"/>
            <c:size val="10"/>
            <c:spPr>
              <a:solidFill>
                <a:schemeClr val="accent1"/>
              </a:solidFill>
              <a:ln w="9525">
                <a:solidFill>
                  <a:schemeClr val="accent1"/>
                </a:solidFill>
              </a:ln>
              <a:effectLst/>
            </c:spPr>
          </c:marker>
          <c:dLbls>
            <c:dLbl>
              <c:idx val="1"/>
              <c:layout>
                <c:manualLayout>
                  <c:x val="-6.7326552930883687E-2"/>
                  <c:y val="0"/>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70-4132-AA01-0F0DD857D0E6}"/>
                </c:ext>
              </c:extLst>
            </c:dLbl>
            <c:numFmt formatCode="#,##0,\ &quot;M&quot;\€" sourceLinked="0"/>
            <c:spPr>
              <a:solidFill>
                <a:schemeClr val="accent1"/>
              </a:solidFill>
              <a:ln>
                <a:solidFill>
                  <a:schemeClr val="accent1"/>
                </a:solidFill>
              </a:ln>
              <a:effectLst/>
            </c:spPr>
            <c:txPr>
              <a:bodyPr rot="0" spcFirstLastPara="1" vertOverflow="clip" horzOverflow="clip" vert="horz" wrap="square" lIns="36576" tIns="18288" rIns="36576" bIns="18288" anchor="ctr" anchorCtr="1">
                <a:spAutoFit/>
              </a:bodyPr>
              <a:lstStyle/>
              <a:p>
                <a:pPr>
                  <a:defRPr sz="800" b="1" i="0" u="none" strike="noStrike" kern="1200" baseline="0">
                    <a:solidFill>
                      <a:schemeClr val="bg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Graphics!$D$15:$G$15</c:f>
              <c:strCache>
                <c:ptCount val="4"/>
                <c:pt idx="0">
                  <c:v>2025e</c:v>
                </c:pt>
                <c:pt idx="1">
                  <c:v>2026e</c:v>
                </c:pt>
                <c:pt idx="2">
                  <c:v>2027e</c:v>
                </c:pt>
                <c:pt idx="3">
                  <c:v>2028e</c:v>
                </c:pt>
              </c:strCache>
            </c:strRef>
          </c:cat>
          <c:val>
            <c:numRef>
              <c:f>Graphics!$D$16:$G$16</c:f>
              <c:numCache>
                <c:formatCode>#,000\ \€;\ \(#,000\ \€\);\ "-"</c:formatCode>
                <c:ptCount val="4"/>
                <c:pt idx="0">
                  <c:v>402332.77593048976</c:v>
                </c:pt>
                <c:pt idx="1">
                  <c:v>466136.3043364074</c:v>
                </c:pt>
                <c:pt idx="2">
                  <c:v>531178.32918235695</c:v>
                </c:pt>
                <c:pt idx="3">
                  <c:v>604527.81215956737</c:v>
                </c:pt>
              </c:numCache>
            </c:numRef>
          </c:val>
          <c:smooth val="0"/>
          <c:extLst>
            <c:ext xmlns:c16="http://schemas.microsoft.com/office/drawing/2014/chart" uri="{C3380CC4-5D6E-409C-BE32-E72D297353CC}">
              <c16:uniqueId val="{00000001-1870-4132-AA01-0F0DD857D0E6}"/>
            </c:ext>
          </c:extLst>
        </c:ser>
        <c:ser>
          <c:idx val="1"/>
          <c:order val="1"/>
          <c:tx>
            <c:strRef>
              <c:f>Graphics!$C$17</c:f>
              <c:strCache>
                <c:ptCount val="1"/>
                <c:pt idx="0">
                  <c:v>Base Case</c:v>
                </c:pt>
              </c:strCache>
            </c:strRef>
          </c:tx>
          <c:spPr>
            <a:ln w="28575" cap="rnd">
              <a:solidFill>
                <a:schemeClr val="accent2"/>
              </a:solidFill>
              <a:round/>
            </a:ln>
            <a:effectLst/>
          </c:spPr>
          <c:marker>
            <c:symbol val="square"/>
            <c:size val="10"/>
            <c:spPr>
              <a:solidFill>
                <a:schemeClr val="accent2"/>
              </a:solidFill>
              <a:ln w="9525">
                <a:solidFill>
                  <a:schemeClr val="accent2"/>
                </a:solidFill>
              </a:ln>
              <a:effectLst/>
            </c:spPr>
          </c:marker>
          <c:dLbls>
            <c:numFmt formatCode="#,##0,\ &quot;M&quot;\€" sourceLinked="0"/>
            <c:spPr>
              <a:solidFill>
                <a:schemeClr val="accent2"/>
              </a:solidFill>
              <a:ln>
                <a:solidFill>
                  <a:schemeClr val="accent2"/>
                </a:solidFill>
              </a:ln>
              <a:effectLst/>
            </c:spPr>
            <c:txPr>
              <a:bodyPr rot="0" spcFirstLastPara="1" vertOverflow="clip" horzOverflow="clip" vert="horz" wrap="square" lIns="36576" tIns="18288" rIns="36576" bIns="18288" anchor="ctr" anchorCtr="1">
                <a:spAutoFit/>
              </a:bodyPr>
              <a:lstStyle/>
              <a:p>
                <a:pPr>
                  <a:defRPr sz="800" b="1" i="0" u="none" strike="noStrike" kern="1200" baseline="0">
                    <a:solidFill>
                      <a:schemeClr val="bg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Graphics!$D$15:$G$15</c:f>
              <c:strCache>
                <c:ptCount val="4"/>
                <c:pt idx="0">
                  <c:v>2025e</c:v>
                </c:pt>
                <c:pt idx="1">
                  <c:v>2026e</c:v>
                </c:pt>
                <c:pt idx="2">
                  <c:v>2027e</c:v>
                </c:pt>
                <c:pt idx="3">
                  <c:v>2028e</c:v>
                </c:pt>
              </c:strCache>
            </c:strRef>
          </c:cat>
          <c:val>
            <c:numRef>
              <c:f>Graphics!$D$17:$G$17</c:f>
              <c:numCache>
                <c:formatCode>#,000\ \€;\ \(#,000\ \€\);\ "-"</c:formatCode>
                <c:ptCount val="4"/>
                <c:pt idx="0">
                  <c:v>364863.2081377203</c:v>
                </c:pt>
                <c:pt idx="1">
                  <c:v>387769.55516729003</c:v>
                </c:pt>
                <c:pt idx="2">
                  <c:v>407059.47484867246</c:v>
                </c:pt>
                <c:pt idx="3">
                  <c:v>428005.60425484035</c:v>
                </c:pt>
              </c:numCache>
            </c:numRef>
          </c:val>
          <c:smooth val="0"/>
          <c:extLst>
            <c:ext xmlns:c16="http://schemas.microsoft.com/office/drawing/2014/chart" uri="{C3380CC4-5D6E-409C-BE32-E72D297353CC}">
              <c16:uniqueId val="{00000002-1870-4132-AA01-0F0DD857D0E6}"/>
            </c:ext>
          </c:extLst>
        </c:ser>
        <c:ser>
          <c:idx val="2"/>
          <c:order val="2"/>
          <c:tx>
            <c:strRef>
              <c:f>Graphics!$C$18</c:f>
              <c:strCache>
                <c:ptCount val="1"/>
                <c:pt idx="0">
                  <c:v>Worst Case</c:v>
                </c:pt>
              </c:strCache>
            </c:strRef>
          </c:tx>
          <c:spPr>
            <a:ln w="28575" cap="rnd">
              <a:solidFill>
                <a:schemeClr val="accent3"/>
              </a:solidFill>
              <a:round/>
            </a:ln>
            <a:effectLst/>
          </c:spPr>
          <c:marker>
            <c:symbol val="square"/>
            <c:size val="10"/>
            <c:spPr>
              <a:solidFill>
                <a:schemeClr val="accent3"/>
              </a:solidFill>
              <a:ln w="9525">
                <a:solidFill>
                  <a:schemeClr val="accent3"/>
                </a:solidFill>
              </a:ln>
              <a:effectLst/>
            </c:spPr>
          </c:marker>
          <c:dLbls>
            <c:numFmt formatCode="#,##0,\ &quot;M&quot;\€" sourceLinked="0"/>
            <c:spPr>
              <a:solidFill>
                <a:schemeClr val="accent3"/>
              </a:solidFill>
              <a:ln>
                <a:solidFill>
                  <a:schemeClr val="accent3"/>
                </a:solidFill>
              </a:ln>
              <a:effectLst/>
            </c:spPr>
            <c:txPr>
              <a:bodyPr rot="0" spcFirstLastPara="1" vertOverflow="clip" horzOverflow="clip" vert="horz" wrap="square" lIns="36576" tIns="18288" rIns="36576" bIns="18288" anchor="ctr" anchorCtr="1">
                <a:spAutoFit/>
              </a:bodyPr>
              <a:lstStyle/>
              <a:p>
                <a:pPr>
                  <a:defRPr sz="800" b="1" i="0" u="none" strike="noStrike" kern="1200" baseline="0">
                    <a:solidFill>
                      <a:schemeClr val="bg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Graphics!$D$15:$G$15</c:f>
              <c:strCache>
                <c:ptCount val="4"/>
                <c:pt idx="0">
                  <c:v>2025e</c:v>
                </c:pt>
                <c:pt idx="1">
                  <c:v>2026e</c:v>
                </c:pt>
                <c:pt idx="2">
                  <c:v>2027e</c:v>
                </c:pt>
                <c:pt idx="3">
                  <c:v>2028e</c:v>
                </c:pt>
              </c:strCache>
            </c:strRef>
          </c:cat>
          <c:val>
            <c:numRef>
              <c:f>Graphics!$D$18:$G$18</c:f>
              <c:numCache>
                <c:formatCode>#,000\ \€;\ \(#,000\ \€\);\ "-"</c:formatCode>
                <c:ptCount val="4"/>
                <c:pt idx="0">
                  <c:v>315850.84933721606</c:v>
                </c:pt>
                <c:pt idx="1">
                  <c:v>299044.47760907299</c:v>
                </c:pt>
                <c:pt idx="2">
                  <c:v>275292.14515325089</c:v>
                </c:pt>
                <c:pt idx="3">
                  <c:v>250753.18283413569</c:v>
                </c:pt>
              </c:numCache>
            </c:numRef>
          </c:val>
          <c:smooth val="0"/>
          <c:extLst>
            <c:ext xmlns:c16="http://schemas.microsoft.com/office/drawing/2014/chart" uri="{C3380CC4-5D6E-409C-BE32-E72D297353CC}">
              <c16:uniqueId val="{00000003-1870-4132-AA01-0F0DD857D0E6}"/>
            </c:ext>
          </c:extLst>
        </c:ser>
        <c:dLbls>
          <c:showLegendKey val="0"/>
          <c:showVal val="0"/>
          <c:showCatName val="0"/>
          <c:showSerName val="0"/>
          <c:showPercent val="0"/>
          <c:showBubbleSize val="0"/>
        </c:dLbls>
        <c:marker val="1"/>
        <c:smooth val="0"/>
        <c:axId val="1735957423"/>
        <c:axId val="1735957903"/>
      </c:lineChart>
      <c:catAx>
        <c:axId val="1735957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1735957903"/>
        <c:crosses val="autoZero"/>
        <c:auto val="1"/>
        <c:lblAlgn val="ctr"/>
        <c:lblOffset val="100"/>
        <c:noMultiLvlLbl val="0"/>
      </c:catAx>
      <c:valAx>
        <c:axId val="1735957903"/>
        <c:scaling>
          <c:orientation val="minMax"/>
          <c:min val="200000"/>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1735957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Graphics!$D$20</c:f>
              <c:strCache>
                <c:ptCount val="1"/>
                <c:pt idx="0">
                  <c:v>2025e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Graphics!$C$21:$C$24</c:f>
              <c:strCache>
                <c:ptCount val="4"/>
                <c:pt idx="0">
                  <c:v>Owned</c:v>
                </c:pt>
                <c:pt idx="1">
                  <c:v>Leased</c:v>
                </c:pt>
                <c:pt idx="2">
                  <c:v>Management</c:v>
                </c:pt>
                <c:pt idx="3">
                  <c:v>Franchised</c:v>
                </c:pt>
              </c:strCache>
            </c:strRef>
          </c:cat>
          <c:val>
            <c:numRef>
              <c:f>Graphics!$D$21:$D$24</c:f>
              <c:numCache>
                <c:formatCode>General</c:formatCode>
                <c:ptCount val="4"/>
                <c:pt idx="0">
                  <c:v>39</c:v>
                </c:pt>
                <c:pt idx="1">
                  <c:v>85</c:v>
                </c:pt>
                <c:pt idx="2">
                  <c:v>167</c:v>
                </c:pt>
                <c:pt idx="3">
                  <c:v>74</c:v>
                </c:pt>
              </c:numCache>
            </c:numRef>
          </c:val>
          <c:extLst>
            <c:ext xmlns:c16="http://schemas.microsoft.com/office/drawing/2014/chart" uri="{C3380CC4-5D6E-409C-BE32-E72D297353CC}">
              <c16:uniqueId val="{00000000-7241-41BE-B408-13097AC99F40}"/>
            </c:ext>
          </c:extLst>
        </c:ser>
        <c:dLbls>
          <c:showLegendKey val="0"/>
          <c:showVal val="0"/>
          <c:showCatName val="0"/>
          <c:showSerName val="0"/>
          <c:showPercent val="0"/>
          <c:showBubbleSize val="0"/>
        </c:dLbls>
        <c:gapWidth val="91"/>
        <c:gapDepth val="49"/>
        <c:shape val="box"/>
        <c:axId val="1656896111"/>
        <c:axId val="1656893711"/>
        <c:axId val="0"/>
      </c:bar3DChart>
      <c:catAx>
        <c:axId val="165689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crossAx val="1656893711"/>
        <c:crosses val="autoZero"/>
        <c:auto val="1"/>
        <c:lblAlgn val="ctr"/>
        <c:lblOffset val="100"/>
        <c:noMultiLvlLbl val="0"/>
      </c:catAx>
      <c:valAx>
        <c:axId val="1656893711"/>
        <c:scaling>
          <c:orientation val="minMax"/>
        </c:scaling>
        <c:delete val="1"/>
        <c:axPos val="b"/>
        <c:majorGridlines>
          <c:spPr>
            <a:ln w="9525" cap="flat" cmpd="sng" algn="ctr">
              <a:noFill/>
              <a:round/>
            </a:ln>
            <a:effectLst/>
          </c:spPr>
        </c:majorGridlines>
        <c:minorGridlines>
          <c:spPr>
            <a:ln w="9525" cap="flat" cmpd="sng" algn="ctr">
              <a:noFill/>
              <a:round/>
            </a:ln>
            <a:effectLst/>
          </c:spPr>
        </c:minorGridlines>
        <c:numFmt formatCode="General" sourceLinked="1"/>
        <c:majorTickMark val="none"/>
        <c:minorTickMark val="none"/>
        <c:tickLblPos val="nextTo"/>
        <c:crossAx val="16568961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A18BD09C-6BC5-429D-BC9A-7E5827770325}" formatIdx="2">
          <cx:tx>
            <cx:txData>
              <cx:f>_xlchart.v1.3</cx:f>
              <cx:v>Market Cap</cx:v>
            </cx:txData>
          </cx:tx>
          <cx:spPr>
            <a:effectLst>
              <a:softEdge rad="25400"/>
            </a:effectLst>
          </cx:spPr>
          <cx:dataLabels pos="inEnd">
            <cx:numFmt formatCode="$#,,, &quot;B&quot;" sourceLinked="0"/>
            <cx:txPr>
              <a:bodyPr spcFirstLastPara="1" vertOverflow="ellipsis" horzOverflow="overflow" wrap="square" lIns="0" tIns="0" rIns="0" bIns="0" anchor="ctr" anchorCtr="1"/>
              <a:lstStyle/>
              <a:p>
                <a:pPr algn="ctr" rtl="0">
                  <a:defRPr sz="900" b="1"/>
                </a:pPr>
                <a:endParaRPr lang="en-US" sz="900" b="1" i="0" u="none" strike="noStrike" baseline="0">
                  <a:solidFill>
                    <a:sysClr val="window" lastClr="FFFFFF"/>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B4925975-17FB-43FD-AFFB-D5E039FCC93B}">
          <cx:dataLabels>
            <cx:numFmt formatCode="#,##0, &quot;M&quot;€; (#,##0,) &quot;M&quot;€" sourceLinked="0"/>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Aptos Narrow" panose="02110004020202020204"/>
                </a:endParaRPr>
              </a:p>
            </cx:txPr>
            <cx:visibility seriesName="0" categoryName="0" value="1"/>
            <cx:separator>, </cx:separator>
          </cx:dataLabels>
          <cx:dataId val="0"/>
          <cx:layoutPr>
            <cx:visibility connectorLines="1"/>
            <cx:subtotals>
              <cx:idx val="5"/>
            </cx:subtotals>
          </cx:layoutPr>
        </cx:series>
      </cx:plotAreaRegion>
      <cx:axis id="0">
        <cx:catScaling gapWidth="0.5"/>
        <cx:majorGridlines/>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Aptos Narrow" panose="02110004020202020204"/>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31" fmlaLink="$R$2" fmlaRange="Projections!$D$4:$D$6" noThreeD="1" sel="2" val="0"/>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4.xml"/><Relationship Id="rId2" Type="http://schemas.openxmlformats.org/officeDocument/2006/relationships/chart" Target="../charts/chart1.xml"/><Relationship Id="rId1" Type="http://schemas.openxmlformats.org/officeDocument/2006/relationships/image" Target="../media/image1.png"/><Relationship Id="rId6" Type="http://schemas.microsoft.com/office/2014/relationships/chartEx" Target="../charts/chartEx2.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279400</xdr:colOff>
      <xdr:row>1</xdr:row>
      <xdr:rowOff>10541</xdr:rowOff>
    </xdr:from>
    <xdr:to>
      <xdr:col>4</xdr:col>
      <xdr:colOff>0</xdr:colOff>
      <xdr:row>4</xdr:row>
      <xdr:rowOff>2921</xdr:rowOff>
    </xdr:to>
    <xdr:grpSp>
      <xdr:nvGrpSpPr>
        <xdr:cNvPr id="4" name="Group 3">
          <a:extLst>
            <a:ext uri="{FF2B5EF4-FFF2-40B4-BE49-F238E27FC236}">
              <a16:creationId xmlns:a16="http://schemas.microsoft.com/office/drawing/2014/main" id="{0B9B006C-8167-62FC-6C4B-D90C7B05DAE4}"/>
            </a:ext>
          </a:extLst>
        </xdr:cNvPr>
        <xdr:cNvGrpSpPr/>
      </xdr:nvGrpSpPr>
      <xdr:grpSpPr>
        <a:xfrm>
          <a:off x="279400" y="194691"/>
          <a:ext cx="2279650" cy="640080"/>
          <a:chOff x="444500" y="171450"/>
          <a:chExt cx="2152650" cy="692150"/>
        </a:xfrm>
      </xdr:grpSpPr>
      <xdr:sp macro="" textlink="">
        <xdr:nvSpPr>
          <xdr:cNvPr id="2" name="Rectangle: Rounded Corners 1">
            <a:extLst>
              <a:ext uri="{FF2B5EF4-FFF2-40B4-BE49-F238E27FC236}">
                <a16:creationId xmlns:a16="http://schemas.microsoft.com/office/drawing/2014/main" id="{92D36EB2-62BD-E3A9-08D2-08D779321E52}"/>
              </a:ext>
            </a:extLst>
          </xdr:cNvPr>
          <xdr:cNvSpPr/>
        </xdr:nvSpPr>
        <xdr:spPr>
          <a:xfrm>
            <a:off x="444500" y="171450"/>
            <a:ext cx="2152650" cy="69215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pic>
        <xdr:nvPicPr>
          <xdr:cNvPr id="3" name="Picture 2" descr="Logo de Meliá Hotels International aux formats PNG transparent et SVG ...">
            <a:extLst>
              <a:ext uri="{FF2B5EF4-FFF2-40B4-BE49-F238E27FC236}">
                <a16:creationId xmlns:a16="http://schemas.microsoft.com/office/drawing/2014/main" id="{97FB973F-C94C-B54E-CCB4-8643E3BE39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4388" y="367427"/>
            <a:ext cx="1752602" cy="26757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0</xdr:colOff>
      <xdr:row>1</xdr:row>
      <xdr:rowOff>10541</xdr:rowOff>
    </xdr:from>
    <xdr:to>
      <xdr:col>7</xdr:col>
      <xdr:colOff>0</xdr:colOff>
      <xdr:row>4</xdr:row>
      <xdr:rowOff>2921</xdr:rowOff>
    </xdr:to>
    <xdr:sp macro="" textlink="">
      <xdr:nvSpPr>
        <xdr:cNvPr id="12" name="Rectangle: Rounded Corners 11">
          <a:extLst>
            <a:ext uri="{FF2B5EF4-FFF2-40B4-BE49-F238E27FC236}">
              <a16:creationId xmlns:a16="http://schemas.microsoft.com/office/drawing/2014/main" id="{EE6B6414-CA26-3B75-649F-1CA2315FF76D}"/>
            </a:ext>
          </a:extLst>
        </xdr:cNvPr>
        <xdr:cNvSpPr/>
      </xdr:nvSpPr>
      <xdr:spPr>
        <a:xfrm>
          <a:off x="2705100" y="194691"/>
          <a:ext cx="1797050" cy="64008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14</xdr:col>
      <xdr:colOff>6350</xdr:colOff>
      <xdr:row>1</xdr:row>
      <xdr:rowOff>10541</xdr:rowOff>
    </xdr:from>
    <xdr:to>
      <xdr:col>20</xdr:col>
      <xdr:colOff>577850</xdr:colOff>
      <xdr:row>4</xdr:row>
      <xdr:rowOff>2921</xdr:rowOff>
    </xdr:to>
    <xdr:grpSp>
      <xdr:nvGrpSpPr>
        <xdr:cNvPr id="33" name="Group 7">
          <a:extLst>
            <a:ext uri="{FF2B5EF4-FFF2-40B4-BE49-F238E27FC236}">
              <a16:creationId xmlns:a16="http://schemas.microsoft.com/office/drawing/2014/main" id="{78657083-C6A9-F24F-4183-99A02E756C31}"/>
            </a:ext>
          </a:extLst>
        </xdr:cNvPr>
        <xdr:cNvGrpSpPr/>
      </xdr:nvGrpSpPr>
      <xdr:grpSpPr>
        <a:xfrm>
          <a:off x="8705850" y="194691"/>
          <a:ext cx="3911600" cy="640080"/>
          <a:chOff x="8712200" y="914400"/>
          <a:chExt cx="3276600" cy="713232"/>
        </a:xfrm>
      </xdr:grpSpPr>
      <xdr:sp macro="" textlink="">
        <xdr:nvSpPr>
          <xdr:cNvPr id="34" name="Rectangle: Rounded Corners 5">
            <a:extLst>
              <a:ext uri="{FF2B5EF4-FFF2-40B4-BE49-F238E27FC236}">
                <a16:creationId xmlns:a16="http://schemas.microsoft.com/office/drawing/2014/main" id="{BD00FF87-08D8-1EBC-9A4A-D241687224D5}"/>
              </a:ext>
            </a:extLst>
          </xdr:cNvPr>
          <xdr:cNvSpPr/>
        </xdr:nvSpPr>
        <xdr:spPr>
          <a:xfrm>
            <a:off x="8712200" y="914400"/>
            <a:ext cx="3276600" cy="713232"/>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
        <xdr:nvSpPr>
          <xdr:cNvPr id="35" name="TextBox 19">
            <a:extLst>
              <a:ext uri="{FF2B5EF4-FFF2-40B4-BE49-F238E27FC236}">
                <a16:creationId xmlns:a16="http://schemas.microsoft.com/office/drawing/2014/main" id="{9FB6D8C6-AE06-0E53-7612-B8DF08217702}"/>
              </a:ext>
            </a:extLst>
          </xdr:cNvPr>
          <xdr:cNvSpPr txBox="1"/>
        </xdr:nvSpPr>
        <xdr:spPr>
          <a:xfrm>
            <a:off x="8712201" y="1066800"/>
            <a:ext cx="1143619"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ES" sz="1100">
                <a:solidFill>
                  <a:schemeClr val="tx1">
                    <a:lumMod val="65000"/>
                    <a:lumOff val="35000"/>
                  </a:schemeClr>
                </a:solidFill>
              </a:rPr>
              <a:t>Choose</a:t>
            </a:r>
            <a:r>
              <a:rPr lang="es-ES" sz="1100" baseline="0">
                <a:solidFill>
                  <a:schemeClr val="tx1">
                    <a:lumMod val="65000"/>
                    <a:lumOff val="35000"/>
                  </a:schemeClr>
                </a:solidFill>
              </a:rPr>
              <a:t> scenario →</a:t>
            </a:r>
            <a:endParaRPr lang="es-ES" sz="1100">
              <a:solidFill>
                <a:schemeClr val="tx1">
                  <a:lumMod val="65000"/>
                  <a:lumOff val="35000"/>
                </a:schemeClr>
              </a:solidFill>
            </a:endParaRPr>
          </a:p>
        </xdr:txBody>
      </xdr:sp>
      <xdr:sp macro="" textlink="">
        <xdr:nvSpPr>
          <xdr:cNvPr id="36" name="Drop Down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9894515" y="1104901"/>
            <a:ext cx="863600" cy="285750"/>
          </a:xfrm>
          <a:prstGeom prst="rect">
            <a:avLst/>
          </a:prstGeom>
          <a:noFill/>
          <a:ln>
            <a:noFill/>
          </a:ln>
          <a:extLst>
            <a:ext uri="{91240B29-F687-4F45-9708-019B960494DF}">
              <a14:hiddenLine xmlns:a14="http://schemas.microsoft.com/office/drawing/2010/main" w="9525">
                <a:noFill/>
                <a:miter lim="800000"/>
                <a:headEnd/>
                <a:tailEnd/>
              </a14:hiddenLine>
            </a:ext>
          </a:extLst>
        </xdr:spPr>
      </xdr:sp>
    </xdr:grpSp>
    <xdr:clientData/>
  </xdr:twoCellAnchor>
  <xdr:twoCellAnchor>
    <xdr:from>
      <xdr:col>8</xdr:col>
      <xdr:colOff>0</xdr:colOff>
      <xdr:row>1</xdr:row>
      <xdr:rowOff>10541</xdr:rowOff>
    </xdr:from>
    <xdr:to>
      <xdr:col>10</xdr:col>
      <xdr:colOff>0</xdr:colOff>
      <xdr:row>4</xdr:row>
      <xdr:rowOff>2921</xdr:rowOff>
    </xdr:to>
    <xdr:sp macro="" textlink="">
      <xdr:nvSpPr>
        <xdr:cNvPr id="5" name="Rectangle: Rounded Corners 4">
          <a:extLst>
            <a:ext uri="{FF2B5EF4-FFF2-40B4-BE49-F238E27FC236}">
              <a16:creationId xmlns:a16="http://schemas.microsoft.com/office/drawing/2014/main" id="{2D8829BB-5A27-49A4-A05F-F14074A6FB63}"/>
            </a:ext>
          </a:extLst>
        </xdr:cNvPr>
        <xdr:cNvSpPr/>
      </xdr:nvSpPr>
      <xdr:spPr>
        <a:xfrm>
          <a:off x="4648200" y="194691"/>
          <a:ext cx="1797050" cy="64008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11</xdr:col>
      <xdr:colOff>0</xdr:colOff>
      <xdr:row>1</xdr:row>
      <xdr:rowOff>10541</xdr:rowOff>
    </xdr:from>
    <xdr:to>
      <xdr:col>13</xdr:col>
      <xdr:colOff>0</xdr:colOff>
      <xdr:row>4</xdr:row>
      <xdr:rowOff>2921</xdr:rowOff>
    </xdr:to>
    <xdr:sp macro="" textlink="">
      <xdr:nvSpPr>
        <xdr:cNvPr id="10" name="Rectangle: Rounded Corners 9">
          <a:extLst>
            <a:ext uri="{FF2B5EF4-FFF2-40B4-BE49-F238E27FC236}">
              <a16:creationId xmlns:a16="http://schemas.microsoft.com/office/drawing/2014/main" id="{8DD84DE8-8E10-499C-B5A6-3E5E0F4BE7C4}"/>
            </a:ext>
          </a:extLst>
        </xdr:cNvPr>
        <xdr:cNvSpPr/>
      </xdr:nvSpPr>
      <xdr:spPr>
        <a:xfrm>
          <a:off x="6591300" y="194691"/>
          <a:ext cx="1949450" cy="64008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0</xdr:col>
      <xdr:colOff>279400</xdr:colOff>
      <xdr:row>17</xdr:row>
      <xdr:rowOff>171450</xdr:rowOff>
    </xdr:from>
    <xdr:to>
      <xdr:col>7</xdr:col>
      <xdr:colOff>6350</xdr:colOff>
      <xdr:row>32</xdr:row>
      <xdr:rowOff>33867</xdr:rowOff>
    </xdr:to>
    <xdr:grpSp>
      <xdr:nvGrpSpPr>
        <xdr:cNvPr id="29" name="Group 28">
          <a:extLst>
            <a:ext uri="{FF2B5EF4-FFF2-40B4-BE49-F238E27FC236}">
              <a16:creationId xmlns:a16="http://schemas.microsoft.com/office/drawing/2014/main" id="{23800CEF-71B9-106C-6411-779EAE4F537A}"/>
            </a:ext>
          </a:extLst>
        </xdr:cNvPr>
        <xdr:cNvGrpSpPr/>
      </xdr:nvGrpSpPr>
      <xdr:grpSpPr>
        <a:xfrm>
          <a:off x="279400" y="3403600"/>
          <a:ext cx="4159250" cy="2624667"/>
          <a:chOff x="273050" y="3067050"/>
          <a:chExt cx="3771900" cy="2686050"/>
        </a:xfrm>
      </xdr:grpSpPr>
      <xdr:sp macro="" textlink="">
        <xdr:nvSpPr>
          <xdr:cNvPr id="16" name="Rectangle: Rounded Corners 15">
            <a:extLst>
              <a:ext uri="{FF2B5EF4-FFF2-40B4-BE49-F238E27FC236}">
                <a16:creationId xmlns:a16="http://schemas.microsoft.com/office/drawing/2014/main" id="{924DCA0C-7337-47B6-BFBB-00BF9CA7455B}"/>
              </a:ext>
            </a:extLst>
          </xdr:cNvPr>
          <xdr:cNvSpPr/>
        </xdr:nvSpPr>
        <xdr:spPr>
          <a:xfrm>
            <a:off x="273050" y="3067050"/>
            <a:ext cx="3771900" cy="2686050"/>
          </a:xfrm>
          <a:prstGeom prst="roundRect">
            <a:avLst>
              <a:gd name="adj" fmla="val 3654"/>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graphicFrame macro="">
        <xdr:nvGraphicFramePr>
          <xdr:cNvPr id="17" name="Chart 16">
            <a:extLst>
              <a:ext uri="{FF2B5EF4-FFF2-40B4-BE49-F238E27FC236}">
                <a16:creationId xmlns:a16="http://schemas.microsoft.com/office/drawing/2014/main" id="{7C8F7793-9D15-C925-ACD7-7D88378B0EEB}"/>
              </a:ext>
            </a:extLst>
          </xdr:cNvPr>
          <xdr:cNvGraphicFramePr>
            <a:graphicFrameLocks/>
          </xdr:cNvGraphicFramePr>
        </xdr:nvGraphicFramePr>
        <xdr:xfrm>
          <a:off x="493893" y="3536950"/>
          <a:ext cx="3330215" cy="217805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5</xdr:col>
      <xdr:colOff>0</xdr:colOff>
      <xdr:row>5</xdr:row>
      <xdr:rowOff>19050</xdr:rowOff>
    </xdr:from>
    <xdr:to>
      <xdr:col>12</xdr:col>
      <xdr:colOff>742950</xdr:colOff>
      <xdr:row>16</xdr:row>
      <xdr:rowOff>171450</xdr:rowOff>
    </xdr:to>
    <xdr:grpSp>
      <xdr:nvGrpSpPr>
        <xdr:cNvPr id="30" name="Group 29">
          <a:extLst>
            <a:ext uri="{FF2B5EF4-FFF2-40B4-BE49-F238E27FC236}">
              <a16:creationId xmlns:a16="http://schemas.microsoft.com/office/drawing/2014/main" id="{01F002CE-3A11-DC76-0A95-8D4E9E029AD9}"/>
            </a:ext>
          </a:extLst>
        </xdr:cNvPr>
        <xdr:cNvGrpSpPr/>
      </xdr:nvGrpSpPr>
      <xdr:grpSpPr>
        <a:xfrm>
          <a:off x="2736850" y="1041400"/>
          <a:ext cx="5797550" cy="2178050"/>
          <a:chOff x="4210050" y="3079750"/>
          <a:chExt cx="3867150" cy="2673350"/>
        </a:xfrm>
      </xdr:grpSpPr>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58B26C00-67C7-4252-A1A6-7EC05246D2E9}"/>
                  </a:ext>
                </a:extLst>
              </xdr:cNvPr>
              <xdr:cNvGraphicFramePr/>
            </xdr:nvGraphicFramePr>
            <xdr:xfrm>
              <a:off x="4281400" y="3492833"/>
              <a:ext cx="3697927" cy="2215816"/>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81400" y="3492833"/>
                <a:ext cx="3697927" cy="2215816"/>
              </a:xfrm>
              <a:prstGeom prst="rect">
                <a:avLst/>
              </a:prstGeom>
              <a:solidFill>
                <a:prstClr val="white"/>
              </a:solidFill>
              <a:ln w="1">
                <a:solidFill>
                  <a:prstClr val="green"/>
                </a:solidFill>
              </a:ln>
            </xdr:spPr>
            <xdr:txBody>
              <a:bodyPr vertOverflow="clip" horzOverflow="clip"/>
              <a:lstStyle/>
              <a:p>
                <a:r>
                  <a:rPr lang="es-ES" sz="1100"/>
                  <a:t>This chart isn't available in your version of Excel.
Editing this shape or saving this workbook into a different file format will permanently break the chart.</a:t>
                </a:r>
              </a:p>
            </xdr:txBody>
          </xdr:sp>
        </mc:Fallback>
      </mc:AlternateContent>
      <xdr:sp macro="" textlink="">
        <xdr:nvSpPr>
          <xdr:cNvPr id="23" name="Rectangle: Rounded Corners 22">
            <a:extLst>
              <a:ext uri="{FF2B5EF4-FFF2-40B4-BE49-F238E27FC236}">
                <a16:creationId xmlns:a16="http://schemas.microsoft.com/office/drawing/2014/main" id="{43926FCB-16AF-93C0-3B73-FFDC7FAEF7A1}"/>
              </a:ext>
            </a:extLst>
          </xdr:cNvPr>
          <xdr:cNvSpPr/>
        </xdr:nvSpPr>
        <xdr:spPr>
          <a:xfrm>
            <a:off x="4210050" y="3079750"/>
            <a:ext cx="3867150" cy="2673350"/>
          </a:xfrm>
          <a:prstGeom prst="roundRect">
            <a:avLst>
              <a:gd name="adj" fmla="val 4343"/>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grpSp>
    <xdr:clientData/>
  </xdr:twoCellAnchor>
  <xdr:twoCellAnchor>
    <xdr:from>
      <xdr:col>1</xdr:col>
      <xdr:colOff>6685</xdr:colOff>
      <xdr:row>5</xdr:row>
      <xdr:rowOff>21724</xdr:rowOff>
    </xdr:from>
    <xdr:to>
      <xdr:col>4</xdr:col>
      <xdr:colOff>1</xdr:colOff>
      <xdr:row>16</xdr:row>
      <xdr:rowOff>158750</xdr:rowOff>
    </xdr:to>
    <xdr:sp macro="" textlink="">
      <xdr:nvSpPr>
        <xdr:cNvPr id="27" name="Rectangle: Rounded Corners 26">
          <a:extLst>
            <a:ext uri="{FF2B5EF4-FFF2-40B4-BE49-F238E27FC236}">
              <a16:creationId xmlns:a16="http://schemas.microsoft.com/office/drawing/2014/main" id="{ED0E0995-6F88-4D4D-9977-B6636E2F616A}"/>
            </a:ext>
          </a:extLst>
        </xdr:cNvPr>
        <xdr:cNvSpPr/>
      </xdr:nvSpPr>
      <xdr:spPr>
        <a:xfrm>
          <a:off x="305135" y="1044074"/>
          <a:ext cx="2253916" cy="2162676"/>
        </a:xfrm>
        <a:prstGeom prst="roundRect">
          <a:avLst>
            <a:gd name="adj" fmla="val 4343"/>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0</xdr:col>
      <xdr:colOff>233948</xdr:colOff>
      <xdr:row>7</xdr:row>
      <xdr:rowOff>0</xdr:rowOff>
    </xdr:from>
    <xdr:to>
      <xdr:col>4</xdr:col>
      <xdr:colOff>40105</xdr:colOff>
      <xdr:row>17</xdr:row>
      <xdr:rowOff>104273</xdr:rowOff>
    </xdr:to>
    <xdr:graphicFrame macro="">
      <xdr:nvGraphicFramePr>
        <xdr:cNvPr id="28" name="Chart 27">
          <a:extLst>
            <a:ext uri="{FF2B5EF4-FFF2-40B4-BE49-F238E27FC236}">
              <a16:creationId xmlns:a16="http://schemas.microsoft.com/office/drawing/2014/main" id="{D2617ABE-51DE-455D-BAA1-276463921A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174793</xdr:colOff>
      <xdr:row>20</xdr:row>
      <xdr:rowOff>101600</xdr:rowOff>
    </xdr:from>
    <xdr:to>
      <xdr:col>20</xdr:col>
      <xdr:colOff>425450</xdr:colOff>
      <xdr:row>32</xdr:row>
      <xdr:rowOff>38100</xdr:rowOff>
    </xdr:to>
    <xdr:graphicFrame macro="">
      <xdr:nvGraphicFramePr>
        <xdr:cNvPr id="11" name="Chart 6">
          <a:extLst>
            <a:ext uri="{FF2B5EF4-FFF2-40B4-BE49-F238E27FC236}">
              <a16:creationId xmlns:a16="http://schemas.microsoft.com/office/drawing/2014/main" id="{23C52EF4-AD9E-4BB5-B168-18B7E5B78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16390</xdr:colOff>
      <xdr:row>17</xdr:row>
      <xdr:rowOff>171450</xdr:rowOff>
    </xdr:from>
    <xdr:to>
      <xdr:col>20</xdr:col>
      <xdr:colOff>553453</xdr:colOff>
      <xdr:row>32</xdr:row>
      <xdr:rowOff>17378</xdr:rowOff>
    </xdr:to>
    <xdr:sp macro="" textlink="">
      <xdr:nvSpPr>
        <xdr:cNvPr id="32" name="Rectangle: Rounded Corners 12">
          <a:extLst>
            <a:ext uri="{FF2B5EF4-FFF2-40B4-BE49-F238E27FC236}">
              <a16:creationId xmlns:a16="http://schemas.microsoft.com/office/drawing/2014/main" id="{A06F8D01-C209-22D3-1ABF-C208ABE0D470}"/>
            </a:ext>
          </a:extLst>
        </xdr:cNvPr>
        <xdr:cNvSpPr/>
      </xdr:nvSpPr>
      <xdr:spPr>
        <a:xfrm>
          <a:off x="8969890" y="3403600"/>
          <a:ext cx="3877163" cy="2608178"/>
        </a:xfrm>
        <a:prstGeom prst="roundRect">
          <a:avLst>
            <a:gd name="adj" fmla="val 4343"/>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14</xdr:col>
      <xdr:colOff>133350</xdr:colOff>
      <xdr:row>7</xdr:row>
      <xdr:rowOff>133350</xdr:rowOff>
    </xdr:from>
    <xdr:to>
      <xdr:col>20</xdr:col>
      <xdr:colOff>412750</xdr:colOff>
      <xdr:row>16</xdr:row>
      <xdr:rowOff>76200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43460C15-D211-43FE-85B6-EFBEF916DC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086850" y="1524000"/>
              <a:ext cx="3619500" cy="1600200"/>
            </a:xfrm>
            <a:prstGeom prst="rect">
              <a:avLst/>
            </a:prstGeom>
            <a:solidFill>
              <a:prstClr val="white"/>
            </a:solidFill>
            <a:ln w="1">
              <a:solidFill>
                <a:prstClr val="green"/>
              </a:solidFill>
            </a:ln>
          </xdr:spPr>
          <xdr:txBody>
            <a:bodyPr vertOverflow="clip" horzOverflow="clip"/>
            <a:lstStyle/>
            <a:p>
              <a:r>
                <a:rPr lang="es-E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19050</xdr:colOff>
      <xdr:row>5</xdr:row>
      <xdr:rowOff>19050</xdr:rowOff>
    </xdr:from>
    <xdr:to>
      <xdr:col>20</xdr:col>
      <xdr:colOff>562463</xdr:colOff>
      <xdr:row>16</xdr:row>
      <xdr:rowOff>177800</xdr:rowOff>
    </xdr:to>
    <xdr:sp macro="" textlink="">
      <xdr:nvSpPr>
        <xdr:cNvPr id="31" name="Rectangle: Rounded Corners 14">
          <a:extLst>
            <a:ext uri="{FF2B5EF4-FFF2-40B4-BE49-F238E27FC236}">
              <a16:creationId xmlns:a16="http://schemas.microsoft.com/office/drawing/2014/main" id="{6049BE47-79DF-475E-AB78-B47051E7FAC2}"/>
            </a:ext>
          </a:extLst>
        </xdr:cNvPr>
        <xdr:cNvSpPr/>
      </xdr:nvSpPr>
      <xdr:spPr>
        <a:xfrm>
          <a:off x="8972550" y="1041400"/>
          <a:ext cx="3883513" cy="2184400"/>
        </a:xfrm>
        <a:prstGeom prst="roundRect">
          <a:avLst>
            <a:gd name="adj" fmla="val 4343"/>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7</xdr:col>
      <xdr:colOff>88900</xdr:colOff>
      <xdr:row>17</xdr:row>
      <xdr:rowOff>165100</xdr:rowOff>
    </xdr:from>
    <xdr:to>
      <xdr:col>13</xdr:col>
      <xdr:colOff>6350</xdr:colOff>
      <xdr:row>32</xdr:row>
      <xdr:rowOff>31750</xdr:rowOff>
    </xdr:to>
    <xdr:grpSp>
      <xdr:nvGrpSpPr>
        <xdr:cNvPr id="37" name="Group 36">
          <a:extLst>
            <a:ext uri="{FF2B5EF4-FFF2-40B4-BE49-F238E27FC236}">
              <a16:creationId xmlns:a16="http://schemas.microsoft.com/office/drawing/2014/main" id="{E96CAF86-393A-DB27-00DA-6338D13E00C3}"/>
            </a:ext>
          </a:extLst>
        </xdr:cNvPr>
        <xdr:cNvGrpSpPr/>
      </xdr:nvGrpSpPr>
      <xdr:grpSpPr>
        <a:xfrm>
          <a:off x="4521200" y="3397250"/>
          <a:ext cx="4038600" cy="2628900"/>
          <a:chOff x="4800600" y="1054100"/>
          <a:chExt cx="4222750" cy="2190750"/>
        </a:xfrm>
      </xdr:grpSpPr>
      <xdr:graphicFrame macro="">
        <xdr:nvGraphicFramePr>
          <xdr:cNvPr id="18" name="Chart 8">
            <a:extLst>
              <a:ext uri="{FF2B5EF4-FFF2-40B4-BE49-F238E27FC236}">
                <a16:creationId xmlns:a16="http://schemas.microsoft.com/office/drawing/2014/main" id="{970284E5-D0D3-4022-98A4-0C93E0FE9AE5}"/>
              </a:ext>
            </a:extLst>
          </xdr:cNvPr>
          <xdr:cNvGraphicFramePr>
            <a:graphicFrameLocks/>
          </xdr:cNvGraphicFramePr>
        </xdr:nvGraphicFramePr>
        <xdr:xfrm>
          <a:off x="4800600" y="1428750"/>
          <a:ext cx="4057650" cy="1816100"/>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6" name="Rectangle: Rounded Corners 10">
            <a:extLst>
              <a:ext uri="{FF2B5EF4-FFF2-40B4-BE49-F238E27FC236}">
                <a16:creationId xmlns:a16="http://schemas.microsoft.com/office/drawing/2014/main" id="{C5AF8463-F7E4-4AC8-9A64-F9B6FE97A611}"/>
              </a:ext>
            </a:extLst>
          </xdr:cNvPr>
          <xdr:cNvSpPr/>
        </xdr:nvSpPr>
        <xdr:spPr>
          <a:xfrm>
            <a:off x="4851400" y="1054100"/>
            <a:ext cx="4171950" cy="2184400"/>
          </a:xfrm>
          <a:prstGeom prst="roundRect">
            <a:avLst>
              <a:gd name="adj" fmla="val 4343"/>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grpSp>
    <xdr:clientData/>
  </xdr:twoCellAnchor>
  <mc:AlternateContent xmlns:mc="http://schemas.openxmlformats.org/markup-compatibility/2006">
    <mc:Choice xmlns:a14="http://schemas.microsoft.com/office/drawing/2010/main" Requires="a14">
      <xdr:twoCellAnchor editAs="oneCell">
        <xdr:from>
          <xdr:col>16</xdr:col>
          <xdr:colOff>368300</xdr:colOff>
          <xdr:row>1</xdr:row>
          <xdr:rowOff>203200</xdr:rowOff>
        </xdr:from>
        <xdr:to>
          <xdr:col>17</xdr:col>
          <xdr:colOff>539750</xdr:colOff>
          <xdr:row>3</xdr:row>
          <xdr:rowOff>12700</xdr:rowOff>
        </xdr:to>
        <xdr:sp macro="" textlink="">
          <xdr:nvSpPr>
            <xdr:cNvPr id="1026" name="Drop Dow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7</xdr:col>
      <xdr:colOff>112889</xdr:colOff>
      <xdr:row>4</xdr:row>
      <xdr:rowOff>28222</xdr:rowOff>
    </xdr:from>
    <xdr:to>
      <xdr:col>9</xdr:col>
      <xdr:colOff>0</xdr:colOff>
      <xdr:row>5</xdr:row>
      <xdr:rowOff>105833</xdr:rowOff>
    </xdr:to>
    <xdr:sp macro="" textlink="">
      <xdr:nvSpPr>
        <xdr:cNvPr id="2" name="TextBox 1">
          <a:extLst>
            <a:ext uri="{FF2B5EF4-FFF2-40B4-BE49-F238E27FC236}">
              <a16:creationId xmlns:a16="http://schemas.microsoft.com/office/drawing/2014/main" id="{27223F40-0F0F-4063-BE65-C1C2493B2B9E}"/>
            </a:ext>
          </a:extLst>
        </xdr:cNvPr>
        <xdr:cNvSpPr txBox="1"/>
      </xdr:nvSpPr>
      <xdr:spPr>
        <a:xfrm>
          <a:off x="7415389" y="1270000"/>
          <a:ext cx="1693333" cy="26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solidFill>
                <a:schemeClr val="bg1">
                  <a:lumMod val="50000"/>
                </a:schemeClr>
              </a:solidFill>
            </a:rPr>
            <a:t>Select scenario</a:t>
          </a:r>
          <a:r>
            <a:rPr lang="es-ES" sz="1100" baseline="0">
              <a:solidFill>
                <a:schemeClr val="bg1">
                  <a:lumMod val="50000"/>
                </a:schemeClr>
              </a:solidFill>
            </a:rPr>
            <a:t> </a:t>
          </a:r>
          <a:r>
            <a:rPr lang="es-ES" sz="1400" baseline="0">
              <a:solidFill>
                <a:schemeClr val="bg1">
                  <a:lumMod val="50000"/>
                </a:schemeClr>
              </a:solidFill>
            </a:rPr>
            <a:t>--&gt;</a:t>
          </a:r>
          <a:endParaRPr lang="es-ES" sz="1100">
            <a:solidFill>
              <a:schemeClr val="bg1">
                <a:lumMod val="50000"/>
              </a:schemeClr>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Asier Requena Gonzalez" id="{5D58A4EB-7674-4491-8FCC-A5717ED131F2}" userId="S::arequeng@emeal.nttdata.com::efeb5c56-5752-4932-98ea-f480ac5ca744" providerId="AD"/>
  <person displayName="Requena Gonzalez, Asier" id="{28A81DCB-FE3B-4094-B901-08077C398EA4}" userId="S::asier.requena@accenture.com::d5645f83-55de-4317-85e7-3f7cee87b789"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1">
  <rv s="0">
    <v>https://www.bing.com/financeapi/forcetrigger?t=amfz27&amp;q=BMEX%3aMEL&amp;form=skydnc</v>
    <v>Learn more on Bing</v>
  </rv>
  <rv s="1">
    <v>es-ES</v>
    <v>amfz27</v>
    <v>268435456</v>
    <v>1</v>
    <v>Con tecnología de Refinitiv</v>
    <v>0</v>
    <v>1</v>
    <v>Meliá Hotels International, S.A. (BMEX:MEL)</v>
    <v>3</v>
    <v>4</v>
    <v>Finance</v>
    <v>5</v>
    <v>BMEX</v>
    <v>220400000</v>
    <v>1986</v>
    <v>7.58</v>
    <v>1.8652</v>
    <v>-0.02</v>
    <v>-7.9369999999999996E-3</v>
    <v>-2.6390000000000003E-3</v>
    <v>-0.06</v>
    <v>1666224000</v>
    <v>7.58</v>
    <v>Meliá Hotels International S.A., antes Sol Meliá S.A., es una empresa con sede en España dedicada principalmente al sector hotelero. La Empresa participa en la administración y explotación de cadenas hoteleras. Sus actividades se divide en tres segmentos de negocio: Hoteles, Bienes Raíces y Club Meliá. La división de Hoteles administra hoteles bajo contratos de administración y franquicias, opera hoteles propios o arrendados, y ofrece otras actividades de entretenimiento, tales como juegos de casino y excursiones organizadas. La división de Bienes Raíces incluye las operaciones y el desarrollo de bienes raíces. La división de Club Meliá opera complejos de clubes vacacionales. La cartera de nombres de marcas de la Empresa incluye Gran Meliá, Paradisus, Meliá, Innside by Meliá, Tryp by Wyndham y Sol Hotels, entre otros. La Empresa opera a través de numerosas subsidiarias en Europa, las Américas, África y Asia.</v>
    <v>18649</v>
    <v>BMEX</v>
    <v>45919.668032407404</v>
    <v>Bolsas y Mercados Espanoles</v>
    <v>0</v>
    <v>7.67</v>
    <v>8.23</v>
    <v>7.52</v>
    <v>5.6150000000000002</v>
    <v>EUR</v>
    <v>Meliá Hotels International, S.A.</v>
    <v>Meliá Hotels International, S.A.</v>
    <v>9.7121999999999993</v>
    <v>7.56</v>
    <v>7.5</v>
    <v>Hotels &amp; Entertainment Services</v>
    <v>Calle Gremio Toneleros 24, PALMA DE MALLORCA, BALEARES, 07009 ES</v>
    <v>MEL</v>
    <v>Acciones</v>
    <v>Meliá Hotels International, S.A. (BMEX:MEL)</v>
    <v>294696</v>
    <v>196600</v>
  </rv>
  <rv s="2">
    <v>1</v>
  </rv>
  <rv s="0">
    <v>https://www.bing.com/financeapi/forcetrigger?t=a1vf5r&amp;q=XNYS%3aIHG&amp;form=skydnc</v>
    <v>Learn more on Bing</v>
  </rv>
  <rv s="1">
    <v>es-ES</v>
    <v>a1vf5r</v>
    <v>268435456</v>
    <v>1</v>
    <v>Con tecnología de Refinitiv</v>
    <v>0</v>
    <v>1</v>
    <v>INTERCONTINENTAL HOTELS GROUP PLC (XNYS:IHG)</v>
    <v>3</v>
    <v>6</v>
    <v>Finance</v>
    <v>7</v>
    <v>XNYS</v>
    <v>152905900</v>
    <v>2004</v>
    <v>119.21</v>
    <v>1.2498</v>
    <v>1.65</v>
    <v>0</v>
    <v>1.3969000000000001E-2</v>
    <v>0</v>
    <v>18188130000</v>
    <v>118.12</v>
    <v>InterContinental Hotels Group PLC es una empresa global de hospitalidad con sede en el Reino Unido. La Compañía tiene una cartera diversa de marcas diferenciadas. Con 20 marcas hoteleras e IHG One Rewards, que es un programa de fidelización hotelera, la compañía cuenta con aproximadamente 6.600 hoteles abiertos en más de 100 países, y una cartera de desarrollo de más de 2.200 propiedades. Las marcas de la compañía incluyen Six Senses Hotels Resorts Spas, Regent Hotels &amp; Resorts, InterContinental Hotels &amp; Resorts, Vignette Collection, Kimpton Hotels &amp; Restaurantes, Hotel Indigo, hoteles voco, HUALUXE Hotels &amp; Resorts, Crowne Plaza Hotels &amp; Resorts, INCLUSO hoteles, Holiday Inn Express, Holiday Inn Hotels &amp; Resorts, hoteles Garner, AVID Hotels, Atwell Suites, Staybridge Suites, Holiday Inn Club Vacations, Candlewood Suites, Iberostar Beachfront Resorts y Ruby. La marca Ruby opera aproximadamente 20 hoteles (3.483 habitaciones) en ciudades de toda Europa y tiene otros 10 hoteles en línea (2.235 habitaciones).</v>
    <v>12576</v>
    <v>XNYS</v>
    <v>45919.958333356248</v>
    <v>New York Stock Exchange</v>
    <v>3</v>
    <v>120.07</v>
    <v>137.25</v>
    <v>118.86</v>
    <v>94.78</v>
    <v>USD</v>
    <v>INTERCONTINENTAL HOTELS GROUP PLC</v>
    <v>INTERCONTINENTAL HOTELS GROUP PLC</v>
    <v>25.044599999999999</v>
    <v>119.77</v>
    <v>119.77</v>
    <v>Hotels &amp; Entertainment Services</v>
    <v>Windsor Dials 1, Arthur Road, WINDSOR, BERKSHIRE, SL4 1RS GB</v>
    <v>IHG</v>
    <v>Acciones</v>
    <v>INTERCONTINENTAL HOTELS GROUP PLC (XNYS:IHG)</v>
    <v>175931</v>
    <v>167253</v>
  </rv>
  <rv s="2">
    <v>4</v>
  </rv>
  <rv s="0">
    <v>https://www.bing.com/financeapi/forcetrigger?t=a1xaar&amp;q=XNAS%3aMAR&amp;form=skydnc</v>
    <v>Learn more on Bing</v>
  </rv>
  <rv s="1">
    <v>es-ES</v>
    <v>a1xaar</v>
    <v>268435456</v>
    <v>1</v>
    <v>Con tecnología de Refinitiv</v>
    <v>0</v>
    <v>1</v>
    <v>MARRIOTT INTERNATIONAL, INC. (XNAS:MAR)</v>
    <v>3</v>
    <v>6</v>
    <v>Finance</v>
    <v>7</v>
    <v>XNAS</v>
    <v>271457900</v>
    <v>1997</v>
    <v>265.40499999999997</v>
    <v>1.3545</v>
    <v>4.57</v>
    <v>-7.1130000000000004E-3</v>
    <v>1.7314E-2</v>
    <v>-1.91</v>
    <v>72891860000</v>
    <v>263.95</v>
    <v>Marriott International, Inc. Es un operador, franquiciador y licenciante de hoteles, residenciales, multipropiedad y otras propiedades de alojamiento bajo varias marcas. Sus segmentos incluyen EE.UU. Y Canadá, Europa, Medio Oriente y África (EMEA), Gran China, y el Caribe. Asia Pacífico, excluida China. Su cartera de marcas ofrece una gama de marcas y ofertas de alojamiento en hospitalidad. Sus marcas se clasifican por estilo de oferta: Clásico y distintivo. Las marcas clásicas ofrecen hospitalidad consagrada al viajero moderno. Las marcas distintivas ofrecen experiencias memorables con una perspectiva, cada una de las cuales se agrupa en cuatro niveles: Lujo, Premium, Select y mediana escala. Sus marcas de hoteles incluyen JW Marriott, The Ritz-Carlton, The Luxury Collection, W Hotels, Marriott Hotels, Sheraton, Delta Hotels by Marriott, Marriott Executive Apartments, Courtyard by Marriott, SpringHill Suites by Marriott, TownePlace Suites by Marriott, City Express by Marriott Four Points Express by Sheraton y otros.</v>
    <v>155000</v>
    <v>XNAS</v>
    <v>45919.979859606246</v>
    <v>Nasdaq Stock Market</v>
    <v>6</v>
    <v>270.27999999999997</v>
    <v>307.51799999999997</v>
    <v>264.16000000000003</v>
    <v>205.4</v>
    <v>USD</v>
    <v>MARRIOTT INTERNATIONAL, INC.</v>
    <v>MARRIOTT INTERNATIONAL, INC.</v>
    <v>29.775500000000001</v>
    <v>268.52</v>
    <v>266.61</v>
    <v>Hotels &amp; Entertainment Services</v>
    <v>7750 WISCONSIN AVENUE, BETHESDA, MD, 20814 US</v>
    <v>MAR</v>
    <v>Acciones</v>
    <v>MARRIOTT INTERNATIONAL, INC. (XNAS:MAR)</v>
    <v>2771039</v>
    <v>1210905</v>
  </rv>
  <rv s="2">
    <v>7</v>
  </rv>
  <rv s="0">
    <v>https://www.bing.com/financeapi/forcetrigger?t=ae79c7&amp;q=XPAR%3aAC&amp;form=skydnc</v>
    <v>Learn more on Bing</v>
  </rv>
  <rv s="3">
    <v>es-ES</v>
    <v>ae79c7</v>
    <v>268435456</v>
    <v>1</v>
    <v>Con tecnología de Refinitiv</v>
    <v>8</v>
    <v>9</v>
    <v>Accor SA (XPAR:AC)</v>
    <v>3</v>
    <v>10</v>
    <v>Finance</v>
    <v>11</v>
    <v>XPAR</v>
    <v>244966900</v>
    <v>1983</v>
    <v>41.46</v>
    <v>1.3013999999999999</v>
    <v>-0.05</v>
    <v>-1.209E-3</v>
    <v>10114680000</v>
    <v>41.34</v>
    <v>Accor SA es un grupo hotelero con sede en Francia. Opera a través de dos divisiones: Servicios hoteleros-operación de hoteles bajo contratos de gestión, Servicios hoteleros cubre las actividades de gestión hotelera y franquicia prestando diversos servicios a sus franquiciados y hoteles bajo gestión, tales como el uso de sus marcas, el acceso al sistema centralizado de reservas y compras y a Accor Academie para la formación de empleados, entre otros. la gestión de hoteles propios y alquilados incluye actividades de arrendamiento hotelero, tales como diseño, construcción, remodelación y mantenimiento de hoteles, entre otros. La Compañía también ofrece soluciones digitales a hoteles independientes y propietarios de restaurantes, servicios de reserva de hoteles para empresas y agencias de viajes, servicios de conserjería, ventas digitales de habitaciones y descansos de hotel de lujo y de lujo y alquiler de casas de lujo que poseen una cartera de aproximadamente 5.000 direcciones en todo el mundo. Opera globalmente y posee más de 35 marcas.</v>
    <v>368560</v>
    <v>XPAR</v>
    <v>45919.666666666664</v>
    <v>Euronext Paris</v>
    <v>9</v>
    <v>42.18</v>
    <v>51.1</v>
    <v>41.29</v>
    <v>34.619999999999997</v>
    <v>EUR</v>
    <v>Accor SA</v>
    <v>Accor SA</v>
    <v>18.435600000000001</v>
    <v>41.29</v>
    <v>Hotels &amp; Entertainment Services</v>
    <v>82 rue de Henri Farman, ISSY-LES-MOULINEAUX, ILE-DE-FRANCE, 92130 FR</v>
    <v>AC</v>
    <v>Acciones</v>
    <v>Accor SA (XPAR:AC)</v>
    <v>1268279</v>
    <v>727940</v>
  </rv>
  <rv s="2">
    <v>10</v>
  </rv>
  <rv s="0">
    <v>https://www.bing.com/financeapi/forcetrigger?t=a1uepr&amp;q=XNYS%3aH&amp;form=skydnc</v>
    <v>Learn more on Bing</v>
  </rv>
  <rv s="1">
    <v>es-ES</v>
    <v>a1uepr</v>
    <v>268435456</v>
    <v>1</v>
    <v>Con tecnología de Refinitiv</v>
    <v>0</v>
    <v>1</v>
    <v>Hyatt Hotels (XNYS:H)</v>
    <v>3</v>
    <v>6</v>
    <v>Finance</v>
    <v>7</v>
    <v>XNYS</v>
    <v>95484990</v>
    <v>2004</v>
    <v>142.80000000000001</v>
    <v>1.4180999999999999</v>
    <v>0.28000000000000003</v>
    <v>-1.2303999999999999E-2</v>
    <v>1.9610000000000001E-3</v>
    <v>-1.76</v>
    <v>13658170000</v>
    <v>142.76</v>
    <v xml:space="preserve">Hyatt Hotels Corporation is a global hospitality company. Its portfolio of properties consists of full-service hotels and resorts, select service hotels, all-inclusive resorts, and other properties. Its offering includes brands in the Luxury Portfolio, including Park Hyatt, Alila, Miraval, Impression by Secrets, and The Unbound Collection by Hyatt; the Lifestyle Portfolio, including Andaz, Thompson Hotels, The Standard, Dream Hotels, The StandardX, Breathless Resorts &amp; Spas, JdV by Hyatt, Bunkhouse Hotels, and Me and All Hotels; the Inclusive Collection, including Zoetry Wellness &amp; Spa Resorts, Hyatt Ziva, Hyatt Zilara, Secrets Resorts &amp; Spas, Dreams Resorts &amp; Spas, Hyatt Vivid Hotels &amp; Resorts, Sunscape Resorts &amp; Spas, Alua Hotels &amp; Resorts, and Bahia Principe Hotels &amp; Resorts; the Classics Portfolio, including Grand Hyatt, Hyatt Regency, Destination by Hyatt, Hyatt Centric, Hyatt Vacation Club, and Hyatt; and the Essentials Portfolio, including Caption by Hyatt, UrCove, and others. </v>
    <v>52000</v>
    <v>XNYS</v>
    <v>45919.958333356248</v>
    <v>New York Stock Exchange</v>
    <v>12</v>
    <v>144.12</v>
    <v>168.2</v>
    <v>141.72499999999999</v>
    <v>102.425</v>
    <v>USD</v>
    <v>Hyatt Hotels</v>
    <v>Hyatt Hotels</v>
    <v>33.9251</v>
    <v>143.04</v>
    <v>141.28</v>
    <v>Hotels &amp; Entertainment Services</v>
    <v>8th Floor, 150 North Riverside Plaza, CHICAGO, IL, 60606 US</v>
    <v>H</v>
    <v>Acciones</v>
    <v>Hyatt Hotels (XNYS:H)</v>
    <v>766084</v>
    <v>829621</v>
  </rv>
  <rv s="2">
    <v>13</v>
  </rv>
  <rv s="0">
    <v>https://www.bing.com/financeapi/forcetrigger?t=a1uqpr&amp;q=XNYS%3aHLT&amp;form=skydnc</v>
    <v>Learn more on Bing</v>
  </rv>
  <rv s="1">
    <v>es-ES</v>
    <v>a1uqpr</v>
    <v>268435456</v>
    <v>1</v>
    <v>Con tecnología de Refinitiv</v>
    <v>0</v>
    <v>1</v>
    <v>HILTON WORLDWIDE HOLDINGS INC. (XNYS:HLT)</v>
    <v>3</v>
    <v>6</v>
    <v>Finance</v>
    <v>7</v>
    <v>XNYS</v>
    <v>235193800</v>
    <v>2010</v>
    <v>267.81</v>
    <v>1.1984999999999999</v>
    <v>2.31</v>
    <v>-3.4989999999999999E-3</v>
    <v>8.6739999999999994E-3</v>
    <v>-0.94</v>
    <v>63175390000</v>
    <v>266.3</v>
    <v>Hilton Worldwide Holdings Inc. Es una compañía global de hospitalidad que se dedica a la gestión, franquicia, propiedad y arrendamiento de hoteles y resorts, y licenciación de su propiedad intelectual, incluyendo marcas comerciales, marcas comerciales y marcas de servicio. Cuenta con una cartera de más de 24 marcas que comprende más de 8.400 propiedades y más de 1,25 millones de habitaciones en 140 países y territorios. Tiene dos segmentos: Gestión y franquicia y propiedad. El segmento de gestión y franquicia incluye todos los hoteles que gestiona para terceros propietarios, así como todos los hoteles franquiciados que licencian su propiedad intelectual (IP), y/o utilizan sus canales de reserva y programas relacionados, y donde presta otros servicios contratados a terceros propietarios. El segmento de propiedad incluye la venta nocturna de habitaciones de hotel, la venta de alimentos y bebidas y otros servicios en sus hoteles consolidados propiedad y arrendados. Sus marcas incluyen Waldorf Astoria Hotels &amp; Resorts, LXR Hotels &amp; Resorts, Conrad Hotels &amp; Resorts y otros.</v>
    <v>181000</v>
    <v>XNYS</v>
    <v>45919.958333367969</v>
    <v>New York Stock Exchange</v>
    <v>15</v>
    <v>269.565</v>
    <v>279.80500000000001</v>
    <v>266</v>
    <v>196.04</v>
    <v>USD</v>
    <v>HILTON WORLDWIDE HOLDINGS INC.</v>
    <v>HILTON WORLDWIDE HOLDINGS INC.</v>
    <v>41.950600000000001</v>
    <v>268.61</v>
    <v>267.67</v>
    <v>Hotels &amp; Entertainment Services</v>
    <v>7930 Jones Branch Dr Ste 1100, MCLEAN, VA, 22102 US</v>
    <v>HLT</v>
    <v>Acciones</v>
    <v>HILTON WORLDWIDE HOLDINGS INC. (XNYS:HLT)</v>
    <v>3686524</v>
    <v>1421128</v>
  </rv>
  <rv s="2">
    <v>16</v>
  </rv>
  <rv s="0">
    <v>https://www.bing.com/financeapi/forcetrigger?t=b16nk2&amp;q=XNYS%3aWH&amp;form=skydnc</v>
    <v>Learn more on Bing</v>
  </rv>
  <rv s="1">
    <v>es-ES</v>
    <v>b16nk2</v>
    <v>268435456</v>
    <v>1</v>
    <v>Con tecnología de Refinitiv</v>
    <v>0</v>
    <v>1</v>
    <v>Wyndham Hotels (XNYS:WH)</v>
    <v>3</v>
    <v>6</v>
    <v>Finance</v>
    <v>7</v>
    <v>XNYS</v>
    <v>76356250</v>
    <v>2017</v>
    <v>83.39</v>
    <v>0.9355</v>
    <v>0.06</v>
    <v>0</v>
    <v>7.222000000000001E-4</v>
    <v>0</v>
    <v>6348258000</v>
    <v>83.08</v>
    <v>Wyndham Hotels &amp; Resorts, Inc. is a hotel franchising company. The Company operates through one segment: Hotel Franchising. The Hotel Franchising segment consists of licensing its lodging brands and providing related services to third-party hotel owners and others. The Company operates approximately 9,300 hotels across over 95 countries on six continents. Through its network of approximately 903,000 rooms appealing to the everyday traveler. The Company operates a portfolio of 25 hotel brands, including Super 8, Days Inn, Ramada, Microtel, La Quinta, Baymont, Wingate, AmericInn, ECHO Suites, Registry Collection Hotels, Trademark Collection, and Wyndham.</v>
    <v>2200</v>
    <v>XNYS</v>
    <v>45919.958333344533</v>
    <v>New York Stock Exchange</v>
    <v>18</v>
    <v>83.42</v>
    <v>113.07</v>
    <v>82.05</v>
    <v>76.650000000000006</v>
    <v>USD</v>
    <v>Wyndham Hotels</v>
    <v>Wyndham Hotels</v>
    <v>19.7529</v>
    <v>83.14</v>
    <v>83.14</v>
    <v>Hotels &amp; Entertainment Services</v>
    <v>22 Sylvan Way, PARSIPPANY, NJ, 07054-3801 US</v>
    <v>WH</v>
    <v>Acciones</v>
    <v>Wyndham Hotels (XNYS:WH)</v>
    <v>1451337</v>
    <v>809074</v>
  </rv>
  <rv s="2">
    <v>19</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rvStructures>
</file>

<file path=xl/richData/rdsupportingpropertybag.xml><?xml version="1.0" encoding="utf-8"?>
<supportingPropertyBags xmlns="http://schemas.microsoft.com/office/spreadsheetml/2017/richdata2">
  <spbArrays count="2">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spbArrays>
  <spbData count="12">
    <spb s="0">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0</v>
      <v>Name</v>
      <v>LearnMoreOnLink</v>
    </spb>
    <spb s="2">
      <v>0</v>
      <v>0</v>
      <v>0</v>
    </spb>
    <spb s="3">
      <v>2</v>
      <v>2</v>
      <v>2</v>
      <v>2</v>
    </spb>
    <spb s="4">
      <v>1</v>
      <v>1</v>
      <v>2</v>
      <v>2</v>
      <v>2</v>
      <v>3</v>
      <v>2</v>
      <v>4</v>
      <v>2</v>
      <v>4</v>
      <v>5</v>
      <v>2</v>
      <v>4</v>
      <v>6</v>
      <v>7</v>
      <v>2</v>
      <v>2</v>
      <v>4</v>
      <v>2</v>
      <v>8</v>
      <v>2</v>
      <v>5</v>
      <v>9</v>
    </spb>
    <spb s="5">
      <v xml:space="preserve">desde el cierre anterior </v>
      <v xml:space="preserve">al cierre </v>
      <v xml:space="preserve">desde el cierre anterior </v>
      <v xml:space="preserve">desde el cierre </v>
      <v>Retrasado 15 minutos</v>
      <v xml:space="preserve">desde el cierre </v>
      <v>GMT</v>
    </spb>
    <spb s="4">
      <v>1</v>
      <v>1</v>
      <v>10</v>
      <v>10</v>
      <v>10</v>
      <v>3</v>
      <v>10</v>
      <v>4</v>
      <v>10</v>
      <v>4</v>
      <v>5</v>
      <v>10</v>
      <v>4</v>
      <v>6</v>
      <v>7</v>
      <v>10</v>
      <v>10</v>
      <v>4</v>
      <v>10</v>
      <v>11</v>
      <v>10</v>
      <v>5</v>
      <v>9</v>
    </spb>
    <spb s="6">
      <v xml:space="preserve">desde el cierre anterior </v>
      <v xml:space="preserve">al cierre </v>
      <v xml:space="preserve">desde el cierre anterior </v>
      <v>Origen: Nasdaq</v>
      <v xml:space="preserve">desde el cierre </v>
      <v>Retrasado 15 minutos</v>
      <v xml:space="preserve">desde el cierre </v>
      <v>GMT</v>
    </spb>
    <spb s="7">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1</v>
      <v>Name</v>
      <v>LearnMoreOnLink</v>
    </spb>
    <spb s="8">
      <v>1</v>
      <v>1</v>
      <v>2</v>
      <v>2</v>
      <v>2</v>
      <v>3</v>
      <v>2</v>
      <v>4</v>
      <v>2</v>
      <v>4</v>
      <v>5</v>
      <v>2</v>
      <v>4</v>
      <v>6</v>
      <v>7</v>
      <v>2</v>
      <v>2</v>
      <v>4</v>
      <v>8</v>
      <v>9</v>
    </spb>
    <spb s="9">
      <v xml:space="preserve">desde el cierre anterior </v>
      <v>Retrasado 15 minutos</v>
      <v xml:space="preserve">desde el cierre anterior </v>
      <v>GMT</v>
    </spb>
  </spbData>
</supportingPropertyBags>
</file>

<file path=xl/richData/rdsupportingpropertybagstructure.xml><?xml version="1.0" encoding="utf-8"?>
<spbStructures xmlns="http://schemas.microsoft.com/office/spreadsheetml/2017/richdata2" count="10">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Order" t="spba"/>
    <k n="TitleProperty" t="s"/>
    <k n="SubTitleProperty" t="s"/>
  </s>
  <s>
    <k n="ShowInCardView" t="b"/>
    <k n="ShowInDotNotation" t="b"/>
    <k n="ShowInAutoComplete" t="b"/>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Cambio (horario ampliado)" t="s"/>
    <k n="Precio (horario ampliado)" t="s"/>
    <k n="Cambio % (horario ampliado)" t="s"/>
    <k n="Hora de la última operación" t="s"/>
  </s>
  <s>
    <k n="Cambio" t="s"/>
    <k n="Precio" t="s"/>
    <k n="Cambio (%)" t="s"/>
    <k n="ExchangeID" t="s"/>
    <k n="Cambio (horario ampliado)" t="s"/>
    <k n="Precio (horario ampliado)" t="s"/>
    <k n="Cambio % (horario ampliado)" t="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3"/>
    <rSty dxfid="0">
      <rpv i="0">0.00</rpv>
    </rSty>
    <rSty dxfid="6">
      <rpv i="0">0</rpv>
    </rSty>
    <rSty dxfid="1">
      <rpv i="0">_([$€-x-euro2] * #,##0_);_([$€-x-euro2] * (#,##0);_([$€-x-euro2] * "-"_);_(@_)</rpv>
    </rSty>
    <rSty dxfid="2"/>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03" dT="2025-06-27T16:40:29.55" personId="{5D58A4EB-7674-4491-8FCC-A5717ED131F2}" id="{8B5C16C9-992D-4B9F-90E3-73C267EF1B05}">
    <text>Suponemos que abrimos 20 hoteles por año.</text>
  </threadedComment>
</ThreadedComments>
</file>

<file path=xl/threadedComments/threadedComment2.xml><?xml version="1.0" encoding="utf-8"?>
<ThreadedComments xmlns="http://schemas.microsoft.com/office/spreadsheetml/2018/threadedcomments" xmlns:x="http://schemas.openxmlformats.org/spreadsheetml/2006/main">
  <threadedComment ref="B18" dT="2025-09-02T17:16:20.20" personId="{28A81DCB-FE3B-4094-B901-08077C398EA4}" id="{EDCBD708-994D-4D06-9AD6-C2039B8391C9}">
    <text>Duda aquí, al ser una empresa hotelera, como se cuales son los aprovisionamientos?</text>
  </threadedComment>
</ThreadedComments>
</file>

<file path=xl/threadedComments/threadedComment3.xml><?xml version="1.0" encoding="utf-8"?>
<ThreadedComments xmlns="http://schemas.microsoft.com/office/spreadsheetml/2018/threadedcomments" xmlns:x="http://schemas.openxmlformats.org/spreadsheetml/2006/main">
  <threadedComment ref="J9" dT="2025-08-31T11:50:03.69" personId="{28A81DCB-FE3B-4094-B901-08077C398EA4}" id="{7C60A446-072F-4758-B414-A10D4251E391}">
    <text>No tengo una partida en CFS que indique la inversión en Right of Use por lo que no sumo nada de inversión y de ahí que disminuya mi partida, pero esto no tiene sentido.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D8491-B9E7-411C-9073-9331DB7BFF4C}">
  <dimension ref="B2:S20"/>
  <sheetViews>
    <sheetView showGridLines="0" zoomScaleNormal="100" workbookViewId="0">
      <selection activeCell="L36" sqref="L36"/>
    </sheetView>
  </sheetViews>
  <sheetFormatPr defaultRowHeight="14.5" x14ac:dyDescent="0.35"/>
  <cols>
    <col min="1" max="1" width="4.26953125" customWidth="1"/>
    <col min="2" max="2" width="10.26953125" customWidth="1"/>
    <col min="4" max="4" width="13.36328125" customWidth="1"/>
    <col min="5" max="5" width="2.54296875" customWidth="1"/>
    <col min="6" max="6" width="12.453125" customWidth="1"/>
    <col min="7" max="7" width="11.81640625" customWidth="1"/>
    <col min="8" max="8" width="2.08984375" customWidth="1"/>
    <col min="9" max="9" width="13.81640625" customWidth="1"/>
    <col min="11" max="11" width="2.08984375" customWidth="1"/>
    <col min="12" max="12" width="21.36328125" customWidth="1"/>
    <col min="13" max="13" width="10.90625" customWidth="1"/>
    <col min="14" max="14" width="2.08984375" customWidth="1"/>
    <col min="15" max="15" width="10.81640625" customWidth="1"/>
    <col min="16" max="16" width="2.08984375" customWidth="1"/>
  </cols>
  <sheetData>
    <row r="2" spans="2:19" ht="17" customHeight="1" x14ac:dyDescent="0.35">
      <c r="R2" s="73">
        <v>2</v>
      </c>
    </row>
    <row r="3" spans="2:19" ht="17" customHeight="1" x14ac:dyDescent="0.35">
      <c r="F3" s="218" t="s">
        <v>274</v>
      </c>
      <c r="G3" s="220">
        <f ca="1">+'Income Statement'!J8</f>
        <v>2088717</v>
      </c>
      <c r="I3" s="218" t="s">
        <v>273</v>
      </c>
      <c r="J3" s="220">
        <f ca="1">+'Income Statement'!J32</f>
        <v>211437.78713935078</v>
      </c>
      <c r="L3" s="218" t="s">
        <v>233</v>
      </c>
      <c r="M3" s="220">
        <f ca="1">+DCF!C13</f>
        <v>364863.2081377203</v>
      </c>
      <c r="S3" s="217" t="str">
        <f>+IF(R2=1,"Best Case",IF(R2=2,"Base Case","Worst Case"))</f>
        <v>Base Case</v>
      </c>
    </row>
    <row r="4" spans="2:19" ht="17" customHeight="1" x14ac:dyDescent="0.35"/>
    <row r="5" spans="2:19" ht="15" customHeight="1" x14ac:dyDescent="0.35">
      <c r="O5" s="215"/>
    </row>
    <row r="7" spans="2:19" x14ac:dyDescent="0.35">
      <c r="B7" s="216" t="s">
        <v>286</v>
      </c>
      <c r="F7" s="216" t="s">
        <v>279</v>
      </c>
      <c r="I7" s="216"/>
      <c r="O7" s="216" t="s">
        <v>296</v>
      </c>
    </row>
    <row r="20" spans="2:15" x14ac:dyDescent="0.35">
      <c r="B20" s="216" t="s">
        <v>278</v>
      </c>
      <c r="I20" s="216" t="s">
        <v>301</v>
      </c>
      <c r="O20" s="216" t="s">
        <v>293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Drop Down 2">
              <controlPr defaultSize="0" autoLine="0" autoPict="0">
                <anchor moveWithCells="1">
                  <from>
                    <xdr:col>16</xdr:col>
                    <xdr:colOff>368300</xdr:colOff>
                    <xdr:row>1</xdr:row>
                    <xdr:rowOff>203200</xdr:rowOff>
                  </from>
                  <to>
                    <xdr:col>17</xdr:col>
                    <xdr:colOff>539750</xdr:colOff>
                    <xdr:row>3</xdr:row>
                    <xdr:rowOff>12700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A501-D9AD-43C1-B17E-947AF7190C2B}">
  <dimension ref="B1:I24"/>
  <sheetViews>
    <sheetView showGridLines="0" workbookViewId="0">
      <selection activeCell="H18" sqref="H18"/>
    </sheetView>
  </sheetViews>
  <sheetFormatPr defaultRowHeight="14.5" x14ac:dyDescent="0.35"/>
  <cols>
    <col min="1" max="1" width="2.7265625" customWidth="1"/>
    <col min="2" max="2" width="18.81640625" bestFit="1" customWidth="1"/>
    <col min="3" max="3" width="46.453125" bestFit="1" customWidth="1"/>
    <col min="4" max="4" width="10.26953125" bestFit="1" customWidth="1"/>
    <col min="6" max="7" width="16.1796875" bestFit="1" customWidth="1"/>
    <col min="8" max="8" width="9" customWidth="1"/>
    <col min="9" max="9" width="8.90625" customWidth="1"/>
  </cols>
  <sheetData>
    <row r="1" spans="2:7" s="78" customFormat="1" x14ac:dyDescent="0.35"/>
    <row r="2" spans="2:7" s="78" customFormat="1" ht="34.5" x14ac:dyDescent="0.8">
      <c r="B2" s="79" t="s">
        <v>177</v>
      </c>
    </row>
    <row r="3" spans="2:7" s="78" customFormat="1" x14ac:dyDescent="0.35"/>
    <row r="5" spans="2:7" x14ac:dyDescent="0.35">
      <c r="B5" s="82" t="s">
        <v>189</v>
      </c>
      <c r="C5" s="81"/>
    </row>
    <row r="6" spans="2:7" x14ac:dyDescent="0.35">
      <c r="B6" t="s">
        <v>178</v>
      </c>
      <c r="C6" t="s">
        <v>179</v>
      </c>
    </row>
    <row r="7" spans="2:7" x14ac:dyDescent="0.35">
      <c r="B7" t="s">
        <v>180</v>
      </c>
      <c r="C7" s="80">
        <v>45900</v>
      </c>
    </row>
    <row r="8" spans="2:7" x14ac:dyDescent="0.35">
      <c r="B8" t="s">
        <v>181</v>
      </c>
      <c r="C8" t="e" vm="1">
        <v>#VALUE!</v>
      </c>
      <c r="D8" s="46"/>
      <c r="E8" s="49"/>
    </row>
    <row r="9" spans="2:7" x14ac:dyDescent="0.35">
      <c r="B9" t="s">
        <v>182</v>
      </c>
      <c r="C9" t="s">
        <v>187</v>
      </c>
    </row>
    <row r="10" spans="2:7" x14ac:dyDescent="0.35">
      <c r="B10" t="s">
        <v>183</v>
      </c>
      <c r="C10" t="s">
        <v>186</v>
      </c>
    </row>
    <row r="11" spans="2:7" x14ac:dyDescent="0.35">
      <c r="B11" t="s">
        <v>184</v>
      </c>
      <c r="C11" t="s">
        <v>185</v>
      </c>
    </row>
    <row r="12" spans="2:7" x14ac:dyDescent="0.35">
      <c r="B12" t="s">
        <v>188</v>
      </c>
      <c r="C12" s="35">
        <v>220400</v>
      </c>
    </row>
    <row r="14" spans="2:7" x14ac:dyDescent="0.35">
      <c r="B14" s="82" t="s">
        <v>178</v>
      </c>
      <c r="C14" s="82" t="s">
        <v>194</v>
      </c>
      <c r="D14" s="82" t="s">
        <v>181</v>
      </c>
      <c r="E14" s="82" t="s">
        <v>196</v>
      </c>
      <c r="F14" s="82" t="s">
        <v>195</v>
      </c>
      <c r="G14" s="82" t="s">
        <v>244</v>
      </c>
    </row>
    <row r="15" spans="2:7" x14ac:dyDescent="0.35">
      <c r="B15" t="s">
        <v>260</v>
      </c>
      <c r="C15" t="e" vm="1">
        <v>#VALUE!</v>
      </c>
      <c r="D15" t="str" cm="1">
        <f t="array" aca="1" ref="D15" ca="1">_FV(C15,"Símbolo bursátil",TRUE)</f>
        <v>MEL</v>
      </c>
      <c r="E15" s="86" cm="1">
        <f t="array" aca="1" ref="E15" ca="1">_FV(C15,"Apertura")</f>
        <v>7.58</v>
      </c>
      <c r="F15" s="48" cm="1">
        <f t="array" aca="1" ref="F15" ca="1">_FV(C15,"Beta")</f>
        <v>1.8652</v>
      </c>
      <c r="G15" s="173" cm="1">
        <f t="array" aca="1" ref="G15" ca="1">_FV(C15,"Capitalización de mercado",TRUE)</f>
        <v>1666224000</v>
      </c>
    </row>
    <row r="16" spans="2:7" x14ac:dyDescent="0.35">
      <c r="C16" s="80"/>
    </row>
    <row r="17" spans="2:9" x14ac:dyDescent="0.35">
      <c r="B17" s="82" t="s">
        <v>178</v>
      </c>
      <c r="C17" s="82" t="s">
        <v>253</v>
      </c>
      <c r="D17" s="82" t="s">
        <v>181</v>
      </c>
      <c r="E17" s="82" t="s">
        <v>196</v>
      </c>
      <c r="F17" s="82" t="s">
        <v>195</v>
      </c>
      <c r="G17" s="82" t="s">
        <v>244</v>
      </c>
      <c r="H17" s="82" t="s">
        <v>261</v>
      </c>
      <c r="I17" s="82" t="s">
        <v>262</v>
      </c>
    </row>
    <row r="18" spans="2:9" x14ac:dyDescent="0.35">
      <c r="B18" t="s">
        <v>254</v>
      </c>
      <c r="C18" t="e" vm="2">
        <v>#VALUE!</v>
      </c>
      <c r="D18" t="str" cm="1">
        <f t="array" aca="1" ref="D18" ca="1">_FV(C18,"Símbolo bursátil",TRUE)</f>
        <v>IHG</v>
      </c>
      <c r="E18" s="204" cm="1">
        <f t="array" aca="1" ref="E18" ca="1">_FV(C18,"Apertura")</f>
        <v>119.21</v>
      </c>
      <c r="F18" s="48" cm="1">
        <f t="array" aca="1" ref="F18" ca="1">_FV(C18,"Beta")</f>
        <v>1.2498</v>
      </c>
      <c r="G18" s="204" cm="1">
        <f t="array" aca="1" ref="G18" ca="1">_FV(C18,"Capitalización de mercado",TRUE)</f>
        <v>18188130000</v>
      </c>
    </row>
    <row r="19" spans="2:9" x14ac:dyDescent="0.35">
      <c r="B19" t="s">
        <v>255</v>
      </c>
      <c r="C19" t="e" vm="3">
        <v>#VALUE!</v>
      </c>
      <c r="D19" t="str" cm="1">
        <f t="array" aca="1" ref="D19" ca="1">_FV(C19,"Símbolo bursátil",TRUE)</f>
        <v>MAR</v>
      </c>
      <c r="E19" s="205" cm="1">
        <f t="array" aca="1" ref="E19" ca="1">_FV(C19,"Apertura")</f>
        <v>265.40499999999997</v>
      </c>
      <c r="F19" s="48" cm="1">
        <f t="array" aca="1" ref="F19" ca="1">_FV(C19,"Beta")</f>
        <v>1.3545</v>
      </c>
      <c r="G19" s="204" cm="1">
        <f t="array" aca="1" ref="G19" ca="1">_FV(C19,"Capitalización de mercado",TRUE)</f>
        <v>72891860000</v>
      </c>
    </row>
    <row r="20" spans="2:9" x14ac:dyDescent="0.35">
      <c r="B20" t="s">
        <v>256</v>
      </c>
      <c r="C20" t="e" vm="4">
        <v>#VALUE!</v>
      </c>
      <c r="D20" t="str" cm="1">
        <f t="array" aca="1" ref="D20" ca="1">_FV(C20,"Símbolo bursátil",TRUE)</f>
        <v>AC</v>
      </c>
      <c r="E20" s="86" cm="1">
        <f t="array" aca="1" ref="E20" ca="1">_FV(C20,"Apertura")</f>
        <v>41.46</v>
      </c>
      <c r="F20" s="48" cm="1">
        <f t="array" aca="1" ref="F20" ca="1">_FV(C20,"Beta")</f>
        <v>1.3013999999999999</v>
      </c>
      <c r="G20" s="173" cm="1">
        <f t="array" aca="1" ref="G20" ca="1">_FV(C20,"Capitalización de mercado",TRUE)</f>
        <v>10114680000</v>
      </c>
    </row>
    <row r="21" spans="2:9" x14ac:dyDescent="0.35">
      <c r="B21" t="s">
        <v>257</v>
      </c>
      <c r="C21" t="e" vm="5">
        <v>#VALUE!</v>
      </c>
      <c r="D21" t="str" cm="1">
        <f t="array" aca="1" ref="D21" ca="1">_FV(C21,"Símbolo bursátil",TRUE)</f>
        <v>H</v>
      </c>
      <c r="E21" s="205" cm="1">
        <f t="array" aca="1" ref="E21" ca="1">_FV(C21,"Apertura")</f>
        <v>142.80000000000001</v>
      </c>
      <c r="F21" s="48" cm="1">
        <f t="array" aca="1" ref="F21" ca="1">_FV(C21,"Beta")</f>
        <v>1.4180999999999999</v>
      </c>
      <c r="G21" s="204" cm="1">
        <f t="array" aca="1" ref="G21" ca="1">_FV(C21,"Capitalización de mercado",TRUE)</f>
        <v>13658170000</v>
      </c>
    </row>
    <row r="22" spans="2:9" x14ac:dyDescent="0.35">
      <c r="B22" t="s">
        <v>258</v>
      </c>
      <c r="C22" t="e" vm="6">
        <v>#VALUE!</v>
      </c>
      <c r="D22" t="str" cm="1">
        <f t="array" aca="1" ref="D22" ca="1">_FV(C22,"Símbolo bursátil",TRUE)</f>
        <v>HLT</v>
      </c>
      <c r="E22" s="205" cm="1">
        <f t="array" aca="1" ref="E22" ca="1">_FV(C22,"Apertura")</f>
        <v>267.81</v>
      </c>
      <c r="F22" s="48" cm="1">
        <f t="array" aca="1" ref="F22" ca="1">_FV(C22,"Beta")</f>
        <v>1.1984999999999999</v>
      </c>
      <c r="G22" s="204" cm="1">
        <f t="array" aca="1" ref="G22" ca="1">_FV(C22,"Capitalización de mercado",TRUE)</f>
        <v>63175390000</v>
      </c>
    </row>
    <row r="23" spans="2:9" x14ac:dyDescent="0.35">
      <c r="B23" t="s">
        <v>259</v>
      </c>
      <c r="C23" t="e" vm="7">
        <v>#VALUE!</v>
      </c>
      <c r="D23" t="str" cm="1">
        <f t="array" aca="1" ref="D23" ca="1">_FV(C23,"Símbolo bursátil",TRUE)</f>
        <v>WH</v>
      </c>
      <c r="E23" s="205" cm="1">
        <f t="array" aca="1" ref="E23" ca="1">_FV(C23,"Apertura")</f>
        <v>83.39</v>
      </c>
      <c r="F23" s="48" cm="1">
        <f t="array" aca="1" ref="F23" ca="1">_FV(C23,"Beta")</f>
        <v>0.9355</v>
      </c>
      <c r="G23" s="204" cm="1">
        <f t="array" aca="1" ref="G23" ca="1">_FV(C23,"Capitalización de mercado",TRUE)</f>
        <v>6348258000</v>
      </c>
    </row>
    <row r="24" spans="2:9" x14ac:dyDescent="0.35">
      <c r="B24" t="s">
        <v>260</v>
      </c>
      <c r="C24" t="e" vm="1">
        <v>#VALUE!</v>
      </c>
      <c r="D24" t="str" cm="1">
        <f t="array" aca="1" ref="D24" ca="1">_FV(C24,"Símbolo bursátil",TRUE)</f>
        <v>MEL</v>
      </c>
      <c r="E24" s="86" cm="1">
        <f t="array" aca="1" ref="E24" ca="1">_FV(C24,"Apertura")</f>
        <v>7.58</v>
      </c>
      <c r="F24" s="48" cm="1">
        <f t="array" aca="1" ref="F24" ca="1">_FV(C24,"Beta")</f>
        <v>1.8652</v>
      </c>
      <c r="G24" s="173" cm="1">
        <f t="array" aca="1" ref="G24" ca="1">_FV(C24,"Capitalización de mercado",TRUE)</f>
        <v>1666224000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DD4D-BD37-437B-876D-F5EF9D9B332C}">
  <sheetPr>
    <tabColor theme="3" tint="0.89999084444715716"/>
  </sheetPr>
  <dimension ref="B1:S141"/>
  <sheetViews>
    <sheetView showGridLines="0" zoomScaleNormal="100" workbookViewId="0">
      <selection activeCell="J15" sqref="J15"/>
    </sheetView>
  </sheetViews>
  <sheetFormatPr defaultRowHeight="14.5" x14ac:dyDescent="0.35"/>
  <cols>
    <col min="1" max="1" width="2.08984375" customWidth="1"/>
    <col min="2" max="2" width="37.81640625" customWidth="1"/>
    <col min="3" max="13" width="12.90625" bestFit="1" customWidth="1"/>
    <col min="14" max="14" width="4.90625" bestFit="1" customWidth="1"/>
    <col min="17" max="17" width="2.08984375" customWidth="1"/>
    <col min="19" max="19" width="11.81640625" customWidth="1"/>
  </cols>
  <sheetData>
    <row r="1" spans="2:19" s="90" customFormat="1" ht="20.5" customHeight="1" x14ac:dyDescent="0.35"/>
    <row r="2" spans="2:19" s="90" customFormat="1" ht="38.5" customHeight="1" x14ac:dyDescent="1.1000000000000001">
      <c r="B2" s="110" t="s">
        <v>208</v>
      </c>
    </row>
    <row r="3" spans="2:19" s="90" customFormat="1" ht="19" customHeight="1" x14ac:dyDescent="0.35"/>
    <row r="4" spans="2:19" x14ac:dyDescent="0.35">
      <c r="D4" s="73">
        <v>1</v>
      </c>
    </row>
    <row r="5" spans="2:19" x14ac:dyDescent="0.35">
      <c r="D5" s="73">
        <v>2</v>
      </c>
      <c r="J5" s="73">
        <v>2</v>
      </c>
    </row>
    <row r="6" spans="2:19" x14ac:dyDescent="0.35">
      <c r="D6" s="73">
        <v>3</v>
      </c>
      <c r="H6" s="26"/>
      <c r="I6" s="26"/>
      <c r="J6" s="26"/>
    </row>
    <row r="8" spans="2:19" x14ac:dyDescent="0.35">
      <c r="B8" s="19" t="s">
        <v>207</v>
      </c>
      <c r="C8" s="20">
        <v>2018</v>
      </c>
      <c r="D8" s="20">
        <v>2019</v>
      </c>
      <c r="E8" s="20">
        <v>2020</v>
      </c>
      <c r="F8" s="20">
        <v>2021</v>
      </c>
      <c r="G8" s="20">
        <v>2022</v>
      </c>
      <c r="H8" s="20">
        <v>2023</v>
      </c>
      <c r="I8" s="20">
        <v>2024</v>
      </c>
      <c r="J8" s="23" t="s">
        <v>114</v>
      </c>
      <c r="K8" s="23" t="s">
        <v>115</v>
      </c>
      <c r="L8" s="23" t="s">
        <v>116</v>
      </c>
      <c r="M8" s="23" t="s">
        <v>117</v>
      </c>
      <c r="O8" s="36" t="s">
        <v>139</v>
      </c>
      <c r="P8" s="36"/>
      <c r="R8" s="36" t="s">
        <v>140</v>
      </c>
      <c r="S8" s="36"/>
    </row>
    <row r="9" spans="2:19" x14ac:dyDescent="0.35">
      <c r="B9" t="s">
        <v>48</v>
      </c>
      <c r="C9" s="7">
        <v>1819505</v>
      </c>
      <c r="D9" s="7">
        <v>1789538</v>
      </c>
      <c r="E9" s="7">
        <v>528398</v>
      </c>
      <c r="F9" s="7">
        <v>827208</v>
      </c>
      <c r="G9" s="7">
        <v>1679774</v>
      </c>
      <c r="H9" s="7">
        <v>1928801</v>
      </c>
      <c r="I9" s="7">
        <v>2012786</v>
      </c>
      <c r="J9" s="1">
        <f ca="1">+J13+J18+J23+J28+J33+J38+J43+J48+J53+J58</f>
        <v>2045221</v>
      </c>
      <c r="K9" s="1">
        <f ca="1">+K13+K18+K23+K28+K33+K38+K43+K48+K53+K58</f>
        <v>2146502.7300000004</v>
      </c>
      <c r="L9" s="1">
        <f ca="1">+L13+L18+L23+L28+L33+L38+L43+L48+L53+L58</f>
        <v>2254031.8863000004</v>
      </c>
      <c r="M9" s="1">
        <f ca="1">+M13+M18+M23+M28+M33+M38+M43+M48+M53+M58</f>
        <v>2367464.2766250004</v>
      </c>
    </row>
    <row r="10" spans="2:19" x14ac:dyDescent="0.35">
      <c r="B10" t="s">
        <v>49</v>
      </c>
      <c r="C10" s="7">
        <v>11810</v>
      </c>
      <c r="D10" s="7">
        <v>11211</v>
      </c>
      <c r="E10" s="7"/>
      <c r="F10" s="7">
        <v>75226</v>
      </c>
      <c r="G10" s="7">
        <v>12239</v>
      </c>
      <c r="H10" s="7">
        <v>3395</v>
      </c>
      <c r="I10" s="7">
        <v>43496</v>
      </c>
      <c r="J10" s="7">
        <v>43496</v>
      </c>
      <c r="K10" s="7">
        <v>43496</v>
      </c>
      <c r="L10" s="7">
        <v>43496</v>
      </c>
      <c r="M10" s="7">
        <v>43496</v>
      </c>
    </row>
    <row r="11" spans="2:19" x14ac:dyDescent="0.35">
      <c r="B11" s="92" t="s">
        <v>175</v>
      </c>
      <c r="C11" s="93">
        <v>0</v>
      </c>
      <c r="D11" s="94">
        <f>+(D9/C9)-1</f>
        <v>-1.6469864056432915E-2</v>
      </c>
      <c r="E11" s="94">
        <f t="shared" ref="E11:I11" si="0">+(E9/D9)-1</f>
        <v>-0.70472937707944738</v>
      </c>
      <c r="F11" s="94">
        <f t="shared" si="0"/>
        <v>0.56550176192945467</v>
      </c>
      <c r="G11" s="94">
        <f t="shared" si="0"/>
        <v>1.0306549259678341</v>
      </c>
      <c r="H11" s="94">
        <f t="shared" si="0"/>
        <v>0.14825030033802156</v>
      </c>
      <c r="I11" s="94">
        <f t="shared" si="0"/>
        <v>4.354259459633214E-2</v>
      </c>
      <c r="J11" s="94">
        <f ca="1">+(J9/I9)-1</f>
        <v>1.6114480128538222E-2</v>
      </c>
      <c r="K11" s="94">
        <f ca="1">+(K9/J9)-1</f>
        <v>4.9521166661206983E-2</v>
      </c>
      <c r="L11" s="94">
        <f ca="1">+(L9/K9)-1</f>
        <v>5.0095047538094573E-2</v>
      </c>
      <c r="M11" s="94">
        <f ca="1">+(M9/L9)-1</f>
        <v>5.0324217245746095E-2</v>
      </c>
      <c r="O11" s="37">
        <f>+((I9/C9)^(1/6))-1</f>
        <v>1.696824357624771E-2</v>
      </c>
      <c r="P11" s="36"/>
      <c r="R11" s="37">
        <f ca="1">+((M9/I9)^(1/4))-1</f>
        <v>4.1409314815829878E-2</v>
      </c>
      <c r="S11" s="36"/>
    </row>
    <row r="12" spans="2:19" ht="8.5" customHeight="1" x14ac:dyDescent="0.35">
      <c r="C12" s="45"/>
      <c r="D12" s="91"/>
      <c r="E12" s="91"/>
      <c r="F12" s="91"/>
      <c r="G12" s="91"/>
      <c r="H12" s="91"/>
      <c r="I12" s="91"/>
      <c r="J12" s="91"/>
      <c r="K12" s="91"/>
      <c r="L12" s="91"/>
      <c r="M12" s="91"/>
      <c r="O12" s="37"/>
      <c r="P12" s="36"/>
      <c r="R12" s="37"/>
      <c r="S12" s="36"/>
    </row>
    <row r="13" spans="2:19" x14ac:dyDescent="0.35">
      <c r="B13" s="98" t="s">
        <v>123</v>
      </c>
      <c r="C13" s="33">
        <v>770700</v>
      </c>
      <c r="D13" s="33">
        <v>770800</v>
      </c>
      <c r="E13" s="33">
        <v>167600</v>
      </c>
      <c r="F13" s="33">
        <v>303600</v>
      </c>
      <c r="G13" s="33">
        <v>670100</v>
      </c>
      <c r="H13" s="33">
        <v>755500</v>
      </c>
      <c r="I13" s="33">
        <v>772600</v>
      </c>
      <c r="J13" s="106">
        <f ca="1">+I13*(1+J14)</f>
        <v>811230</v>
      </c>
      <c r="K13" s="106">
        <f ca="1">+J13*(1+K14)</f>
        <v>843679.20000000007</v>
      </c>
      <c r="L13" s="106">
        <f ca="1">+K13*(1+L14)</f>
        <v>877426.36800000013</v>
      </c>
      <c r="M13" s="106">
        <f ca="1">+L13*(1+M14)</f>
        <v>912523.42272000015</v>
      </c>
    </row>
    <row r="14" spans="2:19" x14ac:dyDescent="0.35">
      <c r="B14" s="92" t="s">
        <v>175</v>
      </c>
      <c r="C14" s="93"/>
      <c r="D14" s="94">
        <f>+(D13/C13)-1</f>
        <v>1.2975217334898481E-4</v>
      </c>
      <c r="E14" s="94">
        <f t="shared" ref="E14:I14" si="1">+(E13/D13)-1</f>
        <v>-0.78256357031655421</v>
      </c>
      <c r="F14" s="94">
        <f t="shared" si="1"/>
        <v>0.8114558472553699</v>
      </c>
      <c r="G14" s="94">
        <f t="shared" si="1"/>
        <v>1.2071805006587617</v>
      </c>
      <c r="H14" s="94">
        <f t="shared" si="1"/>
        <v>0.12744366512460825</v>
      </c>
      <c r="I14" s="94">
        <f t="shared" si="1"/>
        <v>2.2634017207147528E-2</v>
      </c>
      <c r="J14" s="99">
        <f ca="1">+OFFSET(J14,Dashboard!$R$2,0)</f>
        <v>0.05</v>
      </c>
      <c r="K14" s="99">
        <f ca="1">+OFFSET(K14,$J$5,0)</f>
        <v>0.04</v>
      </c>
      <c r="L14" s="99">
        <f ca="1">+OFFSET(L14,$J$5,0)</f>
        <v>0.04</v>
      </c>
      <c r="M14" s="99">
        <f ca="1">+OFFSET(M14,$J$5,0)</f>
        <v>0.04</v>
      </c>
      <c r="O14" s="57">
        <f>+MEDIAN(D14:I14)</f>
        <v>7.503884116587789E-2</v>
      </c>
      <c r="P14" s="57"/>
    </row>
    <row r="15" spans="2:19" x14ac:dyDescent="0.35">
      <c r="B15" s="95" t="s">
        <v>209</v>
      </c>
      <c r="C15" s="96"/>
      <c r="D15" s="97"/>
      <c r="E15" s="97"/>
      <c r="F15" s="97"/>
      <c r="G15" s="97"/>
      <c r="H15" s="97"/>
      <c r="I15" s="97"/>
      <c r="J15" s="100">
        <v>7.4999999999999997E-2</v>
      </c>
      <c r="K15" s="101">
        <v>7.4999999999999997E-2</v>
      </c>
      <c r="L15" s="101">
        <v>7.4999999999999997E-2</v>
      </c>
      <c r="M15" s="102">
        <v>7.4999999999999997E-2</v>
      </c>
      <c r="O15" s="57"/>
      <c r="S15" s="53"/>
    </row>
    <row r="16" spans="2:19" x14ac:dyDescent="0.35">
      <c r="B16" s="95" t="s">
        <v>210</v>
      </c>
      <c r="C16" s="96"/>
      <c r="D16" s="97"/>
      <c r="E16" s="97"/>
      <c r="F16" s="97"/>
      <c r="G16" s="97"/>
      <c r="H16" s="97"/>
      <c r="I16" s="97"/>
      <c r="J16" s="107">
        <v>0.05</v>
      </c>
      <c r="K16" s="108">
        <v>0.04</v>
      </c>
      <c r="L16" s="108">
        <v>0.04</v>
      </c>
      <c r="M16" s="109">
        <v>0.04</v>
      </c>
      <c r="O16" s="57"/>
    </row>
    <row r="17" spans="2:15" x14ac:dyDescent="0.35">
      <c r="B17" s="95" t="s">
        <v>211</v>
      </c>
      <c r="C17" s="96"/>
      <c r="D17" s="97"/>
      <c r="E17" s="97"/>
      <c r="F17" s="97"/>
      <c r="G17" s="97"/>
      <c r="H17" s="97"/>
      <c r="I17" s="97"/>
      <c r="J17" s="103">
        <v>0</v>
      </c>
      <c r="K17" s="104">
        <v>0</v>
      </c>
      <c r="L17" s="104">
        <v>0</v>
      </c>
      <c r="M17" s="105">
        <v>0</v>
      </c>
      <c r="O17" s="57"/>
    </row>
    <row r="18" spans="2:15" x14ac:dyDescent="0.35">
      <c r="B18" s="98" t="s">
        <v>124</v>
      </c>
      <c r="C18" s="33">
        <v>85600</v>
      </c>
      <c r="D18" s="33">
        <v>73600</v>
      </c>
      <c r="E18" s="33">
        <v>17700</v>
      </c>
      <c r="F18" s="33">
        <v>31100</v>
      </c>
      <c r="G18" s="33">
        <v>61500</v>
      </c>
      <c r="H18" s="33">
        <v>79600</v>
      </c>
      <c r="I18" s="33">
        <v>91900</v>
      </c>
      <c r="J18" s="106">
        <f ca="1">+I18*(1+J19)</f>
        <v>97414</v>
      </c>
      <c r="K18" s="106">
        <f ca="1">+J18*(1+K19)</f>
        <v>103258.84000000001</v>
      </c>
      <c r="L18" s="106">
        <f ca="1">+K18*(1+L19)</f>
        <v>109454.37040000001</v>
      </c>
      <c r="M18" s="106">
        <f ca="1">+L18*(1+M19)</f>
        <v>116021.63262400002</v>
      </c>
    </row>
    <row r="19" spans="2:15" x14ac:dyDescent="0.35">
      <c r="B19" s="92" t="s">
        <v>175</v>
      </c>
      <c r="C19" s="93"/>
      <c r="D19" s="94">
        <f>+(D18/C18)-1</f>
        <v>-0.14018691588785048</v>
      </c>
      <c r="E19" s="94">
        <f t="shared" ref="E19" si="2">+(E18/D18)-1</f>
        <v>-0.75951086956521741</v>
      </c>
      <c r="F19" s="94">
        <f t="shared" ref="F19" si="3">+(F18/E18)-1</f>
        <v>0.75706214689265527</v>
      </c>
      <c r="G19" s="94">
        <f t="shared" ref="G19" si="4">+(G18/F18)-1</f>
        <v>0.977491961414791</v>
      </c>
      <c r="H19" s="94">
        <f t="shared" ref="H19" si="5">+(H18/G18)-1</f>
        <v>0.29430894308943079</v>
      </c>
      <c r="I19" s="94">
        <f t="shared" ref="I19" si="6">+(I18/H18)-1</f>
        <v>0.15452261306532655</v>
      </c>
      <c r="J19" s="99">
        <f ca="1">+OFFSET(J19,$J$5,0)</f>
        <v>0.06</v>
      </c>
      <c r="K19" s="99">
        <f ca="1">+OFFSET(K19,$J$5,0)</f>
        <v>0.06</v>
      </c>
      <c r="L19" s="99">
        <f ca="1">+OFFSET(L19,$J$5,0)</f>
        <v>0.06</v>
      </c>
      <c r="M19" s="99">
        <f ca="1">+OFFSET(M19,$J$5,0)</f>
        <v>0.06</v>
      </c>
      <c r="O19" s="57">
        <f>+MEDIAN(D19:I19)</f>
        <v>0.22441577807737867</v>
      </c>
    </row>
    <row r="20" spans="2:15" x14ac:dyDescent="0.35">
      <c r="B20" s="95" t="s">
        <v>209</v>
      </c>
      <c r="C20" s="96"/>
      <c r="D20" s="97"/>
      <c r="E20" s="97"/>
      <c r="F20" s="97"/>
      <c r="G20" s="97"/>
      <c r="H20" s="97"/>
      <c r="I20" s="97"/>
      <c r="J20" s="100">
        <v>0.1</v>
      </c>
      <c r="K20" s="101">
        <v>0.1</v>
      </c>
      <c r="L20" s="101">
        <v>0.1</v>
      </c>
      <c r="M20" s="102">
        <v>0.1</v>
      </c>
      <c r="O20" s="57"/>
    </row>
    <row r="21" spans="2:15" x14ac:dyDescent="0.35">
      <c r="B21" s="95" t="s">
        <v>210</v>
      </c>
      <c r="C21" s="96"/>
      <c r="D21" s="97"/>
      <c r="E21" s="97"/>
      <c r="F21" s="97"/>
      <c r="G21" s="97"/>
      <c r="H21" s="97"/>
      <c r="I21" s="97"/>
      <c r="J21" s="107">
        <v>0.06</v>
      </c>
      <c r="K21" s="107">
        <v>0.06</v>
      </c>
      <c r="L21" s="107">
        <v>0.06</v>
      </c>
      <c r="M21" s="107">
        <v>0.06</v>
      </c>
      <c r="O21" s="57"/>
    </row>
    <row r="22" spans="2:15" x14ac:dyDescent="0.35">
      <c r="B22" s="95" t="s">
        <v>211</v>
      </c>
      <c r="C22" s="96"/>
      <c r="D22" s="97"/>
      <c r="E22" s="97"/>
      <c r="F22" s="97"/>
      <c r="G22" s="97"/>
      <c r="H22" s="97"/>
      <c r="I22" s="97"/>
      <c r="J22" s="103">
        <v>0</v>
      </c>
      <c r="K22" s="104">
        <v>0</v>
      </c>
      <c r="L22" s="104">
        <v>0</v>
      </c>
      <c r="M22" s="105">
        <v>0</v>
      </c>
      <c r="O22" s="57"/>
    </row>
    <row r="23" spans="2:15" x14ac:dyDescent="0.35">
      <c r="B23" s="98" t="s">
        <v>125</v>
      </c>
      <c r="C23" s="33">
        <v>368600</v>
      </c>
      <c r="D23" s="33">
        <v>383100</v>
      </c>
      <c r="E23" s="33">
        <v>120300</v>
      </c>
      <c r="F23" s="33">
        <v>181400</v>
      </c>
      <c r="G23" s="33">
        <v>422900</v>
      </c>
      <c r="H23" s="33">
        <v>458300</v>
      </c>
      <c r="I23" s="33">
        <v>502400</v>
      </c>
      <c r="J23" s="106">
        <f ca="1">+I23*(1+J24)</f>
        <v>527520</v>
      </c>
      <c r="K23" s="106">
        <f ca="1">+J23*(1+K24)</f>
        <v>553896</v>
      </c>
      <c r="L23" s="106">
        <f ca="1">+K23*(1+L24)</f>
        <v>581590.80000000005</v>
      </c>
      <c r="M23" s="106">
        <f ca="1">+L23*(1+M24)</f>
        <v>610670.34000000008</v>
      </c>
    </row>
    <row r="24" spans="2:15" x14ac:dyDescent="0.35">
      <c r="B24" s="92" t="s">
        <v>175</v>
      </c>
      <c r="C24" s="93"/>
      <c r="D24" s="94">
        <f>+(D23/C23)-1</f>
        <v>3.9338035811177452E-2</v>
      </c>
      <c r="E24" s="94">
        <f t="shared" ref="E24" si="7">+(E23/D23)-1</f>
        <v>-0.6859827721221613</v>
      </c>
      <c r="F24" s="94">
        <f t="shared" ref="F24" si="8">+(F23/E23)-1</f>
        <v>0.50789692435577716</v>
      </c>
      <c r="G24" s="94">
        <f t="shared" ref="G24" si="9">+(G23/F23)-1</f>
        <v>1.3313120176405735</v>
      </c>
      <c r="H24" s="94">
        <f t="shared" ref="H24" si="10">+(H23/G23)-1</f>
        <v>8.3707732324426631E-2</v>
      </c>
      <c r="I24" s="94">
        <f t="shared" ref="I24" si="11">+(I23/H23)-1</f>
        <v>9.6225180013091771E-2</v>
      </c>
      <c r="J24" s="99">
        <f ca="1">+OFFSET(J24,$J$5,0)</f>
        <v>0.05</v>
      </c>
      <c r="K24" s="99">
        <f ca="1">+OFFSET(K24,$J$5,0)</f>
        <v>0.05</v>
      </c>
      <c r="L24" s="99">
        <f ca="1">+OFFSET(L24,$J$5,0)</f>
        <v>0.05</v>
      </c>
      <c r="M24" s="99">
        <f ca="1">+OFFSET(M24,$J$5,0)</f>
        <v>0.05</v>
      </c>
      <c r="O24" s="57">
        <f>+MEDIAN(D24:I24)</f>
        <v>8.9966456168759201E-2</v>
      </c>
    </row>
    <row r="25" spans="2:15" x14ac:dyDescent="0.35">
      <c r="B25" s="95" t="s">
        <v>209</v>
      </c>
      <c r="C25" s="96"/>
      <c r="D25" s="97"/>
      <c r="E25" s="97"/>
      <c r="F25" s="97"/>
      <c r="G25" s="97"/>
      <c r="H25" s="97"/>
      <c r="I25" s="97"/>
      <c r="J25" s="100">
        <v>0.1</v>
      </c>
      <c r="K25" s="101">
        <v>0.1</v>
      </c>
      <c r="L25" s="101">
        <v>0.1</v>
      </c>
      <c r="M25" s="102">
        <v>0.1</v>
      </c>
      <c r="O25" s="57"/>
    </row>
    <row r="26" spans="2:15" x14ac:dyDescent="0.35">
      <c r="B26" s="95" t="s">
        <v>210</v>
      </c>
      <c r="C26" s="96"/>
      <c r="D26" s="97"/>
      <c r="E26" s="97"/>
      <c r="F26" s="97"/>
      <c r="G26" s="97"/>
      <c r="H26" s="97"/>
      <c r="I26" s="97"/>
      <c r="J26" s="107">
        <v>0.05</v>
      </c>
      <c r="K26" s="108">
        <v>0.05</v>
      </c>
      <c r="L26" s="108">
        <v>0.05</v>
      </c>
      <c r="M26" s="109">
        <v>0.05</v>
      </c>
      <c r="O26" s="57"/>
    </row>
    <row r="27" spans="2:15" x14ac:dyDescent="0.35">
      <c r="B27" s="95" t="s">
        <v>211</v>
      </c>
      <c r="C27" s="96"/>
      <c r="D27" s="97"/>
      <c r="E27" s="97"/>
      <c r="F27" s="97"/>
      <c r="G27" s="97"/>
      <c r="H27" s="97"/>
      <c r="I27" s="97"/>
      <c r="J27" s="103">
        <v>0</v>
      </c>
      <c r="K27" s="104">
        <v>0</v>
      </c>
      <c r="L27" s="104">
        <v>0</v>
      </c>
      <c r="M27" s="105">
        <v>0</v>
      </c>
      <c r="O27" s="57"/>
    </row>
    <row r="28" spans="2:15" x14ac:dyDescent="0.35">
      <c r="B28" s="98" t="s">
        <v>126</v>
      </c>
      <c r="C28" s="33">
        <v>31400</v>
      </c>
      <c r="D28" s="33">
        <v>29300</v>
      </c>
      <c r="E28" s="33">
        <v>6200</v>
      </c>
      <c r="F28" s="33">
        <v>10700</v>
      </c>
      <c r="G28" s="33">
        <v>33000</v>
      </c>
      <c r="H28" s="33">
        <v>32100</v>
      </c>
      <c r="I28" s="33">
        <v>34600</v>
      </c>
      <c r="J28" s="106">
        <f ca="1">+I28*(1+J29)</f>
        <v>37368</v>
      </c>
      <c r="K28" s="106">
        <f ca="1">+J28*(1+K29)</f>
        <v>40731.120000000003</v>
      </c>
      <c r="L28" s="106">
        <f ca="1">+K28*(1+L29)</f>
        <v>45211.543200000007</v>
      </c>
      <c r="M28" s="106">
        <f ca="1">+L28*(1+M29)</f>
        <v>50184.812952000015</v>
      </c>
    </row>
    <row r="29" spans="2:15" x14ac:dyDescent="0.35">
      <c r="B29" s="92" t="s">
        <v>175</v>
      </c>
      <c r="C29" s="93"/>
      <c r="D29" s="94">
        <f t="shared" ref="D29:I29" si="12">+(D28/C28)-1</f>
        <v>-6.687898089171973E-2</v>
      </c>
      <c r="E29" s="94">
        <f t="shared" si="12"/>
        <v>-0.78839590443686003</v>
      </c>
      <c r="F29" s="94">
        <f t="shared" si="12"/>
        <v>0.72580645161290325</v>
      </c>
      <c r="G29" s="94">
        <f t="shared" si="12"/>
        <v>2.0841121495327104</v>
      </c>
      <c r="H29" s="94">
        <f t="shared" si="12"/>
        <v>-2.7272727272727226E-2</v>
      </c>
      <c r="I29" s="94">
        <f t="shared" si="12"/>
        <v>7.7881619937694602E-2</v>
      </c>
      <c r="J29" s="99">
        <f ca="1">+OFFSET(J29,$J$5,0)</f>
        <v>0.08</v>
      </c>
      <c r="K29" s="99">
        <f ca="1">+OFFSET(K29,$J$5,0)</f>
        <v>0.09</v>
      </c>
      <c r="L29" s="99">
        <f ca="1">+OFFSET(L29,$J$5,0)</f>
        <v>0.11</v>
      </c>
      <c r="M29" s="99">
        <f ca="1">+OFFSET(M29,$J$5,0)</f>
        <v>0.11</v>
      </c>
      <c r="O29" s="57">
        <f>+MEDIAN(D29:I29)</f>
        <v>2.5304446332483688E-2</v>
      </c>
    </row>
    <row r="30" spans="2:15" x14ac:dyDescent="0.35">
      <c r="B30" s="95" t="s">
        <v>209</v>
      </c>
      <c r="C30" s="96"/>
      <c r="D30" s="97"/>
      <c r="E30" s="97"/>
      <c r="F30" s="97"/>
      <c r="G30" s="97"/>
      <c r="H30" s="97"/>
      <c r="I30" s="97"/>
      <c r="J30" s="100">
        <v>0.15</v>
      </c>
      <c r="K30" s="101">
        <f>+J30+0.01</f>
        <v>0.16</v>
      </c>
      <c r="L30" s="101">
        <f>+K30+0.01</f>
        <v>0.17</v>
      </c>
      <c r="M30" s="101">
        <f>+L30+0.01</f>
        <v>0.18000000000000002</v>
      </c>
      <c r="O30" s="57"/>
    </row>
    <row r="31" spans="2:15" x14ac:dyDescent="0.35">
      <c r="B31" s="95" t="s">
        <v>210</v>
      </c>
      <c r="C31" s="96"/>
      <c r="D31" s="97"/>
      <c r="E31" s="97"/>
      <c r="F31" s="97"/>
      <c r="G31" s="97"/>
      <c r="H31" s="97"/>
      <c r="I31" s="97"/>
      <c r="J31" s="107">
        <v>0.08</v>
      </c>
      <c r="K31" s="108">
        <v>0.09</v>
      </c>
      <c r="L31" s="108">
        <v>0.11</v>
      </c>
      <c r="M31" s="109">
        <v>0.11</v>
      </c>
      <c r="O31" s="57"/>
    </row>
    <row r="32" spans="2:15" x14ac:dyDescent="0.35">
      <c r="B32" s="95" t="s">
        <v>211</v>
      </c>
      <c r="C32" s="96"/>
      <c r="D32" s="97"/>
      <c r="E32" s="97"/>
      <c r="F32" s="97"/>
      <c r="G32" s="97"/>
      <c r="H32" s="97"/>
      <c r="I32" s="97"/>
      <c r="J32" s="103">
        <v>2.5000000000000001E-2</v>
      </c>
      <c r="K32" s="104">
        <v>2.5000000000000001E-2</v>
      </c>
      <c r="L32" s="104">
        <v>2.5000000000000001E-2</v>
      </c>
      <c r="M32" s="105">
        <v>2.5000000000000001E-2</v>
      </c>
      <c r="O32" s="57"/>
    </row>
    <row r="33" spans="2:15" x14ac:dyDescent="0.35">
      <c r="B33" s="98" t="s">
        <v>127</v>
      </c>
      <c r="C33" s="33">
        <v>414900</v>
      </c>
      <c r="D33" s="33">
        <v>391500</v>
      </c>
      <c r="E33" s="33">
        <v>125800</v>
      </c>
      <c r="F33" s="33">
        <v>219600</v>
      </c>
      <c r="G33" s="33">
        <v>407900</v>
      </c>
      <c r="H33" s="33">
        <v>457300</v>
      </c>
      <c r="I33" s="33">
        <v>476300</v>
      </c>
      <c r="J33" s="106">
        <f ca="1">+I33*(1+J34)</f>
        <v>504878</v>
      </c>
      <c r="K33" s="106">
        <f ca="1">+J33*(1+K34)</f>
        <v>535170.68000000005</v>
      </c>
      <c r="L33" s="106">
        <f ca="1">+K33*(1+L34)</f>
        <v>567280.92080000008</v>
      </c>
      <c r="M33" s="106">
        <f ca="1">+L33*(1+M34)</f>
        <v>601317.77604800009</v>
      </c>
    </row>
    <row r="34" spans="2:15" x14ac:dyDescent="0.35">
      <c r="B34" s="92" t="s">
        <v>175</v>
      </c>
      <c r="C34" s="93"/>
      <c r="D34" s="94">
        <f>+(D33/C33)-1</f>
        <v>-5.6399132321041212E-2</v>
      </c>
      <c r="E34" s="94">
        <f t="shared" ref="E34" si="13">+(E33/D33)-1</f>
        <v>-0.67867177522349942</v>
      </c>
      <c r="F34" s="94">
        <f t="shared" ref="F34" si="14">+(F33/E33)-1</f>
        <v>0.74562798092209848</v>
      </c>
      <c r="G34" s="94">
        <f t="shared" ref="G34" si="15">+(G33/F33)-1</f>
        <v>0.85746812386156646</v>
      </c>
      <c r="H34" s="94">
        <f t="shared" ref="H34" si="16">+(H33/G33)-1</f>
        <v>0.1211081147340034</v>
      </c>
      <c r="I34" s="94">
        <f t="shared" ref="I34" si="17">+(I33/H33)-1</f>
        <v>4.1548217800131182E-2</v>
      </c>
      <c r="J34" s="99">
        <f ca="1">+OFFSET(J34,$J$5,0)</f>
        <v>0.06</v>
      </c>
      <c r="K34" s="99">
        <f ca="1">+OFFSET(K34,$J$5,0)</f>
        <v>0.06</v>
      </c>
      <c r="L34" s="99">
        <f ca="1">+OFFSET(L34,$J$5,0)</f>
        <v>0.06</v>
      </c>
      <c r="M34" s="99">
        <f ca="1">+OFFSET(M34,$J$5,0)</f>
        <v>0.06</v>
      </c>
      <c r="O34" s="57">
        <f>+MEDIAN(D34:I34)</f>
        <v>8.1328166267067292E-2</v>
      </c>
    </row>
    <row r="35" spans="2:15" x14ac:dyDescent="0.35">
      <c r="B35" s="95" t="s">
        <v>209</v>
      </c>
      <c r="C35" s="96"/>
      <c r="D35" s="97"/>
      <c r="E35" s="97"/>
      <c r="F35" s="97"/>
      <c r="G35" s="97"/>
      <c r="H35" s="97"/>
      <c r="I35" s="97"/>
      <c r="J35" s="100">
        <v>0.1</v>
      </c>
      <c r="K35" s="101">
        <v>0.1</v>
      </c>
      <c r="L35" s="101">
        <v>0.1</v>
      </c>
      <c r="M35" s="102">
        <v>0.1</v>
      </c>
      <c r="O35" s="57"/>
    </row>
    <row r="36" spans="2:15" x14ac:dyDescent="0.35">
      <c r="B36" s="95" t="s">
        <v>210</v>
      </c>
      <c r="C36" s="96"/>
      <c r="D36" s="97"/>
      <c r="E36" s="97"/>
      <c r="F36" s="97"/>
      <c r="G36" s="97"/>
      <c r="H36" s="97"/>
      <c r="I36" s="97"/>
      <c r="J36" s="107">
        <v>0.06</v>
      </c>
      <c r="K36" s="108">
        <v>0.06</v>
      </c>
      <c r="L36" s="108">
        <v>0.06</v>
      </c>
      <c r="M36" s="109">
        <v>0.06</v>
      </c>
      <c r="O36" s="57"/>
    </row>
    <row r="37" spans="2:15" x14ac:dyDescent="0.35">
      <c r="B37" s="95" t="s">
        <v>211</v>
      </c>
      <c r="C37" s="96"/>
      <c r="D37" s="97"/>
      <c r="E37" s="97"/>
      <c r="F37" s="97"/>
      <c r="G37" s="97"/>
      <c r="H37" s="97"/>
      <c r="I37" s="97"/>
      <c r="J37" s="103">
        <v>1.4999999999999999E-2</v>
      </c>
      <c r="K37" s="104">
        <v>1.4999999999999999E-2</v>
      </c>
      <c r="L37" s="104">
        <v>1.4999999999999999E-2</v>
      </c>
      <c r="M37" s="105">
        <v>1.4999999999999999E-2</v>
      </c>
      <c r="O37" s="57"/>
    </row>
    <row r="38" spans="2:15" x14ac:dyDescent="0.35">
      <c r="B38" s="32" t="s">
        <v>128</v>
      </c>
      <c r="C38" s="33">
        <v>51400</v>
      </c>
      <c r="D38" s="33">
        <v>43700</v>
      </c>
      <c r="E38" s="33">
        <v>16500</v>
      </c>
      <c r="F38" s="33">
        <v>16000</v>
      </c>
      <c r="G38" s="33">
        <v>63600</v>
      </c>
      <c r="H38" s="33">
        <v>42700</v>
      </c>
      <c r="I38" s="33">
        <v>40900</v>
      </c>
      <c r="J38" s="106">
        <f ca="1">+I38*(1+J39)</f>
        <v>42127</v>
      </c>
      <c r="K38" s="106">
        <f ca="1">+J38*(1+K39)</f>
        <v>43390.81</v>
      </c>
      <c r="L38" s="106">
        <f ca="1">+K38*(1+L39)</f>
        <v>44692.534299999999</v>
      </c>
      <c r="M38" s="106">
        <f ca="1">+L38*(1+M39)</f>
        <v>46033.310329</v>
      </c>
    </row>
    <row r="39" spans="2:15" x14ac:dyDescent="0.35">
      <c r="B39" s="92" t="s">
        <v>175</v>
      </c>
      <c r="C39" s="93"/>
      <c r="D39" s="94">
        <f>+(D38/C38)-1</f>
        <v>-0.14980544747081714</v>
      </c>
      <c r="E39" s="94">
        <f t="shared" ref="E39" si="18">+(E38/D38)-1</f>
        <v>-0.62242562929061784</v>
      </c>
      <c r="F39" s="94">
        <f t="shared" ref="F39" si="19">+(F38/E38)-1</f>
        <v>-3.0303030303030276E-2</v>
      </c>
      <c r="G39" s="94">
        <f t="shared" ref="G39" si="20">+(G38/F38)-1</f>
        <v>2.9750000000000001</v>
      </c>
      <c r="H39" s="94">
        <f t="shared" ref="H39" si="21">+(H38/G38)-1</f>
        <v>-0.32861635220125784</v>
      </c>
      <c r="I39" s="94">
        <f t="shared" ref="I39" si="22">+(I38/H38)-1</f>
        <v>-4.2154566744730726E-2</v>
      </c>
      <c r="J39" s="99">
        <f ca="1">+OFFSET(J39,$J$5,0)</f>
        <v>0.03</v>
      </c>
      <c r="K39" s="99">
        <f ca="1">+OFFSET(K39,$J$5,0)</f>
        <v>0.03</v>
      </c>
      <c r="L39" s="99">
        <f ca="1">+OFFSET(L39,$J$5,0)</f>
        <v>0.03</v>
      </c>
      <c r="M39" s="99">
        <f ca="1">+OFFSET(M39,$J$5,0)</f>
        <v>0.03</v>
      </c>
      <c r="O39" s="57">
        <f>+MEDIAN(D39:I39)</f>
        <v>-9.5980007107773935E-2</v>
      </c>
    </row>
    <row r="40" spans="2:15" x14ac:dyDescent="0.35">
      <c r="B40" s="95" t="s">
        <v>209</v>
      </c>
      <c r="C40" s="96"/>
      <c r="D40" s="97"/>
      <c r="E40" s="97"/>
      <c r="F40" s="97"/>
      <c r="G40" s="97"/>
      <c r="H40" s="97"/>
      <c r="I40" s="97"/>
      <c r="J40" s="100">
        <v>0.06</v>
      </c>
      <c r="K40" s="101">
        <v>0.06</v>
      </c>
      <c r="L40" s="101">
        <v>0.06</v>
      </c>
      <c r="M40" s="102">
        <v>0.06</v>
      </c>
      <c r="O40" s="57"/>
    </row>
    <row r="41" spans="2:15" x14ac:dyDescent="0.35">
      <c r="B41" s="95" t="s">
        <v>210</v>
      </c>
      <c r="C41" s="96"/>
      <c r="D41" s="97"/>
      <c r="E41" s="97"/>
      <c r="F41" s="97"/>
      <c r="G41" s="97"/>
      <c r="H41" s="97"/>
      <c r="I41" s="97"/>
      <c r="J41" s="107">
        <v>0.03</v>
      </c>
      <c r="K41" s="108">
        <v>0.03</v>
      </c>
      <c r="L41" s="108">
        <v>0.03</v>
      </c>
      <c r="M41" s="109">
        <v>0.03</v>
      </c>
      <c r="O41" s="57"/>
    </row>
    <row r="42" spans="2:15" x14ac:dyDescent="0.35">
      <c r="B42" s="95" t="s">
        <v>211</v>
      </c>
      <c r="C42" s="96"/>
      <c r="D42" s="97"/>
      <c r="E42" s="97"/>
      <c r="F42" s="97"/>
      <c r="G42" s="97"/>
      <c r="H42" s="97"/>
      <c r="I42" s="97"/>
      <c r="J42" s="103">
        <v>0</v>
      </c>
      <c r="K42" s="104">
        <v>0</v>
      </c>
      <c r="L42" s="104">
        <v>0</v>
      </c>
      <c r="M42" s="105">
        <v>0</v>
      </c>
      <c r="O42" s="57"/>
    </row>
    <row r="43" spans="2:15" x14ac:dyDescent="0.35">
      <c r="B43" s="98" t="s">
        <v>129</v>
      </c>
      <c r="C43" s="33">
        <v>0</v>
      </c>
      <c r="D43" s="33">
        <v>0</v>
      </c>
      <c r="E43" s="33">
        <v>0</v>
      </c>
      <c r="F43" s="33">
        <v>0</v>
      </c>
      <c r="G43" s="33">
        <v>0</v>
      </c>
      <c r="H43" s="33">
        <v>0</v>
      </c>
      <c r="I43" s="33">
        <v>0</v>
      </c>
      <c r="J43" s="106">
        <f ca="1">+I43*(1+J44)</f>
        <v>0</v>
      </c>
      <c r="K43" s="106">
        <f ca="1">+J43*(1+K44)</f>
        <v>0</v>
      </c>
      <c r="L43" s="106">
        <f ca="1">+K43*(1+L44)</f>
        <v>0</v>
      </c>
      <c r="M43" s="106">
        <f ca="1">+L43*(1+M44)</f>
        <v>0</v>
      </c>
    </row>
    <row r="44" spans="2:15" x14ac:dyDescent="0.35">
      <c r="B44" s="92" t="s">
        <v>175</v>
      </c>
      <c r="C44" s="93"/>
      <c r="D44" s="94">
        <f>IFERROR((D43/C43)-1,0)</f>
        <v>0</v>
      </c>
      <c r="E44" s="94">
        <f t="shared" ref="E44:I44" si="23">IFERROR((E43/D43)-1,0)</f>
        <v>0</v>
      </c>
      <c r="F44" s="94">
        <f t="shared" si="23"/>
        <v>0</v>
      </c>
      <c r="G44" s="94">
        <f t="shared" si="23"/>
        <v>0</v>
      </c>
      <c r="H44" s="94">
        <f t="shared" si="23"/>
        <v>0</v>
      </c>
      <c r="I44" s="94">
        <f t="shared" si="23"/>
        <v>0</v>
      </c>
      <c r="J44" s="99">
        <f ca="1">+OFFSET(J44,$J$5,0)</f>
        <v>0</v>
      </c>
      <c r="K44" s="99">
        <f ca="1">+OFFSET(K44,$J$5,0)</f>
        <v>0</v>
      </c>
      <c r="L44" s="99">
        <f ca="1">+OFFSET(L44,$J$5,0)</f>
        <v>0</v>
      </c>
      <c r="M44" s="99">
        <f ca="1">+OFFSET(M44,$J$5,0)</f>
        <v>0</v>
      </c>
      <c r="O44" s="57">
        <f>+MEDIAN(D44:I44)</f>
        <v>0</v>
      </c>
    </row>
    <row r="45" spans="2:15" x14ac:dyDescent="0.35">
      <c r="B45" s="95" t="s">
        <v>209</v>
      </c>
      <c r="C45" s="96"/>
      <c r="D45" s="97"/>
      <c r="E45" s="97"/>
      <c r="F45" s="97"/>
      <c r="G45" s="97"/>
      <c r="H45" s="97"/>
      <c r="I45" s="97"/>
      <c r="J45" s="100">
        <v>0.02</v>
      </c>
      <c r="K45" s="101">
        <v>0.02</v>
      </c>
      <c r="L45" s="101">
        <v>0.02</v>
      </c>
      <c r="M45" s="102">
        <v>0.02</v>
      </c>
      <c r="O45" s="57"/>
    </row>
    <row r="46" spans="2:15" x14ac:dyDescent="0.35">
      <c r="B46" s="95" t="s">
        <v>210</v>
      </c>
      <c r="C46" s="96"/>
      <c r="D46" s="97"/>
      <c r="E46" s="97"/>
      <c r="F46" s="97"/>
      <c r="G46" s="97"/>
      <c r="H46" s="97"/>
      <c r="I46" s="97"/>
      <c r="J46" s="107">
        <v>0</v>
      </c>
      <c r="K46" s="108">
        <v>0</v>
      </c>
      <c r="L46" s="108">
        <v>0</v>
      </c>
      <c r="M46" s="109">
        <v>0</v>
      </c>
      <c r="O46" s="57"/>
    </row>
    <row r="47" spans="2:15" x14ac:dyDescent="0.35">
      <c r="B47" s="95" t="s">
        <v>211</v>
      </c>
      <c r="C47" s="96"/>
      <c r="D47" s="97"/>
      <c r="E47" s="97"/>
      <c r="F47" s="97"/>
      <c r="G47" s="97"/>
      <c r="H47" s="97"/>
      <c r="I47" s="97"/>
      <c r="J47" s="103">
        <v>0</v>
      </c>
      <c r="K47" s="104">
        <v>0</v>
      </c>
      <c r="L47" s="104">
        <v>0</v>
      </c>
      <c r="M47" s="105">
        <v>0</v>
      </c>
      <c r="O47" s="57"/>
    </row>
    <row r="48" spans="2:15" x14ac:dyDescent="0.35">
      <c r="B48" s="98" t="s">
        <v>130</v>
      </c>
      <c r="C48" s="33">
        <v>7600</v>
      </c>
      <c r="D48" s="33">
        <v>6900</v>
      </c>
      <c r="E48" s="33">
        <v>2300</v>
      </c>
      <c r="F48" s="33">
        <v>3100</v>
      </c>
      <c r="G48" s="33">
        <v>5700</v>
      </c>
      <c r="H48" s="33">
        <v>9300</v>
      </c>
      <c r="I48" s="33">
        <v>10700</v>
      </c>
      <c r="J48" s="106">
        <f ca="1">+I48*(1+J49)</f>
        <v>11984.000000000002</v>
      </c>
      <c r="K48" s="106">
        <f ca="1">+J48*(1+K49)</f>
        <v>13422.080000000004</v>
      </c>
      <c r="L48" s="106">
        <f ca="1">+K48*(1+L49)</f>
        <v>15032.729600000006</v>
      </c>
      <c r="M48" s="106">
        <f ca="1">+L48*(1+M49)</f>
        <v>16836.657152000007</v>
      </c>
    </row>
    <row r="49" spans="2:15" x14ac:dyDescent="0.35">
      <c r="B49" s="92" t="s">
        <v>175</v>
      </c>
      <c r="C49" s="93"/>
      <c r="D49" s="94">
        <f>+(D48/C48)-1</f>
        <v>-9.210526315789469E-2</v>
      </c>
      <c r="E49" s="94">
        <f t="shared" ref="E49" si="24">+(E48/D48)-1</f>
        <v>-0.66666666666666674</v>
      </c>
      <c r="F49" s="94">
        <f t="shared" ref="F49" si="25">+(F48/E48)-1</f>
        <v>0.34782608695652173</v>
      </c>
      <c r="G49" s="94">
        <f t="shared" ref="G49" si="26">+(G48/F48)-1</f>
        <v>0.83870967741935476</v>
      </c>
      <c r="H49" s="94">
        <f t="shared" ref="H49" si="27">+(H48/G48)-1</f>
        <v>0.63157894736842102</v>
      </c>
      <c r="I49" s="94">
        <f t="shared" ref="I49" si="28">+(I48/H48)-1</f>
        <v>0.15053763440860224</v>
      </c>
      <c r="J49" s="99">
        <f ca="1">+OFFSET(J49,$J$5,0)</f>
        <v>0.12</v>
      </c>
      <c r="K49" s="99">
        <f ca="1">+OFFSET(K49,$J$5,0)</f>
        <v>0.12</v>
      </c>
      <c r="L49" s="99">
        <f ca="1">+OFFSET(L49,$J$5,0)</f>
        <v>0.12</v>
      </c>
      <c r="M49" s="99">
        <f ca="1">+OFFSET(M49,$J$5,0)</f>
        <v>0.12</v>
      </c>
      <c r="O49" s="57">
        <f>+MEDIAN(D49:I49)</f>
        <v>0.24918186068256198</v>
      </c>
    </row>
    <row r="50" spans="2:15" x14ac:dyDescent="0.35">
      <c r="B50" s="95" t="s">
        <v>209</v>
      </c>
      <c r="C50" s="96"/>
      <c r="D50" s="97"/>
      <c r="E50" s="97"/>
      <c r="F50" s="97"/>
      <c r="G50" s="97"/>
      <c r="H50" s="97"/>
      <c r="I50" s="97"/>
      <c r="J50" s="100">
        <v>0.2</v>
      </c>
      <c r="K50" s="101">
        <v>0.2</v>
      </c>
      <c r="L50" s="101">
        <v>0.2</v>
      </c>
      <c r="M50" s="102">
        <v>0.2</v>
      </c>
      <c r="O50" s="57"/>
    </row>
    <row r="51" spans="2:15" x14ac:dyDescent="0.35">
      <c r="B51" s="95" t="s">
        <v>210</v>
      </c>
      <c r="C51" s="96"/>
      <c r="D51" s="97"/>
      <c r="E51" s="97"/>
      <c r="F51" s="97"/>
      <c r="G51" s="97"/>
      <c r="H51" s="97"/>
      <c r="I51" s="97"/>
      <c r="J51" s="107">
        <v>0.12</v>
      </c>
      <c r="K51" s="108">
        <v>0.12</v>
      </c>
      <c r="L51" s="108">
        <v>0.12</v>
      </c>
      <c r="M51" s="109">
        <v>0.12</v>
      </c>
      <c r="O51" s="57"/>
    </row>
    <row r="52" spans="2:15" x14ac:dyDescent="0.35">
      <c r="B52" s="95" t="s">
        <v>211</v>
      </c>
      <c r="C52" s="96"/>
      <c r="D52" s="97"/>
      <c r="E52" s="97"/>
      <c r="F52" s="97"/>
      <c r="G52" s="97"/>
      <c r="H52" s="97"/>
      <c r="I52" s="97"/>
      <c r="J52" s="103">
        <v>0.05</v>
      </c>
      <c r="K52" s="104">
        <v>0.05</v>
      </c>
      <c r="L52" s="104">
        <v>0.05</v>
      </c>
      <c r="M52" s="105">
        <v>0.05</v>
      </c>
      <c r="O52" s="57"/>
    </row>
    <row r="53" spans="2:15" x14ac:dyDescent="0.35">
      <c r="B53" s="98" t="s">
        <v>131</v>
      </c>
      <c r="C53" s="33">
        <v>0</v>
      </c>
      <c r="D53" s="33">
        <v>0</v>
      </c>
      <c r="E53" s="33">
        <v>0</v>
      </c>
      <c r="F53" s="33">
        <v>0</v>
      </c>
      <c r="G53" s="33">
        <v>0</v>
      </c>
      <c r="H53" s="33">
        <v>0</v>
      </c>
      <c r="I53" s="33">
        <v>0</v>
      </c>
      <c r="J53" s="106">
        <f ca="1">+I53*(1+J54)</f>
        <v>0</v>
      </c>
      <c r="K53" s="106">
        <f ca="1">+J53*(1+K54)</f>
        <v>0</v>
      </c>
      <c r="L53" s="106">
        <f ca="1">+K53*(1+L54)</f>
        <v>0</v>
      </c>
      <c r="M53" s="106">
        <f ca="1">+L53*(1+M54)</f>
        <v>0</v>
      </c>
    </row>
    <row r="54" spans="2:15" x14ac:dyDescent="0.35">
      <c r="B54" s="92" t="s">
        <v>175</v>
      </c>
      <c r="C54" s="93"/>
      <c r="D54" s="94">
        <f>IFERROR((D53/C53)-1,0)</f>
        <v>0</v>
      </c>
      <c r="E54" s="94">
        <f t="shared" ref="E54:I54" si="29">IFERROR((E53/D53)-1,0)</f>
        <v>0</v>
      </c>
      <c r="F54" s="94">
        <f t="shared" si="29"/>
        <v>0</v>
      </c>
      <c r="G54" s="94">
        <f t="shared" si="29"/>
        <v>0</v>
      </c>
      <c r="H54" s="94">
        <f t="shared" si="29"/>
        <v>0</v>
      </c>
      <c r="I54" s="94">
        <f t="shared" si="29"/>
        <v>0</v>
      </c>
      <c r="J54" s="99">
        <f ca="1">+OFFSET(J54,$J$5,0)</f>
        <v>0</v>
      </c>
      <c r="K54" s="99">
        <f ca="1">+OFFSET(K54,$J$5,0)</f>
        <v>0</v>
      </c>
      <c r="L54" s="99">
        <f ca="1">+OFFSET(L54,$J$5,0)</f>
        <v>0</v>
      </c>
      <c r="M54" s="99">
        <f ca="1">+OFFSET(M54,$J$5,0)</f>
        <v>0</v>
      </c>
      <c r="O54" s="57">
        <f>+MEDIAN(D54:I54)</f>
        <v>0</v>
      </c>
    </row>
    <row r="55" spans="2:15" x14ac:dyDescent="0.35">
      <c r="B55" s="95" t="s">
        <v>209</v>
      </c>
      <c r="C55" s="96"/>
      <c r="D55" s="97"/>
      <c r="E55" s="97"/>
      <c r="F55" s="97"/>
      <c r="G55" s="97"/>
      <c r="H55" s="97"/>
      <c r="I55" s="97"/>
      <c r="J55" s="100">
        <v>0.02</v>
      </c>
      <c r="K55" s="101">
        <v>0.02</v>
      </c>
      <c r="L55" s="101">
        <v>0.02</v>
      </c>
      <c r="M55" s="102">
        <v>0.02</v>
      </c>
      <c r="O55" s="57"/>
    </row>
    <row r="56" spans="2:15" x14ac:dyDescent="0.35">
      <c r="B56" s="95" t="s">
        <v>210</v>
      </c>
      <c r="C56" s="96"/>
      <c r="D56" s="97"/>
      <c r="E56" s="97"/>
      <c r="F56" s="97"/>
      <c r="G56" s="97"/>
      <c r="H56" s="97"/>
      <c r="I56" s="97"/>
      <c r="J56" s="107">
        <v>0</v>
      </c>
      <c r="K56" s="108">
        <v>0</v>
      </c>
      <c r="L56" s="108">
        <v>0</v>
      </c>
      <c r="M56" s="109">
        <v>0</v>
      </c>
      <c r="O56" s="57"/>
    </row>
    <row r="57" spans="2:15" x14ac:dyDescent="0.35">
      <c r="B57" s="95" t="s">
        <v>211</v>
      </c>
      <c r="C57" s="96"/>
      <c r="D57" s="97"/>
      <c r="E57" s="97"/>
      <c r="F57" s="97"/>
      <c r="G57" s="97"/>
      <c r="H57" s="97"/>
      <c r="I57" s="97"/>
      <c r="J57" s="103">
        <v>0</v>
      </c>
      <c r="K57" s="104">
        <v>0</v>
      </c>
      <c r="L57" s="104">
        <v>0</v>
      </c>
      <c r="M57" s="105">
        <v>0</v>
      </c>
      <c r="O57" s="57"/>
    </row>
    <row r="58" spans="2:15" x14ac:dyDescent="0.35">
      <c r="B58" s="98" t="s">
        <v>132</v>
      </c>
      <c r="C58" s="33">
        <v>14400</v>
      </c>
      <c r="D58" s="33">
        <v>12100</v>
      </c>
      <c r="E58" s="33">
        <v>1900</v>
      </c>
      <c r="F58" s="33">
        <v>2500</v>
      </c>
      <c r="G58" s="33">
        <v>20200</v>
      </c>
      <c r="H58" s="33">
        <v>15500</v>
      </c>
      <c r="I58" s="33">
        <v>12700</v>
      </c>
      <c r="J58" s="106">
        <f ca="1">+I58*(1+J59)</f>
        <v>12700</v>
      </c>
      <c r="K58" s="106">
        <f ca="1">+J58*(1+K59)</f>
        <v>12954</v>
      </c>
      <c r="L58" s="106">
        <f ca="1">+K58*(1+L59)</f>
        <v>13342.62</v>
      </c>
      <c r="M58" s="106">
        <f ca="1">+L58*(1+M59)</f>
        <v>13876.324800000002</v>
      </c>
    </row>
    <row r="59" spans="2:15" x14ac:dyDescent="0.35">
      <c r="B59" s="92" t="s">
        <v>175</v>
      </c>
      <c r="C59" s="93"/>
      <c r="D59" s="94">
        <f>+(D58/C58)-1</f>
        <v>-0.15972222222222221</v>
      </c>
      <c r="E59" s="94">
        <f t="shared" ref="E59" si="30">+(E58/D58)-1</f>
        <v>-0.84297520661157022</v>
      </c>
      <c r="F59" s="94">
        <f t="shared" ref="F59" si="31">+(F58/E58)-1</f>
        <v>0.31578947368421062</v>
      </c>
      <c r="G59" s="94">
        <f t="shared" ref="G59" si="32">+(G58/F58)-1</f>
        <v>7.08</v>
      </c>
      <c r="H59" s="94">
        <f t="shared" ref="H59" si="33">+(H58/G58)-1</f>
        <v>-0.23267326732673266</v>
      </c>
      <c r="I59" s="94">
        <f t="shared" ref="I59" si="34">+(I58/H58)-1</f>
        <v>-0.1806451612903226</v>
      </c>
      <c r="J59" s="99">
        <f ca="1">+OFFSET(J59,$J$5,0)</f>
        <v>0</v>
      </c>
      <c r="K59" s="99">
        <f ca="1">+OFFSET(K59,$J$5,0)</f>
        <v>0.02</v>
      </c>
      <c r="L59" s="99">
        <f ca="1">+OFFSET(L59,$J$5,0)</f>
        <v>0.03</v>
      </c>
      <c r="M59" s="99">
        <f ca="1">+OFFSET(M59,$J$5,0)</f>
        <v>0.04</v>
      </c>
      <c r="O59" s="57">
        <f>+MEDIAN(D59:I59)</f>
        <v>-0.1701836917562724</v>
      </c>
    </row>
    <row r="60" spans="2:15" x14ac:dyDescent="0.35">
      <c r="B60" s="95" t="s">
        <v>209</v>
      </c>
      <c r="C60" s="96"/>
      <c r="D60" s="97"/>
      <c r="E60" s="97"/>
      <c r="F60" s="97"/>
      <c r="G60" s="97"/>
      <c r="H60" s="97"/>
      <c r="I60" s="97"/>
      <c r="J60" s="100">
        <v>0.05</v>
      </c>
      <c r="K60" s="101">
        <f>+J60+0.01</f>
        <v>6.0000000000000005E-2</v>
      </c>
      <c r="L60" s="101">
        <f>+K60+0.01</f>
        <v>7.0000000000000007E-2</v>
      </c>
      <c r="M60" s="102">
        <f>+L60+0.01</f>
        <v>0.08</v>
      </c>
      <c r="O60" s="57"/>
    </row>
    <row r="61" spans="2:15" x14ac:dyDescent="0.35">
      <c r="B61" s="95" t="s">
        <v>210</v>
      </c>
      <c r="C61" s="96"/>
      <c r="D61" s="97"/>
      <c r="E61" s="97"/>
      <c r="F61" s="97"/>
      <c r="G61" s="97"/>
      <c r="H61" s="97"/>
      <c r="I61" s="97"/>
      <c r="J61" s="107">
        <v>0</v>
      </c>
      <c r="K61" s="108">
        <v>0.02</v>
      </c>
      <c r="L61" s="108">
        <v>0.03</v>
      </c>
      <c r="M61" s="109">
        <v>0.04</v>
      </c>
      <c r="O61" s="57"/>
    </row>
    <row r="62" spans="2:15" x14ac:dyDescent="0.35">
      <c r="B62" s="140" t="s">
        <v>211</v>
      </c>
      <c r="C62" s="141"/>
      <c r="D62" s="142"/>
      <c r="E62" s="142"/>
      <c r="F62" s="142"/>
      <c r="G62" s="142"/>
      <c r="H62" s="142"/>
      <c r="I62" s="143"/>
      <c r="J62" s="103">
        <v>0</v>
      </c>
      <c r="K62" s="104">
        <v>0</v>
      </c>
      <c r="L62" s="104">
        <v>0</v>
      </c>
      <c r="M62" s="105">
        <v>0</v>
      </c>
      <c r="O62" s="57"/>
    </row>
    <row r="64" spans="2:15" x14ac:dyDescent="0.35">
      <c r="B64" t="s">
        <v>51</v>
      </c>
      <c r="C64" s="113">
        <v>-190785</v>
      </c>
      <c r="D64" s="113">
        <v>-199035</v>
      </c>
      <c r="E64" s="113">
        <v>-58871</v>
      </c>
      <c r="F64" s="113">
        <v>-91590</v>
      </c>
      <c r="G64" s="113">
        <v>-177947</v>
      </c>
      <c r="H64" s="113">
        <v>-209528</v>
      </c>
      <c r="I64" s="113">
        <v>-202389</v>
      </c>
      <c r="J64" s="111">
        <f ca="1">-J9*J108</f>
        <v>-222174.84628429788</v>
      </c>
      <c r="K64" s="111">
        <f ca="1">-K9*K108</f>
        <v>-233177.20387507064</v>
      </c>
      <c r="L64" s="111">
        <f ca="1">-L9*L108</f>
        <v>-244858.22698799227</v>
      </c>
      <c r="M64" s="111">
        <f ca="1">-M9*M108</f>
        <v>-257180.52559734421</v>
      </c>
    </row>
    <row r="65" spans="2:13" x14ac:dyDescent="0.35">
      <c r="B65" t="s">
        <v>52</v>
      </c>
      <c r="C65" s="113">
        <v>-526644</v>
      </c>
      <c r="D65" s="113">
        <v>-523918</v>
      </c>
      <c r="E65" s="113">
        <v>-282106</v>
      </c>
      <c r="F65" s="113">
        <v>-307364</v>
      </c>
      <c r="G65" s="113">
        <v>-473397</v>
      </c>
      <c r="H65" s="113">
        <v>-544741</v>
      </c>
      <c r="I65" s="113">
        <v>-570278</v>
      </c>
      <c r="J65" s="111">
        <f>+J99/1000</f>
        <v>-600095.383267647</v>
      </c>
      <c r="K65" s="111">
        <f t="shared" ref="K65:M65" si="35">+K99/1000</f>
        <v>-636132.52487015957</v>
      </c>
      <c r="L65" s="111">
        <f t="shared" si="35"/>
        <v>-673371.11398346571</v>
      </c>
      <c r="M65" s="111">
        <f t="shared" si="35"/>
        <v>-711844.79365135601</v>
      </c>
    </row>
    <row r="66" spans="2:13" x14ac:dyDescent="0.35">
      <c r="B66" t="s">
        <v>53</v>
      </c>
      <c r="C66" s="113">
        <v>-592173</v>
      </c>
      <c r="D66" s="113">
        <v>-579301</v>
      </c>
      <c r="E66" s="113">
        <v>-338288</v>
      </c>
      <c r="F66" s="113">
        <v>-372603</v>
      </c>
      <c r="G66" s="113">
        <v>-591339</v>
      </c>
      <c r="H66" s="113">
        <v>-645325</v>
      </c>
      <c r="I66" s="113">
        <v>-669111</v>
      </c>
      <c r="J66" s="111">
        <f ca="1">-J9*J111</f>
        <v>-684276.00453597854</v>
      </c>
      <c r="K66" s="111">
        <f ca="1">-K9*K111</f>
        <v>-718162.15059886966</v>
      </c>
      <c r="L66" s="111">
        <f ca="1">-L9*L111</f>
        <v>-754138.51767318021</v>
      </c>
      <c r="M66" s="111">
        <f ca="1">-M9*M111</f>
        <v>-792089.94826995034</v>
      </c>
    </row>
    <row r="67" spans="2:13" x14ac:dyDescent="0.35">
      <c r="B67" s="98" t="s">
        <v>54</v>
      </c>
      <c r="C67" s="119">
        <v>-1309602</v>
      </c>
      <c r="D67" s="119">
        <v>-1302254</v>
      </c>
      <c r="E67" s="119">
        <v>-679265</v>
      </c>
      <c r="F67" s="119">
        <v>-771557</v>
      </c>
      <c r="G67" s="119">
        <v>-1242683</v>
      </c>
      <c r="H67" s="119">
        <v>-1399594</v>
      </c>
      <c r="I67" s="119">
        <v>-1441778</v>
      </c>
      <c r="J67" s="120">
        <f ca="1">+SUM(J64:J66)</f>
        <v>-1506546.2340879235</v>
      </c>
      <c r="K67" s="120">
        <f ca="1">+SUM(K64:K66)</f>
        <v>-1587471.8793440999</v>
      </c>
      <c r="L67" s="120">
        <f ca="1">+SUM(L64:L66)</f>
        <v>-1672367.8586446382</v>
      </c>
      <c r="M67" s="120">
        <f ca="1">+SUM(M64:M66)</f>
        <v>-1761115.2675186507</v>
      </c>
    </row>
    <row r="68" spans="2:13" x14ac:dyDescent="0.35">
      <c r="B68" s="98" t="s">
        <v>55</v>
      </c>
      <c r="C68" s="119">
        <v>521713</v>
      </c>
      <c r="D68" s="119">
        <v>498495</v>
      </c>
      <c r="E68" s="119">
        <v>-150867</v>
      </c>
      <c r="F68" s="119">
        <v>130877</v>
      </c>
      <c r="G68" s="119">
        <v>449330</v>
      </c>
      <c r="H68" s="119">
        <v>532602</v>
      </c>
      <c r="I68" s="119">
        <v>614504</v>
      </c>
      <c r="J68" s="120">
        <f ca="1">+J9+J10+J67</f>
        <v>582170.76591207646</v>
      </c>
      <c r="K68" s="120">
        <f ca="1">+K9+K10+K67</f>
        <v>602526.85065590055</v>
      </c>
      <c r="L68" s="120">
        <f ca="1">+L9+L10+L67</f>
        <v>625160.02765536215</v>
      </c>
      <c r="M68" s="120">
        <f ca="1">+M9+M10+M67</f>
        <v>649845.00910634967</v>
      </c>
    </row>
    <row r="69" spans="2:13" x14ac:dyDescent="0.35">
      <c r="B69" t="s">
        <v>56</v>
      </c>
      <c r="C69" s="113">
        <v>-20815</v>
      </c>
      <c r="D69" s="113">
        <v>-20584</v>
      </c>
      <c r="E69" s="113">
        <v>-664</v>
      </c>
      <c r="F69" s="113">
        <v>-5348</v>
      </c>
      <c r="G69" s="113">
        <v>-18571</v>
      </c>
      <c r="H69" s="113">
        <v>-42840</v>
      </c>
      <c r="I69" s="113">
        <v>-39149</v>
      </c>
      <c r="J69" s="111">
        <f ca="1">+-(J9*J114)</f>
        <v>-23397.174019857051</v>
      </c>
      <c r="K69" s="111">
        <f ca="1">+-(K9*K114)</f>
        <v>-24555.829373895653</v>
      </c>
      <c r="L69" s="111">
        <f ca="1">+-(L9*L114)</f>
        <v>-25785.954813718297</v>
      </c>
      <c r="M69" s="111">
        <f ca="1">+-(M9*M114)</f>
        <v>-27083.612805652847</v>
      </c>
    </row>
    <row r="70" spans="2:13" x14ac:dyDescent="0.35">
      <c r="B70" s="98" t="s">
        <v>57</v>
      </c>
      <c r="C70" s="119">
        <v>500898</v>
      </c>
      <c r="D70" s="119">
        <v>477911</v>
      </c>
      <c r="E70" s="119">
        <v>-151531</v>
      </c>
      <c r="F70" s="119">
        <v>125529</v>
      </c>
      <c r="G70" s="119">
        <v>430759</v>
      </c>
      <c r="H70" s="119">
        <v>489762</v>
      </c>
      <c r="I70" s="119">
        <v>575355</v>
      </c>
      <c r="J70" s="120">
        <f ca="1">+J68+J69</f>
        <v>558773.59189221938</v>
      </c>
      <c r="K70" s="120">
        <f ca="1">+K68+K69</f>
        <v>577971.02128200489</v>
      </c>
      <c r="L70" s="120">
        <f ca="1">+L68+L69</f>
        <v>599374.07284164382</v>
      </c>
      <c r="M70" s="120">
        <f ca="1">+M68+M69</f>
        <v>622761.39630069677</v>
      </c>
    </row>
    <row r="71" spans="2:13" x14ac:dyDescent="0.35">
      <c r="B71" s="13" t="s">
        <v>76</v>
      </c>
      <c r="C71" s="114">
        <v>0</v>
      </c>
      <c r="D71" s="114">
        <v>-4.5891578724610596E-2</v>
      </c>
      <c r="E71" s="114">
        <v>-1.3170694962032681</v>
      </c>
      <c r="F71" s="114">
        <v>1.8284047488632689</v>
      </c>
      <c r="G71" s="114">
        <v>2.4315496817468474</v>
      </c>
      <c r="H71" s="114">
        <v>0.13697450314444967</v>
      </c>
      <c r="I71" s="114">
        <v>0.17476447744006274</v>
      </c>
      <c r="J71" s="17">
        <f ca="1">+J70/I70-1</f>
        <v>-2.8819438620991567E-2</v>
      </c>
      <c r="K71" s="17">
        <f ca="1">+K70/J70-1</f>
        <v>3.4356364846763299E-2</v>
      </c>
      <c r="L71" s="17">
        <f ca="1">+L70/K70-1</f>
        <v>3.7031357579424329E-2</v>
      </c>
      <c r="M71" s="17">
        <f ca="1">+M70/L70-1</f>
        <v>3.9019578121177734E-2</v>
      </c>
    </row>
    <row r="72" spans="2:13" x14ac:dyDescent="0.35">
      <c r="B72" s="15" t="s">
        <v>73</v>
      </c>
      <c r="C72" s="114">
        <v>0.27351820959256051</v>
      </c>
      <c r="D72" s="114">
        <v>0.26539567702106182</v>
      </c>
      <c r="E72" s="114">
        <v>-0.28677436326405475</v>
      </c>
      <c r="F72" s="114">
        <v>0.13910047715400795</v>
      </c>
      <c r="G72" s="114">
        <v>0.2545837413778736</v>
      </c>
      <c r="H72" s="114">
        <v>0.2534742852174417</v>
      </c>
      <c r="I72" s="114">
        <v>0.27980354834599536</v>
      </c>
      <c r="J72" s="17">
        <f ca="1">+J70/J9</f>
        <v>0.27320939492222079</v>
      </c>
      <c r="K72" s="17">
        <f ca="1">+K70/K9</f>
        <v>0.26926172196482823</v>
      </c>
      <c r="L72" s="17">
        <f ca="1">+L70/L9</f>
        <v>0.26591197599494393</v>
      </c>
      <c r="M72" s="17">
        <f ca="1">+M70/M9</f>
        <v>0.26304996550507209</v>
      </c>
    </row>
    <row r="73" spans="2:13" x14ac:dyDescent="0.35">
      <c r="B73" t="s">
        <v>58</v>
      </c>
      <c r="C73" s="113">
        <v>-117378</v>
      </c>
      <c r="D73" s="113">
        <v>-122329</v>
      </c>
      <c r="E73" s="113">
        <v>-179912</v>
      </c>
      <c r="F73" s="113">
        <v>-125581</v>
      </c>
      <c r="G73" s="113">
        <v>-89927</v>
      </c>
      <c r="H73" s="113">
        <v>-114368</v>
      </c>
      <c r="I73" s="113">
        <v>-102333</v>
      </c>
      <c r="J73" s="112">
        <f>+'Fixed Assets'!J6</f>
        <v>-103385.02397999175</v>
      </c>
      <c r="K73" s="112">
        <f>+'Fixed Assets'!K6</f>
        <v>-102574.10419799936</v>
      </c>
      <c r="L73" s="112">
        <f>+'Fixed Assets'!L6</f>
        <v>-101769.54501706417</v>
      </c>
      <c r="M73" s="112">
        <f>+'Fixed Assets'!M6</f>
        <v>-100971.29654662157</v>
      </c>
    </row>
    <row r="74" spans="2:13" x14ac:dyDescent="0.35">
      <c r="B74" t="s">
        <v>59</v>
      </c>
      <c r="C74" s="113">
        <v>-124270</v>
      </c>
      <c r="D74" s="113">
        <v>-137713</v>
      </c>
      <c r="E74" s="113">
        <v>-225905</v>
      </c>
      <c r="F74" s="113">
        <v>-145294</v>
      </c>
      <c r="G74" s="113">
        <v>-139733</v>
      </c>
      <c r="H74" s="113">
        <v>-144395</v>
      </c>
      <c r="I74" s="113">
        <v>-139559</v>
      </c>
      <c r="J74" s="112">
        <f>+'Fixed Assets'!J19</f>
        <v>-153962.7939774133</v>
      </c>
      <c r="K74" s="112">
        <f>+'Fixed Assets'!K19</f>
        <v>-162979.70898911235</v>
      </c>
      <c r="L74" s="112">
        <f>+'Fixed Assets'!L19</f>
        <v>-172524.70454694729</v>
      </c>
      <c r="M74" s="112">
        <f>+'Fixed Assets'!M19</f>
        <v>-182628.70797615586</v>
      </c>
    </row>
    <row r="75" spans="2:13" x14ac:dyDescent="0.35">
      <c r="B75" t="s">
        <v>60</v>
      </c>
      <c r="C75" s="113">
        <v>-379</v>
      </c>
      <c r="D75" s="113">
        <v>4926</v>
      </c>
      <c r="E75" s="115">
        <v>0</v>
      </c>
      <c r="F75" s="115">
        <v>0</v>
      </c>
      <c r="G75" s="115">
        <v>0</v>
      </c>
      <c r="H75" s="115">
        <v>0</v>
      </c>
      <c r="I75" s="115">
        <v>0</v>
      </c>
      <c r="J75" s="115">
        <v>0</v>
      </c>
      <c r="K75" s="115">
        <v>0</v>
      </c>
      <c r="L75" s="115">
        <v>0</v>
      </c>
      <c r="M75" s="115">
        <v>0</v>
      </c>
    </row>
    <row r="76" spans="2:13" x14ac:dyDescent="0.35">
      <c r="B76" s="98" t="s">
        <v>61</v>
      </c>
      <c r="C76" s="119">
        <v>258871</v>
      </c>
      <c r="D76" s="119">
        <v>222795</v>
      </c>
      <c r="E76" s="119">
        <v>-557348</v>
      </c>
      <c r="F76" s="119">
        <v>-145346</v>
      </c>
      <c r="G76" s="119">
        <v>201099</v>
      </c>
      <c r="H76" s="119">
        <v>230999</v>
      </c>
      <c r="I76" s="119">
        <v>333463</v>
      </c>
      <c r="J76" s="120">
        <f ca="1">+J70+J73+J74</f>
        <v>301425.77393481438</v>
      </c>
      <c r="K76" s="120">
        <f ca="1">+K70+K73+K74</f>
        <v>312417.2080948932</v>
      </c>
      <c r="L76" s="120">
        <f ca="1">+L70+L73+L74</f>
        <v>325079.82327763236</v>
      </c>
      <c r="M76" s="120">
        <f ca="1">+M70+M73+M74</f>
        <v>339161.39177791931</v>
      </c>
    </row>
    <row r="77" spans="2:13" x14ac:dyDescent="0.35">
      <c r="B77" s="13" t="s">
        <v>77</v>
      </c>
      <c r="C77" s="114">
        <v>0</v>
      </c>
      <c r="D77" s="114">
        <v>-0.1393589857496591</v>
      </c>
      <c r="E77" s="114">
        <v>-3.5016180794003455</v>
      </c>
      <c r="F77" s="114">
        <v>0.73921858515684991</v>
      </c>
      <c r="G77" s="114">
        <v>2.3835881276402517</v>
      </c>
      <c r="H77" s="114">
        <v>0.14868298698650914</v>
      </c>
      <c r="I77" s="114">
        <v>0.44356901977930641</v>
      </c>
      <c r="J77" s="17">
        <f ca="1">+J76/I76-1</f>
        <v>-9.6074305290798745E-2</v>
      </c>
      <c r="K77" s="17">
        <f ca="1">+K76/J76-1</f>
        <v>3.6464811938927921E-2</v>
      </c>
      <c r="L77" s="17">
        <f ca="1">+L76/K76-1</f>
        <v>4.05311066568812E-2</v>
      </c>
      <c r="M77" s="17">
        <f ca="1">+M76/L76-1</f>
        <v>4.3317263920931381E-2</v>
      </c>
    </row>
    <row r="78" spans="2:13" x14ac:dyDescent="0.35">
      <c r="B78" s="15" t="s">
        <v>74</v>
      </c>
      <c r="C78" s="114">
        <v>0.14135798592814453</v>
      </c>
      <c r="D78" s="114">
        <v>0.1237235172697583</v>
      </c>
      <c r="E78" s="114">
        <v>-1.0547882467382541</v>
      </c>
      <c r="F78" s="114">
        <v>-0.16105997779338987</v>
      </c>
      <c r="G78" s="114">
        <v>0.11885192371453411</v>
      </c>
      <c r="H78" s="114">
        <v>0.11955257127123749</v>
      </c>
      <c r="I78" s="114">
        <v>0.16216793221941347</v>
      </c>
      <c r="J78" s="17">
        <f ca="1">+J76/J9</f>
        <v>0.14738053928392794</v>
      </c>
      <c r="K78" s="17">
        <f ca="1">+K76/K9</f>
        <v>0.14554708164517133</v>
      </c>
      <c r="L78" s="17">
        <f ca="1">+L76/L9</f>
        <v>0.14422148384566635</v>
      </c>
      <c r="M78" s="17">
        <f ca="1">+M76/M9</f>
        <v>0.14325934930744533</v>
      </c>
    </row>
    <row r="79" spans="2:13" x14ac:dyDescent="0.35">
      <c r="B79" t="s">
        <v>62</v>
      </c>
      <c r="C79" s="113">
        <v>-8935</v>
      </c>
      <c r="D79" s="113">
        <v>-12753</v>
      </c>
      <c r="E79" s="113">
        <v>-655</v>
      </c>
      <c r="F79" s="113">
        <v>-1549</v>
      </c>
      <c r="G79" s="113">
        <v>-13711</v>
      </c>
      <c r="H79" s="113">
        <v>1977</v>
      </c>
      <c r="I79" s="113">
        <v>-43</v>
      </c>
      <c r="J79" s="112">
        <v>0</v>
      </c>
      <c r="K79" s="112">
        <v>0</v>
      </c>
      <c r="L79" s="112">
        <v>0</v>
      </c>
      <c r="M79" s="112">
        <v>0</v>
      </c>
    </row>
    <row r="80" spans="2:13" x14ac:dyDescent="0.35">
      <c r="B80" t="s">
        <v>63</v>
      </c>
      <c r="C80" s="113">
        <v>-31762</v>
      </c>
      <c r="D80" s="113">
        <v>-33069</v>
      </c>
      <c r="E80" s="113">
        <v>-33328</v>
      </c>
      <c r="F80" s="113">
        <v>-39157</v>
      </c>
      <c r="G80" s="113">
        <v>-45488</v>
      </c>
      <c r="H80" s="113">
        <v>-73905</v>
      </c>
      <c r="I80" s="113">
        <v>-63585</v>
      </c>
      <c r="J80" s="112">
        <f ca="1">+'Ratios &amp; KPI''s'!J16*(Balance!J38+Balance!J39+Balance!J47+Balance!J48)*-1</f>
        <v>-59572.232134084072</v>
      </c>
      <c r="K80" s="112">
        <f ca="1">+'Ratios &amp; KPI''s'!K16*(Balance!K38+Balance!K39+Balance!K47+Balance!K48)*-1</f>
        <v>-55812.704905829967</v>
      </c>
      <c r="L80" s="112">
        <f ca="1">+'Ratios &amp; KPI''s'!L16*(Balance!L38+Balance!L39+Balance!L47+Balance!L48)*-1</f>
        <v>-52290.436623122368</v>
      </c>
      <c r="M80" s="112">
        <f ca="1">+'Ratios &amp; KPI''s'!M16*(Balance!M38+Balance!M39+Balance!M47+Balance!M48)*-1</f>
        <v>-48990.454177954809</v>
      </c>
    </row>
    <row r="81" spans="2:13" x14ac:dyDescent="0.35">
      <c r="B81" t="s">
        <v>64</v>
      </c>
      <c r="C81" s="113">
        <v>-43515</v>
      </c>
      <c r="D81" s="113">
        <v>-41381</v>
      </c>
      <c r="E81" s="113">
        <v>-32507</v>
      </c>
      <c r="F81" s="113">
        <v>-27422</v>
      </c>
      <c r="G81" s="113">
        <v>-29415</v>
      </c>
      <c r="H81" s="113">
        <v>-33385</v>
      </c>
      <c r="I81" s="113">
        <v>-38454</v>
      </c>
      <c r="J81" s="112">
        <f ca="1">+'Ratios &amp; KPI''s'!J17*(Balance!J40+Balance!J49)*-1</f>
        <v>-42638.825242718442</v>
      </c>
      <c r="K81" s="112">
        <f ca="1">+'Ratios &amp; KPI''s'!K17*(Balance!K40+Balance!K49)*-1</f>
        <v>-41396.917711377129</v>
      </c>
      <c r="L81" s="112">
        <f ca="1">+'Ratios &amp; KPI''s'!L17*(Balance!L40+Balance!L49)*-1</f>
        <v>-40191.182244055468</v>
      </c>
      <c r="M81" s="112">
        <f ca="1">+'Ratios &amp; KPI''s'!M17*(Balance!M40+Balance!M49)*-1</f>
        <v>-39020.565285490746</v>
      </c>
    </row>
    <row r="82" spans="2:13" x14ac:dyDescent="0.35">
      <c r="B82" t="s">
        <v>65</v>
      </c>
      <c r="C82" s="113">
        <v>15223</v>
      </c>
      <c r="D82" s="113">
        <v>14417</v>
      </c>
      <c r="E82" s="113">
        <v>-8074</v>
      </c>
      <c r="F82" s="113">
        <v>5281</v>
      </c>
      <c r="G82" s="113">
        <v>27438</v>
      </c>
      <c r="H82" s="113">
        <v>10715</v>
      </c>
      <c r="I82" s="113">
        <v>4023</v>
      </c>
      <c r="J82" s="112">
        <f ca="1">+J137*(J9+J10)</f>
        <v>12223.070581338912</v>
      </c>
      <c r="K82" s="112">
        <f ca="1">+K137*(K9+K10)</f>
        <v>12815.766353140509</v>
      </c>
      <c r="L82" s="112">
        <f ca="1">+L137*(L9+L10)</f>
        <v>13445.021760649866</v>
      </c>
      <c r="M82" s="112">
        <f ca="1">+M137*(M9+M10)</f>
        <v>14108.822607366996</v>
      </c>
    </row>
    <row r="83" spans="2:13" x14ac:dyDescent="0.35">
      <c r="B83" s="98" t="s">
        <v>66</v>
      </c>
      <c r="C83" s="119">
        <v>-68989</v>
      </c>
      <c r="D83" s="119">
        <v>-72786</v>
      </c>
      <c r="E83" s="119">
        <v>-74564</v>
      </c>
      <c r="F83" s="119">
        <v>-62847</v>
      </c>
      <c r="G83" s="119">
        <v>-61176</v>
      </c>
      <c r="H83" s="119">
        <v>-94598</v>
      </c>
      <c r="I83" s="119">
        <v>-98059</v>
      </c>
      <c r="J83" s="120">
        <f ca="1">+J80+J81+J82</f>
        <v>-89987.986795463614</v>
      </c>
      <c r="K83" s="120">
        <f ca="1">+K80+K81+K82</f>
        <v>-84393.856264066577</v>
      </c>
      <c r="L83" s="120">
        <f ca="1">+L80+L81+L82</f>
        <v>-79036.597106527974</v>
      </c>
      <c r="M83" s="120">
        <f ca="1">+M80+M81+M82</f>
        <v>-73902.196856078561</v>
      </c>
    </row>
    <row r="84" spans="2:13" x14ac:dyDescent="0.35">
      <c r="B84" s="6" t="s">
        <v>67</v>
      </c>
      <c r="C84" s="116">
        <v>5320</v>
      </c>
      <c r="D84" s="116">
        <v>6303</v>
      </c>
      <c r="E84" s="116">
        <v>-31859</v>
      </c>
      <c r="F84" s="116">
        <v>-9198</v>
      </c>
      <c r="G84" s="116">
        <v>16389</v>
      </c>
      <c r="H84" s="116">
        <v>12916</v>
      </c>
      <c r="I84" s="116">
        <v>-10980</v>
      </c>
      <c r="J84" s="112">
        <v>0</v>
      </c>
      <c r="K84" s="112">
        <v>0</v>
      </c>
      <c r="L84" s="112">
        <v>0</v>
      </c>
      <c r="M84" s="112">
        <v>0</v>
      </c>
    </row>
    <row r="85" spans="2:13" x14ac:dyDescent="0.35">
      <c r="B85" s="98" t="s">
        <v>68</v>
      </c>
      <c r="C85" s="119">
        <v>195202</v>
      </c>
      <c r="D85" s="119">
        <v>156312</v>
      </c>
      <c r="E85" s="119">
        <v>-663771</v>
      </c>
      <c r="F85" s="119">
        <v>-217391</v>
      </c>
      <c r="G85" s="119">
        <v>156312</v>
      </c>
      <c r="H85" s="119">
        <v>149317</v>
      </c>
      <c r="I85" s="119">
        <v>224424</v>
      </c>
      <c r="J85" s="120">
        <f ca="1">+J76+J83</f>
        <v>211437.78713935078</v>
      </c>
      <c r="K85" s="120">
        <f ca="1">+K76+K83</f>
        <v>228023.35183082661</v>
      </c>
      <c r="L85" s="120">
        <f ca="1">+L76+L83</f>
        <v>246043.22617110438</v>
      </c>
      <c r="M85" s="120">
        <f ca="1">+M76+M83</f>
        <v>265259.19492184074</v>
      </c>
    </row>
    <row r="86" spans="2:13" x14ac:dyDescent="0.35">
      <c r="B86" t="s">
        <v>69</v>
      </c>
      <c r="C86" s="113">
        <v>-43538</v>
      </c>
      <c r="D86" s="113">
        <v>-34632</v>
      </c>
      <c r="E86" s="113">
        <v>51050</v>
      </c>
      <c r="F86" s="113">
        <v>19531</v>
      </c>
      <c r="G86" s="113">
        <v>-36188</v>
      </c>
      <c r="H86" s="113">
        <v>-19209</v>
      </c>
      <c r="I86" s="113">
        <v>-62383</v>
      </c>
      <c r="J86" s="112">
        <f ca="1">+J85*$C$94*-1</f>
        <v>-44401.935299263663</v>
      </c>
      <c r="K86" s="112">
        <f ca="1">+K85*$C$94*-1</f>
        <v>-47884.903884473584</v>
      </c>
      <c r="L86" s="112">
        <f ca="1">+L85*$C$94*-1</f>
        <v>-51669.077495931917</v>
      </c>
      <c r="M86" s="112">
        <f ca="1">+M85*$C$94*-1</f>
        <v>-55704.430933586555</v>
      </c>
    </row>
    <row r="87" spans="2:13" x14ac:dyDescent="0.35">
      <c r="B87" t="s">
        <v>79</v>
      </c>
      <c r="C87" s="117">
        <v>0.22304074753332445</v>
      </c>
      <c r="D87" s="117">
        <v>0.22155688622754491</v>
      </c>
      <c r="E87" s="117">
        <v>7.6909054478125738E-2</v>
      </c>
      <c r="F87" s="117">
        <v>8.9842725779816085E-2</v>
      </c>
      <c r="G87" s="117">
        <v>0.23151133630175547</v>
      </c>
      <c r="H87" s="117">
        <v>0.12864576705934355</v>
      </c>
      <c r="I87" s="117">
        <v>0.27796937938901367</v>
      </c>
      <c r="J87" s="34">
        <f>+$C$94</f>
        <v>0.21</v>
      </c>
      <c r="K87" s="34">
        <f t="shared" ref="K87:M87" si="36">+$C$94</f>
        <v>0.21</v>
      </c>
      <c r="L87" s="34">
        <f t="shared" si="36"/>
        <v>0.21</v>
      </c>
      <c r="M87" s="34">
        <f t="shared" si="36"/>
        <v>0.21</v>
      </c>
    </row>
    <row r="88" spans="2:13" x14ac:dyDescent="0.35">
      <c r="B88" s="2" t="s">
        <v>70</v>
      </c>
      <c r="C88" s="121">
        <v>151664</v>
      </c>
      <c r="D88" s="121">
        <v>121680</v>
      </c>
      <c r="E88" s="121">
        <v>-612721</v>
      </c>
      <c r="F88" s="121">
        <v>-197860</v>
      </c>
      <c r="G88" s="121">
        <v>120124</v>
      </c>
      <c r="H88" s="121">
        <v>130108</v>
      </c>
      <c r="I88" s="121">
        <v>162041</v>
      </c>
      <c r="J88" s="148">
        <f ca="1">+J85</f>
        <v>211437.78713935078</v>
      </c>
      <c r="K88" s="148">
        <f ca="1">+K85</f>
        <v>228023.35183082661</v>
      </c>
      <c r="L88" s="148">
        <f ca="1">+L85</f>
        <v>246043.22617110438</v>
      </c>
      <c r="M88" s="148">
        <f ca="1">+M85</f>
        <v>265259.19492184074</v>
      </c>
    </row>
    <row r="89" spans="2:13" x14ac:dyDescent="0.35">
      <c r="B89" s="13" t="s">
        <v>78</v>
      </c>
      <c r="C89" s="14"/>
      <c r="D89" s="114">
        <v>-0.19770017934381265</v>
      </c>
      <c r="E89" s="114">
        <v>-6.0355111768573311</v>
      </c>
      <c r="F89" s="114">
        <v>0.67707978019359549</v>
      </c>
      <c r="G89" s="114">
        <v>1.6071161427271807</v>
      </c>
      <c r="H89" s="114">
        <v>8.3114115414072126E-2</v>
      </c>
      <c r="I89" s="114">
        <v>0.24543456205613798</v>
      </c>
      <c r="J89" s="17">
        <f ca="1">+(J88-I88)/J88</f>
        <v>0.2336232695568044</v>
      </c>
      <c r="K89" s="17">
        <f ca="1">+(K88-J88)/K88</f>
        <v>7.2736255117330548E-2</v>
      </c>
      <c r="L89" s="17">
        <f ca="1">+(L88-K88)/L88</f>
        <v>7.3238652494933235E-2</v>
      </c>
      <c r="M89" s="17">
        <f ca="1">+(M88-L88)/M88</f>
        <v>7.2442234307460621E-2</v>
      </c>
    </row>
    <row r="90" spans="2:13" x14ac:dyDescent="0.35">
      <c r="B90" s="15" t="s">
        <v>75</v>
      </c>
      <c r="C90" s="114">
        <v>8.2816992161370381E-2</v>
      </c>
      <c r="D90" s="114">
        <v>6.7571882588856075E-2</v>
      </c>
      <c r="E90" s="114">
        <v>-1.1595823602663144</v>
      </c>
      <c r="F90" s="114">
        <v>-0.21925149096776053</v>
      </c>
      <c r="G90" s="114">
        <v>7.0994726399856267E-2</v>
      </c>
      <c r="H90" s="114">
        <v>6.7336854025161014E-2</v>
      </c>
      <c r="I90" s="114">
        <v>7.8802907383325835E-2</v>
      </c>
      <c r="J90" s="17">
        <f ca="1">+J88/(J9+J10)</f>
        <v>0.10122854706470565</v>
      </c>
      <c r="K90" s="17">
        <f ca="1">+K88/(K9+K10)</f>
        <v>0.10412031235781884</v>
      </c>
      <c r="L90" s="17">
        <f ca="1">+L88/(L9+L10)</f>
        <v>0.10709041994146974</v>
      </c>
      <c r="M90" s="17">
        <f ca="1">+M88/(M9+M10)</f>
        <v>0.11002221707823642</v>
      </c>
    </row>
    <row r="91" spans="2:13" x14ac:dyDescent="0.35">
      <c r="B91" t="s">
        <v>71</v>
      </c>
      <c r="C91" s="113">
        <v>147094</v>
      </c>
      <c r="D91" s="113">
        <v>112898</v>
      </c>
      <c r="E91" s="113">
        <v>-595928</v>
      </c>
      <c r="F91" s="113">
        <v>-192901</v>
      </c>
      <c r="G91" s="113">
        <v>110693</v>
      </c>
      <c r="H91" s="113">
        <v>117733</v>
      </c>
      <c r="I91" s="113">
        <v>140626</v>
      </c>
      <c r="J91" s="112">
        <f ca="1">+J88-J92</f>
        <v>190022.8159587894</v>
      </c>
      <c r="K91" s="112">
        <f ca="1">+K88-K92</f>
        <v>197888.26207294341</v>
      </c>
      <c r="L91" s="112">
        <f ca="1">+L88-L92</f>
        <v>213526.66747019411</v>
      </c>
      <c r="M91" s="112">
        <f ca="1">+M88-M92</f>
        <v>230203.09393967438</v>
      </c>
    </row>
    <row r="92" spans="2:13" x14ac:dyDescent="0.35">
      <c r="B92" t="s">
        <v>72</v>
      </c>
      <c r="C92" s="113">
        <v>4570</v>
      </c>
      <c r="D92" s="113">
        <v>8781</v>
      </c>
      <c r="E92" s="113">
        <v>-16792</v>
      </c>
      <c r="F92" s="113">
        <v>-4959</v>
      </c>
      <c r="G92" s="113">
        <v>9430</v>
      </c>
      <c r="H92" s="113">
        <v>12375</v>
      </c>
      <c r="I92" s="113">
        <v>21415</v>
      </c>
      <c r="J92" s="112">
        <f ca="1">+I92*1+J71</f>
        <v>21414.971180561381</v>
      </c>
      <c r="K92" s="112">
        <f ca="1">+K88*K140</f>
        <v>30135.089757883201</v>
      </c>
      <c r="L92" s="112">
        <f ca="1">+L88*L140</f>
        <v>32516.558700910264</v>
      </c>
      <c r="M92" s="112">
        <f ca="1">+M88*M140</f>
        <v>35056.100982166361</v>
      </c>
    </row>
    <row r="94" spans="2:13" x14ac:dyDescent="0.35">
      <c r="B94" s="135" t="s">
        <v>167</v>
      </c>
      <c r="C94" s="136">
        <v>0.21</v>
      </c>
    </row>
    <row r="96" spans="2:13" x14ac:dyDescent="0.35">
      <c r="B96" s="27" t="s">
        <v>118</v>
      </c>
      <c r="C96" s="26"/>
      <c r="D96" s="26"/>
      <c r="E96" s="26"/>
      <c r="F96" s="26"/>
      <c r="G96" s="26"/>
      <c r="H96" s="26"/>
      <c r="I96" s="26"/>
      <c r="J96" s="26"/>
      <c r="K96" s="26"/>
      <c r="L96" s="26"/>
      <c r="M96" s="26"/>
    </row>
    <row r="97" spans="2:15" x14ac:dyDescent="0.35">
      <c r="B97" s="164" t="s">
        <v>272</v>
      </c>
      <c r="C97" s="7">
        <v>21263</v>
      </c>
      <c r="D97" s="7">
        <v>20204</v>
      </c>
      <c r="E97" s="7">
        <v>8475</v>
      </c>
      <c r="F97" s="7">
        <v>10796</v>
      </c>
      <c r="G97" s="7">
        <v>16814</v>
      </c>
      <c r="H97" s="7">
        <v>18280</v>
      </c>
      <c r="I97" s="7">
        <v>18362</v>
      </c>
      <c r="J97" s="7">
        <f>+J103*J104</f>
        <v>18943.205868772591</v>
      </c>
      <c r="K97" s="7">
        <f t="shared" ref="K97:M97" si="37">+K103*K104</f>
        <v>19687.049031158949</v>
      </c>
      <c r="L97" s="7">
        <f t="shared" si="37"/>
        <v>20430.892193545307</v>
      </c>
      <c r="M97" s="7">
        <f t="shared" si="37"/>
        <v>21174.735355931665</v>
      </c>
    </row>
    <row r="98" spans="2:15" x14ac:dyDescent="0.35">
      <c r="B98" s="214" t="s">
        <v>119</v>
      </c>
      <c r="C98" s="93">
        <v>0</v>
      </c>
      <c r="D98" s="94">
        <f>+(D97/C97)-1</f>
        <v>-4.9804825283356058E-2</v>
      </c>
      <c r="E98" s="94">
        <f>+(E97/D97)-1</f>
        <v>-0.58052860819639673</v>
      </c>
      <c r="F98" s="94">
        <f t="shared" ref="F98:G98" si="38">+(F97/E97)-1</f>
        <v>0.27386430678466067</v>
      </c>
      <c r="G98" s="94">
        <f t="shared" si="38"/>
        <v>0.55742867728788448</v>
      </c>
      <c r="H98" s="94">
        <f>+(H97/G97)-1</f>
        <v>8.718924705602471E-2</v>
      </c>
      <c r="I98" s="94">
        <f t="shared" ref="I98" si="39">+(I97/H97)-1</f>
        <v>4.485776805251751E-3</v>
      </c>
      <c r="J98" s="99">
        <f>+(J97/I97)-1</f>
        <v>3.1652645069850216E-2</v>
      </c>
      <c r="K98" s="99">
        <f>+(K97/J97)-1</f>
        <v>3.9267015706806241E-2</v>
      </c>
      <c r="L98" s="99">
        <f>+(L97/K97)-1</f>
        <v>3.7783375314861534E-2</v>
      </c>
      <c r="M98" s="99">
        <f>+(M97/L97)-1</f>
        <v>3.6407766990291357E-2</v>
      </c>
    </row>
    <row r="99" spans="2:15" x14ac:dyDescent="0.35">
      <c r="B99" s="164" t="s">
        <v>120</v>
      </c>
      <c r="C99" s="7">
        <v>-526644000</v>
      </c>
      <c r="D99" s="7">
        <v>-523918000</v>
      </c>
      <c r="E99" s="7">
        <v>-282106000</v>
      </c>
      <c r="F99" s="7">
        <v>-307364000</v>
      </c>
      <c r="G99" s="7">
        <v>-473397000</v>
      </c>
      <c r="H99" s="7">
        <v>-544741000</v>
      </c>
      <c r="I99" s="7">
        <v>-570278000</v>
      </c>
      <c r="J99" s="7">
        <f>+J101*J97</f>
        <v>-600095383.26764703</v>
      </c>
      <c r="K99" s="7">
        <f>+K101*K97</f>
        <v>-636132524.87015963</v>
      </c>
      <c r="L99" s="7">
        <f>+L101*L97</f>
        <v>-673371113.98346567</v>
      </c>
      <c r="M99" s="7">
        <f t="shared" ref="M99" si="40">+M101*M97</f>
        <v>-711844793.65135598</v>
      </c>
    </row>
    <row r="100" spans="2:15" x14ac:dyDescent="0.35">
      <c r="B100" s="214" t="s">
        <v>119</v>
      </c>
      <c r="C100" s="93">
        <v>0</v>
      </c>
      <c r="D100" s="94">
        <f>+(D99/C99)-1</f>
        <v>-5.1761721390540805E-3</v>
      </c>
      <c r="E100" s="94">
        <f>+(E99/D99)-1</f>
        <v>-0.4615455090300391</v>
      </c>
      <c r="F100" s="94">
        <f t="shared" ref="F100" si="41">+(F99/E99)-1</f>
        <v>8.9533721367145658E-2</v>
      </c>
      <c r="G100" s="94">
        <f t="shared" ref="G100" si="42">+(G99/F99)-1</f>
        <v>0.54018362592886615</v>
      </c>
      <c r="H100" s="94">
        <f>+(H99/G99)-1</f>
        <v>0.15070648947923204</v>
      </c>
      <c r="I100" s="94">
        <f t="shared" ref="I100" si="43">+(I99/H99)-1</f>
        <v>4.6879159086611777E-2</v>
      </c>
      <c r="J100" s="99">
        <f t="shared" ref="J100" si="44">+(J99/I99)-1</f>
        <v>5.228569797124738E-2</v>
      </c>
      <c r="K100" s="99">
        <f t="shared" ref="K100" si="45">+(K99/J99)-1</f>
        <v>6.0052356020942277E-2</v>
      </c>
      <c r="L100" s="99">
        <f t="shared" ref="L100" si="46">+(L99/K99)-1</f>
        <v>5.8539042821158738E-2</v>
      </c>
      <c r="M100" s="99">
        <f t="shared" ref="M100" si="47">+(M99/L99)-1</f>
        <v>5.7135922330097122E-2</v>
      </c>
    </row>
    <row r="101" spans="2:15" x14ac:dyDescent="0.35">
      <c r="B101" s="164" t="s">
        <v>121</v>
      </c>
      <c r="C101" s="7">
        <f>+C99/C97</f>
        <v>-24768.094812585241</v>
      </c>
      <c r="D101" s="7">
        <f t="shared" ref="D101:I101" si="48">+D99/D97</f>
        <v>-25931.399722827162</v>
      </c>
      <c r="E101" s="7">
        <f t="shared" si="48"/>
        <v>-33286.843657817109</v>
      </c>
      <c r="F101" s="7">
        <f t="shared" si="48"/>
        <v>-28470.174138569841</v>
      </c>
      <c r="G101" s="7">
        <f t="shared" si="48"/>
        <v>-28154.930415130249</v>
      </c>
      <c r="H101" s="7">
        <f t="shared" si="48"/>
        <v>-29799.835886214441</v>
      </c>
      <c r="I101" s="7">
        <f t="shared" si="48"/>
        <v>-31057.510075155213</v>
      </c>
      <c r="J101" s="7">
        <f>+I101*(1+J102)</f>
        <v>-31678.660276658316</v>
      </c>
      <c r="K101" s="7">
        <f t="shared" ref="K101:M101" si="49">+J101*(1+K102)</f>
        <v>-32312.233482191485</v>
      </c>
      <c r="L101" s="7">
        <f t="shared" si="49"/>
        <v>-32958.478151835312</v>
      </c>
      <c r="M101" s="7">
        <f t="shared" si="49"/>
        <v>-33617.647714872022</v>
      </c>
    </row>
    <row r="102" spans="2:15" x14ac:dyDescent="0.35">
      <c r="B102" s="214" t="s">
        <v>119</v>
      </c>
      <c r="C102" s="93">
        <v>0</v>
      </c>
      <c r="D102" s="94">
        <f>+(D101/C101)-1</f>
        <v>4.6967880212200219E-2</v>
      </c>
      <c r="E102" s="94">
        <f>+(E101/D101)-1</f>
        <v>0.28365009269110231</v>
      </c>
      <c r="F102" s="94">
        <f t="shared" ref="F102" si="50">+(F101/E101)-1</f>
        <v>-0.14470189990861804</v>
      </c>
      <c r="G102" s="94">
        <f t="shared" ref="G102" si="51">+(G101/F101)-1</f>
        <v>-1.1072771171164564E-2</v>
      </c>
      <c r="H102" s="94">
        <f>+(H101/G101)-1</f>
        <v>5.842335416322797E-2</v>
      </c>
      <c r="I102" s="94">
        <f t="shared" ref="I102" si="52">+(I101/H101)-1</f>
        <v>4.2204064268775987E-2</v>
      </c>
      <c r="J102" s="99">
        <v>0.02</v>
      </c>
      <c r="K102" s="99">
        <v>0.02</v>
      </c>
      <c r="L102" s="99">
        <v>0.02</v>
      </c>
      <c r="M102" s="99">
        <v>0.02</v>
      </c>
    </row>
    <row r="103" spans="2:15" x14ac:dyDescent="0.35">
      <c r="B103" s="164" t="s">
        <v>122</v>
      </c>
      <c r="D103">
        <v>326</v>
      </c>
      <c r="E103">
        <v>317</v>
      </c>
      <c r="F103">
        <v>316</v>
      </c>
      <c r="G103">
        <v>347</v>
      </c>
      <c r="H103">
        <v>350</v>
      </c>
      <c r="I103">
        <v>362</v>
      </c>
      <c r="J103" s="31">
        <f>+I103+20</f>
        <v>382</v>
      </c>
      <c r="K103" s="31">
        <f>+J103+15</f>
        <v>397</v>
      </c>
      <c r="L103" s="31">
        <f t="shared" ref="L103:M103" si="53">+K103+15</f>
        <v>412</v>
      </c>
      <c r="M103" s="31">
        <f t="shared" si="53"/>
        <v>427</v>
      </c>
    </row>
    <row r="104" spans="2:15" x14ac:dyDescent="0.35">
      <c r="B104" s="164" t="s">
        <v>133</v>
      </c>
      <c r="D104" s="35">
        <f t="shared" ref="D104:G104" si="54">+D97/D103</f>
        <v>61.975460122699388</v>
      </c>
      <c r="E104" s="35">
        <f t="shared" si="54"/>
        <v>26.735015772870664</v>
      </c>
      <c r="F104" s="35">
        <f t="shared" si="54"/>
        <v>34.164556962025316</v>
      </c>
      <c r="G104" s="35">
        <f t="shared" si="54"/>
        <v>48.455331412103746</v>
      </c>
      <c r="H104" s="35">
        <f>+H97/H103</f>
        <v>52.228571428571428</v>
      </c>
      <c r="I104" s="35">
        <f>+I97/I103</f>
        <v>50.723756906077348</v>
      </c>
      <c r="J104" s="118">
        <v>49.589544159090551</v>
      </c>
      <c r="K104" s="118">
        <v>49.589544159090551</v>
      </c>
      <c r="L104" s="118">
        <v>49.589544159090551</v>
      </c>
      <c r="M104" s="118">
        <v>49.589544159090551</v>
      </c>
      <c r="O104" s="1"/>
    </row>
    <row r="105" spans="2:15" x14ac:dyDescent="0.35">
      <c r="B105" s="214" t="s">
        <v>136</v>
      </c>
      <c r="C105" s="93">
        <f t="shared" ref="C105:I105" si="55">+ABS(C65)/C9</f>
        <v>0.28944355745106498</v>
      </c>
      <c r="D105" s="94">
        <f t="shared" si="55"/>
        <v>0.29276718348534647</v>
      </c>
      <c r="E105" s="94">
        <f t="shared" si="55"/>
        <v>0.53388922743840816</v>
      </c>
      <c r="F105" s="94">
        <f t="shared" si="55"/>
        <v>0.371567973230433</v>
      </c>
      <c r="G105" s="94">
        <f t="shared" si="55"/>
        <v>0.28182184031899532</v>
      </c>
      <c r="H105" s="94">
        <f t="shared" si="55"/>
        <v>0.28242467729952442</v>
      </c>
      <c r="I105" s="94">
        <f t="shared" si="55"/>
        <v>0.28332768610274517</v>
      </c>
      <c r="J105" s="99">
        <f ca="1">IFERROR(ABS(J99)/1000/J9,0)</f>
        <v>0.29341346645064126</v>
      </c>
      <c r="K105" s="99">
        <f ca="1">IFERROR(ABS(K99)/1000/K9,0)</f>
        <v>0.29635765935883968</v>
      </c>
      <c r="L105" s="99">
        <f ca="1">IFERROR(ABS(L99)/1000/L9,0)</f>
        <v>0.29874072238117549</v>
      </c>
      <c r="M105" s="99">
        <f ca="1">IFERROR(ABS(M99)/1000/M9,0)</f>
        <v>0.30067815623648803</v>
      </c>
    </row>
    <row r="107" spans="2:15" x14ac:dyDescent="0.35">
      <c r="B107" s="27" t="s">
        <v>134</v>
      </c>
      <c r="C107" s="26"/>
      <c r="D107" s="26"/>
      <c r="E107" s="26"/>
      <c r="F107" s="26"/>
      <c r="G107" s="26"/>
      <c r="H107" s="26"/>
      <c r="I107" s="26"/>
      <c r="J107" s="26"/>
      <c r="K107" s="26"/>
      <c r="L107" s="26"/>
      <c r="M107" s="26"/>
    </row>
    <row r="108" spans="2:15" x14ac:dyDescent="0.35">
      <c r="B108" t="s">
        <v>135</v>
      </c>
      <c r="C108" s="24">
        <f t="shared" ref="C108:I108" si="56">ABS(C64)/C9</f>
        <v>0.10485544145248296</v>
      </c>
      <c r="D108" s="24">
        <f t="shared" si="56"/>
        <v>0.11122144374693356</v>
      </c>
      <c r="E108" s="24">
        <f t="shared" si="56"/>
        <v>0.11141412344482757</v>
      </c>
      <c r="F108" s="24">
        <f t="shared" si="56"/>
        <v>0.11072184988539763</v>
      </c>
      <c r="G108" s="24">
        <f t="shared" si="56"/>
        <v>0.10593508412441198</v>
      </c>
      <c r="H108" s="24">
        <f t="shared" si="56"/>
        <v>0.10863121700994556</v>
      </c>
      <c r="I108" s="24">
        <f t="shared" si="56"/>
        <v>0.10055167315352949</v>
      </c>
      <c r="J108" s="30">
        <f>+MEDIAN(C108:I108)</f>
        <v>0.10863121700994556</v>
      </c>
      <c r="K108" s="30">
        <f t="shared" ref="K108:M108" si="57">+MEDIAN(D108:J108)</f>
        <v>0.10863121700994556</v>
      </c>
      <c r="L108" s="30">
        <f t="shared" si="57"/>
        <v>0.10863121700994556</v>
      </c>
      <c r="M108" s="30">
        <f t="shared" si="57"/>
        <v>0.10863121700994556</v>
      </c>
    </row>
    <row r="110" spans="2:15" x14ac:dyDescent="0.35">
      <c r="B110" s="27" t="s">
        <v>53</v>
      </c>
      <c r="C110" s="26"/>
      <c r="D110" s="26"/>
      <c r="E110" s="26"/>
      <c r="F110" s="26"/>
      <c r="G110" s="26"/>
      <c r="H110" s="26"/>
      <c r="I110" s="26"/>
      <c r="J110" s="26"/>
      <c r="K110" s="26"/>
      <c r="L110" s="26"/>
      <c r="M110" s="26"/>
    </row>
    <row r="111" spans="2:15" x14ac:dyDescent="0.35">
      <c r="B111" t="s">
        <v>135</v>
      </c>
      <c r="C111" s="24">
        <f t="shared" ref="C111:I111" si="58">+ABS(C66)/C9</f>
        <v>0.3254582977238315</v>
      </c>
      <c r="D111" s="24">
        <f t="shared" si="58"/>
        <v>0.32371539469963756</v>
      </c>
      <c r="E111" s="24">
        <f t="shared" si="58"/>
        <v>0.6402143838545945</v>
      </c>
      <c r="F111" s="24">
        <f t="shared" si="58"/>
        <v>0.45043447355441435</v>
      </c>
      <c r="G111" s="24">
        <f t="shared" si="58"/>
        <v>0.35203485707005822</v>
      </c>
      <c r="H111" s="24">
        <f t="shared" si="58"/>
        <v>0.33457313636813751</v>
      </c>
      <c r="I111" s="24">
        <f t="shared" si="58"/>
        <v>0.33243027326302943</v>
      </c>
      <c r="J111" s="29">
        <f>+MEDIAN(C111:I111)</f>
        <v>0.33457313636813751</v>
      </c>
      <c r="K111" s="29">
        <f t="shared" ref="K111:M111" si="59">+MEDIAN(D111:J111)</f>
        <v>0.33457313636813751</v>
      </c>
      <c r="L111" s="29">
        <f t="shared" si="59"/>
        <v>0.33457313636813751</v>
      </c>
      <c r="M111" s="29">
        <f t="shared" si="59"/>
        <v>0.33457313636813751</v>
      </c>
    </row>
    <row r="113" spans="2:16" x14ac:dyDescent="0.35">
      <c r="B113" s="27" t="s">
        <v>56</v>
      </c>
      <c r="C113" s="26"/>
      <c r="D113" s="26"/>
      <c r="E113" s="26"/>
      <c r="F113" s="26"/>
      <c r="G113" s="26"/>
      <c r="H113" s="26"/>
      <c r="I113" s="26"/>
      <c r="J113" s="26"/>
      <c r="K113" s="26"/>
      <c r="L113" s="26"/>
      <c r="M113" s="26"/>
    </row>
    <row r="114" spans="2:16" x14ac:dyDescent="0.35">
      <c r="B114" t="s">
        <v>135</v>
      </c>
      <c r="C114" s="24">
        <f t="shared" ref="C114:I114" si="60">ABS(C69)/C9</f>
        <v>1.143992459487608E-2</v>
      </c>
      <c r="D114" s="24">
        <f t="shared" si="60"/>
        <v>1.1502410119259831E-2</v>
      </c>
      <c r="E114" s="24">
        <f t="shared" si="60"/>
        <v>1.2566285262245503E-3</v>
      </c>
      <c r="F114" s="24">
        <f t="shared" si="60"/>
        <v>6.4651212270674368E-3</v>
      </c>
      <c r="G114" s="24">
        <f t="shared" si="60"/>
        <v>1.1055653915348136E-2</v>
      </c>
      <c r="H114" s="24">
        <f t="shared" si="60"/>
        <v>2.2210689438672004E-2</v>
      </c>
      <c r="I114" s="24">
        <f t="shared" si="60"/>
        <v>1.9450155158074429E-2</v>
      </c>
      <c r="J114" s="29">
        <f>+MEDIAN(C114:I114)</f>
        <v>1.143992459487608E-2</v>
      </c>
      <c r="K114" s="29">
        <f t="shared" ref="K114:M114" si="61">+MEDIAN(D114:J114)</f>
        <v>1.143992459487608E-2</v>
      </c>
      <c r="L114" s="29">
        <f t="shared" si="61"/>
        <v>1.143992459487608E-2</v>
      </c>
      <c r="M114" s="29">
        <f t="shared" si="61"/>
        <v>1.143992459487608E-2</v>
      </c>
    </row>
    <row r="116" spans="2:16" x14ac:dyDescent="0.35">
      <c r="B116" s="27" t="s">
        <v>137</v>
      </c>
      <c r="C116" s="26"/>
      <c r="D116" s="26"/>
      <c r="E116" s="26"/>
      <c r="F116" s="26"/>
      <c r="G116" s="26"/>
      <c r="H116" s="26"/>
      <c r="I116" s="26"/>
      <c r="J116" s="26"/>
      <c r="K116" s="26"/>
      <c r="L116" s="26"/>
      <c r="M116" s="26"/>
    </row>
    <row r="117" spans="2:16" x14ac:dyDescent="0.35">
      <c r="B117" t="s">
        <v>135</v>
      </c>
      <c r="C117" s="24">
        <f t="shared" ref="C117:I117" si="62">+ABS(C74)/C9</f>
        <v>6.8298795551537367E-2</v>
      </c>
      <c r="D117" s="24">
        <f t="shared" si="62"/>
        <v>7.6954498870658236E-2</v>
      </c>
      <c r="E117" s="24">
        <f t="shared" si="62"/>
        <v>0.42752811327824858</v>
      </c>
      <c r="F117" s="24">
        <f t="shared" si="62"/>
        <v>0.17564385257395962</v>
      </c>
      <c r="G117" s="24">
        <f t="shared" si="62"/>
        <v>8.3185595205069254E-2</v>
      </c>
      <c r="H117" s="24">
        <f t="shared" si="62"/>
        <v>7.4862570062956213E-2</v>
      </c>
      <c r="I117" s="24">
        <f t="shared" si="62"/>
        <v>6.9336233459493454E-2</v>
      </c>
      <c r="J117" s="84">
        <f>+MEDIAN(C117:I117)</f>
        <v>7.6954498870658236E-2</v>
      </c>
      <c r="K117" s="84">
        <f t="shared" ref="K117:M118" si="63">+MEDIAN(D117:J117)</f>
        <v>7.6954498870658236E-2</v>
      </c>
      <c r="L117" s="84">
        <f t="shared" si="63"/>
        <v>7.6954498870658236E-2</v>
      </c>
      <c r="M117" s="84">
        <f t="shared" si="63"/>
        <v>7.6954498870658236E-2</v>
      </c>
    </row>
    <row r="118" spans="2:16" x14ac:dyDescent="0.35">
      <c r="B118" t="s">
        <v>138</v>
      </c>
      <c r="C118" s="24">
        <f>+ABS('Income Statement'!C19)/Balance!C9</f>
        <v>0.11678084444569742</v>
      </c>
      <c r="D118" s="24">
        <f>+ABS('Income Statement'!D19)/((Balance!D9+Balance!C9)/2)</f>
        <v>0.11895473107064268</v>
      </c>
      <c r="E118" s="24">
        <f>+ABS('Income Statement'!E19)/((Balance!E9+Balance!D9)/2)</f>
        <v>0.18530678503945372</v>
      </c>
      <c r="F118" s="24">
        <f>+ABS('Income Statement'!F19)/((Balance!F9+Balance!E9)/2)</f>
        <v>0.11108027544152983</v>
      </c>
      <c r="G118" s="24">
        <f>+ABS('Income Statement'!G19)/((Balance!G9+Balance!F9)/2)</f>
        <v>9.9812261902052224E-2</v>
      </c>
      <c r="H118" s="24">
        <f>+ABS('Income Statement'!H19)/((Balance!H9+Balance!G9)/2)</f>
        <v>0.1051418431692413</v>
      </c>
      <c r="I118" s="24">
        <f>+ABS('Income Statement'!I19)/((Balance!I9+Balance!H9)/2)</f>
        <v>9.6456831008231991E-2</v>
      </c>
      <c r="J118" s="30">
        <f>+MEDIAN(C118:I118)</f>
        <v>0.11108027544152983</v>
      </c>
      <c r="K118" s="30">
        <f t="shared" si="63"/>
        <v>0.11108027544152983</v>
      </c>
      <c r="L118" s="30">
        <f t="shared" si="63"/>
        <v>0.11108027544152983</v>
      </c>
      <c r="M118" s="30">
        <f t="shared" si="63"/>
        <v>0.11108027544152983</v>
      </c>
    </row>
    <row r="119" spans="2:16" x14ac:dyDescent="0.35">
      <c r="B119" t="s">
        <v>175</v>
      </c>
      <c r="C119" s="24"/>
      <c r="D119" s="24">
        <f>+(Balance!D9-Balance!C9)/Balance!D9</f>
        <v>0.14954985194864356</v>
      </c>
      <c r="E119" s="24">
        <f>+(Balance!E9-Balance!D9)/Balance!E9</f>
        <v>-5.4205092516921981E-2</v>
      </c>
      <c r="F119" s="24">
        <f>+(Balance!F9-Balance!E9)/Balance!F9</f>
        <v>0.16946469806171716</v>
      </c>
      <c r="G119" s="24">
        <f>+(Balance!G9-Balance!F9)/Balance!G9</f>
        <v>-4.2517353398377138E-2</v>
      </c>
      <c r="H119" s="24">
        <f>+(Balance!H9-Balance!G9)/Balance!H9</f>
        <v>3.6613550565684954E-3</v>
      </c>
      <c r="I119" s="24">
        <f>+(Balance!I9-Balance!H9)/Balance!I9</f>
        <v>9.3553732075857043E-2</v>
      </c>
      <c r="J119" s="30">
        <f>+MEDIAN(D119:I119)</f>
        <v>4.8607543566212774E-2</v>
      </c>
      <c r="K119" s="30"/>
      <c r="L119" s="30"/>
      <c r="M119" s="30"/>
    </row>
    <row r="121" spans="2:16" x14ac:dyDescent="0.35">
      <c r="B121" s="27" t="s">
        <v>215</v>
      </c>
      <c r="C121" s="26"/>
      <c r="D121" s="26"/>
      <c r="E121" s="26"/>
      <c r="F121" s="26"/>
      <c r="G121" s="26"/>
      <c r="H121" s="26"/>
      <c r="I121" s="26"/>
      <c r="J121" s="26"/>
      <c r="K121" s="26"/>
      <c r="L121" s="26"/>
      <c r="M121" s="26"/>
    </row>
    <row r="122" spans="2:16" x14ac:dyDescent="0.35">
      <c r="B122" t="s">
        <v>191</v>
      </c>
      <c r="C122" s="91">
        <f>+ABS(C73)/(Balance!C8)</f>
        <v>6.3406645261454453E-2</v>
      </c>
      <c r="D122" s="91">
        <f>+ABS(D73)/((Balance!D8+Balance!C8)/2)</f>
        <v>6.4819321565751098E-2</v>
      </c>
      <c r="E122" s="91">
        <f>+ABS(E73)/((Balance!E8+Balance!D8)/2)</f>
        <v>9.9619295839884422E-2</v>
      </c>
      <c r="F122" s="91">
        <f>+ABS(F73)/((Balance!F8+Balance!E8)/2)</f>
        <v>7.6625993626754818E-2</v>
      </c>
      <c r="G122" s="91">
        <f>+ABS(G73)/((Balance!G8+Balance!F8)/2)</f>
        <v>5.6049092565428213E-2</v>
      </c>
      <c r="H122" s="91">
        <f>+ABS(H73)/((Balance!H8+Balance!G8)/2)</f>
        <v>7.1525295404964134E-2</v>
      </c>
      <c r="I122" s="91">
        <f>+ABS(I73)/((Balance!I8+Balance!H8)/2)</f>
        <v>6.4512082185718495E-2</v>
      </c>
      <c r="J122" s="57">
        <f>+MEDIAN(C122:I122)</f>
        <v>6.4819321565751098E-2</v>
      </c>
      <c r="K122" s="91">
        <v>6.4819321565751098E-2</v>
      </c>
      <c r="L122" s="91">
        <v>6.4819321565751098E-2</v>
      </c>
      <c r="M122" s="91">
        <v>6.4819321565751098E-2</v>
      </c>
    </row>
    <row r="124" spans="2:16" x14ac:dyDescent="0.35">
      <c r="B124" s="27" t="s">
        <v>142</v>
      </c>
      <c r="C124" s="26"/>
      <c r="D124" s="26"/>
      <c r="E124" s="26"/>
      <c r="F124" s="26"/>
      <c r="G124" s="26"/>
      <c r="H124" s="26"/>
      <c r="I124" s="26"/>
      <c r="J124" s="28">
        <f ca="1">-$J$9*J125</f>
        <v>-133809.5409858707</v>
      </c>
      <c r="K124" s="28">
        <f ca="1">-K9*K125</f>
        <v>-140435.94556589163</v>
      </c>
      <c r="L124" s="28">
        <f ca="1">-L9*L125</f>
        <v>-147471.09093507222</v>
      </c>
      <c r="M124" s="28">
        <f ca="1">-M9*M125</f>
        <v>-154892.45815275598</v>
      </c>
    </row>
    <row r="125" spans="2:16" x14ac:dyDescent="0.35">
      <c r="B125" t="s">
        <v>174</v>
      </c>
      <c r="C125" s="24">
        <f>+SUM(ABS('Cash Flow Statement'!C25))/'Income Statement'!C6</f>
        <v>8.4617519600111019E-2</v>
      </c>
      <c r="D125" s="24">
        <f>+SUM(ABS('Cash Flow Statement'!D25))/'Income Statement'!D6</f>
        <v>4.5892850556959394E-2</v>
      </c>
      <c r="E125" s="24">
        <f>+SUM(ABS('Cash Flow Statement'!E25))/'Income Statement'!E6</f>
        <v>9.0011695729355523E-2</v>
      </c>
      <c r="F125" s="24">
        <f>+SUM(ABS('Cash Flow Statement'!F25))/'Income Statement'!F6</f>
        <v>0.13307777487645187</v>
      </c>
      <c r="G125" s="24">
        <f>+SUM(ABS('Cash Flow Statement'!G25))/'Income Statement'!G6</f>
        <v>6.5425467949855154E-2</v>
      </c>
      <c r="H125" s="24">
        <f>+SUM(ABS('Cash Flow Statement'!H25))/'Income Statement'!H6</f>
        <v>6.2540925683883405E-2</v>
      </c>
      <c r="I125" s="24">
        <f>+SUM(ABS('Cash Flow Statement'!I25))/'Income Statement'!I6</f>
        <v>3.8655376180080747E-2</v>
      </c>
      <c r="J125" s="74">
        <f>+MEDIAN(C125:I125)</f>
        <v>6.5425467949855154E-2</v>
      </c>
      <c r="K125" s="74">
        <f t="shared" ref="K125:M126" si="64">+MEDIAN(D125:J125)</f>
        <v>6.5425467949855154E-2</v>
      </c>
      <c r="L125" s="74">
        <f t="shared" si="64"/>
        <v>6.5425467949855154E-2</v>
      </c>
      <c r="M125" s="74">
        <f t="shared" si="64"/>
        <v>6.5425467949855154E-2</v>
      </c>
      <c r="O125">
        <v>4</v>
      </c>
      <c r="P125" t="s">
        <v>190</v>
      </c>
    </row>
    <row r="126" spans="2:16" x14ac:dyDescent="0.35">
      <c r="B126" t="s">
        <v>191</v>
      </c>
      <c r="C126" s="24">
        <f>+ABS('Cash Flow Statement'!C25)/Balance!C8</f>
        <v>8.3169025862973048E-2</v>
      </c>
      <c r="D126" s="24">
        <f>+ABS('Cash Flow Statement'!D25)/((Balance!D8+Balance!C8)/2)</f>
        <v>4.3517207058264513E-2</v>
      </c>
      <c r="E126" s="24">
        <f>+ABS('Cash Flow Statement'!E25)/((Balance!E8+Balance!D8)/2)</f>
        <v>2.6335613793057624E-2</v>
      </c>
      <c r="F126" s="24">
        <f>+ABS('Cash Flow Statement'!F25)/((Balance!F8+Balance!E8)/2)</f>
        <v>6.7169549982991461E-2</v>
      </c>
      <c r="G126" s="24">
        <f>+ABS('Cash Flow Statement'!G25)/((Balance!G8+Balance!F8)/2)</f>
        <v>6.8497728968391708E-2</v>
      </c>
      <c r="H126" s="24">
        <f>+ABS('Cash Flow Statement'!H25)/((Balance!H8+Balance!G8)/2)</f>
        <v>7.5440900071745753E-2</v>
      </c>
      <c r="I126" s="24">
        <f>+ABS('Cash Flow Statement'!I25)/((Balance!I8+Balance!H8)/2)</f>
        <v>4.9049305253044739E-2</v>
      </c>
      <c r="J126" s="74">
        <f>+MEDIAN(C126:I126)</f>
        <v>6.7169549982991461E-2</v>
      </c>
      <c r="K126" s="74">
        <f t="shared" si="64"/>
        <v>6.7169549982991461E-2</v>
      </c>
      <c r="L126" s="74">
        <f t="shared" si="64"/>
        <v>6.7169549982991461E-2</v>
      </c>
      <c r="M126" s="74">
        <f t="shared" si="64"/>
        <v>6.7169549982991461E-2</v>
      </c>
    </row>
    <row r="127" spans="2:16" x14ac:dyDescent="0.35">
      <c r="B127" t="s">
        <v>158</v>
      </c>
      <c r="C127" s="24">
        <f>+ABS(SUM('Cash Flow Statement'!C22:C27)/'Income Statement'!C6)</f>
        <v>0.14994462779712064</v>
      </c>
      <c r="D127" s="24">
        <f>+ABS(SUM('Cash Flow Statement'!D22:D27)/'Income Statement'!D6)</f>
        <v>4.4586926905156525E-2</v>
      </c>
      <c r="E127" s="24">
        <f>+ABS(SUM('Cash Flow Statement'!E22:E27)/'Income Statement'!E6)</f>
        <v>0.14626663991915184</v>
      </c>
      <c r="F127" s="24">
        <f>+ABS(SUM('Cash Flow Statement'!F22:F27)/'Income Statement'!F6)</f>
        <v>0.10541000570594095</v>
      </c>
      <c r="G127" s="24">
        <f>+ABS(SUM('Cash Flow Statement'!G22:G27)/'Income Statement'!G6)</f>
        <v>7.9407706036645404E-2</v>
      </c>
      <c r="H127" s="24">
        <f>+ABS(SUM('Cash Flow Statement'!H22:H27)/'Income Statement'!H6)</f>
        <v>7.3015826930823868E-2</v>
      </c>
      <c r="I127" s="24">
        <f>+ABS(SUM('Cash Flow Statement'!I22:I27)/'Income Statement'!I6)</f>
        <v>6.4924934891240307E-2</v>
      </c>
      <c r="J127" s="74">
        <f>+MEDIAN(C127:I127)</f>
        <v>7.9407706036645404E-2</v>
      </c>
      <c r="K127" s="74">
        <f t="shared" ref="K127:M127" si="65">+MEDIAN(D127:J127)</f>
        <v>7.9407706036645404E-2</v>
      </c>
      <c r="L127" s="74">
        <f t="shared" si="65"/>
        <v>7.9407706036645404E-2</v>
      </c>
      <c r="M127" s="74">
        <f t="shared" si="65"/>
        <v>7.9407706036645404E-2</v>
      </c>
      <c r="N127" s="57"/>
      <c r="O127">
        <v>6</v>
      </c>
      <c r="P127" t="s">
        <v>190</v>
      </c>
    </row>
    <row r="128" spans="2:16" x14ac:dyDescent="0.35">
      <c r="B128" t="s">
        <v>192</v>
      </c>
      <c r="C128" s="24"/>
      <c r="D128" s="35">
        <f>+Balance!D8-Balance!C8+ABS('Income Statement'!D18)</f>
        <v>194402.02000000002</v>
      </c>
      <c r="E128" s="35">
        <f>+Balance!E8-Balance!D8+ABS('Income Statement'!E18)</f>
        <v>-54631</v>
      </c>
      <c r="F128" s="35">
        <f>+Balance!F8-Balance!E8+ABS('Income Statement'!F18)</f>
        <v>25898</v>
      </c>
      <c r="G128" s="35">
        <f>+Balance!G8-Balance!F8+ABS('Income Statement'!G18)</f>
        <v>120710.51000000001</v>
      </c>
      <c r="H128" s="35">
        <f>+Balance!H8-Balance!G8+ABS('Income Statement'!H18)</f>
        <v>72692.489999999991</v>
      </c>
      <c r="I128" s="35">
        <f>+Balance!I8-Balance!H8+ABS('Income Statement'!I18)</f>
        <v>118557</v>
      </c>
      <c r="J128" s="85">
        <f>+MEDIAN(D128:I128)</f>
        <v>95624.744999999995</v>
      </c>
      <c r="K128" s="85">
        <f t="shared" ref="K128:M128" si="66">+MEDIAN(E128:J128)</f>
        <v>84158.617499999993</v>
      </c>
      <c r="L128" s="85">
        <f t="shared" si="66"/>
        <v>89891.681249999994</v>
      </c>
      <c r="M128" s="85">
        <f t="shared" si="66"/>
        <v>92758.213124999995</v>
      </c>
      <c r="N128" s="24"/>
      <c r="O128" s="24"/>
    </row>
    <row r="129" spans="2:15" x14ac:dyDescent="0.35">
      <c r="B129" t="s">
        <v>193</v>
      </c>
      <c r="C129" s="24"/>
      <c r="D129" s="35">
        <f>+Balance!D9-Balance!C9+ABS('Income Statement'!D19)</f>
        <v>324838</v>
      </c>
      <c r="E129" s="35">
        <f>+Balance!E9-Balance!D9+ABS('Income Statement'!E19)</f>
        <v>161568</v>
      </c>
      <c r="F129" s="35">
        <f>+Balance!F9-Balance!E9+ABS('Income Statement'!F19)</f>
        <v>387476</v>
      </c>
      <c r="G129" s="35">
        <f>+Balance!G9-Balance!F9+ABS('Income Statement'!G19)</f>
        <v>81449.510000000009</v>
      </c>
      <c r="H129" s="35">
        <f>+Balance!H9-Balance!G9+ABS('Income Statement'!H19)</f>
        <v>149432.49</v>
      </c>
      <c r="I129" s="35">
        <f>+Balance!I9-Balance!H9+ABS('Income Statement'!I19)</f>
        <v>281560</v>
      </c>
      <c r="J129" s="85">
        <f>+MEDIAN(D129:I129)</f>
        <v>221564</v>
      </c>
      <c r="K129" s="85">
        <f t="shared" ref="K129:M129" si="67">+MEDIAN(E129:J129)</f>
        <v>191566</v>
      </c>
      <c r="L129" s="85">
        <f t="shared" si="67"/>
        <v>206565</v>
      </c>
      <c r="M129" s="85">
        <f t="shared" si="67"/>
        <v>199065.5</v>
      </c>
      <c r="N129" s="24"/>
      <c r="O129" s="24"/>
    </row>
    <row r="130" spans="2:15" x14ac:dyDescent="0.35">
      <c r="B130" t="s">
        <v>219</v>
      </c>
      <c r="C130" s="24"/>
      <c r="D130" s="35">
        <f>+AVERAGE(D128:D129)</f>
        <v>259620.01</v>
      </c>
      <c r="E130" s="35">
        <f t="shared" ref="E130:I130" si="68">+AVERAGE(E128:E129)</f>
        <v>53468.5</v>
      </c>
      <c r="F130" s="35">
        <f t="shared" si="68"/>
        <v>206687</v>
      </c>
      <c r="G130" s="35">
        <f t="shared" si="68"/>
        <v>101080.01000000001</v>
      </c>
      <c r="H130" s="35">
        <f t="shared" si="68"/>
        <v>111062.48999999999</v>
      </c>
      <c r="I130" s="35">
        <f t="shared" si="68"/>
        <v>200058.5</v>
      </c>
      <c r="J130" s="85">
        <f>+MEDIAN(D130:I130)</f>
        <v>155560.495</v>
      </c>
      <c r="K130" s="85">
        <v>155560.495</v>
      </c>
      <c r="L130" s="85">
        <v>155560.495</v>
      </c>
      <c r="M130" s="85">
        <v>155560.495</v>
      </c>
      <c r="N130" s="24"/>
      <c r="O130" s="24"/>
    </row>
    <row r="131" spans="2:15" x14ac:dyDescent="0.35">
      <c r="C131" s="24"/>
      <c r="D131" s="24"/>
      <c r="E131" s="24"/>
      <c r="F131" s="24"/>
      <c r="G131" s="24"/>
      <c r="H131" s="24"/>
      <c r="I131" s="24"/>
      <c r="J131" s="24"/>
      <c r="K131" s="24"/>
      <c r="L131" s="24"/>
      <c r="M131" s="24"/>
      <c r="N131" s="24"/>
      <c r="O131" s="24"/>
    </row>
    <row r="132" spans="2:15" x14ac:dyDescent="0.35">
      <c r="B132" s="27" t="s">
        <v>143</v>
      </c>
      <c r="C132" s="26"/>
      <c r="D132" s="26"/>
      <c r="E132" s="26"/>
      <c r="F132" s="26"/>
      <c r="G132" s="26"/>
      <c r="H132" s="26"/>
      <c r="I132" s="26"/>
      <c r="J132" s="28"/>
      <c r="K132" s="28"/>
      <c r="L132" s="28"/>
      <c r="M132" s="28"/>
    </row>
    <row r="133" spans="2:15" x14ac:dyDescent="0.35">
      <c r="B133" t="s">
        <v>144</v>
      </c>
      <c r="C133" s="17">
        <f>+ABS('Income Statement'!C28/'Income Statement'!C29)</f>
        <v>2.7253819120705732E-2</v>
      </c>
      <c r="D133" s="17">
        <f>+ABS('Income Statement'!D28/'Income Statement'!D29)</f>
        <v>4.0323199754337478E-2</v>
      </c>
      <c r="E133" s="17">
        <f>+ABS('Income Statement'!E28/'Income Statement'!E29)</f>
        <v>4.7996974860305741E-2</v>
      </c>
      <c r="F133" s="17">
        <f>+ABS('Income Statement'!F28/'Income Statement'!F29)</f>
        <v>4.2310859235202926E-2</v>
      </c>
      <c r="G133" s="17">
        <f>+ABS('Income Statement'!G28/'Income Statement'!G29)</f>
        <v>0.10484799631506218</v>
      </c>
      <c r="H133" s="17">
        <f>+ABS('Income Statement'!H28/'Income Statement'!H29)</f>
        <v>8.6500532424305332E-2</v>
      </c>
      <c r="I133" s="17">
        <f>+ABS('Income Statement'!I28/'Income Statement'!I29)</f>
        <v>4.8925248636509461E-2</v>
      </c>
      <c r="J133" s="30"/>
      <c r="K133" s="30"/>
      <c r="L133" s="30"/>
      <c r="M133" s="30"/>
    </row>
    <row r="134" spans="2:15" x14ac:dyDescent="0.35">
      <c r="B134" t="s">
        <v>136</v>
      </c>
      <c r="C134" s="17">
        <f>+ABS('Income Statement'!C28)/'Income Statement'!C6</f>
        <v>2.9238721520413518E-3</v>
      </c>
      <c r="D134" s="17">
        <f>+ABS('Income Statement'!D28)/'Income Statement'!D6</f>
        <v>3.5221381160947685E-3</v>
      </c>
      <c r="E134" s="17">
        <f>+ABS('Income Statement'!E28)/'Income Statement'!E6</f>
        <v>6.0293566591849326E-2</v>
      </c>
      <c r="F134" s="17">
        <f>+ABS('Income Statement'!F28)/'Income Statement'!F6</f>
        <v>1.1119331534511272E-2</v>
      </c>
      <c r="G134" s="17">
        <f>+ABS('Income Statement'!G28)/'Income Statement'!G6</f>
        <v>9.7566696472263532E-3</v>
      </c>
      <c r="H134" s="17">
        <f>+ABS('Income Statement'!H28)/'Income Statement'!H6</f>
        <v>6.6963880669908401E-3</v>
      </c>
      <c r="I134" s="17">
        <f>+ABS('Income Statement'!I28)/'Income Statement'!I6</f>
        <v>5.4551253834237718E-3</v>
      </c>
    </row>
    <row r="136" spans="2:15" x14ac:dyDescent="0.35">
      <c r="B136" s="27" t="s">
        <v>218</v>
      </c>
      <c r="C136" s="26"/>
      <c r="D136" s="26"/>
      <c r="E136" s="26"/>
      <c r="F136" s="26"/>
      <c r="G136" s="26"/>
      <c r="H136" s="26"/>
      <c r="I136" s="26"/>
      <c r="J136" s="28"/>
      <c r="K136" s="28"/>
      <c r="L136" s="28"/>
      <c r="M136" s="28"/>
    </row>
    <row r="137" spans="2:15" x14ac:dyDescent="0.35">
      <c r="B137" t="s">
        <v>136</v>
      </c>
      <c r="C137" s="24">
        <f>+C82/(C10+C9)</f>
        <v>8.3126059689348913E-3</v>
      </c>
      <c r="D137" s="24">
        <f t="shared" ref="D137:I137" si="69">+D82/(D10+D9)</f>
        <v>8.0061130118633961E-3</v>
      </c>
      <c r="E137" s="24">
        <f t="shared" si="69"/>
        <v>-1.5280148675808765E-2</v>
      </c>
      <c r="F137" s="24">
        <f t="shared" si="69"/>
        <v>5.8519515000542977E-3</v>
      </c>
      <c r="G137" s="24">
        <f t="shared" si="69"/>
        <v>1.6216187464280711E-2</v>
      </c>
      <c r="H137" s="24">
        <f t="shared" si="69"/>
        <v>5.5455036652596323E-3</v>
      </c>
      <c r="I137" s="24">
        <f t="shared" si="69"/>
        <v>1.9564437173500522E-3</v>
      </c>
      <c r="J137" s="30">
        <f>+MEDIAN(C137:I137)</f>
        <v>5.8519515000542977E-3</v>
      </c>
      <c r="K137" s="30">
        <v>5.8519515000542977E-3</v>
      </c>
      <c r="L137" s="30">
        <v>5.8519515000542977E-3</v>
      </c>
      <c r="M137" s="30">
        <v>5.8519515000542977E-3</v>
      </c>
    </row>
    <row r="139" spans="2:15" x14ac:dyDescent="0.35">
      <c r="B139" s="27" t="s">
        <v>269</v>
      </c>
      <c r="C139" s="26"/>
      <c r="D139" s="26"/>
      <c r="E139" s="26"/>
      <c r="F139" s="26"/>
      <c r="G139" s="26"/>
      <c r="H139" s="26"/>
      <c r="I139" s="26"/>
      <c r="J139" s="28"/>
      <c r="K139" s="28"/>
      <c r="L139" s="28"/>
      <c r="M139" s="28"/>
    </row>
    <row r="140" spans="2:15" x14ac:dyDescent="0.35">
      <c r="B140" t="s">
        <v>270</v>
      </c>
      <c r="C140" s="24">
        <f>+C92/C88</f>
        <v>3.0132397932271338E-2</v>
      </c>
      <c r="D140" s="24">
        <f t="shared" ref="D140:I140" si="70">+D92/D88</f>
        <v>7.2164694280078892E-2</v>
      </c>
      <c r="E140" s="24">
        <f t="shared" si="70"/>
        <v>2.7405621808294478E-2</v>
      </c>
      <c r="F140" s="24">
        <f t="shared" si="70"/>
        <v>2.5063175983018295E-2</v>
      </c>
      <c r="G140" s="24">
        <f t="shared" si="70"/>
        <v>7.8502214378475571E-2</v>
      </c>
      <c r="H140" s="24">
        <f t="shared" si="70"/>
        <v>9.5113290497125469E-2</v>
      </c>
      <c r="I140" s="24">
        <f t="shared" si="70"/>
        <v>0.13215791065224233</v>
      </c>
      <c r="J140" s="30">
        <v>0.13215791065224233</v>
      </c>
      <c r="K140" s="30">
        <v>0.13215791065224233</v>
      </c>
      <c r="L140" s="30">
        <v>0.13215791065224233</v>
      </c>
      <c r="M140" s="30">
        <v>0.13215791065224233</v>
      </c>
    </row>
    <row r="141" spans="2:15" x14ac:dyDescent="0.35">
      <c r="B141" t="s">
        <v>271</v>
      </c>
      <c r="D141" s="17">
        <f>+(D92/C92)-1</f>
        <v>0.92144420131291027</v>
      </c>
      <c r="E141" s="17">
        <f t="shared" ref="E141:I141" si="71">+(E92/D92)-1</f>
        <v>-2.9123106707664275</v>
      </c>
      <c r="F141" s="17">
        <f t="shared" si="71"/>
        <v>-0.7046808003811339</v>
      </c>
      <c r="G141" s="17">
        <f t="shared" si="71"/>
        <v>-2.9015930631175637</v>
      </c>
      <c r="H141" s="17">
        <f t="shared" si="71"/>
        <v>0.31230116648992579</v>
      </c>
      <c r="I141" s="17">
        <f t="shared" si="71"/>
        <v>0.73050505050505055</v>
      </c>
      <c r="J141" s="34">
        <f>+MEDIAN(D141:I141)</f>
        <v>-0.19618981694560411</v>
      </c>
    </row>
  </sheetData>
  <pageMargins left="0.7" right="0.7" top="0.75" bottom="0.75" header="0.3" footer="0.3"/>
  <pageSetup paperSize="9" orientation="portrait" r:id="rId1"/>
  <ignoredErrors>
    <ignoredError sqref="M99 I101 D101:H101 J99:L99"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AF15F-B69F-47AA-928B-11EA9FE811BC}">
  <sheetPr>
    <tabColor theme="0" tint="-0.14999847407452621"/>
  </sheetPr>
  <dimension ref="B3:N33"/>
  <sheetViews>
    <sheetView showGridLines="0" workbookViewId="0">
      <selection activeCell="B20" sqref="B20:M20"/>
    </sheetView>
  </sheetViews>
  <sheetFormatPr defaultRowHeight="14.5" outlineLevelCol="1" x14ac:dyDescent="0.35"/>
  <cols>
    <col min="1" max="1" width="2.453125" customWidth="1"/>
    <col min="2" max="2" width="27.90625" bestFit="1" customWidth="1"/>
    <col min="3" max="8" width="10.453125" hidden="1" customWidth="1" outlineLevel="1"/>
    <col min="9" max="9" width="10.453125" bestFit="1" customWidth="1" collapsed="1"/>
    <col min="10" max="12" width="10.453125" bestFit="1" customWidth="1"/>
    <col min="13" max="13" width="10.1796875" bestFit="1" customWidth="1"/>
  </cols>
  <sheetData>
    <row r="3" spans="2:13" x14ac:dyDescent="0.35">
      <c r="B3" s="27" t="s">
        <v>1</v>
      </c>
      <c r="C3" s="20">
        <v>2018</v>
      </c>
      <c r="D3" s="20">
        <v>2019</v>
      </c>
      <c r="E3" s="20">
        <v>2020</v>
      </c>
      <c r="F3" s="20">
        <v>2021</v>
      </c>
      <c r="G3" s="20">
        <v>2022</v>
      </c>
      <c r="H3" s="20">
        <v>2023</v>
      </c>
      <c r="I3" s="39">
        <v>2024</v>
      </c>
      <c r="J3" s="41" t="s">
        <v>114</v>
      </c>
      <c r="K3" s="40" t="s">
        <v>115</v>
      </c>
      <c r="L3" s="23" t="s">
        <v>116</v>
      </c>
      <c r="M3" s="23" t="s">
        <v>117</v>
      </c>
    </row>
    <row r="4" spans="2:13" x14ac:dyDescent="0.35">
      <c r="B4" t="s">
        <v>2</v>
      </c>
      <c r="C4" s="12">
        <f>+Balance!C16+Balance!C17-(Balance!C50+Balance!C52)</f>
        <v>-252801</v>
      </c>
      <c r="D4" s="12">
        <f>+Balance!D16+Balance!D17-(Balance!D50+Balance!D52)</f>
        <v>-266436</v>
      </c>
      <c r="E4" s="12">
        <f>+Balance!E16+Balance!E17-(Balance!E50+Balance!E52)</f>
        <v>-178802</v>
      </c>
      <c r="F4" s="12">
        <f>+Balance!F16+Balance!F17-(Balance!F50+Balance!F52)</f>
        <v>-246405</v>
      </c>
      <c r="G4" s="12">
        <f>+Balance!G16+Balance!G17-(Balance!G50+Balance!G52)</f>
        <v>-331243.89</v>
      </c>
      <c r="H4" s="12">
        <f>+Balance!H16+Balance!H17-(Balance!H50+Balance!H52)</f>
        <v>-294097</v>
      </c>
      <c r="I4" s="12">
        <f>+Balance!I16+Balance!I17-(Balance!I50+Balance!I52)</f>
        <v>-202278</v>
      </c>
      <c r="J4" s="12">
        <f ca="1">+Balance!J16+Balance!J17-(Balance!J50+Balance!J52)</f>
        <v>-205112.77877181181</v>
      </c>
      <c r="K4" s="12">
        <f ca="1">+Balance!K16+Balance!K17-(Balance!K50+Balance!K52)</f>
        <v>-213964.67635702447</v>
      </c>
      <c r="L4" s="12">
        <f ca="1">+Balance!L16+Balance!L17-(Balance!L50+Balance!L52)</f>
        <v>-223362.59125235601</v>
      </c>
      <c r="M4" s="12">
        <f ca="1">+Balance!M16+Balance!M17-(Balance!M50+Balance!M52)</f>
        <v>-233276.44147986267</v>
      </c>
    </row>
    <row r="5" spans="2:13" x14ac:dyDescent="0.35">
      <c r="B5" t="s">
        <v>3</v>
      </c>
      <c r="C5" s="24">
        <f>+C4/'Income Statement'!C6</f>
        <v>-0.13893943682485072</v>
      </c>
      <c r="D5" s="24">
        <f>+D4/'Income Statement'!D6</f>
        <v>-0.14888535476754336</v>
      </c>
      <c r="E5" s="24">
        <f>+E4/'Income Statement'!E6</f>
        <v>-0.3383850809427742</v>
      </c>
      <c r="F5" s="24">
        <f>+F4/'Income Statement'!F6</f>
        <v>-0.29787550410537617</v>
      </c>
      <c r="G5" s="24">
        <f>+G4/'Income Statement'!G6</f>
        <v>-0.19719550963403412</v>
      </c>
      <c r="H5" s="24">
        <f>+H4/'Income Statement'!H6</f>
        <v>-0.1524765903792045</v>
      </c>
      <c r="I5" s="24">
        <f>+I4/'Income Statement'!I6</f>
        <v>-0.10049652571112876</v>
      </c>
      <c r="J5" s="24">
        <f ca="1">+J4/'Income Statement'!J6</f>
        <v>-0.1002888092640413</v>
      </c>
      <c r="K5" s="24">
        <f ca="1">+K4/'Income Statement'!K6</f>
        <v>-9.9680598289769898E-2</v>
      </c>
      <c r="L5" s="24">
        <f ca="1">+L4/'Income Statement'!L6</f>
        <v>-9.9094690101747554E-2</v>
      </c>
      <c r="M5" s="24">
        <f ca="1">+M4/'Income Statement'!M6</f>
        <v>-9.8534302622050929E-2</v>
      </c>
    </row>
    <row r="6" spans="2:13" x14ac:dyDescent="0.35">
      <c r="B6" t="s">
        <v>4</v>
      </c>
      <c r="C6" s="24">
        <f>+Balance!C16/'Income Statement'!C6</f>
        <v>1.4560003957120206E-2</v>
      </c>
      <c r="D6" s="24">
        <f>+Balance!D16/'Income Statement'!D6</f>
        <v>1.6350588811190375E-2</v>
      </c>
      <c r="E6" s="24">
        <f>+Balance!E16/'Income Statement'!E6</f>
        <v>4.6156495671823131E-2</v>
      </c>
      <c r="F6" s="24">
        <f>+Balance!F16/'Income Statement'!F6</f>
        <v>3.057272173383236E-2</v>
      </c>
      <c r="G6" s="24">
        <f>+Balance!G16/'Income Statement'!G6</f>
        <v>1.7969982866742788E-2</v>
      </c>
      <c r="H6" s="24">
        <f>+Balance!H16/'Income Statement'!H6</f>
        <v>1.5469195629823917E-2</v>
      </c>
      <c r="I6" s="24">
        <f>+Balance!I16/'Income Statement'!I6</f>
        <v>1.5892399887519091E-2</v>
      </c>
      <c r="J6" s="24">
        <v>1.5892399887519091E-2</v>
      </c>
      <c r="K6" s="24">
        <v>1.5892399887519091E-2</v>
      </c>
      <c r="L6" s="24">
        <v>1.5892399887519091E-2</v>
      </c>
      <c r="M6" s="24">
        <v>1.5892399887519091E-2</v>
      </c>
    </row>
    <row r="7" spans="2:13" x14ac:dyDescent="0.35">
      <c r="B7" t="s">
        <v>5</v>
      </c>
      <c r="C7" s="46">
        <f t="shared" ref="C7:M7" si="0">+C6*365</f>
        <v>5.3144014443488752</v>
      </c>
      <c r="D7" s="46">
        <f t="shared" si="0"/>
        <v>5.9679649160844868</v>
      </c>
      <c r="E7" s="46">
        <f t="shared" si="0"/>
        <v>16.847120920215442</v>
      </c>
      <c r="F7" s="46">
        <f t="shared" si="0"/>
        <v>11.159043432848812</v>
      </c>
      <c r="G7" s="46">
        <f t="shared" si="0"/>
        <v>6.5590437463611178</v>
      </c>
      <c r="H7" s="46">
        <f t="shared" si="0"/>
        <v>5.6462564048857296</v>
      </c>
      <c r="I7" s="46">
        <f t="shared" si="0"/>
        <v>5.8007259589444686</v>
      </c>
      <c r="J7" s="46">
        <f t="shared" si="0"/>
        <v>5.8007259589444686</v>
      </c>
      <c r="K7" s="46">
        <f t="shared" si="0"/>
        <v>5.8007259589444686</v>
      </c>
      <c r="L7" s="46">
        <f t="shared" si="0"/>
        <v>5.8007259589444686</v>
      </c>
      <c r="M7" s="46">
        <f t="shared" si="0"/>
        <v>5.8007259589444686</v>
      </c>
    </row>
    <row r="8" spans="2:13" x14ac:dyDescent="0.35">
      <c r="B8" t="s">
        <v>6</v>
      </c>
      <c r="C8" s="24">
        <f>+Balance!C50/'Income Statement'!C6</f>
        <v>0.24887153374131976</v>
      </c>
      <c r="D8" s="24">
        <f>+Balance!D50/'Income Statement'!D6</f>
        <v>0.23719641605822284</v>
      </c>
      <c r="E8" s="24">
        <f>+Balance!E50/'Income Statement'!E6</f>
        <v>0.5551383616137836</v>
      </c>
      <c r="F8" s="24">
        <f>+Balance!F50/'Income Statement'!F6</f>
        <v>0.44324522973665631</v>
      </c>
      <c r="G8" s="24">
        <f>+Balance!G50/'Income Statement'!G6</f>
        <v>0.29811331762487098</v>
      </c>
      <c r="H8" s="24">
        <f>+Balance!H50/'Income Statement'!H6</f>
        <v>0.26196377957083183</v>
      </c>
      <c r="I8" s="24">
        <f>+Balance!I50/'Income Statement'!I6</f>
        <v>0.23518794347734931</v>
      </c>
      <c r="J8" s="24">
        <v>0.23518794347734931</v>
      </c>
      <c r="K8" s="24">
        <v>0.23518794347734931</v>
      </c>
      <c r="L8" s="24">
        <v>0.23518794347734931</v>
      </c>
      <c r="M8" s="24">
        <v>0.23518794347734931</v>
      </c>
    </row>
    <row r="9" spans="2:13" x14ac:dyDescent="0.35">
      <c r="B9" t="s">
        <v>148</v>
      </c>
      <c r="C9" s="24">
        <f>+Balance!C17/'Income Statement'!C6</f>
        <v>0.13689217671839318</v>
      </c>
      <c r="D9" s="24">
        <f>+Balance!D17/'Income Statement'!D6</f>
        <v>0.10845089626484601</v>
      </c>
      <c r="E9" s="24">
        <f>+Balance!E17/'Income Statement'!E6</f>
        <v>0.25541542549366197</v>
      </c>
      <c r="F9" s="24">
        <f>+Balance!F17/'Income Statement'!F6</f>
        <v>0.16424647730679587</v>
      </c>
      <c r="G9" s="24">
        <f>+Balance!G17/'Income Statement'!G6</f>
        <v>0.10915492203117801</v>
      </c>
      <c r="H9" s="24">
        <f>+Balance!H17/'Income Statement'!H6</f>
        <v>0.11785300816413928</v>
      </c>
      <c r="I9" s="24">
        <f>+Balance!I17/'Income Statement'!I6</f>
        <v>0.13189678386077805</v>
      </c>
      <c r="J9" s="24">
        <v>0.13189678386077805</v>
      </c>
      <c r="K9" s="24">
        <v>0.13189678386077805</v>
      </c>
      <c r="L9" s="24">
        <v>0.13189678386077805</v>
      </c>
      <c r="M9" s="24">
        <v>0.13189678386077805</v>
      </c>
    </row>
    <row r="10" spans="2:13" x14ac:dyDescent="0.35">
      <c r="B10" t="s">
        <v>141</v>
      </c>
      <c r="C10" s="24">
        <f>+-'Income Statement'!C18/(Balance!C8+Balance!C7)</f>
        <v>6.0894429065546304E-2</v>
      </c>
      <c r="D10" s="24">
        <f>+-'Income Statement'!D18/(Balance!D8+Balance!D7)</f>
        <v>6.1266355315712374E-2</v>
      </c>
      <c r="E10" s="24">
        <f>+-'Income Statement'!E18/(Balance!E8+Balance!E7)</f>
        <v>0.10280045414314194</v>
      </c>
      <c r="F10" s="24">
        <f>+-'Income Statement'!F18/(Balance!F8+Balance!F7)</f>
        <v>7.6663748201090134E-2</v>
      </c>
      <c r="G10" s="24">
        <f>+-'Income Statement'!G18/(Balance!G8+Balance!G7)</f>
        <v>5.3780487745073442E-2</v>
      </c>
      <c r="H10" s="24">
        <f>+-'Income Statement'!H18/(Balance!H8+Balance!H7)</f>
        <v>6.9004964438019345E-2</v>
      </c>
      <c r="I10" s="24">
        <f>+-'Income Statement'!I18/(Balance!I8+Balance!I7)</f>
        <v>6.1074055418022438E-2</v>
      </c>
      <c r="J10" s="34">
        <v>0.06</v>
      </c>
      <c r="K10" s="34">
        <v>0.06</v>
      </c>
      <c r="L10" s="34">
        <v>0.06</v>
      </c>
      <c r="M10" s="34">
        <v>0.06</v>
      </c>
    </row>
    <row r="11" spans="2:13" x14ac:dyDescent="0.35">
      <c r="B11" t="s">
        <v>137</v>
      </c>
      <c r="C11" s="24">
        <f>+-'Income Statement'!C19/Balance!C9</f>
        <v>0.11678084444569742</v>
      </c>
      <c r="D11" s="24">
        <f>+-'Income Statement'!D19/Balance!D9</f>
        <v>0.11005989986054002</v>
      </c>
      <c r="E11" s="24">
        <f>+-'Income Statement'!E19/Balance!E9</f>
        <v>0.19032907075299221</v>
      </c>
      <c r="F11" s="24">
        <f>+-'Income Statement'!F19/Balance!F9</f>
        <v>0.10166818277237422</v>
      </c>
      <c r="G11" s="24">
        <f>+-'Income Statement'!G19/Balance!G9</f>
        <v>0.10193413850844268</v>
      </c>
      <c r="H11" s="24">
        <f>+-'Income Statement'!H19/Balance!H9</f>
        <v>0.10494936235966898</v>
      </c>
      <c r="I11" s="24">
        <f>ABS('Income Statement'!I19)/Balance!I9</f>
        <v>9.1944882745716813E-2</v>
      </c>
      <c r="J11" s="34">
        <v>0.1</v>
      </c>
      <c r="K11" s="34">
        <v>0.1</v>
      </c>
      <c r="L11" s="34">
        <v>0.1</v>
      </c>
      <c r="M11" s="34">
        <v>0.1</v>
      </c>
    </row>
    <row r="13" spans="2:13" x14ac:dyDescent="0.35">
      <c r="B13" t="s">
        <v>145</v>
      </c>
      <c r="C13" s="35">
        <v>1858700</v>
      </c>
      <c r="D13" s="35">
        <v>1991900</v>
      </c>
      <c r="E13" s="35">
        <v>2603000</v>
      </c>
      <c r="F13" s="35">
        <v>2853200</v>
      </c>
      <c r="G13" s="35">
        <v>2673000</v>
      </c>
      <c r="H13" s="35">
        <v>2631100</v>
      </c>
      <c r="I13" s="35">
        <v>2236600</v>
      </c>
      <c r="J13" s="35">
        <f ca="1">+(Balance!J49+Balance!J48+Balance!J47+Balance!J40+Balance!J39+Balance!J38)-(Balance!J20+Balance!J19)</f>
        <v>2082394.6578394852</v>
      </c>
      <c r="K13" s="35">
        <f ca="1">+(Balance!K49+Balance!K48+Balance!K47+Balance!K40+Balance!K39+Balance!K38)-(Balance!K20+Balance!K19)</f>
        <v>1978246.3170111645</v>
      </c>
      <c r="L13" s="35">
        <f ca="1">+(Balance!L49+Balance!L48+Balance!L47+Balance!L40+Balance!L39+Balance!L38)-(Balance!L20+Balance!L19)</f>
        <v>1849573.3151416774</v>
      </c>
      <c r="M13" s="35">
        <f ca="1">+(Balance!M49+Balance!M48+Balance!M47+Balance!M40+Balance!M39+Balance!M38)-(Balance!M20+Balance!M19)</f>
        <v>1693623.7623653701</v>
      </c>
    </row>
    <row r="14" spans="2:13" x14ac:dyDescent="0.35">
      <c r="B14" t="s">
        <v>146</v>
      </c>
      <c r="C14" s="44">
        <f>+C13/'Income Statement'!C15</f>
        <v>3.7107355190078617</v>
      </c>
      <c r="D14" s="44">
        <f>+D13/'Income Statement'!D15</f>
        <v>4.1679308490493003</v>
      </c>
      <c r="E14" s="44">
        <f>+E13/'Income Statement'!E15</f>
        <v>-17.178003180867282</v>
      </c>
      <c r="F14" s="44">
        <f>+F13/'Income Statement'!F15</f>
        <v>22.72940914051733</v>
      </c>
      <c r="G14" s="44">
        <f>+G13/'Income Statement'!G15</f>
        <v>6.2053259479198344</v>
      </c>
      <c r="H14" s="44">
        <f>+H13/'Income Statement'!H15</f>
        <v>5.372201191599185</v>
      </c>
      <c r="I14" s="44">
        <f>+I13/'Income Statement'!I15</f>
        <v>3.8873391210643864</v>
      </c>
      <c r="J14" s="47">
        <f ca="1">+J13/'Income Statement'!J15</f>
        <v>3.7267234673487466</v>
      </c>
      <c r="K14" s="47">
        <f ca="1">+K13/'Income Statement'!K15</f>
        <v>3.4227430860169963</v>
      </c>
      <c r="L14" s="47">
        <f ca="1">+L13/'Income Statement'!L15</f>
        <v>3.0858413784447087</v>
      </c>
      <c r="M14" s="47">
        <f ca="1">+M13/'Income Statement'!M15</f>
        <v>2.7195387710698973</v>
      </c>
    </row>
    <row r="15" spans="2:13" x14ac:dyDescent="0.35">
      <c r="B15" t="s">
        <v>147</v>
      </c>
      <c r="C15" s="24">
        <f>ABS(('Income Statement'!C25+'Income Statement'!C24)/C13)</f>
        <v>4.0499811696346907E-2</v>
      </c>
      <c r="D15" s="24">
        <f>ABS(('Income Statement'!D25+'Income Statement'!D24)/D13)</f>
        <v>3.7376374315979718E-2</v>
      </c>
      <c r="E15" s="24">
        <f>ABS(('Income Statement'!E25+'Income Statement'!E24)/E13)</f>
        <v>2.5291970802919707E-2</v>
      </c>
      <c r="F15" s="24">
        <f>ABS(('Income Statement'!F25+'Income Statement'!F24)/F13)</f>
        <v>2.3334852095892332E-2</v>
      </c>
      <c r="G15" s="24">
        <f>ABS(('Income Statement'!G25+'Income Statement'!G24)/G13)</f>
        <v>2.8022072577628135E-2</v>
      </c>
      <c r="H15" s="24">
        <f>ABS(('Income Statement'!H25+'Income Statement'!H24)/H13)</f>
        <v>4.0777621527117933E-2</v>
      </c>
      <c r="I15" s="24">
        <f>ABS(('Income Statement'!I25+'Income Statement'!I24)/I13)</f>
        <v>4.5622373245104174E-2</v>
      </c>
      <c r="J15" s="24">
        <v>4.5622373245104174E-2</v>
      </c>
      <c r="K15" s="24">
        <v>4.5622373245104174E-2</v>
      </c>
      <c r="L15" s="24">
        <v>4.5622373245104174E-2</v>
      </c>
      <c r="M15" s="24">
        <v>4.5622373245104174E-2</v>
      </c>
    </row>
    <row r="16" spans="2:13" x14ac:dyDescent="0.35">
      <c r="B16" t="s">
        <v>152</v>
      </c>
      <c r="C16" s="25">
        <f>+-('Income Statement'!C24)/(Balance!C38+Balance!C39+Balance!C47+Balance!C48)</f>
        <v>3.4509809034568482E-2</v>
      </c>
      <c r="D16" s="25">
        <f>+-('Income Statement'!D24)/(Balance!D38+Balance!D39+Balance!D47+Balance!D48)</f>
        <v>3.5890378548039968E-2</v>
      </c>
      <c r="E16" s="25">
        <f>+-('Income Statement'!E24)/(Balance!E38+Balance!E39+Balance!E47+Balance!E48)</f>
        <v>2.4508747713887138E-2</v>
      </c>
      <c r="F16" s="25">
        <f>+-('Income Statement'!F24)/(Balance!F38+Balance!F39+Balance!F47+Balance!F48)</f>
        <v>2.8297925695632348E-2</v>
      </c>
      <c r="G16" s="25">
        <f>+-('Income Statement'!G24)/(Balance!G38+Balance!G39+Balance!G47+Balance!G48)</f>
        <v>3.3469404573053183E-2</v>
      </c>
      <c r="H16" s="25">
        <f>+-('Income Statement'!H24)/(Balance!H38+Balance!H39+Balance!H47+Balance!H48)</f>
        <v>5.5823955694338068E-2</v>
      </c>
      <c r="I16" s="25">
        <f>+-('Income Statement'!I24)/(Balance!I38+Balance!I39+Balance!I47+Balance!I48)</f>
        <v>6.735970303889352E-2</v>
      </c>
      <c r="J16" s="45">
        <v>6.735970303889352E-2</v>
      </c>
      <c r="K16" s="45">
        <v>6.735970303889352E-2</v>
      </c>
      <c r="L16" s="45">
        <v>6.735970303889352E-2</v>
      </c>
      <c r="M16" s="45">
        <v>6.735970303889352E-2</v>
      </c>
    </row>
    <row r="17" spans="2:14" x14ac:dyDescent="0.35">
      <c r="B17" t="s">
        <v>151</v>
      </c>
      <c r="C17" s="25">
        <f>+-('Income Statement'!C25)/(Balance!C40+Balance!C49)</f>
        <v>3.406486219054717E-2</v>
      </c>
      <c r="D17" s="25">
        <f>+-('Income Statement'!D25)/(Balance!D40+Balance!D49)</f>
        <v>2.8810953746238585E-2</v>
      </c>
      <c r="E17" s="25">
        <f>+-('Income Statement'!E25)/(Balance!E40+Balance!E49)</f>
        <v>2.4104989103183472E-2</v>
      </c>
      <c r="F17" s="25">
        <f>+-('Income Statement'!F25)/(Balance!F40+Balance!F49)</f>
        <v>1.749581777093252E-2</v>
      </c>
      <c r="G17" s="25">
        <f>+-('Income Statement'!G25)/(Balance!G40+Balance!G49)</f>
        <v>2.011191289828972E-2</v>
      </c>
      <c r="H17" s="25">
        <f>+-('Income Statement'!H25)/(Balance!H40+Balance!H49)</f>
        <v>2.3032826866410984E-2</v>
      </c>
      <c r="I17" s="25">
        <f>+-('Income Statement'!I25)/(Balance!I40+Balance!I49)</f>
        <v>2.6267595579852358E-2</v>
      </c>
      <c r="J17" s="45">
        <v>0.03</v>
      </c>
      <c r="K17" s="45">
        <v>0.03</v>
      </c>
      <c r="L17" s="45">
        <v>0.03</v>
      </c>
      <c r="M17" s="45">
        <v>0.03</v>
      </c>
    </row>
    <row r="18" spans="2:14" x14ac:dyDescent="0.35">
      <c r="B18" t="s">
        <v>159</v>
      </c>
      <c r="C18" s="17">
        <f>+'Cash Flow Statement'!C39/-C13</f>
        <v>0.15456609458223489</v>
      </c>
      <c r="D18" s="17">
        <f>+'Cash Flow Statement'!D39/-D13</f>
        <v>0.12741402680857472</v>
      </c>
      <c r="E18" s="17">
        <f>+'Cash Flow Statement'!E39/-E13</f>
        <v>7.7072608528620828E-2</v>
      </c>
      <c r="F18" s="17">
        <f>+'Cash Flow Statement'!F39/-F13</f>
        <v>0.14817187719052291</v>
      </c>
      <c r="G18" s="17">
        <f>+'Cash Flow Statement'!G39/-G13</f>
        <v>0.12946651702207257</v>
      </c>
      <c r="H18" s="17">
        <f>+'Cash Flow Statement'!H39/-H13</f>
        <v>4.2175896013074379E-2</v>
      </c>
      <c r="I18" s="17">
        <f>+'Cash Flow Statement'!I39/-I13</f>
        <v>0.40615353661808101</v>
      </c>
      <c r="J18" s="34">
        <v>0.16</v>
      </c>
      <c r="K18" s="34">
        <v>0.16</v>
      </c>
      <c r="L18" s="34">
        <v>0.16</v>
      </c>
      <c r="M18" s="34">
        <v>0.16</v>
      </c>
      <c r="N18" s="34"/>
    </row>
    <row r="19" spans="2:14" x14ac:dyDescent="0.35">
      <c r="B19" t="s">
        <v>160</v>
      </c>
      <c r="C19" s="17">
        <f>+'Cash Flow Statement'!C39/-(Balance!C38+Balance!C39+Balance!C40+Balance!C47+Balance!C48+Balance!C49)</f>
        <v>0.13071846653368471</v>
      </c>
      <c r="D19" s="17">
        <f>+'Cash Flow Statement'!D39/-(Balance!D38+Balance!D39+Balance!D40+Balance!D47+Balance!D48+Balance!D49)</f>
        <v>0.10764636297585384</v>
      </c>
      <c r="E19" s="17">
        <f>+'Cash Flow Statement'!E39/-(Balance!E38+Balance!E39+Balance!E40+Balance!E47+Balance!E48+Balance!E49)</f>
        <v>7.4073253581450296E-2</v>
      </c>
      <c r="F19" s="17">
        <f>+'Cash Flow Statement'!F39/-(Balance!F38+Balance!F39+Balance!F40+Balance!F47+Balance!F48+Balance!F49)</f>
        <v>0.14325704392991465</v>
      </c>
      <c r="G19" s="17">
        <f>+'Cash Flow Statement'!G39/-(Balance!G38+Balance!G39+Balance!G40+Balance!G47+Balance!G48+Balance!G49)</f>
        <v>0.12264562182943503</v>
      </c>
      <c r="H19" s="17">
        <f>+'Cash Flow Statement'!H39/-(Balance!H38+Balance!H39+Balance!H40+Balance!H47+Balance!H48+Balance!H49)</f>
        <v>4.0012663399134694E-2</v>
      </c>
      <c r="I19" s="17">
        <f>+'Cash Flow Statement'!I39/-(Balance!I38+Balance!I39+Balance!I40+Balance!I47+Balance!I48+Balance!I49)</f>
        <v>0.37726022106445672</v>
      </c>
      <c r="J19" s="34"/>
      <c r="K19" s="34"/>
      <c r="L19" s="34"/>
      <c r="M19" s="34"/>
    </row>
    <row r="20" spans="2:14" x14ac:dyDescent="0.35">
      <c r="B20" t="s">
        <v>161</v>
      </c>
      <c r="J20" s="34">
        <v>0.7</v>
      </c>
      <c r="K20" s="34">
        <v>0.7</v>
      </c>
      <c r="L20" s="34">
        <v>0.7</v>
      </c>
      <c r="M20" s="34">
        <v>0.7</v>
      </c>
    </row>
    <row r="21" spans="2:14" x14ac:dyDescent="0.35">
      <c r="B21" t="s">
        <v>162</v>
      </c>
      <c r="J21" s="34">
        <v>0.1</v>
      </c>
      <c r="K21" s="34">
        <v>0.1</v>
      </c>
      <c r="L21" s="34">
        <v>0.1</v>
      </c>
      <c r="M21" s="34">
        <v>0.1</v>
      </c>
    </row>
    <row r="22" spans="2:14" x14ac:dyDescent="0.35">
      <c r="B22" t="s">
        <v>147</v>
      </c>
      <c r="C22" s="24">
        <f>+-('Income Statement'!C24+'Income Statement'!C25)/(Balance!C38+Balance!C39+Balance!C40+Balance!C47+Balance!C48+Balance!C49)</f>
        <v>3.4251193925539818E-2</v>
      </c>
      <c r="D22" s="24">
        <f>+-('Income Statement'!D24+'Income Statement'!D25)/(Balance!D38+Balance!D39+Balance!D40+Balance!D47+Balance!D48+Balance!D49)</f>
        <v>3.1577612427115945E-2</v>
      </c>
      <c r="E22" s="24">
        <f>+-('Income Statement'!E24+'Income Statement'!E25)/(Balance!E38+Balance!E39+Balance!E40+Balance!E47+Balance!E48+Balance!E49)</f>
        <v>2.4307709348692957E-2</v>
      </c>
      <c r="F22" s="24">
        <f>+-('Income Statement'!F24+'Income Statement'!F25)/(Balance!F38+Balance!F39+Balance!F40+Balance!F47+Balance!F48+Balance!F49)</f>
        <v>2.2560839446617468E-2</v>
      </c>
      <c r="G22" s="24">
        <f>+-('Income Statement'!G24+'Income Statement'!G25)/(Balance!G38+Balance!G39+Balance!G40+Balance!G47+Balance!G48+Balance!G49)</f>
        <v>2.654574012867612E-2</v>
      </c>
      <c r="H22" s="24">
        <f>+-('Income Statement'!H24+'Income Statement'!H25)/(Balance!H38+Balance!H39+Balance!H40+Balance!H47+Balance!H48+Balance!H49)</f>
        <v>3.8686107436249416E-2</v>
      </c>
      <c r="I22" s="24">
        <f>+-('Income Statement'!I24+'Income Statement'!I25)/(Balance!I38+Balance!I39+Balance!I40+Balance!I47+Balance!I48+Balance!I49)</f>
        <v>4.2376847827666903E-2</v>
      </c>
      <c r="J22" s="34"/>
      <c r="K22" s="34"/>
      <c r="L22" s="34"/>
      <c r="M22" s="34"/>
    </row>
    <row r="23" spans="2:14" x14ac:dyDescent="0.35">
      <c r="B23" t="s">
        <v>172</v>
      </c>
      <c r="C23" s="58">
        <f>+'Income Statement'!C21/-('Income Statement'!C24+'Income Statement'!C25)</f>
        <v>3.4389122839645574</v>
      </c>
      <c r="D23" s="58">
        <f>+'Income Statement'!D21/-('Income Statement'!D24+'Income Statement'!D25)</f>
        <v>2.9925453324378779</v>
      </c>
      <c r="E23" s="58">
        <f>+'Income Statement'!E21/-('Income Statement'!E24+'Income Statement'!E25)</f>
        <v>-8.465831244778613</v>
      </c>
      <c r="F23" s="58">
        <f>+'Income Statement'!F21/-('Income Statement'!F24+'Income Statement'!F25)</f>
        <v>-2.1830607248531821</v>
      </c>
      <c r="G23" s="58">
        <f>+'Income Statement'!G21/-('Income Statement'!G24+'Income Statement'!G25)</f>
        <v>2.6847923314152973</v>
      </c>
      <c r="H23" s="58">
        <f>+'Income Statement'!H21/-('Income Statement'!H24+'Income Statement'!H25)</f>
        <v>2.1530338335352783</v>
      </c>
      <c r="I23" s="58">
        <f>+'Income Statement'!I21/-('Income Statement'!I24+'Income Statement'!I25)</f>
        <v>3.2679955703211516</v>
      </c>
      <c r="J23" s="34"/>
      <c r="K23" s="34"/>
      <c r="L23" s="34"/>
      <c r="M23" s="34"/>
    </row>
    <row r="25" spans="2:14" x14ac:dyDescent="0.35">
      <c r="B25" t="s">
        <v>149</v>
      </c>
      <c r="C25" s="12">
        <v>-38324</v>
      </c>
      <c r="D25" s="12">
        <v>-43040</v>
      </c>
      <c r="E25" s="12">
        <v>-64</v>
      </c>
      <c r="F25" s="12"/>
      <c r="G25" s="12"/>
      <c r="H25" s="12"/>
      <c r="I25" s="12">
        <v>-25608</v>
      </c>
      <c r="J25" s="12">
        <v>-25608</v>
      </c>
      <c r="K25" s="12">
        <v>-25608</v>
      </c>
      <c r="L25" s="12">
        <v>-25608</v>
      </c>
      <c r="M25" s="12">
        <v>-25608</v>
      </c>
    </row>
    <row r="26" spans="2:14" x14ac:dyDescent="0.35">
      <c r="B26" t="s">
        <v>150</v>
      </c>
      <c r="C26" s="24">
        <f>+ABS(C25)/'Income Statement'!C32</f>
        <v>0.25269015718957694</v>
      </c>
      <c r="D26" s="24">
        <f>+ABS(D25)/'Income Statement'!D32</f>
        <v>0.35371466140696911</v>
      </c>
      <c r="E26" s="24">
        <f>+ABS(E25)/'Income Statement'!E32</f>
        <v>-1.044521078924992E-4</v>
      </c>
      <c r="F26" s="24">
        <f>+ABS(F25)/'Income Statement'!F32</f>
        <v>0</v>
      </c>
      <c r="G26" s="24">
        <f>+ABS(G25)/'Income Statement'!G32</f>
        <v>0</v>
      </c>
      <c r="H26" s="24">
        <f>+ABS(H25)/'Income Statement'!H32</f>
        <v>0</v>
      </c>
      <c r="I26" s="24">
        <f>+ABS(I25)/'Income Statement'!I32</f>
        <v>0.15803407779512593</v>
      </c>
      <c r="J26" s="24">
        <v>0.2</v>
      </c>
      <c r="K26" s="24">
        <v>0.2</v>
      </c>
      <c r="L26" s="24">
        <v>0.2</v>
      </c>
      <c r="M26" s="24">
        <v>0.2</v>
      </c>
    </row>
    <row r="28" spans="2:14" x14ac:dyDescent="0.35">
      <c r="B28" t="s">
        <v>153</v>
      </c>
    </row>
    <row r="29" spans="2:14" x14ac:dyDescent="0.35">
      <c r="B29" t="s">
        <v>154</v>
      </c>
      <c r="C29" s="24">
        <f>+-'Cash Flow Statement'!C17/'Income Statement'!C6</f>
        <v>8.6748868510941168E-3</v>
      </c>
      <c r="D29" s="24">
        <f>+-'Cash Flow Statement'!D17/'Income Statement'!D6</f>
        <v>1.5790108955495777E-2</v>
      </c>
      <c r="E29" s="24">
        <f>+-'Cash Flow Statement'!E17/'Income Statement'!E6</f>
        <v>1.9530732516020121E-3</v>
      </c>
      <c r="F29" s="24">
        <f>+-'Cash Flow Statement'!F17/'Income Statement'!F6</f>
        <v>-1.6504917747410568E-2</v>
      </c>
      <c r="G29" s="24">
        <f>+-'Cash Flow Statement'!G17/'Income Statement'!G6</f>
        <v>7.4914839734392842E-3</v>
      </c>
      <c r="H29" s="24">
        <f>+-'Cash Flow Statement'!H17/'Income Statement'!H6</f>
        <v>1.5031618088128324E-2</v>
      </c>
      <c r="I29" s="24">
        <f>+-'Cash Flow Statement'!I17/'Income Statement'!I6</f>
        <v>1.2016180557694657E-2</v>
      </c>
    </row>
    <row r="30" spans="2:14" x14ac:dyDescent="0.35">
      <c r="B30" t="s">
        <v>155</v>
      </c>
      <c r="C30" s="24">
        <f>+-'Cash Flow Statement'!C17/'Income Statement'!C29</f>
        <v>8.085982725586828E-2</v>
      </c>
      <c r="D30" s="24">
        <f>+-'Cash Flow Statement'!D17/'Income Statement'!D29</f>
        <v>0.18077306924612313</v>
      </c>
      <c r="E30" s="24">
        <f>+-'Cash Flow Statement'!E17/'Income Statement'!E29</f>
        <v>-1.5547530699593685E-3</v>
      </c>
      <c r="F30" s="24">
        <f>+-'Cash Flow Statement'!F17/'Income Statement'!F29</f>
        <v>6.28038879254431E-2</v>
      </c>
      <c r="G30" s="24">
        <f>+-'Cash Flow Statement'!G17/'Income Statement'!G29</f>
        <v>8.0505655355954761E-2</v>
      </c>
      <c r="H30" s="24">
        <f>+-'Cash Flow Statement'!H17/'Income Statement'!H29</f>
        <v>0.19417079100169438</v>
      </c>
      <c r="I30" s="24">
        <f>+-'Cash Flow Statement'!I17/'Income Statement'!I29</f>
        <v>0.10776922254304352</v>
      </c>
      <c r="J30" s="34">
        <v>0.1</v>
      </c>
      <c r="K30" s="34">
        <v>0.1</v>
      </c>
      <c r="L30" s="34">
        <v>0.1</v>
      </c>
      <c r="M30" s="34">
        <v>0.1</v>
      </c>
    </row>
    <row r="32" spans="2:14" x14ac:dyDescent="0.35">
      <c r="B32" t="s">
        <v>156</v>
      </c>
    </row>
    <row r="33" spans="2:13" x14ac:dyDescent="0.35">
      <c r="B33" t="s">
        <v>157</v>
      </c>
      <c r="C33" s="24">
        <f>+'Income Statement'!C35/'Income Statement'!C32</f>
        <v>3.0132397932271338E-2</v>
      </c>
      <c r="D33" s="24">
        <f>+'Income Statement'!D35/'Income Statement'!D32</f>
        <v>7.2164694280078892E-2</v>
      </c>
      <c r="E33" s="24">
        <f>+'Income Statement'!E35/'Income Statement'!E32</f>
        <v>2.7405621808294478E-2</v>
      </c>
      <c r="F33" s="24">
        <f>+'Income Statement'!F35/'Income Statement'!F32</f>
        <v>2.5063175983018295E-2</v>
      </c>
      <c r="G33" s="24">
        <f>+'Income Statement'!G35/'Income Statement'!G32</f>
        <v>7.8502214378475571E-2</v>
      </c>
      <c r="H33" s="24">
        <f>+'Income Statement'!H35/'Income Statement'!H32</f>
        <v>9.5113290497125469E-2</v>
      </c>
      <c r="I33" s="24">
        <f>+'Income Statement'!I35/'Income Statement'!I32</f>
        <v>0.13215791065224233</v>
      </c>
      <c r="J33" s="24">
        <f ca="1">+'Income Statement'!J35/'Income Statement'!J32</f>
        <v>0.10128261116565493</v>
      </c>
      <c r="K33" s="24">
        <f ca="1">+'Income Statement'!K35/'Income Statement'!K32</f>
        <v>0.13215791065224233</v>
      </c>
      <c r="L33" s="24">
        <f ca="1">+'Income Statement'!L35/'Income Statement'!L32</f>
        <v>0.13215791065224233</v>
      </c>
      <c r="M33" s="24">
        <f ca="1">+'Income Statement'!M35/'Income Statement'!M32</f>
        <v>0.13215791065224233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1A96-F05A-4B31-B5B7-D2323DC8DECE}">
  <sheetPr>
    <tabColor theme="2" tint="-9.9978637043366805E-2"/>
  </sheetPr>
  <dimension ref="B4:N24"/>
  <sheetViews>
    <sheetView showGridLines="0" workbookViewId="0">
      <selection activeCell="D22" sqref="D22"/>
    </sheetView>
  </sheetViews>
  <sheetFormatPr defaultRowHeight="14.5" x14ac:dyDescent="0.35"/>
  <cols>
    <col min="1" max="1" width="3.81640625" customWidth="1"/>
    <col min="2" max="2" width="32.36328125" bestFit="1" customWidth="1"/>
    <col min="3" max="4" width="12.7265625" bestFit="1" customWidth="1"/>
    <col min="5" max="6" width="11.1796875" bestFit="1" customWidth="1"/>
    <col min="7" max="13" width="12.7265625" bestFit="1" customWidth="1"/>
  </cols>
  <sheetData>
    <row r="4" spans="2:13" x14ac:dyDescent="0.35">
      <c r="B4" s="19" t="s">
        <v>197</v>
      </c>
      <c r="C4" s="20">
        <v>2018</v>
      </c>
      <c r="D4" s="20">
        <v>2019</v>
      </c>
      <c r="E4" s="20">
        <v>2020</v>
      </c>
      <c r="F4" s="20">
        <v>2021</v>
      </c>
      <c r="G4" s="20">
        <v>2022</v>
      </c>
      <c r="H4" s="20">
        <v>2023</v>
      </c>
      <c r="I4" s="39">
        <v>2024</v>
      </c>
      <c r="J4" s="59" t="s">
        <v>114</v>
      </c>
      <c r="K4" s="40" t="s">
        <v>115</v>
      </c>
      <c r="L4" s="23" t="s">
        <v>116</v>
      </c>
      <c r="M4" s="23" t="s">
        <v>117</v>
      </c>
    </row>
    <row r="5" spans="2:13" x14ac:dyDescent="0.35">
      <c r="B5" t="s">
        <v>15</v>
      </c>
      <c r="C5" s="75">
        <v>26492</v>
      </c>
      <c r="D5" s="75">
        <v>29260</v>
      </c>
      <c r="E5" s="75">
        <v>24389</v>
      </c>
      <c r="F5" s="75">
        <v>25290</v>
      </c>
      <c r="G5" s="75">
        <v>30185.51</v>
      </c>
      <c r="H5" s="75">
        <v>29837</v>
      </c>
      <c r="I5" s="75">
        <v>31988</v>
      </c>
      <c r="J5" s="35">
        <f ca="1">+J21*J18/360</f>
        <v>34076.22401507997</v>
      </c>
      <c r="K5" s="35">
        <f t="shared" ref="K5:M5" ca="1" si="0">+K21*K18/360</f>
        <v>35763.718383715379</v>
      </c>
      <c r="L5" s="35">
        <f t="shared" ca="1" si="0"/>
        <v>37555.303556286621</v>
      </c>
      <c r="M5" s="35">
        <f t="shared" ca="1" si="0"/>
        <v>39445.24481118314</v>
      </c>
    </row>
    <row r="6" spans="2:13" x14ac:dyDescent="0.35">
      <c r="B6" t="s">
        <v>16</v>
      </c>
      <c r="C6" s="75">
        <v>249076</v>
      </c>
      <c r="D6" s="75">
        <v>194077</v>
      </c>
      <c r="E6" s="75">
        <v>134961</v>
      </c>
      <c r="F6" s="75">
        <v>135866</v>
      </c>
      <c r="G6" s="75">
        <v>183355.6</v>
      </c>
      <c r="H6" s="75">
        <v>227315</v>
      </c>
      <c r="I6" s="75">
        <v>265480</v>
      </c>
      <c r="J6" s="35">
        <f ca="1">+J20*J17/360</f>
        <v>269667.57923280948</v>
      </c>
      <c r="K6" s="35">
        <f t="shared" ref="K6:M6" ca="1" si="1">+K20*K17/360</f>
        <v>282743.73983743478</v>
      </c>
      <c r="L6" s="35">
        <f t="shared" ca="1" si="1"/>
        <v>296626.48569355957</v>
      </c>
      <c r="M6" s="35">
        <f t="shared" ca="1" si="1"/>
        <v>311271.37923611893</v>
      </c>
    </row>
    <row r="7" spans="2:13" x14ac:dyDescent="0.35">
      <c r="B7" t="s">
        <v>164</v>
      </c>
      <c r="C7" s="7">
        <v>0</v>
      </c>
      <c r="D7" s="7">
        <v>0</v>
      </c>
      <c r="E7" s="7">
        <v>0</v>
      </c>
      <c r="F7" s="7">
        <v>0</v>
      </c>
      <c r="G7" s="7">
        <v>0</v>
      </c>
      <c r="H7" s="7">
        <v>0</v>
      </c>
      <c r="I7" s="7">
        <v>0</v>
      </c>
      <c r="J7" s="35">
        <v>0</v>
      </c>
      <c r="K7" s="35">
        <v>0</v>
      </c>
      <c r="L7" s="35">
        <v>0</v>
      </c>
      <c r="M7" s="35">
        <v>0</v>
      </c>
    </row>
    <row r="8" spans="2:13" x14ac:dyDescent="0.35">
      <c r="B8" s="4" t="s">
        <v>204</v>
      </c>
      <c r="C8" s="5">
        <f t="shared" ref="C8:M8" si="2">+SUM(C5:C7)</f>
        <v>275568</v>
      </c>
      <c r="D8" s="5">
        <f t="shared" si="2"/>
        <v>223337</v>
      </c>
      <c r="E8" s="5">
        <f t="shared" si="2"/>
        <v>159350</v>
      </c>
      <c r="F8" s="5">
        <f t="shared" si="2"/>
        <v>161156</v>
      </c>
      <c r="G8" s="5">
        <f t="shared" si="2"/>
        <v>213541.11000000002</v>
      </c>
      <c r="H8" s="5">
        <f t="shared" si="2"/>
        <v>257152</v>
      </c>
      <c r="I8" s="5">
        <f t="shared" si="2"/>
        <v>297468</v>
      </c>
      <c r="J8" s="5">
        <f t="shared" ca="1" si="2"/>
        <v>303743.80324788945</v>
      </c>
      <c r="K8" s="5">
        <f t="shared" ca="1" si="2"/>
        <v>318507.45822115015</v>
      </c>
      <c r="L8" s="5">
        <f t="shared" ca="1" si="2"/>
        <v>334181.78924984619</v>
      </c>
      <c r="M8" s="5">
        <f t="shared" ca="1" si="2"/>
        <v>350716.62404730206</v>
      </c>
    </row>
    <row r="9" spans="2:13" ht="11" customHeight="1" x14ac:dyDescent="0.35"/>
    <row r="10" spans="2:13" x14ac:dyDescent="0.35">
      <c r="B10" t="s">
        <v>42</v>
      </c>
      <c r="C10" s="75">
        <v>452823</v>
      </c>
      <c r="D10" s="75">
        <v>424472</v>
      </c>
      <c r="E10" s="75">
        <v>293334</v>
      </c>
      <c r="F10" s="75">
        <v>366656</v>
      </c>
      <c r="G10" s="75">
        <v>500763</v>
      </c>
      <c r="H10" s="75">
        <v>505276</v>
      </c>
      <c r="I10" s="75">
        <v>473383</v>
      </c>
      <c r="J10" s="35">
        <f ca="1">+J22*J18/360</f>
        <v>535773.82321763621</v>
      </c>
      <c r="K10" s="35">
        <f t="shared" ref="K10:M10" ca="1" si="3">+K22*K18/360</f>
        <v>562305.96800990903</v>
      </c>
      <c r="L10" s="35">
        <f t="shared" ca="1" si="3"/>
        <v>590474.71220831957</v>
      </c>
      <c r="M10" s="35">
        <f t="shared" ca="1" si="3"/>
        <v>620189.88990361057</v>
      </c>
    </row>
    <row r="11" spans="2:13" x14ac:dyDescent="0.35">
      <c r="B11" t="s">
        <v>44</v>
      </c>
      <c r="C11" s="75">
        <v>75546</v>
      </c>
      <c r="D11" s="75">
        <v>65301</v>
      </c>
      <c r="E11" s="75">
        <v>44818</v>
      </c>
      <c r="F11" s="75">
        <v>40905</v>
      </c>
      <c r="G11" s="75">
        <v>44022</v>
      </c>
      <c r="H11" s="75">
        <v>45973</v>
      </c>
      <c r="I11" s="75">
        <v>26363</v>
      </c>
      <c r="J11" s="35">
        <f ca="1">+J$17*J24</f>
        <v>26778.839804559881</v>
      </c>
      <c r="K11" s="35">
        <f ca="1">+K$17*K24</f>
        <v>28077.343729600321</v>
      </c>
      <c r="L11" s="35">
        <f ca="1">+L$17*L24</f>
        <v>29455.944110062192</v>
      </c>
      <c r="M11" s="35">
        <f ca="1">+M$17*M24</f>
        <v>30910.228155800072</v>
      </c>
    </row>
    <row r="12" spans="2:13" x14ac:dyDescent="0.35">
      <c r="B12" s="4" t="s">
        <v>206</v>
      </c>
      <c r="C12" s="5">
        <f t="shared" ref="C12:M12" si="4">+SUM(C9:C11)</f>
        <v>528369</v>
      </c>
      <c r="D12" s="5">
        <f t="shared" si="4"/>
        <v>489773</v>
      </c>
      <c r="E12" s="5">
        <f t="shared" si="4"/>
        <v>338152</v>
      </c>
      <c r="F12" s="5">
        <f t="shared" si="4"/>
        <v>407561</v>
      </c>
      <c r="G12" s="5">
        <f t="shared" si="4"/>
        <v>544785</v>
      </c>
      <c r="H12" s="5">
        <f t="shared" si="4"/>
        <v>551249</v>
      </c>
      <c r="I12" s="5">
        <f t="shared" si="4"/>
        <v>499746</v>
      </c>
      <c r="J12" s="5">
        <f t="shared" ca="1" si="4"/>
        <v>562552.66302219604</v>
      </c>
      <c r="K12" s="5">
        <f t="shared" ca="1" si="4"/>
        <v>590383.31173950934</v>
      </c>
      <c r="L12" s="5">
        <f t="shared" ca="1" si="4"/>
        <v>619930.65631838178</v>
      </c>
      <c r="M12" s="5">
        <f t="shared" ca="1" si="4"/>
        <v>651100.1180594106</v>
      </c>
    </row>
    <row r="13" spans="2:13" x14ac:dyDescent="0.35">
      <c r="I13" s="1">
        <f>+I8-I12</f>
        <v>-202278</v>
      </c>
      <c r="J13" s="1">
        <f t="shared" ref="J13:M13" ca="1" si="5">+J8-J12</f>
        <v>-258808.85977430659</v>
      </c>
      <c r="K13" s="1">
        <f t="shared" ca="1" si="5"/>
        <v>-271875.85351835919</v>
      </c>
      <c r="L13" s="1">
        <f t="shared" ca="1" si="5"/>
        <v>-285748.86706853559</v>
      </c>
      <c r="M13" s="1">
        <f t="shared" ca="1" si="5"/>
        <v>-300383.49401210854</v>
      </c>
    </row>
    <row r="15" spans="2:13" x14ac:dyDescent="0.35">
      <c r="B15" t="s">
        <v>198</v>
      </c>
    </row>
    <row r="16" spans="2:13" x14ac:dyDescent="0.35">
      <c r="B16" s="19" t="s">
        <v>197</v>
      </c>
      <c r="C16" s="20">
        <v>2018</v>
      </c>
      <c r="D16" s="20">
        <v>2019</v>
      </c>
      <c r="E16" s="20">
        <v>2020</v>
      </c>
      <c r="F16" s="20">
        <v>2021</v>
      </c>
      <c r="G16" s="20">
        <v>2022</v>
      </c>
      <c r="H16" s="20">
        <v>2023</v>
      </c>
      <c r="I16" s="39">
        <v>2024</v>
      </c>
      <c r="J16" s="59" t="s">
        <v>114</v>
      </c>
      <c r="K16" s="40" t="s">
        <v>115</v>
      </c>
      <c r="L16" s="23" t="s">
        <v>116</v>
      </c>
      <c r="M16" s="23" t="s">
        <v>117</v>
      </c>
    </row>
    <row r="17" spans="2:14" x14ac:dyDescent="0.35">
      <c r="B17" t="s">
        <v>199</v>
      </c>
      <c r="C17" s="35">
        <f>+Projections!C9+Projections!C10</f>
        <v>1831315</v>
      </c>
      <c r="D17" s="35">
        <f>+Projections!D9+Projections!D10</f>
        <v>1800749</v>
      </c>
      <c r="E17" s="35">
        <f>+Projections!E9+Projections!E10</f>
        <v>528398</v>
      </c>
      <c r="F17" s="35">
        <f>+Projections!F9+Projections!F10</f>
        <v>902434</v>
      </c>
      <c r="G17" s="35">
        <f>+Projections!G9+Projections!G10</f>
        <v>1692013</v>
      </c>
      <c r="H17" s="35">
        <f>+Projections!H9+Projections!H10</f>
        <v>1932196</v>
      </c>
      <c r="I17" s="35">
        <f>+Projections!I9+Projections!I10</f>
        <v>2056282</v>
      </c>
      <c r="J17" s="35">
        <f ca="1">+Projections!J9+Projections!J10</f>
        <v>2088717</v>
      </c>
      <c r="K17" s="35">
        <f ca="1">+Projections!K9+Projections!K10</f>
        <v>2189998.7300000004</v>
      </c>
      <c r="L17" s="35">
        <f ca="1">+Projections!L9+Projections!L10</f>
        <v>2297527.8863000004</v>
      </c>
      <c r="M17" s="35">
        <f ca="1">+Projections!M9+Projections!M10</f>
        <v>2410960.2766250004</v>
      </c>
    </row>
    <row r="18" spans="2:14" x14ac:dyDescent="0.35">
      <c r="B18" s="87" t="s">
        <v>200</v>
      </c>
      <c r="C18" s="88">
        <f>+(Projections!C64+Projections!C66)*-1</f>
        <v>782958</v>
      </c>
      <c r="D18" s="88">
        <f>+(Projections!D64+Projections!D66)*-1</f>
        <v>778336</v>
      </c>
      <c r="E18" s="88">
        <f>+(Projections!E64+Projections!E66)*-1</f>
        <v>397159</v>
      </c>
      <c r="F18" s="88">
        <f>+(Projections!F64+Projections!F66)*-1</f>
        <v>464193</v>
      </c>
      <c r="G18" s="88">
        <f>+(Projections!G64+Projections!G66)*-1</f>
        <v>769286</v>
      </c>
      <c r="H18" s="88">
        <f>+(Projections!H64+Projections!H66)*-1</f>
        <v>854853</v>
      </c>
      <c r="I18" s="88">
        <f>+(Projections!I64+Projections!I66)*-1</f>
        <v>871500</v>
      </c>
      <c r="J18" s="88">
        <f ca="1">+(Projections!J64+Projections!J66)*-1</f>
        <v>906450.85082027642</v>
      </c>
      <c r="K18" s="88">
        <f ca="1">+(Projections!K64+Projections!K66)*-1</f>
        <v>951339.35447394033</v>
      </c>
      <c r="L18" s="88">
        <f ca="1">+(Projections!L64+Projections!L66)*-1</f>
        <v>998996.7446611725</v>
      </c>
      <c r="M18" s="88">
        <f ca="1">+(Projections!M64+Projections!M66)*-1</f>
        <v>1049270.4738672946</v>
      </c>
    </row>
    <row r="20" spans="2:14" x14ac:dyDescent="0.35">
      <c r="B20" t="s">
        <v>201</v>
      </c>
      <c r="C20" s="89">
        <f t="shared" ref="C20:I20" si="6">+C6/C17*360</f>
        <v>48.963373313711735</v>
      </c>
      <c r="D20" s="89">
        <f t="shared" si="6"/>
        <v>38.799255198808936</v>
      </c>
      <c r="E20" s="89">
        <f t="shared" si="6"/>
        <v>91.949553177718315</v>
      </c>
      <c r="F20" s="89">
        <f t="shared" si="6"/>
        <v>54.199819598995603</v>
      </c>
      <c r="G20" s="89">
        <f t="shared" si="6"/>
        <v>39.011530053256095</v>
      </c>
      <c r="H20" s="89">
        <f t="shared" si="6"/>
        <v>42.352535664083767</v>
      </c>
      <c r="I20" s="89">
        <f t="shared" si="6"/>
        <v>46.478449940231933</v>
      </c>
      <c r="J20" s="89">
        <f>+MEDIAN(C20:I20)</f>
        <v>46.478449940231933</v>
      </c>
      <c r="K20" s="89">
        <f t="shared" ref="K20:M20" si="7">+MEDIAN(D20:J20)</f>
        <v>46.478449940231933</v>
      </c>
      <c r="L20" s="89">
        <f t="shared" si="7"/>
        <v>46.478449940231933</v>
      </c>
      <c r="M20" s="89">
        <f t="shared" si="7"/>
        <v>46.478449940231933</v>
      </c>
    </row>
    <row r="21" spans="2:14" x14ac:dyDescent="0.35">
      <c r="B21" t="s">
        <v>202</v>
      </c>
      <c r="C21" s="89">
        <f>+C5/C18*360</f>
        <v>12.180883265769046</v>
      </c>
      <c r="D21" s="89">
        <f t="shared" ref="D21:I21" si="8">+D5/D18*360</f>
        <v>13.533486823171483</v>
      </c>
      <c r="E21" s="89">
        <f t="shared" si="8"/>
        <v>22.107115789897748</v>
      </c>
      <c r="F21" s="89">
        <f t="shared" si="8"/>
        <v>19.613393566899973</v>
      </c>
      <c r="G21" s="89">
        <f t="shared" si="8"/>
        <v>14.125804447240688</v>
      </c>
      <c r="H21" s="89">
        <f t="shared" si="8"/>
        <v>12.565107685180962</v>
      </c>
      <c r="I21" s="89">
        <f t="shared" si="8"/>
        <v>13.213631669535284</v>
      </c>
      <c r="J21" s="89">
        <f>+MEDIAN(C21:I21)</f>
        <v>13.533486823171483</v>
      </c>
      <c r="K21" s="89">
        <f t="shared" ref="K21:M21" si="9">+MEDIAN(D21:J21)</f>
        <v>13.533486823171483</v>
      </c>
      <c r="L21" s="89">
        <f t="shared" si="9"/>
        <v>13.533486823171483</v>
      </c>
      <c r="M21" s="89">
        <f t="shared" si="9"/>
        <v>13.533486823171483</v>
      </c>
    </row>
    <row r="22" spans="2:14" x14ac:dyDescent="0.35">
      <c r="B22" t="s">
        <v>203</v>
      </c>
      <c r="C22" s="89">
        <f>+C10/C18*360</f>
        <v>208.20565087782489</v>
      </c>
      <c r="D22" s="89">
        <f t="shared" ref="D22:I22" si="10">+D10/D18*360</f>
        <v>196.32898902273567</v>
      </c>
      <c r="E22" s="89">
        <f t="shared" si="10"/>
        <v>265.88907717060425</v>
      </c>
      <c r="F22" s="89">
        <f t="shared" si="10"/>
        <v>284.3562052853016</v>
      </c>
      <c r="G22" s="89">
        <f t="shared" si="10"/>
        <v>234.34025836944906</v>
      </c>
      <c r="H22" s="89">
        <f t="shared" si="10"/>
        <v>212.78437345368152</v>
      </c>
      <c r="I22" s="89">
        <f t="shared" si="10"/>
        <v>195.54547332185888</v>
      </c>
      <c r="J22" s="89">
        <f>+MEDIAN(C22:I22)</f>
        <v>212.78437345368152</v>
      </c>
      <c r="K22" s="89">
        <f t="shared" ref="K22:M22" si="11">+MEDIAN(D22:J22)</f>
        <v>212.78437345368152</v>
      </c>
      <c r="L22" s="89">
        <f t="shared" si="11"/>
        <v>212.78437345368152</v>
      </c>
      <c r="M22" s="89">
        <f t="shared" si="11"/>
        <v>212.78437345368152</v>
      </c>
    </row>
    <row r="24" spans="2:14" x14ac:dyDescent="0.35">
      <c r="B24" t="s">
        <v>205</v>
      </c>
      <c r="C24" s="17">
        <f t="shared" ref="C24:I24" si="12">+C11/C$17</f>
        <v>4.1252324149586496E-2</v>
      </c>
      <c r="D24" s="17">
        <f t="shared" si="12"/>
        <v>3.6263243794665445E-2</v>
      </c>
      <c r="E24" s="17">
        <f t="shared" si="12"/>
        <v>8.4818640494475753E-2</v>
      </c>
      <c r="F24" s="17">
        <f t="shared" si="12"/>
        <v>4.5327414525605195E-2</v>
      </c>
      <c r="G24" s="17">
        <f t="shared" si="12"/>
        <v>2.6017530598169164E-2</v>
      </c>
      <c r="H24" s="17">
        <f t="shared" si="12"/>
        <v>2.3793134857954368E-2</v>
      </c>
      <c r="I24" s="17">
        <f t="shared" si="12"/>
        <v>1.2820712334203187E-2</v>
      </c>
      <c r="J24" s="34">
        <v>1.2820712334203187E-2</v>
      </c>
      <c r="K24" s="34">
        <v>1.2820712334203187E-2</v>
      </c>
      <c r="L24" s="34">
        <v>1.2820712334203187E-2</v>
      </c>
      <c r="M24" s="34">
        <v>1.2820712334203187E-2</v>
      </c>
      <c r="N24" s="34"/>
    </row>
  </sheetData>
  <pageMargins left="0.7" right="0.7" top="0.75" bottom="0.75" header="0.3" footer="0.3"/>
  <ignoredErrors>
    <ignoredError sqref="C8 D8:M8" formulaRange="1"/>
  </ignoredError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F29F-5641-4E08-A680-2D28B0552F5B}">
  <sheetPr>
    <tabColor theme="2" tint="-9.9978637043366805E-2"/>
  </sheetPr>
  <dimension ref="B2:M39"/>
  <sheetViews>
    <sheetView showGridLines="0" workbookViewId="0">
      <selection activeCell="J10" sqref="J10"/>
    </sheetView>
  </sheetViews>
  <sheetFormatPr defaultRowHeight="14.5" x14ac:dyDescent="0.35"/>
  <cols>
    <col min="1" max="1" width="2.7265625" customWidth="1"/>
    <col min="2" max="2" width="26.26953125" bestFit="1" customWidth="1"/>
    <col min="3" max="3" width="6.81640625" customWidth="1"/>
    <col min="4" max="8" width="10.26953125" bestFit="1" customWidth="1"/>
    <col min="9" max="9" width="11.1796875" customWidth="1"/>
    <col min="10" max="13" width="10.26953125" bestFit="1" customWidth="1"/>
    <col min="14" max="18" width="11.90625" bestFit="1" customWidth="1"/>
  </cols>
  <sheetData>
    <row r="2" spans="2:13" x14ac:dyDescent="0.35">
      <c r="B2" s="223" t="s">
        <v>224</v>
      </c>
      <c r="C2" s="224"/>
      <c r="D2" s="224"/>
      <c r="E2" s="224"/>
      <c r="F2" s="224"/>
      <c r="G2" s="224"/>
      <c r="H2" s="224"/>
      <c r="I2" s="224"/>
      <c r="J2" s="224"/>
      <c r="K2" s="224"/>
      <c r="L2" s="224"/>
      <c r="M2" s="224"/>
    </row>
    <row r="4" spans="2:13" x14ac:dyDescent="0.35">
      <c r="B4" s="153" t="s">
        <v>197</v>
      </c>
      <c r="C4" s="153">
        <v>2018</v>
      </c>
      <c r="D4" s="153">
        <v>2019</v>
      </c>
      <c r="E4" s="153">
        <v>2020</v>
      </c>
      <c r="F4" s="153">
        <v>2021</v>
      </c>
      <c r="G4" s="153">
        <v>2022</v>
      </c>
      <c r="H4" s="153">
        <v>2023</v>
      </c>
      <c r="I4" s="153">
        <v>2024</v>
      </c>
      <c r="J4" s="160" t="s">
        <v>114</v>
      </c>
      <c r="K4" s="160" t="s">
        <v>115</v>
      </c>
      <c r="L4" s="160" t="s">
        <v>116</v>
      </c>
      <c r="M4" s="160" t="s">
        <v>117</v>
      </c>
    </row>
    <row r="5" spans="2:13" x14ac:dyDescent="0.35">
      <c r="B5" t="s">
        <v>213</v>
      </c>
      <c r="C5" s="112"/>
      <c r="D5" s="111">
        <f>+Balance!C8</f>
        <v>1851193.98</v>
      </c>
      <c r="E5" s="111">
        <f>+Balance!D8</f>
        <v>1923267</v>
      </c>
      <c r="F5" s="111">
        <f>+Balance!E8</f>
        <v>1688724</v>
      </c>
      <c r="G5" s="111">
        <f>+Balance!F8</f>
        <v>1589041</v>
      </c>
      <c r="H5" s="111">
        <f>+Balance!G8</f>
        <v>1619824.51</v>
      </c>
      <c r="I5" s="111">
        <f>+Balance!H8</f>
        <v>1578149</v>
      </c>
      <c r="J5" s="111">
        <f>+I8</f>
        <v>1594373</v>
      </c>
      <c r="K5" s="111">
        <f t="shared" ref="K5:M5" si="0">+J8</f>
        <v>1581867.2370200083</v>
      </c>
      <c r="L5" s="111">
        <f t="shared" si="0"/>
        <v>1569459.5653321492</v>
      </c>
      <c r="M5" s="111">
        <f t="shared" si="0"/>
        <v>1557149.2155390177</v>
      </c>
    </row>
    <row r="6" spans="2:13" x14ac:dyDescent="0.35">
      <c r="B6" t="s">
        <v>212</v>
      </c>
      <c r="C6" s="112"/>
      <c r="D6" s="111">
        <f>+'Income Statement'!D18</f>
        <v>-122329</v>
      </c>
      <c r="E6" s="111">
        <f>+'Income Statement'!E18</f>
        <v>-179912</v>
      </c>
      <c r="F6" s="111">
        <f>+'Income Statement'!F18</f>
        <v>-125581</v>
      </c>
      <c r="G6" s="111">
        <f>+'Income Statement'!G18</f>
        <v>-89927</v>
      </c>
      <c r="H6" s="111">
        <f>+'Income Statement'!H18</f>
        <v>-114368</v>
      </c>
      <c r="I6" s="111">
        <f>+'Income Statement'!I18</f>
        <v>-102333</v>
      </c>
      <c r="J6" s="111">
        <f>+J5*-J12</f>
        <v>-103385.02397999175</v>
      </c>
      <c r="K6" s="111">
        <f t="shared" ref="K6:M6" si="1">+K5*-K12</f>
        <v>-102574.10419799936</v>
      </c>
      <c r="L6" s="111">
        <f t="shared" si="1"/>
        <v>-101769.54501706417</v>
      </c>
      <c r="M6" s="111">
        <f t="shared" si="1"/>
        <v>-100971.29654662157</v>
      </c>
    </row>
    <row r="7" spans="2:13" x14ac:dyDescent="0.35">
      <c r="B7" t="s">
        <v>142</v>
      </c>
      <c r="C7" s="112"/>
      <c r="D7" s="112">
        <f>+D8-(D5+D6)</f>
        <v>194402.02000000002</v>
      </c>
      <c r="E7" s="112">
        <f t="shared" ref="E7:I7" si="2">+E8-(E5+E6)</f>
        <v>-54631</v>
      </c>
      <c r="F7" s="112">
        <f t="shared" si="2"/>
        <v>25898</v>
      </c>
      <c r="G7" s="112">
        <f t="shared" si="2"/>
        <v>120710.51000000001</v>
      </c>
      <c r="H7" s="112">
        <f t="shared" si="2"/>
        <v>72692.489999999991</v>
      </c>
      <c r="I7" s="112">
        <f t="shared" si="2"/>
        <v>118557</v>
      </c>
      <c r="J7" s="112">
        <f>+J5*J13</f>
        <v>90879.260999999999</v>
      </c>
      <c r="K7" s="112">
        <f t="shared" ref="K7:M7" si="3">+K5*K13</f>
        <v>90166.432510140468</v>
      </c>
      <c r="L7" s="112">
        <f t="shared" si="3"/>
        <v>89459.195223932504</v>
      </c>
      <c r="M7" s="112">
        <f t="shared" si="3"/>
        <v>88757.505285724008</v>
      </c>
    </row>
    <row r="8" spans="2:13" ht="15" thickBot="1" x14ac:dyDescent="0.4">
      <c r="B8" s="154" t="s">
        <v>214</v>
      </c>
      <c r="C8" s="155"/>
      <c r="D8" s="156">
        <f>+Balance!D8</f>
        <v>1923267</v>
      </c>
      <c r="E8" s="156">
        <f>+Balance!E8</f>
        <v>1688724</v>
      </c>
      <c r="F8" s="156">
        <f>+Balance!F8</f>
        <v>1589041</v>
      </c>
      <c r="G8" s="156">
        <f>+Balance!G8</f>
        <v>1619824.51</v>
      </c>
      <c r="H8" s="156">
        <f>+Balance!H8</f>
        <v>1578149</v>
      </c>
      <c r="I8" s="156">
        <f>+Balance!I8</f>
        <v>1594373</v>
      </c>
      <c r="J8" s="156">
        <f>+J5+J6+J7</f>
        <v>1581867.2370200083</v>
      </c>
      <c r="K8" s="156">
        <f t="shared" ref="K8:M8" si="4">+K5+K6+K7</f>
        <v>1569459.5653321492</v>
      </c>
      <c r="L8" s="156">
        <f t="shared" si="4"/>
        <v>1557149.2155390177</v>
      </c>
      <c r="M8" s="156">
        <f t="shared" si="4"/>
        <v>1544935.4242781203</v>
      </c>
    </row>
    <row r="9" spans="2:13" ht="15" thickTop="1" x14ac:dyDescent="0.35"/>
    <row r="10" spans="2:13" x14ac:dyDescent="0.35">
      <c r="B10" t="s">
        <v>264</v>
      </c>
      <c r="D10" s="112">
        <f>+D6*0.7</f>
        <v>-85630.299999999988</v>
      </c>
      <c r="E10" s="112">
        <f t="shared" ref="E10:I10" si="5">+E6*0.7</f>
        <v>-125938.4</v>
      </c>
      <c r="F10" s="112">
        <f t="shared" si="5"/>
        <v>-87906.7</v>
      </c>
      <c r="G10" s="112">
        <f t="shared" si="5"/>
        <v>-62948.899999999994</v>
      </c>
      <c r="H10" s="112">
        <f t="shared" si="5"/>
        <v>-80057.599999999991</v>
      </c>
      <c r="I10" s="112">
        <f t="shared" si="5"/>
        <v>-71633.099999999991</v>
      </c>
      <c r="J10" s="112">
        <f>+MEDIAN(D10:I10)</f>
        <v>-82843.949999999983</v>
      </c>
      <c r="K10" s="112">
        <v>-82843.949999999983</v>
      </c>
      <c r="L10" s="112">
        <v>-82843.949999999983</v>
      </c>
      <c r="M10" s="112">
        <v>-82843.949999999983</v>
      </c>
    </row>
    <row r="12" spans="2:13" x14ac:dyDescent="0.35">
      <c r="B12" s="56" t="s">
        <v>220</v>
      </c>
      <c r="D12" s="24">
        <f>+-D6/D5</f>
        <v>6.6081135376207301E-2</v>
      </c>
      <c r="E12" s="24">
        <f t="shared" ref="E12:I12" si="6">+-E6/E5</f>
        <v>9.3544994012791774E-2</v>
      </c>
      <c r="F12" s="24">
        <f t="shared" si="6"/>
        <v>7.4364431369483702E-2</v>
      </c>
      <c r="G12" s="24">
        <f t="shared" si="6"/>
        <v>5.6591994794344513E-2</v>
      </c>
      <c r="H12" s="24">
        <f t="shared" si="6"/>
        <v>7.060517932278973E-2</v>
      </c>
      <c r="I12" s="24">
        <f t="shared" si="6"/>
        <v>6.4843687129668995E-2</v>
      </c>
      <c r="J12" s="57">
        <v>6.4843687129668995E-2</v>
      </c>
      <c r="K12" s="24">
        <v>6.4843687129668995E-2</v>
      </c>
      <c r="L12" s="24">
        <v>6.4843687129668995E-2</v>
      </c>
      <c r="M12" s="24">
        <v>6.4843687129668995E-2</v>
      </c>
    </row>
    <row r="13" spans="2:13" ht="15" thickBot="1" x14ac:dyDescent="0.4">
      <c r="B13" s="159" t="s">
        <v>221</v>
      </c>
      <c r="C13" s="157"/>
      <c r="D13" s="158">
        <f t="shared" ref="D13:I13" si="7">+ABS(D7/D5)</f>
        <v>0.10501439724863411</v>
      </c>
      <c r="E13" s="158">
        <f t="shared" si="7"/>
        <v>2.8405312418920515E-2</v>
      </c>
      <c r="F13" s="158">
        <f t="shared" si="7"/>
        <v>1.5335839367475087E-2</v>
      </c>
      <c r="G13" s="158">
        <f t="shared" si="7"/>
        <v>7.5964377256471052E-2</v>
      </c>
      <c r="H13" s="158">
        <f t="shared" si="7"/>
        <v>4.4876768780341511E-2</v>
      </c>
      <c r="I13" s="158">
        <f t="shared" si="7"/>
        <v>7.5124085241634345E-2</v>
      </c>
      <c r="J13" s="158">
        <v>5.7000000000000002E-2</v>
      </c>
      <c r="K13" s="158">
        <v>5.7000000000000002E-2</v>
      </c>
      <c r="L13" s="158">
        <v>5.7000000000000002E-2</v>
      </c>
      <c r="M13" s="158">
        <v>5.7000000000000002E-2</v>
      </c>
    </row>
    <row r="15" spans="2:13" x14ac:dyDescent="0.35">
      <c r="B15" s="223" t="s">
        <v>225</v>
      </c>
      <c r="C15" s="224"/>
      <c r="D15" s="224"/>
      <c r="E15" s="224"/>
      <c r="F15" s="224"/>
      <c r="G15" s="224"/>
      <c r="H15" s="224"/>
      <c r="I15" s="224"/>
      <c r="J15" s="224"/>
      <c r="K15" s="224"/>
      <c r="L15" s="224"/>
      <c r="M15" s="224"/>
    </row>
    <row r="17" spans="2:13" x14ac:dyDescent="0.35">
      <c r="B17" s="153" t="s">
        <v>197</v>
      </c>
      <c r="C17" s="153">
        <v>2018</v>
      </c>
      <c r="D17" s="153">
        <v>2019</v>
      </c>
      <c r="E17" s="153">
        <v>2020</v>
      </c>
      <c r="F17" s="153">
        <v>2021</v>
      </c>
      <c r="G17" s="153">
        <v>2022</v>
      </c>
      <c r="H17" s="153">
        <v>2023</v>
      </c>
      <c r="I17" s="153">
        <v>2024</v>
      </c>
      <c r="J17" s="160" t="s">
        <v>114</v>
      </c>
      <c r="K17" s="160" t="s">
        <v>115</v>
      </c>
      <c r="L17" s="160" t="s">
        <v>116</v>
      </c>
      <c r="M17" s="160" t="s">
        <v>117</v>
      </c>
    </row>
    <row r="18" spans="2:13" x14ac:dyDescent="0.35">
      <c r="B18" t="s">
        <v>216</v>
      </c>
      <c r="C18" s="112"/>
      <c r="D18" s="111">
        <f>+Balance!C9</f>
        <v>1064130</v>
      </c>
      <c r="E18" s="111">
        <f>+Balance!D9</f>
        <v>1251255</v>
      </c>
      <c r="F18" s="111">
        <f>+Balance!E9</f>
        <v>1186918</v>
      </c>
      <c r="G18" s="111">
        <f>+Balance!F9</f>
        <v>1429100</v>
      </c>
      <c r="H18" s="111">
        <f>+Balance!G9</f>
        <v>1370816.51</v>
      </c>
      <c r="I18" s="111">
        <f>+Balance!H9</f>
        <v>1375854</v>
      </c>
      <c r="J18" s="111">
        <f>+I21</f>
        <v>1517855</v>
      </c>
      <c r="K18" s="111">
        <f>+J21</f>
        <v>1606749.0060225867</v>
      </c>
      <c r="L18" s="111">
        <f t="shared" ref="L18:M18" si="8">+K21</f>
        <v>1700849.1379970883</v>
      </c>
      <c r="M18" s="111">
        <f t="shared" si="8"/>
        <v>1800460.2955296752</v>
      </c>
    </row>
    <row r="19" spans="2:13" x14ac:dyDescent="0.35">
      <c r="B19" t="s">
        <v>212</v>
      </c>
      <c r="C19" s="112"/>
      <c r="D19" s="112">
        <f>+'Income Statement'!D19</f>
        <v>-137713</v>
      </c>
      <c r="E19" s="112">
        <f>+'Income Statement'!E19</f>
        <v>-225905</v>
      </c>
      <c r="F19" s="112">
        <f>+'Income Statement'!F19</f>
        <v>-145294</v>
      </c>
      <c r="G19" s="112">
        <f>+'Income Statement'!G19</f>
        <v>-139733</v>
      </c>
      <c r="H19" s="112">
        <f>+'Income Statement'!H19</f>
        <v>-144395</v>
      </c>
      <c r="I19" s="112">
        <f>+'Income Statement'!I19</f>
        <v>-139559</v>
      </c>
      <c r="J19" s="112">
        <f>+J18*-J31</f>
        <v>-153962.7939774133</v>
      </c>
      <c r="K19" s="112">
        <f>+K18*-K31</f>
        <v>-162979.70898911235</v>
      </c>
      <c r="L19" s="112">
        <f>+L18*-L31</f>
        <v>-172524.70454694729</v>
      </c>
      <c r="M19" s="112">
        <f>+M18*-M31</f>
        <v>-182628.70797615586</v>
      </c>
    </row>
    <row r="20" spans="2:13" x14ac:dyDescent="0.35">
      <c r="B20" t="s">
        <v>142</v>
      </c>
      <c r="C20" s="112"/>
      <c r="D20" s="112">
        <f>+D21-(D18+D19)</f>
        <v>324838</v>
      </c>
      <c r="E20" s="112">
        <f t="shared" ref="E20:I20" si="9">+E21-(E18+E19)</f>
        <v>161568</v>
      </c>
      <c r="F20" s="112">
        <f t="shared" si="9"/>
        <v>387476</v>
      </c>
      <c r="G20" s="112">
        <f t="shared" si="9"/>
        <v>81449.510000000009</v>
      </c>
      <c r="H20" s="112">
        <f t="shared" si="9"/>
        <v>149432.49</v>
      </c>
      <c r="I20" s="112">
        <f t="shared" si="9"/>
        <v>281560</v>
      </c>
      <c r="J20" s="112">
        <f>+J18*J32</f>
        <v>242856.80000000002</v>
      </c>
      <c r="K20" s="112">
        <f>+K18*K32</f>
        <v>257079.84096361388</v>
      </c>
      <c r="L20" s="112">
        <f>+L18*L32</f>
        <v>272135.8620795341</v>
      </c>
      <c r="M20" s="112">
        <f>+M18*M32</f>
        <v>288073.64728474803</v>
      </c>
    </row>
    <row r="21" spans="2:13" ht="15" thickBot="1" x14ac:dyDescent="0.4">
      <c r="B21" s="154" t="s">
        <v>217</v>
      </c>
      <c r="C21" s="155"/>
      <c r="D21" s="155">
        <f>+Balance!D9</f>
        <v>1251255</v>
      </c>
      <c r="E21" s="155">
        <f>+Balance!E9</f>
        <v>1186918</v>
      </c>
      <c r="F21" s="155">
        <f>+Balance!F9</f>
        <v>1429100</v>
      </c>
      <c r="G21" s="155">
        <f>+Balance!G9</f>
        <v>1370816.51</v>
      </c>
      <c r="H21" s="155">
        <f>+Balance!H9</f>
        <v>1375854</v>
      </c>
      <c r="I21" s="155">
        <f>+Balance!I9</f>
        <v>1517855</v>
      </c>
      <c r="J21" s="155">
        <f>+J18+J19+J20</f>
        <v>1606749.0060225867</v>
      </c>
      <c r="K21" s="155">
        <f t="shared" ref="K21:M21" si="10">+K18+K19+K20</f>
        <v>1700849.1379970883</v>
      </c>
      <c r="L21" s="155">
        <f t="shared" si="10"/>
        <v>1800460.2955296752</v>
      </c>
      <c r="M21" s="155">
        <f t="shared" si="10"/>
        <v>1905905.2348382673</v>
      </c>
    </row>
    <row r="22" spans="2:13" ht="15" thickTop="1" x14ac:dyDescent="0.35">
      <c r="C22" s="112"/>
      <c r="D22" s="112"/>
      <c r="E22" s="112"/>
      <c r="F22" s="112"/>
      <c r="G22" s="112"/>
      <c r="H22" s="112"/>
      <c r="I22" s="112"/>
      <c r="J22" s="112"/>
      <c r="K22" s="112"/>
      <c r="L22" s="112"/>
      <c r="M22" s="112"/>
    </row>
    <row r="23" spans="2:13" x14ac:dyDescent="0.35">
      <c r="B23" s="164" t="s">
        <v>268</v>
      </c>
      <c r="C23" s="112"/>
      <c r="D23" s="112">
        <f>+(Balance!D40+Balance!D49)-(Balance!C40+Balance!C49)</f>
        <v>158878</v>
      </c>
      <c r="E23" s="112">
        <f>+(Balance!E40+Balance!E49)-(Balance!D40+Balance!D49)</f>
        <v>-87735</v>
      </c>
      <c r="F23" s="112">
        <f>+(Balance!F40+Balance!F49)-(Balance!E40+Balance!E49)</f>
        <v>218787</v>
      </c>
      <c r="G23" s="112">
        <f>+(Balance!G40+Balance!G49)-(Balance!F40+Balance!F49)</f>
        <v>-104780</v>
      </c>
      <c r="H23" s="112">
        <f>+(Balance!H40+Balance!H49)-(Balance!G40+Balance!G49)</f>
        <v>-13113</v>
      </c>
      <c r="I23" s="112">
        <f>+(Balance!I40+Balance!I49)-(Balance!H40+Balance!H49)</f>
        <v>14480</v>
      </c>
      <c r="J23" s="112">
        <f ca="1">+(Balance!J40+Balance!J49)-(Balance!I40+Balance!I49)</f>
        <v>-42638.825242718449</v>
      </c>
      <c r="K23" s="112">
        <f ca="1">+(Balance!K40+Balance!K49)-(Balance!J40+Balance!J49)</f>
        <v>-41396.917711377144</v>
      </c>
      <c r="L23" s="112">
        <f ca="1">+(Balance!L40+Balance!L49)-(Balance!K40+Balance!K49)</f>
        <v>-40191.182244055439</v>
      </c>
      <c r="M23" s="112">
        <f ca="1">+(Balance!M40+Balance!M49)-(Balance!L40+Balance!L49)</f>
        <v>-39020.565285490826</v>
      </c>
    </row>
    <row r="24" spans="2:13" x14ac:dyDescent="0.35">
      <c r="B24" s="164" t="s">
        <v>266</v>
      </c>
      <c r="C24" s="112"/>
      <c r="D24" s="112">
        <f>+D19</f>
        <v>-137713</v>
      </c>
      <c r="E24" s="112">
        <f t="shared" ref="E24:M24" si="11">+E19</f>
        <v>-225905</v>
      </c>
      <c r="F24" s="112">
        <f t="shared" si="11"/>
        <v>-145294</v>
      </c>
      <c r="G24" s="112">
        <f t="shared" si="11"/>
        <v>-139733</v>
      </c>
      <c r="H24" s="112">
        <f t="shared" si="11"/>
        <v>-144395</v>
      </c>
      <c r="I24" s="112">
        <f t="shared" si="11"/>
        <v>-139559</v>
      </c>
      <c r="J24" s="112">
        <f t="shared" si="11"/>
        <v>-153962.7939774133</v>
      </c>
      <c r="K24" s="112">
        <f t="shared" si="11"/>
        <v>-162979.70898911235</v>
      </c>
      <c r="L24" s="112">
        <f t="shared" si="11"/>
        <v>-172524.70454694729</v>
      </c>
      <c r="M24" s="112">
        <f t="shared" si="11"/>
        <v>-182628.70797615586</v>
      </c>
    </row>
    <row r="25" spans="2:13" ht="15" thickBot="1" x14ac:dyDescent="0.4">
      <c r="B25" s="210" t="s">
        <v>267</v>
      </c>
      <c r="C25" s="209"/>
      <c r="D25" s="209">
        <f>+'Income Statement'!D25</f>
        <v>-41381</v>
      </c>
      <c r="E25" s="209">
        <f>+'Income Statement'!E25</f>
        <v>-32507</v>
      </c>
      <c r="F25" s="209">
        <f>+'Income Statement'!F25</f>
        <v>-27422</v>
      </c>
      <c r="G25" s="209">
        <f>+'Income Statement'!G25</f>
        <v>-29415</v>
      </c>
      <c r="H25" s="209">
        <f>+'Income Statement'!H25</f>
        <v>-33385</v>
      </c>
      <c r="I25" s="209">
        <f>+'Income Statement'!I25</f>
        <v>-38454</v>
      </c>
      <c r="J25" s="209">
        <f ca="1">+'Income Statement'!J25</f>
        <v>-42638.825242718442</v>
      </c>
      <c r="K25" s="209">
        <f ca="1">+'Income Statement'!K25</f>
        <v>-41396.917711377129</v>
      </c>
      <c r="L25" s="209">
        <f ca="1">+'Income Statement'!L25</f>
        <v>-40191.182244055468</v>
      </c>
      <c r="M25" s="209">
        <f ca="1">+'Income Statement'!M25</f>
        <v>-39020.565285490746</v>
      </c>
    </row>
    <row r="26" spans="2:13" ht="15.5" thickTop="1" thickBot="1" x14ac:dyDescent="0.4">
      <c r="B26" s="210" t="s">
        <v>265</v>
      </c>
      <c r="C26" s="207"/>
      <c r="D26" s="208">
        <f>+D23-D24+D25</f>
        <v>255210</v>
      </c>
      <c r="E26" s="208">
        <f t="shared" ref="E26:I26" si="12">+E23-E24+E25</f>
        <v>105663</v>
      </c>
      <c r="F26" s="208">
        <f t="shared" si="12"/>
        <v>336659</v>
      </c>
      <c r="G26" s="208">
        <f t="shared" si="12"/>
        <v>5538</v>
      </c>
      <c r="H26" s="208">
        <f t="shared" si="12"/>
        <v>97897</v>
      </c>
      <c r="I26" s="208">
        <f t="shared" si="12"/>
        <v>115585</v>
      </c>
      <c r="J26" s="208">
        <f ca="1">+J23-J24+J25</f>
        <v>68685.1434919764</v>
      </c>
      <c r="K26" s="208">
        <f ca="1">+((Balance!K40+Balance!K49)-(Balance!J40+Balance!J49))-K19+'Income Statement'!K25</f>
        <v>80185.873566358074</v>
      </c>
      <c r="L26" s="208">
        <f ca="1">+((Balance!L40+Balance!L49)-(Balance!K40+Balance!K49))-L19+'Income Statement'!L25</f>
        <v>92142.340058836387</v>
      </c>
      <c r="M26" s="208">
        <f ca="1">+((Balance!M40+Balance!M49)-(Balance!L40+Balance!L49))-M19+'Income Statement'!M25</f>
        <v>104587.57740517429</v>
      </c>
    </row>
    <row r="27" spans="2:13" ht="15" thickTop="1" x14ac:dyDescent="0.35">
      <c r="B27" t="s">
        <v>217</v>
      </c>
      <c r="J27" s="112">
        <f ca="1">+J18+J26</f>
        <v>1586540.1434919764</v>
      </c>
      <c r="K27" s="112">
        <f t="shared" ref="K27:M27" ca="1" si="13">+K18+K26</f>
        <v>1686934.8795889448</v>
      </c>
      <c r="L27" s="112">
        <f t="shared" ca="1" si="13"/>
        <v>1792991.4780559246</v>
      </c>
      <c r="M27" s="112">
        <f t="shared" ca="1" si="13"/>
        <v>1905047.8729348495</v>
      </c>
    </row>
    <row r="29" spans="2:13" x14ac:dyDescent="0.35">
      <c r="B29" t="s">
        <v>263</v>
      </c>
      <c r="D29" s="112">
        <f>+D19*0.7</f>
        <v>-96399.099999999991</v>
      </c>
      <c r="E29" s="112">
        <f t="shared" ref="E29:I29" si="14">+E19*0.7</f>
        <v>-158133.5</v>
      </c>
      <c r="F29" s="112">
        <f t="shared" si="14"/>
        <v>-101705.79999999999</v>
      </c>
      <c r="G29" s="112">
        <f t="shared" si="14"/>
        <v>-97813.099999999991</v>
      </c>
      <c r="H29" s="112">
        <f t="shared" si="14"/>
        <v>-101076.5</v>
      </c>
      <c r="I29" s="112">
        <f t="shared" si="14"/>
        <v>-97691.299999999988</v>
      </c>
      <c r="J29" s="112">
        <f>+MEDIAN(D29:I29)</f>
        <v>-99444.799999999988</v>
      </c>
      <c r="K29" s="112">
        <v>-99444.799999999988</v>
      </c>
      <c r="L29" s="112">
        <v>-99444.799999999988</v>
      </c>
      <c r="M29" s="112">
        <v>-99444.799999999988</v>
      </c>
    </row>
    <row r="31" spans="2:13" x14ac:dyDescent="0.35">
      <c r="B31" s="56" t="s">
        <v>222</v>
      </c>
      <c r="D31" s="24">
        <f>+-D19/D18</f>
        <v>0.12941369945401407</v>
      </c>
      <c r="E31" s="24">
        <f t="shared" ref="E31:I31" si="15">+-E19/E18</f>
        <v>0.18054273509396565</v>
      </c>
      <c r="F31" s="24">
        <f t="shared" si="15"/>
        <v>0.12241283728109272</v>
      </c>
      <c r="G31" s="24">
        <f t="shared" si="15"/>
        <v>9.7776922538660702E-2</v>
      </c>
      <c r="H31" s="24">
        <f t="shared" si="15"/>
        <v>0.10533503130918667</v>
      </c>
      <c r="I31" s="24">
        <f t="shared" si="15"/>
        <v>0.10143445452787868</v>
      </c>
      <c r="J31" s="24">
        <v>0.10143445452787868</v>
      </c>
      <c r="K31" s="24">
        <v>0.10143445452787868</v>
      </c>
      <c r="L31" s="24">
        <v>0.10143445452787868</v>
      </c>
      <c r="M31" s="24">
        <v>0.10143445452787868</v>
      </c>
    </row>
    <row r="32" spans="2:13" ht="15" thickBot="1" x14ac:dyDescent="0.4">
      <c r="B32" s="159" t="s">
        <v>223</v>
      </c>
      <c r="C32" s="157"/>
      <c r="D32" s="158">
        <f>+ABS(D20/D18)</f>
        <v>0.30526157518348324</v>
      </c>
      <c r="E32" s="158">
        <f t="shared" ref="E32:I32" si="16">+ABS(E20/E18)</f>
        <v>0.12912475874222282</v>
      </c>
      <c r="F32" s="158">
        <f t="shared" si="16"/>
        <v>0.32645557654361967</v>
      </c>
      <c r="G32" s="158">
        <f t="shared" si="16"/>
        <v>5.6993569379329652E-2</v>
      </c>
      <c r="H32" s="158">
        <f t="shared" si="16"/>
        <v>0.10900984114934535</v>
      </c>
      <c r="I32" s="158">
        <f t="shared" si="16"/>
        <v>0.20464380668297655</v>
      </c>
      <c r="J32" s="158">
        <v>0.16</v>
      </c>
      <c r="K32" s="158">
        <v>0.16</v>
      </c>
      <c r="L32" s="158">
        <v>0.16</v>
      </c>
      <c r="M32" s="158">
        <v>0.16</v>
      </c>
    </row>
    <row r="38" spans="10:10" x14ac:dyDescent="0.35">
      <c r="J38" s="112"/>
    </row>
    <row r="39" spans="10:10" x14ac:dyDescent="0.35">
      <c r="J39" s="112"/>
    </row>
  </sheetData>
  <mergeCells count="2">
    <mergeCell ref="B2:M2"/>
    <mergeCell ref="B15:M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A6F04-0505-47C9-A500-71D207796FE4}">
  <sheetPr>
    <tabColor theme="8" tint="0.79998168889431442"/>
  </sheetPr>
  <dimension ref="B1:J19"/>
  <sheetViews>
    <sheetView showGridLines="0" workbookViewId="0">
      <selection activeCell="C20" sqref="C20"/>
    </sheetView>
  </sheetViews>
  <sheetFormatPr defaultRowHeight="14.5" x14ac:dyDescent="0.35"/>
  <cols>
    <col min="1" max="1" width="2.7265625" customWidth="1"/>
    <col min="2" max="2" width="70.6328125" bestFit="1" customWidth="1"/>
    <col min="3" max="3" width="10.81640625" customWidth="1"/>
    <col min="4" max="4" width="2.08984375" customWidth="1"/>
    <col min="5" max="5" width="6.36328125" customWidth="1"/>
    <col min="6" max="6" width="2.08984375" customWidth="1"/>
    <col min="7" max="7" width="15.453125" customWidth="1"/>
    <col min="9" max="10" width="22.7265625" bestFit="1" customWidth="1"/>
    <col min="11" max="11" width="12.1796875" bestFit="1" customWidth="1"/>
  </cols>
  <sheetData>
    <row r="1" spans="2:10" s="90" customFormat="1" x14ac:dyDescent="0.35"/>
    <row r="2" spans="2:10" s="90" customFormat="1" ht="26" x14ac:dyDescent="0.6">
      <c r="B2" s="169" t="s">
        <v>240</v>
      </c>
    </row>
    <row r="3" spans="2:10" s="90" customFormat="1" x14ac:dyDescent="0.35"/>
    <row r="5" spans="2:10" ht="16" x14ac:dyDescent="0.35">
      <c r="B5" s="153" t="s">
        <v>241</v>
      </c>
      <c r="E5" s="50"/>
      <c r="G5" s="178" t="s">
        <v>166</v>
      </c>
      <c r="J5" s="1"/>
    </row>
    <row r="6" spans="2:10" ht="15" thickBot="1" x14ac:dyDescent="0.4">
      <c r="E6" s="50"/>
      <c r="J6" s="35"/>
    </row>
    <row r="7" spans="2:10" ht="15" thickBot="1" x14ac:dyDescent="0.4">
      <c r="B7" s="164" t="s">
        <v>242</v>
      </c>
      <c r="C7" s="25">
        <f>+'Ratios &amp; KPI''s'!I15</f>
        <v>4.5622373245104174E-2</v>
      </c>
      <c r="E7" s="50"/>
      <c r="G7" s="177">
        <f ca="1">+C9+C17*C16</f>
        <v>8.2769025431349202E-2</v>
      </c>
      <c r="I7" s="43"/>
      <c r="J7" s="52"/>
    </row>
    <row r="8" spans="2:10" x14ac:dyDescent="0.35">
      <c r="B8" s="165" t="s">
        <v>243</v>
      </c>
      <c r="C8" s="174">
        <f ca="1">'Ratios &amp; KPI''s'!I13/('Ratios &amp; KPI''s'!I13+(Info!G15/1000))</f>
        <v>0.5730722164258496</v>
      </c>
      <c r="E8" s="50"/>
    </row>
    <row r="9" spans="2:10" x14ac:dyDescent="0.35">
      <c r="B9" s="43" t="s">
        <v>241</v>
      </c>
      <c r="C9" s="25">
        <f ca="1">+C7*(1-Projections!C94)*WACC!C8</f>
        <v>2.0654482497801593E-2</v>
      </c>
      <c r="E9" s="50"/>
    </row>
    <row r="10" spans="2:10" x14ac:dyDescent="0.35">
      <c r="E10" s="50"/>
    </row>
    <row r="11" spans="2:10" x14ac:dyDescent="0.35">
      <c r="B11" s="153" t="s">
        <v>245</v>
      </c>
      <c r="E11" s="50"/>
    </row>
    <row r="12" spans="2:10" x14ac:dyDescent="0.35">
      <c r="E12" s="50"/>
      <c r="I12" s="17"/>
    </row>
    <row r="13" spans="2:10" x14ac:dyDescent="0.35">
      <c r="B13" s="164" t="s">
        <v>168</v>
      </c>
      <c r="C13" s="53">
        <v>2.5000000000000001E-2</v>
      </c>
      <c r="E13" s="50"/>
    </row>
    <row r="14" spans="2:10" x14ac:dyDescent="0.35">
      <c r="B14" s="164" t="s">
        <v>246</v>
      </c>
      <c r="C14" s="48">
        <f ca="1">+Info!F15</f>
        <v>1.8652</v>
      </c>
      <c r="E14" s="50"/>
    </row>
    <row r="15" spans="2:10" x14ac:dyDescent="0.35">
      <c r="B15" s="164" t="s">
        <v>252</v>
      </c>
      <c r="C15" s="53">
        <v>6.4600000000000005E-2</v>
      </c>
      <c r="E15" s="50"/>
    </row>
    <row r="16" spans="2:10" x14ac:dyDescent="0.35">
      <c r="B16" s="165" t="s">
        <v>247</v>
      </c>
      <c r="C16" s="176">
        <f ca="1">(Info!G15/1000)/((Info!G15/1000)+'Ratios &amp; KPI''s'!I13)</f>
        <v>0.4269277835741504</v>
      </c>
      <c r="E16" s="50"/>
    </row>
    <row r="17" spans="2:5" x14ac:dyDescent="0.35">
      <c r="B17" s="179" t="s">
        <v>245</v>
      </c>
      <c r="C17" s="25">
        <f ca="1">+C13+C14*C15</f>
        <v>0.14549192</v>
      </c>
      <c r="E17" s="50"/>
    </row>
    <row r="18" spans="2:5" x14ac:dyDescent="0.35">
      <c r="E18" s="50"/>
    </row>
    <row r="19" spans="2:5" x14ac:dyDescent="0.35">
      <c r="B19" s="153" t="s">
        <v>170</v>
      </c>
      <c r="C19" s="53">
        <v>0.02</v>
      </c>
      <c r="E19"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4EC10-CA06-41AB-9117-103E3DA2EC74}">
  <sheetPr>
    <tabColor theme="3" tint="0.749992370372631"/>
  </sheetPr>
  <dimension ref="B1:S72"/>
  <sheetViews>
    <sheetView showGridLines="0" zoomScale="90" zoomScaleNormal="90" workbookViewId="0">
      <selection activeCell="M32" sqref="M32"/>
    </sheetView>
  </sheetViews>
  <sheetFormatPr defaultRowHeight="14.5" outlineLevelCol="1" x14ac:dyDescent="0.35"/>
  <cols>
    <col min="1" max="1" width="2.6328125" customWidth="1"/>
    <col min="2" max="2" width="44" customWidth="1"/>
    <col min="3" max="4" width="12.7265625" customWidth="1" outlineLevel="1"/>
    <col min="5" max="6" width="11.1796875" customWidth="1" outlineLevel="1"/>
    <col min="7" max="9" width="12.7265625" customWidth="1" outlineLevel="1"/>
    <col min="10" max="13" width="12.7265625" bestFit="1" customWidth="1"/>
    <col min="14" max="14" width="2.1796875" customWidth="1"/>
    <col min="15" max="16" width="9" customWidth="1"/>
    <col min="17" max="17" width="4.54296875" style="50" customWidth="1"/>
  </cols>
  <sheetData>
    <row r="1" spans="2:19" s="90" customFormat="1" x14ac:dyDescent="0.35"/>
    <row r="2" spans="2:19" s="90" customFormat="1" ht="26" x14ac:dyDescent="0.6">
      <c r="B2" s="169" t="s">
        <v>250</v>
      </c>
      <c r="G2" s="184">
        <v>1</v>
      </c>
      <c r="Q2" s="183"/>
    </row>
    <row r="3" spans="2:19" s="90" customFormat="1" x14ac:dyDescent="0.35">
      <c r="G3" s="184">
        <v>2</v>
      </c>
      <c r="Q3" s="183"/>
    </row>
    <row r="5" spans="2:19" x14ac:dyDescent="0.35">
      <c r="B5" s="19" t="s">
        <v>47</v>
      </c>
      <c r="C5" s="20">
        <v>2018</v>
      </c>
      <c r="D5" s="20">
        <v>2019</v>
      </c>
      <c r="E5" s="20">
        <v>2020</v>
      </c>
      <c r="F5" s="20">
        <v>2021</v>
      </c>
      <c r="G5" s="20">
        <v>2022</v>
      </c>
      <c r="H5" s="20">
        <v>2023</v>
      </c>
      <c r="I5" s="39">
        <v>2024</v>
      </c>
      <c r="J5" s="59" t="s">
        <v>114</v>
      </c>
      <c r="K5" s="40" t="s">
        <v>115</v>
      </c>
      <c r="L5" s="23" t="s">
        <v>116</v>
      </c>
      <c r="M5" s="23" t="s">
        <v>117</v>
      </c>
      <c r="O5" s="36" t="s">
        <v>139</v>
      </c>
      <c r="P5" s="36"/>
      <c r="R5" s="51" t="s">
        <v>163</v>
      </c>
      <c r="S5" s="36"/>
    </row>
    <row r="6" spans="2:19" x14ac:dyDescent="0.35">
      <c r="B6" t="s">
        <v>48</v>
      </c>
      <c r="C6" s="194">
        <v>1819505</v>
      </c>
      <c r="D6" s="194">
        <v>1789538</v>
      </c>
      <c r="E6" s="194">
        <v>528398</v>
      </c>
      <c r="F6" s="194">
        <v>827208</v>
      </c>
      <c r="G6" s="194">
        <v>1679774</v>
      </c>
      <c r="H6" s="194">
        <v>1928801</v>
      </c>
      <c r="I6" s="194">
        <v>2012786</v>
      </c>
      <c r="J6" s="122">
        <f ca="1">+Projections!J9</f>
        <v>2045221</v>
      </c>
      <c r="K6" s="111">
        <f ca="1">+Projections!K9</f>
        <v>2146502.7300000004</v>
      </c>
      <c r="L6" s="111">
        <f ca="1">+Projections!L9</f>
        <v>2254031.8863000004</v>
      </c>
      <c r="M6" s="111">
        <f ca="1">+Projections!M9</f>
        <v>2367464.2766250004</v>
      </c>
    </row>
    <row r="7" spans="2:19" x14ac:dyDescent="0.35">
      <c r="B7" t="s">
        <v>49</v>
      </c>
      <c r="C7" s="194">
        <v>11810</v>
      </c>
      <c r="D7" s="194">
        <v>11211</v>
      </c>
      <c r="E7" s="194">
        <v>0</v>
      </c>
      <c r="F7" s="194">
        <v>75226</v>
      </c>
      <c r="G7" s="194">
        <v>12239</v>
      </c>
      <c r="H7" s="194">
        <v>3395</v>
      </c>
      <c r="I7" s="194">
        <v>43496</v>
      </c>
      <c r="J7" s="122">
        <f>+Projections!J10</f>
        <v>43496</v>
      </c>
      <c r="K7" s="111">
        <f>+Projections!K10</f>
        <v>43496</v>
      </c>
      <c r="L7" s="111">
        <f>+Projections!L10</f>
        <v>43496</v>
      </c>
      <c r="M7" s="111">
        <f>+Projections!M10</f>
        <v>43496</v>
      </c>
      <c r="O7" s="37">
        <f>+((I6/C6)^(1/6))-1</f>
        <v>1.696824357624771E-2</v>
      </c>
      <c r="P7" s="36"/>
      <c r="R7" s="37">
        <f ca="1">+((M6/I6)^(1/4))-1</f>
        <v>4.1409314815829878E-2</v>
      </c>
      <c r="S7" s="36"/>
    </row>
    <row r="8" spans="2:19" x14ac:dyDescent="0.35">
      <c r="B8" s="70" t="s">
        <v>50</v>
      </c>
      <c r="C8" s="123">
        <f t="shared" ref="C8:M8" si="0">+C6+C7</f>
        <v>1831315</v>
      </c>
      <c r="D8" s="123">
        <f t="shared" si="0"/>
        <v>1800749</v>
      </c>
      <c r="E8" s="123">
        <f t="shared" si="0"/>
        <v>528398</v>
      </c>
      <c r="F8" s="123">
        <f t="shared" si="0"/>
        <v>902434</v>
      </c>
      <c r="G8" s="123">
        <f t="shared" si="0"/>
        <v>1692013</v>
      </c>
      <c r="H8" s="123">
        <f t="shared" si="0"/>
        <v>1932196</v>
      </c>
      <c r="I8" s="123">
        <f t="shared" si="0"/>
        <v>2056282</v>
      </c>
      <c r="J8" s="124">
        <f t="shared" ca="1" si="0"/>
        <v>2088717</v>
      </c>
      <c r="K8" s="123">
        <f t="shared" ca="1" si="0"/>
        <v>2189998.7300000004</v>
      </c>
      <c r="L8" s="123">
        <f t="shared" ca="1" si="0"/>
        <v>2297527.8863000004</v>
      </c>
      <c r="M8" s="123">
        <f t="shared" ca="1" si="0"/>
        <v>2410960.2766250004</v>
      </c>
    </row>
    <row r="9" spans="2:19" x14ac:dyDescent="0.35">
      <c r="B9" t="s">
        <v>51</v>
      </c>
      <c r="C9" s="194">
        <v>-190785</v>
      </c>
      <c r="D9" s="194">
        <v>-199035</v>
      </c>
      <c r="E9" s="194">
        <v>-58871</v>
      </c>
      <c r="F9" s="194">
        <v>-91590</v>
      </c>
      <c r="G9" s="194">
        <v>-177947</v>
      </c>
      <c r="H9" s="194">
        <v>-209528</v>
      </c>
      <c r="I9" s="194">
        <v>-202389</v>
      </c>
      <c r="J9" s="122">
        <f ca="1">+Projections!J64</f>
        <v>-222174.84628429788</v>
      </c>
      <c r="K9" s="111">
        <f ca="1">+Projections!K64</f>
        <v>-233177.20387507064</v>
      </c>
      <c r="L9" s="111">
        <f ca="1">+Projections!L64</f>
        <v>-244858.22698799227</v>
      </c>
      <c r="M9" s="111">
        <f ca="1">+Projections!M64</f>
        <v>-257180.52559734421</v>
      </c>
    </row>
    <row r="10" spans="2:19" x14ac:dyDescent="0.35">
      <c r="B10" t="s">
        <v>52</v>
      </c>
      <c r="C10" s="194">
        <v>-526644</v>
      </c>
      <c r="D10" s="194">
        <v>-523918</v>
      </c>
      <c r="E10" s="194">
        <v>-282106</v>
      </c>
      <c r="F10" s="194">
        <v>-307364</v>
      </c>
      <c r="G10" s="194">
        <v>-473397</v>
      </c>
      <c r="H10" s="194">
        <v>-544741</v>
      </c>
      <c r="I10" s="194">
        <v>-570278</v>
      </c>
      <c r="J10" s="122">
        <f>+Projections!J65</f>
        <v>-600095.383267647</v>
      </c>
      <c r="K10" s="111">
        <f>+Projections!K65</f>
        <v>-636132.52487015957</v>
      </c>
      <c r="L10" s="111">
        <f>+Projections!L65</f>
        <v>-673371.11398346571</v>
      </c>
      <c r="M10" s="111">
        <f>+Projections!M65</f>
        <v>-711844.79365135601</v>
      </c>
    </row>
    <row r="11" spans="2:19" x14ac:dyDescent="0.35">
      <c r="B11" t="s">
        <v>53</v>
      </c>
      <c r="C11" s="194">
        <v>-592173</v>
      </c>
      <c r="D11" s="194">
        <v>-579301</v>
      </c>
      <c r="E11" s="194">
        <v>-338288</v>
      </c>
      <c r="F11" s="194">
        <v>-372603</v>
      </c>
      <c r="G11" s="194">
        <v>-591339</v>
      </c>
      <c r="H11" s="194">
        <v>-645325</v>
      </c>
      <c r="I11" s="194">
        <v>-669111</v>
      </c>
      <c r="J11" s="122">
        <f ca="1">+Projections!J66</f>
        <v>-684276.00453597854</v>
      </c>
      <c r="K11" s="111">
        <f ca="1">+Projections!K66</f>
        <v>-718162.15059886966</v>
      </c>
      <c r="L11" s="111">
        <f ca="1">+Projections!L66</f>
        <v>-754138.51767318021</v>
      </c>
      <c r="M11" s="111">
        <f ca="1">+Projections!M66</f>
        <v>-792089.94826995034</v>
      </c>
    </row>
    <row r="12" spans="2:19" x14ac:dyDescent="0.35">
      <c r="B12" s="70" t="s">
        <v>54</v>
      </c>
      <c r="C12" s="123">
        <f t="shared" ref="C12:M12" si="1">+C9+C10+C11</f>
        <v>-1309602</v>
      </c>
      <c r="D12" s="123">
        <f t="shared" si="1"/>
        <v>-1302254</v>
      </c>
      <c r="E12" s="123">
        <f t="shared" si="1"/>
        <v>-679265</v>
      </c>
      <c r="F12" s="123">
        <f t="shared" si="1"/>
        <v>-771557</v>
      </c>
      <c r="G12" s="123">
        <f t="shared" si="1"/>
        <v>-1242683</v>
      </c>
      <c r="H12" s="123">
        <f t="shared" si="1"/>
        <v>-1399594</v>
      </c>
      <c r="I12" s="123">
        <f t="shared" si="1"/>
        <v>-1441778</v>
      </c>
      <c r="J12" s="124">
        <f t="shared" ca="1" si="1"/>
        <v>-1506546.2340879235</v>
      </c>
      <c r="K12" s="123">
        <f t="shared" ca="1" si="1"/>
        <v>-1587471.8793440999</v>
      </c>
      <c r="L12" s="123">
        <f t="shared" ca="1" si="1"/>
        <v>-1672367.8586446382</v>
      </c>
      <c r="M12" s="123">
        <f t="shared" ca="1" si="1"/>
        <v>-1761115.2675186507</v>
      </c>
    </row>
    <row r="13" spans="2:19" x14ac:dyDescent="0.35">
      <c r="B13" s="70" t="s">
        <v>55</v>
      </c>
      <c r="C13" s="123">
        <f t="shared" ref="C13:M13" si="2">+C8+C12</f>
        <v>521713</v>
      </c>
      <c r="D13" s="123">
        <f t="shared" si="2"/>
        <v>498495</v>
      </c>
      <c r="E13" s="123">
        <f t="shared" si="2"/>
        <v>-150867</v>
      </c>
      <c r="F13" s="123">
        <f t="shared" si="2"/>
        <v>130877</v>
      </c>
      <c r="G13" s="123">
        <f t="shared" si="2"/>
        <v>449330</v>
      </c>
      <c r="H13" s="123">
        <f t="shared" si="2"/>
        <v>532602</v>
      </c>
      <c r="I13" s="123">
        <f t="shared" si="2"/>
        <v>614504</v>
      </c>
      <c r="J13" s="124">
        <f t="shared" ca="1" si="2"/>
        <v>582170.76591207646</v>
      </c>
      <c r="K13" s="123">
        <f t="shared" ca="1" si="2"/>
        <v>602526.85065590055</v>
      </c>
      <c r="L13" s="123">
        <f t="shared" ca="1" si="2"/>
        <v>625160.02765536215</v>
      </c>
      <c r="M13" s="123">
        <f t="shared" ca="1" si="2"/>
        <v>649845.00910634967</v>
      </c>
      <c r="O13" s="37">
        <f>+((I13/C13)^(1/6))-1</f>
        <v>2.76585564686469E-2</v>
      </c>
      <c r="P13" s="36"/>
      <c r="R13" s="37">
        <f ca="1">+((M13/I13)^(1/4))-1</f>
        <v>1.4077783858375437E-2</v>
      </c>
      <c r="S13" s="36"/>
    </row>
    <row r="14" spans="2:19" x14ac:dyDescent="0.35">
      <c r="B14" t="s">
        <v>56</v>
      </c>
      <c r="C14" s="194">
        <v>-20815</v>
      </c>
      <c r="D14" s="194">
        <v>-20584</v>
      </c>
      <c r="E14" s="194">
        <v>-664</v>
      </c>
      <c r="F14" s="194">
        <v>-5348</v>
      </c>
      <c r="G14" s="194">
        <v>-18571</v>
      </c>
      <c r="H14" s="194">
        <v>-42840</v>
      </c>
      <c r="I14" s="194">
        <v>-39149</v>
      </c>
      <c r="J14" s="122">
        <f ca="1">+Projections!J69</f>
        <v>-23397.174019857051</v>
      </c>
      <c r="K14" s="111">
        <f ca="1">+Projections!K69</f>
        <v>-24555.829373895653</v>
      </c>
      <c r="L14" s="111">
        <f ca="1">+Projections!L69</f>
        <v>-25785.954813718297</v>
      </c>
      <c r="M14" s="111">
        <f ca="1">+Projections!M69</f>
        <v>-27083.612805652847</v>
      </c>
    </row>
    <row r="15" spans="2:19" x14ac:dyDescent="0.35">
      <c r="B15" s="70" t="s">
        <v>57</v>
      </c>
      <c r="C15" s="123">
        <f t="shared" ref="C15:M15" si="3">+C13+C14</f>
        <v>500898</v>
      </c>
      <c r="D15" s="123">
        <f t="shared" si="3"/>
        <v>477911</v>
      </c>
      <c r="E15" s="123">
        <f t="shared" si="3"/>
        <v>-151531</v>
      </c>
      <c r="F15" s="123">
        <f t="shared" si="3"/>
        <v>125529</v>
      </c>
      <c r="G15" s="123">
        <f t="shared" si="3"/>
        <v>430759</v>
      </c>
      <c r="H15" s="123">
        <f t="shared" si="3"/>
        <v>489762</v>
      </c>
      <c r="I15" s="123">
        <f t="shared" si="3"/>
        <v>575355</v>
      </c>
      <c r="J15" s="124">
        <f t="shared" ca="1" si="3"/>
        <v>558773.59189221938</v>
      </c>
      <c r="K15" s="123">
        <f t="shared" ca="1" si="3"/>
        <v>577971.02128200489</v>
      </c>
      <c r="L15" s="123">
        <f t="shared" ca="1" si="3"/>
        <v>599374.07284164382</v>
      </c>
      <c r="M15" s="123">
        <f t="shared" ca="1" si="3"/>
        <v>622761.39630069677</v>
      </c>
      <c r="O15" s="37">
        <f>+((I15/C15)^(1/6))-1</f>
        <v>2.3366270949449541E-2</v>
      </c>
      <c r="P15" s="36"/>
      <c r="R15" s="37">
        <f ca="1">+((M15/I15)^(1/4))-1</f>
        <v>1.9991254342530684E-2</v>
      </c>
      <c r="S15" s="36"/>
    </row>
    <row r="16" spans="2:19" x14ac:dyDescent="0.35">
      <c r="B16" s="13" t="s">
        <v>175</v>
      </c>
      <c r="C16" s="14"/>
      <c r="D16" s="14">
        <f t="shared" ref="D16:M16" si="4">+((D15-C15)/ABS(C15))</f>
        <v>-4.5891578724610596E-2</v>
      </c>
      <c r="E16" s="14">
        <f t="shared" si="4"/>
        <v>-1.3170694962032681</v>
      </c>
      <c r="F16" s="14">
        <f t="shared" si="4"/>
        <v>1.8284047488632689</v>
      </c>
      <c r="G16" s="14">
        <f t="shared" si="4"/>
        <v>2.4315496817468474</v>
      </c>
      <c r="H16" s="14">
        <f t="shared" si="4"/>
        <v>0.13697450314444967</v>
      </c>
      <c r="I16" s="14">
        <f t="shared" si="4"/>
        <v>0.17476447744006274</v>
      </c>
      <c r="J16" s="62">
        <f t="shared" ca="1" si="4"/>
        <v>-2.8819438620991594E-2</v>
      </c>
      <c r="K16" s="14">
        <f t="shared" ca="1" si="4"/>
        <v>3.4356364846763299E-2</v>
      </c>
      <c r="L16" s="14">
        <f t="shared" ca="1" si="4"/>
        <v>3.7031357579424225E-2</v>
      </c>
      <c r="M16" s="14">
        <f t="shared" ca="1" si="4"/>
        <v>3.901957812117765E-2</v>
      </c>
    </row>
    <row r="17" spans="2:19" x14ac:dyDescent="0.35">
      <c r="B17" s="15" t="s">
        <v>73</v>
      </c>
      <c r="C17" s="16">
        <f t="shared" ref="C17:M17" si="5">IFERROR(C15/C8,0)</f>
        <v>0.27351820959256051</v>
      </c>
      <c r="D17" s="16">
        <f t="shared" si="5"/>
        <v>0.26539567702106182</v>
      </c>
      <c r="E17" s="16">
        <f t="shared" si="5"/>
        <v>-0.28677436326405475</v>
      </c>
      <c r="F17" s="16">
        <f t="shared" si="5"/>
        <v>0.13910047715400795</v>
      </c>
      <c r="G17" s="16">
        <f t="shared" si="5"/>
        <v>0.2545837413778736</v>
      </c>
      <c r="H17" s="16">
        <f t="shared" si="5"/>
        <v>0.2534742852174417</v>
      </c>
      <c r="I17" s="16">
        <f t="shared" si="5"/>
        <v>0.27980354834599536</v>
      </c>
      <c r="J17" s="63">
        <f t="shared" ca="1" si="5"/>
        <v>0.26752000960025668</v>
      </c>
      <c r="K17" s="16">
        <f t="shared" ca="1" si="5"/>
        <v>0.26391386139388529</v>
      </c>
      <c r="L17" s="16">
        <f t="shared" ca="1" si="5"/>
        <v>0.26087782281802535</v>
      </c>
      <c r="M17" s="16">
        <f t="shared" ca="1" si="5"/>
        <v>0.25830429573583585</v>
      </c>
      <c r="O17" s="34"/>
    </row>
    <row r="18" spans="2:19" x14ac:dyDescent="0.35">
      <c r="B18" t="s">
        <v>226</v>
      </c>
      <c r="C18" s="194">
        <v>-117378</v>
      </c>
      <c r="D18" s="194">
        <v>-122329</v>
      </c>
      <c r="E18" s="194">
        <v>-179912</v>
      </c>
      <c r="F18" s="194">
        <v>-125581</v>
      </c>
      <c r="G18" s="194">
        <v>-89927</v>
      </c>
      <c r="H18" s="194">
        <v>-114368</v>
      </c>
      <c r="I18" s="194">
        <v>-102333</v>
      </c>
      <c r="J18" s="161">
        <f>+Projections!J73</f>
        <v>-103385.02397999175</v>
      </c>
      <c r="K18" s="162">
        <f>+Projections!K73</f>
        <v>-102574.10419799936</v>
      </c>
      <c r="L18" s="162">
        <f>+Projections!L73</f>
        <v>-101769.54501706417</v>
      </c>
      <c r="M18" s="162">
        <f>+Projections!M73</f>
        <v>-100971.29654662157</v>
      </c>
    </row>
    <row r="19" spans="2:19" x14ac:dyDescent="0.35">
      <c r="B19" t="s">
        <v>59</v>
      </c>
      <c r="C19" s="194">
        <v>-124270</v>
      </c>
      <c r="D19" s="194">
        <v>-137713</v>
      </c>
      <c r="E19" s="194">
        <v>-225905</v>
      </c>
      <c r="F19" s="194">
        <v>-145294</v>
      </c>
      <c r="G19" s="194">
        <v>-139733</v>
      </c>
      <c r="H19" s="194">
        <v>-144395</v>
      </c>
      <c r="I19" s="194">
        <v>-139559</v>
      </c>
      <c r="J19" s="161">
        <f>+Projections!J74</f>
        <v>-153962.7939774133</v>
      </c>
      <c r="K19" s="162">
        <f>+Projections!K74</f>
        <v>-162979.70898911235</v>
      </c>
      <c r="L19" s="162">
        <f>+Projections!L74</f>
        <v>-172524.70454694729</v>
      </c>
      <c r="M19" s="162">
        <f>+Projections!M74</f>
        <v>-182628.70797615586</v>
      </c>
    </row>
    <row r="20" spans="2:19" x14ac:dyDescent="0.35">
      <c r="B20" t="s">
        <v>60</v>
      </c>
      <c r="C20" s="194">
        <v>-379</v>
      </c>
      <c r="D20" s="194">
        <v>4926</v>
      </c>
      <c r="E20" s="194">
        <v>0</v>
      </c>
      <c r="F20" s="194">
        <v>0</v>
      </c>
      <c r="G20" s="194">
        <v>0</v>
      </c>
      <c r="H20" s="194">
        <v>0</v>
      </c>
      <c r="I20" s="194">
        <v>0</v>
      </c>
      <c r="J20" s="111">
        <f>+Projections!J75</f>
        <v>0</v>
      </c>
      <c r="K20" s="111">
        <f>+Projections!K75</f>
        <v>0</v>
      </c>
      <c r="L20" s="111">
        <f>+Projections!L75</f>
        <v>0</v>
      </c>
      <c r="M20" s="111">
        <f>+Projections!M75</f>
        <v>0</v>
      </c>
    </row>
    <row r="21" spans="2:19" x14ac:dyDescent="0.35">
      <c r="B21" s="70" t="s">
        <v>61</v>
      </c>
      <c r="C21" s="71">
        <f t="shared" ref="C21:I21" si="6">+C15+C18+C19+C20</f>
        <v>258871</v>
      </c>
      <c r="D21" s="71">
        <f t="shared" si="6"/>
        <v>222795</v>
      </c>
      <c r="E21" s="71">
        <f t="shared" si="6"/>
        <v>-557348</v>
      </c>
      <c r="F21" s="71">
        <f t="shared" si="6"/>
        <v>-145346</v>
      </c>
      <c r="G21" s="71">
        <f t="shared" si="6"/>
        <v>201099</v>
      </c>
      <c r="H21" s="71">
        <f t="shared" si="6"/>
        <v>230999</v>
      </c>
      <c r="I21" s="71">
        <f t="shared" si="6"/>
        <v>333463</v>
      </c>
      <c r="J21" s="72">
        <f ca="1">+Projections!J76</f>
        <v>301425.77393481438</v>
      </c>
      <c r="K21" s="71">
        <f ca="1">+Projections!K76</f>
        <v>312417.2080948932</v>
      </c>
      <c r="L21" s="71">
        <f ca="1">+Projections!L76</f>
        <v>325079.82327763236</v>
      </c>
      <c r="M21" s="71">
        <f ca="1">+Projections!M76</f>
        <v>339161.39177791931</v>
      </c>
    </row>
    <row r="22" spans="2:19" x14ac:dyDescent="0.35">
      <c r="B22" s="130" t="s">
        <v>74</v>
      </c>
      <c r="C22" s="131">
        <f t="shared" ref="C22:M22" si="7">+IFERROR(C21/C8,0)</f>
        <v>0.14135798592814453</v>
      </c>
      <c r="D22" s="131">
        <f t="shared" si="7"/>
        <v>0.1237235172697583</v>
      </c>
      <c r="E22" s="131">
        <f t="shared" si="7"/>
        <v>-1.0547882467382541</v>
      </c>
      <c r="F22" s="131">
        <f t="shared" si="7"/>
        <v>-0.16105997779338987</v>
      </c>
      <c r="G22" s="131">
        <f t="shared" si="7"/>
        <v>0.11885192371453411</v>
      </c>
      <c r="H22" s="131">
        <f t="shared" si="7"/>
        <v>0.11955257127123749</v>
      </c>
      <c r="I22" s="131">
        <f t="shared" si="7"/>
        <v>0.16216793221941347</v>
      </c>
      <c r="J22" s="132">
        <f t="shared" ca="1" si="7"/>
        <v>0.14431144761823378</v>
      </c>
      <c r="K22" s="131">
        <f t="shared" ca="1" si="7"/>
        <v>0.14265634213171124</v>
      </c>
      <c r="L22" s="131">
        <f t="shared" ca="1" si="7"/>
        <v>0.1414911328023746</v>
      </c>
      <c r="M22" s="131">
        <f t="shared" ca="1" si="7"/>
        <v>0.14067481536970686</v>
      </c>
    </row>
    <row r="23" spans="2:19" x14ac:dyDescent="0.35">
      <c r="B23" t="s">
        <v>62</v>
      </c>
      <c r="C23" s="194">
        <v>-8935</v>
      </c>
      <c r="D23" s="194">
        <v>-12753</v>
      </c>
      <c r="E23" s="194">
        <v>-655</v>
      </c>
      <c r="F23" s="194">
        <v>-1549</v>
      </c>
      <c r="G23" s="194">
        <v>-13711</v>
      </c>
      <c r="H23" s="194">
        <v>1977</v>
      </c>
      <c r="I23" s="194">
        <v>-43</v>
      </c>
      <c r="J23" s="122">
        <f>+Projections!J79</f>
        <v>0</v>
      </c>
      <c r="K23" s="111">
        <f>+Projections!K79</f>
        <v>0</v>
      </c>
      <c r="L23" s="111">
        <f>+Projections!L79</f>
        <v>0</v>
      </c>
      <c r="M23" s="111">
        <f>+Projections!M79</f>
        <v>0</v>
      </c>
    </row>
    <row r="24" spans="2:19" x14ac:dyDescent="0.35">
      <c r="B24" t="s">
        <v>63</v>
      </c>
      <c r="C24" s="194">
        <v>-31762</v>
      </c>
      <c r="D24" s="194">
        <v>-33069</v>
      </c>
      <c r="E24" s="194">
        <v>-33328</v>
      </c>
      <c r="F24" s="194">
        <v>-39157</v>
      </c>
      <c r="G24" s="194">
        <v>-45488</v>
      </c>
      <c r="H24" s="194">
        <v>-73905</v>
      </c>
      <c r="I24" s="194">
        <v>-63585</v>
      </c>
      <c r="J24" s="149">
        <f ca="1">+Projections!J80</f>
        <v>-59572.232134084072</v>
      </c>
      <c r="K24" s="150">
        <f ca="1">+Projections!K80</f>
        <v>-55812.704905829967</v>
      </c>
      <c r="L24" s="150">
        <f ca="1">+Projections!L80</f>
        <v>-52290.436623122368</v>
      </c>
      <c r="M24" s="150">
        <f ca="1">+Projections!M80</f>
        <v>-48990.454177954809</v>
      </c>
    </row>
    <row r="25" spans="2:19" x14ac:dyDescent="0.35">
      <c r="B25" t="s">
        <v>64</v>
      </c>
      <c r="C25" s="194">
        <v>-43515</v>
      </c>
      <c r="D25" s="194">
        <v>-41381</v>
      </c>
      <c r="E25" s="194">
        <v>-32507</v>
      </c>
      <c r="F25" s="194">
        <v>-27422</v>
      </c>
      <c r="G25" s="194">
        <v>-29415</v>
      </c>
      <c r="H25" s="194">
        <v>-33385</v>
      </c>
      <c r="I25" s="194">
        <v>-38454</v>
      </c>
      <c r="J25" s="149">
        <f ca="1">+Projections!J81</f>
        <v>-42638.825242718442</v>
      </c>
      <c r="K25" s="150">
        <f ca="1">+Projections!K81</f>
        <v>-41396.917711377129</v>
      </c>
      <c r="L25" s="150">
        <f ca="1">+Projections!L81</f>
        <v>-40191.182244055468</v>
      </c>
      <c r="M25" s="150">
        <f ca="1">+Projections!M81</f>
        <v>-39020.565285490746</v>
      </c>
    </row>
    <row r="26" spans="2:19" x14ac:dyDescent="0.35">
      <c r="B26" t="s">
        <v>65</v>
      </c>
      <c r="C26" s="194">
        <v>15223</v>
      </c>
      <c r="D26" s="194">
        <v>14417</v>
      </c>
      <c r="E26" s="194">
        <v>-8074</v>
      </c>
      <c r="F26" s="194">
        <v>5281</v>
      </c>
      <c r="G26" s="194">
        <v>27438</v>
      </c>
      <c r="H26" s="194">
        <v>10715</v>
      </c>
      <c r="I26" s="194">
        <v>4023</v>
      </c>
      <c r="J26" s="122">
        <f ca="1">+Projections!J82</f>
        <v>12223.070581338912</v>
      </c>
      <c r="K26" s="111">
        <f ca="1">+Projections!K82</f>
        <v>12815.766353140509</v>
      </c>
      <c r="L26" s="111">
        <f ca="1">+Projections!L82</f>
        <v>13445.021760649866</v>
      </c>
      <c r="M26" s="111">
        <f ca="1">+Projections!M82</f>
        <v>14108.822607366996</v>
      </c>
    </row>
    <row r="27" spans="2:19" x14ac:dyDescent="0.35">
      <c r="B27" s="70" t="s">
        <v>66</v>
      </c>
      <c r="C27" s="123">
        <f t="shared" ref="C27:I27" si="8">(C23+C24+C25+C26)</f>
        <v>-68989</v>
      </c>
      <c r="D27" s="123">
        <f t="shared" si="8"/>
        <v>-72786</v>
      </c>
      <c r="E27" s="123">
        <f t="shared" si="8"/>
        <v>-74564</v>
      </c>
      <c r="F27" s="123">
        <f t="shared" si="8"/>
        <v>-62847</v>
      </c>
      <c r="G27" s="123">
        <f t="shared" si="8"/>
        <v>-61176</v>
      </c>
      <c r="H27" s="123">
        <f t="shared" si="8"/>
        <v>-94598</v>
      </c>
      <c r="I27" s="123">
        <f t="shared" si="8"/>
        <v>-98059</v>
      </c>
      <c r="J27" s="124">
        <f ca="1">+Projections!J83</f>
        <v>-89987.986795463614</v>
      </c>
      <c r="K27" s="123">
        <f ca="1">+Projections!K83</f>
        <v>-84393.856264066577</v>
      </c>
      <c r="L27" s="123">
        <f ca="1">+Projections!L83</f>
        <v>-79036.597106527974</v>
      </c>
      <c r="M27" s="123">
        <f ca="1">+Projections!M83</f>
        <v>-73902.196856078561</v>
      </c>
    </row>
    <row r="28" spans="2:19" x14ac:dyDescent="0.35">
      <c r="B28" s="6" t="s">
        <v>67</v>
      </c>
      <c r="C28" s="195">
        <v>5320</v>
      </c>
      <c r="D28" s="195">
        <v>6303</v>
      </c>
      <c r="E28" s="195">
        <v>-31859</v>
      </c>
      <c r="F28" s="195">
        <v>-9198</v>
      </c>
      <c r="G28" s="195">
        <v>16389</v>
      </c>
      <c r="H28" s="195">
        <v>12916</v>
      </c>
      <c r="I28" s="195">
        <v>-10980</v>
      </c>
      <c r="J28" s="125">
        <f>+Projections!J84</f>
        <v>0</v>
      </c>
      <c r="K28" s="126">
        <f>+Projections!K84</f>
        <v>0</v>
      </c>
      <c r="L28" s="126">
        <f>+Projections!L84</f>
        <v>0</v>
      </c>
      <c r="M28" s="126">
        <f>+Projections!M84</f>
        <v>0</v>
      </c>
    </row>
    <row r="29" spans="2:19" x14ac:dyDescent="0.35">
      <c r="B29" s="70" t="s">
        <v>68</v>
      </c>
      <c r="C29" s="123">
        <f t="shared" ref="C29:I29" si="9">+C21+C27+C28</f>
        <v>195202</v>
      </c>
      <c r="D29" s="123">
        <f t="shared" si="9"/>
        <v>156312</v>
      </c>
      <c r="E29" s="123">
        <f t="shared" si="9"/>
        <v>-663771</v>
      </c>
      <c r="F29" s="123">
        <f t="shared" si="9"/>
        <v>-217391</v>
      </c>
      <c r="G29" s="123">
        <f t="shared" si="9"/>
        <v>156312</v>
      </c>
      <c r="H29" s="123">
        <f t="shared" si="9"/>
        <v>149317</v>
      </c>
      <c r="I29" s="123">
        <f t="shared" si="9"/>
        <v>224424</v>
      </c>
      <c r="J29" s="124">
        <f ca="1">+Projections!J85</f>
        <v>211437.78713935078</v>
      </c>
      <c r="K29" s="123">
        <f ca="1">+Projections!K85</f>
        <v>228023.35183082661</v>
      </c>
      <c r="L29" s="123">
        <f ca="1">+Projections!L85</f>
        <v>246043.22617110438</v>
      </c>
      <c r="M29" s="123">
        <f ca="1">+Projections!M85</f>
        <v>265259.19492184074</v>
      </c>
      <c r="O29" s="37">
        <f>+((I29/C29)^(1/6))-1</f>
        <v>2.3522763448873052E-2</v>
      </c>
      <c r="P29" s="36"/>
      <c r="R29" s="37">
        <f ca="1">+((M29/I29)^(1/4))-1</f>
        <v>4.2678184586071088E-2</v>
      </c>
      <c r="S29" s="36"/>
    </row>
    <row r="30" spans="2:19" x14ac:dyDescent="0.35">
      <c r="B30" t="s">
        <v>69</v>
      </c>
      <c r="C30" s="194">
        <v>-43538</v>
      </c>
      <c r="D30" s="194">
        <v>-34632</v>
      </c>
      <c r="E30" s="194">
        <v>51050</v>
      </c>
      <c r="F30" s="194">
        <v>19531</v>
      </c>
      <c r="G30" s="194">
        <v>-36188</v>
      </c>
      <c r="H30" s="194">
        <v>-19209</v>
      </c>
      <c r="I30" s="194">
        <v>-62383</v>
      </c>
      <c r="J30" s="122">
        <f ca="1">+Projections!J86</f>
        <v>-44401.935299263663</v>
      </c>
      <c r="K30" s="111">
        <f ca="1">+Projections!K86</f>
        <v>-47884.903884473584</v>
      </c>
      <c r="L30" s="111">
        <f ca="1">+Projections!L86</f>
        <v>-51669.077495931917</v>
      </c>
      <c r="M30" s="111">
        <f ca="1">+Projections!M86</f>
        <v>-55704.430933586555</v>
      </c>
    </row>
    <row r="31" spans="2:19" x14ac:dyDescent="0.35">
      <c r="B31" t="s">
        <v>79</v>
      </c>
      <c r="C31" s="133">
        <f t="shared" ref="C31:I31" si="10">+ABS(C30/C29)</f>
        <v>0.22304074753332445</v>
      </c>
      <c r="D31" s="133">
        <f t="shared" si="10"/>
        <v>0.22155688622754491</v>
      </c>
      <c r="E31" s="133">
        <f t="shared" si="10"/>
        <v>7.6909054478125738E-2</v>
      </c>
      <c r="F31" s="133">
        <f t="shared" si="10"/>
        <v>8.9842725779816085E-2</v>
      </c>
      <c r="G31" s="133">
        <f t="shared" si="10"/>
        <v>0.23151133630175547</v>
      </c>
      <c r="H31" s="133">
        <f t="shared" si="10"/>
        <v>0.12864576705934355</v>
      </c>
      <c r="I31" s="133">
        <f t="shared" si="10"/>
        <v>0.27796937938901367</v>
      </c>
      <c r="J31" s="134">
        <f>+$C$38</f>
        <v>0.21</v>
      </c>
      <c r="K31" s="133">
        <f t="shared" ref="K31:M31" si="11">+$C$38</f>
        <v>0.21</v>
      </c>
      <c r="L31" s="133">
        <f t="shared" si="11"/>
        <v>0.21</v>
      </c>
      <c r="M31" s="133">
        <f t="shared" si="11"/>
        <v>0.21</v>
      </c>
    </row>
    <row r="32" spans="2:19" x14ac:dyDescent="0.35">
      <c r="B32" s="2" t="s">
        <v>70</v>
      </c>
      <c r="C32" s="127">
        <f t="shared" ref="C32:I32" si="12">+C29+C30</f>
        <v>151664</v>
      </c>
      <c r="D32" s="127">
        <f t="shared" si="12"/>
        <v>121680</v>
      </c>
      <c r="E32" s="127">
        <f t="shared" si="12"/>
        <v>-612721</v>
      </c>
      <c r="F32" s="127">
        <f t="shared" si="12"/>
        <v>-197860</v>
      </c>
      <c r="G32" s="127">
        <f t="shared" si="12"/>
        <v>120124</v>
      </c>
      <c r="H32" s="127">
        <f t="shared" si="12"/>
        <v>130108</v>
      </c>
      <c r="I32" s="127">
        <f t="shared" si="12"/>
        <v>162041</v>
      </c>
      <c r="J32" s="128">
        <f ca="1">+Projections!J88</f>
        <v>211437.78713935078</v>
      </c>
      <c r="K32" s="127">
        <f ca="1">+Projections!K88</f>
        <v>228023.35183082661</v>
      </c>
      <c r="L32" s="127">
        <f ca="1">+Projections!L88</f>
        <v>246043.22617110438</v>
      </c>
      <c r="M32" s="127">
        <f ca="1">+Projections!M88</f>
        <v>265259.19492184074</v>
      </c>
      <c r="O32" s="37">
        <f>+((I32/C32)^(1/6))-1</f>
        <v>1.1091365112976925E-2</v>
      </c>
      <c r="P32" s="36"/>
      <c r="R32" s="37">
        <f ca="1">+((M32/I32)^(1/4))-1</f>
        <v>0.13112703648516133</v>
      </c>
      <c r="S32" s="36"/>
    </row>
    <row r="33" spans="2:19" x14ac:dyDescent="0.35">
      <c r="B33" s="130" t="s">
        <v>75</v>
      </c>
      <c r="C33" s="131">
        <f t="shared" ref="C33:M33" si="13">+IFERROR(C32/C8,0)</f>
        <v>8.2816992161370381E-2</v>
      </c>
      <c r="D33" s="131">
        <f t="shared" si="13"/>
        <v>6.7571882588856075E-2</v>
      </c>
      <c r="E33" s="131">
        <f t="shared" si="13"/>
        <v>-1.1595823602663144</v>
      </c>
      <c r="F33" s="131">
        <f t="shared" si="13"/>
        <v>-0.21925149096776053</v>
      </c>
      <c r="G33" s="131">
        <f t="shared" si="13"/>
        <v>7.0994726399856267E-2</v>
      </c>
      <c r="H33" s="131">
        <f t="shared" si="13"/>
        <v>6.7336854025161014E-2</v>
      </c>
      <c r="I33" s="131">
        <f t="shared" si="13"/>
        <v>7.8802907383325835E-2</v>
      </c>
      <c r="J33" s="132">
        <f t="shared" ca="1" si="13"/>
        <v>0.10122854706470565</v>
      </c>
      <c r="K33" s="131">
        <f t="shared" ca="1" si="13"/>
        <v>0.10412031235781884</v>
      </c>
      <c r="L33" s="131">
        <f t="shared" ca="1" si="13"/>
        <v>0.10709041994146974</v>
      </c>
      <c r="M33" s="131">
        <f t="shared" ca="1" si="13"/>
        <v>0.11002221707823642</v>
      </c>
    </row>
    <row r="34" spans="2:19" x14ac:dyDescent="0.35">
      <c r="B34" t="s">
        <v>71</v>
      </c>
      <c r="C34" s="194">
        <v>147094</v>
      </c>
      <c r="D34" s="194">
        <v>112898</v>
      </c>
      <c r="E34" s="194">
        <v>-595928</v>
      </c>
      <c r="F34" s="194">
        <v>-192901</v>
      </c>
      <c r="G34" s="194">
        <v>110693</v>
      </c>
      <c r="H34" s="194">
        <v>117733</v>
      </c>
      <c r="I34" s="194">
        <v>140626</v>
      </c>
      <c r="J34" s="129">
        <f ca="1">+Projections!J91</f>
        <v>190022.8159587894</v>
      </c>
      <c r="K34" s="112">
        <f ca="1">+Projections!K91</f>
        <v>197888.26207294341</v>
      </c>
      <c r="L34" s="112">
        <f ca="1">+Projections!L91</f>
        <v>213526.66747019411</v>
      </c>
      <c r="M34" s="112">
        <f ca="1">+Projections!M91</f>
        <v>230203.09393967438</v>
      </c>
      <c r="O34" s="37">
        <f>+((I34/C34)^(1/6))-1</f>
        <v>-7.4666440994761718E-3</v>
      </c>
      <c r="P34" s="36"/>
      <c r="R34" s="37">
        <f ca="1">+((M34/I34)^(1/4))-1</f>
        <v>0.13112703648516133</v>
      </c>
      <c r="S34" s="36"/>
    </row>
    <row r="35" spans="2:19" x14ac:dyDescent="0.35">
      <c r="B35" t="s">
        <v>72</v>
      </c>
      <c r="C35" s="194">
        <v>4570</v>
      </c>
      <c r="D35" s="194">
        <v>8781</v>
      </c>
      <c r="E35" s="194">
        <v>-16792</v>
      </c>
      <c r="F35" s="194">
        <v>-4959</v>
      </c>
      <c r="G35" s="194">
        <v>9430</v>
      </c>
      <c r="H35" s="194">
        <v>12375</v>
      </c>
      <c r="I35" s="194">
        <v>21415</v>
      </c>
      <c r="J35" s="129">
        <f ca="1">+Projections!J92</f>
        <v>21414.971180561381</v>
      </c>
      <c r="K35" s="111">
        <f ca="1">+Projections!K92</f>
        <v>30135.089757883201</v>
      </c>
      <c r="L35" s="111">
        <f ca="1">+Projections!L92</f>
        <v>32516.558700910264</v>
      </c>
      <c r="M35" s="111">
        <f ca="1">+Projections!M92</f>
        <v>35056.100982166361</v>
      </c>
    </row>
    <row r="38" spans="2:19" x14ac:dyDescent="0.35">
      <c r="B38" s="135" t="s">
        <v>167</v>
      </c>
      <c r="C38" s="136">
        <v>0.21</v>
      </c>
      <c r="M38" s="34"/>
      <c r="N38" s="12"/>
    </row>
    <row r="52" spans="15:15" x14ac:dyDescent="0.35">
      <c r="O52" s="34"/>
    </row>
    <row r="69" spans="10:13" x14ac:dyDescent="0.35">
      <c r="J69" s="12"/>
      <c r="K69" s="12"/>
      <c r="L69" s="12"/>
      <c r="M69" s="12"/>
    </row>
    <row r="70" spans="10:13" x14ac:dyDescent="0.35">
      <c r="J70" s="42"/>
      <c r="K70" s="42"/>
      <c r="L70" s="42"/>
      <c r="M70" s="42"/>
    </row>
    <row r="71" spans="10:13" x14ac:dyDescent="0.35">
      <c r="J71" s="49"/>
    </row>
    <row r="72" spans="10:13" x14ac:dyDescent="0.35">
      <c r="J72" s="4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2F19F-B583-4EA5-8E44-1EB6C34854C8}">
  <sheetPr>
    <tabColor theme="5" tint="0.59999389629810485"/>
  </sheetPr>
  <dimension ref="B1:R58"/>
  <sheetViews>
    <sheetView showGridLines="0" tabSelected="1" zoomScale="90" zoomScaleNormal="90" workbookViewId="0">
      <selection activeCell="J8" sqref="J8"/>
    </sheetView>
  </sheetViews>
  <sheetFormatPr defaultRowHeight="14.5" x14ac:dyDescent="0.35"/>
  <cols>
    <col min="1" max="1" width="2.90625" customWidth="1"/>
    <col min="2" max="2" width="51.54296875" bestFit="1" customWidth="1"/>
    <col min="3" max="13" width="10.453125" bestFit="1" customWidth="1"/>
    <col min="14" max="14" width="10.1796875" bestFit="1" customWidth="1"/>
  </cols>
  <sheetData>
    <row r="1" spans="2:18" s="90" customFormat="1" x14ac:dyDescent="0.35"/>
    <row r="2" spans="2:18" s="90" customFormat="1" ht="26" x14ac:dyDescent="0.6">
      <c r="B2" s="169" t="s">
        <v>249</v>
      </c>
    </row>
    <row r="3" spans="2:18" s="90" customFormat="1" x14ac:dyDescent="0.35"/>
    <row r="4" spans="2:18" x14ac:dyDescent="0.35">
      <c r="J4" s="1">
        <f t="shared" ref="J4:K4" ca="1" si="0">+J24-J55</f>
        <v>-4.0046870708465576E-8</v>
      </c>
      <c r="K4" s="1">
        <f t="shared" ca="1" si="0"/>
        <v>-1.0337680578231812E-6</v>
      </c>
      <c r="L4" s="1">
        <f ca="1">+L24-L55</f>
        <v>-1.3340264558792114E-5</v>
      </c>
      <c r="M4" s="1">
        <f ca="1">+M24-M55</f>
        <v>-1.1569540947675705E-4</v>
      </c>
    </row>
    <row r="5" spans="2:18" x14ac:dyDescent="0.35">
      <c r="B5" s="19" t="s">
        <v>173</v>
      </c>
      <c r="C5" s="20">
        <v>2018</v>
      </c>
      <c r="D5" s="20">
        <v>2019</v>
      </c>
      <c r="E5" s="20">
        <v>2020</v>
      </c>
      <c r="F5" s="20">
        <v>2021</v>
      </c>
      <c r="G5" s="20">
        <v>2022</v>
      </c>
      <c r="H5" s="20">
        <v>2023</v>
      </c>
      <c r="I5" s="39">
        <v>2024</v>
      </c>
      <c r="J5" s="59" t="s">
        <v>114</v>
      </c>
      <c r="K5" s="40" t="s">
        <v>115</v>
      </c>
      <c r="L5" s="23" t="s">
        <v>116</v>
      </c>
      <c r="M5" s="23" t="s">
        <v>117</v>
      </c>
    </row>
    <row r="6" spans="2:18" x14ac:dyDescent="0.35">
      <c r="B6" t="s">
        <v>7</v>
      </c>
      <c r="C6" s="196">
        <v>67998.509999999995</v>
      </c>
      <c r="D6" s="196">
        <v>72267</v>
      </c>
      <c r="E6" s="196">
        <v>35335</v>
      </c>
      <c r="F6" s="196">
        <v>28031.4</v>
      </c>
      <c r="G6" s="196">
        <v>27939.51</v>
      </c>
      <c r="H6" s="196">
        <v>27088</v>
      </c>
      <c r="I6" s="196">
        <v>27164</v>
      </c>
      <c r="J6" s="197">
        <v>27164</v>
      </c>
      <c r="K6" s="196">
        <v>27164</v>
      </c>
      <c r="L6" s="196">
        <v>27164</v>
      </c>
      <c r="M6" s="196">
        <v>27164</v>
      </c>
      <c r="O6" s="25"/>
      <c r="P6" s="25"/>
      <c r="Q6" s="25"/>
      <c r="R6" s="25"/>
    </row>
    <row r="7" spans="2:18" x14ac:dyDescent="0.35">
      <c r="B7" t="s">
        <v>8</v>
      </c>
      <c r="C7" s="196">
        <v>76371.509999999995</v>
      </c>
      <c r="D7" s="196">
        <v>73408</v>
      </c>
      <c r="E7" s="196">
        <v>61385</v>
      </c>
      <c r="F7" s="196">
        <v>49034.400000000001</v>
      </c>
      <c r="G7" s="196">
        <v>52287.51</v>
      </c>
      <c r="H7" s="196">
        <v>79239</v>
      </c>
      <c r="I7" s="196">
        <v>81183</v>
      </c>
      <c r="J7" s="197">
        <v>81183</v>
      </c>
      <c r="K7" s="196">
        <v>81183</v>
      </c>
      <c r="L7" s="196">
        <v>81183</v>
      </c>
      <c r="M7" s="196">
        <v>81183</v>
      </c>
    </row>
    <row r="8" spans="2:18" x14ac:dyDescent="0.35">
      <c r="B8" t="s">
        <v>9</v>
      </c>
      <c r="C8" s="196">
        <v>1851193.98</v>
      </c>
      <c r="D8" s="196">
        <v>1923267</v>
      </c>
      <c r="E8" s="196">
        <v>1688724</v>
      </c>
      <c r="F8" s="196">
        <v>1589041</v>
      </c>
      <c r="G8" s="196">
        <v>1619824.51</v>
      </c>
      <c r="H8" s="196">
        <v>1578149</v>
      </c>
      <c r="I8" s="196">
        <v>1594373</v>
      </c>
      <c r="J8" s="65">
        <f>'Fixed Assets'!J8</f>
        <v>1581867.2370200083</v>
      </c>
      <c r="K8" s="12">
        <f>'Fixed Assets'!K8</f>
        <v>1569459.5653321492</v>
      </c>
      <c r="L8" s="12">
        <f>'Fixed Assets'!L8</f>
        <v>1557149.2155390177</v>
      </c>
      <c r="M8" s="12">
        <f>'Fixed Assets'!M8</f>
        <v>1544935.4242781203</v>
      </c>
    </row>
    <row r="9" spans="2:18" x14ac:dyDescent="0.35">
      <c r="B9" t="s">
        <v>10</v>
      </c>
      <c r="C9" s="196">
        <v>1064130</v>
      </c>
      <c r="D9" s="196">
        <v>1251255</v>
      </c>
      <c r="E9" s="196">
        <v>1186918</v>
      </c>
      <c r="F9" s="196">
        <v>1429100</v>
      </c>
      <c r="G9" s="196">
        <v>1370816.51</v>
      </c>
      <c r="H9" s="196">
        <v>1375854</v>
      </c>
      <c r="I9" s="196">
        <v>1517855</v>
      </c>
      <c r="J9" s="137">
        <f>+'Fixed Assets'!J21</f>
        <v>1606749.0060225867</v>
      </c>
      <c r="K9" s="138">
        <f>+'Fixed Assets'!K21</f>
        <v>1700849.1379970883</v>
      </c>
      <c r="L9" s="138">
        <f>+'Fixed Assets'!L21</f>
        <v>1800460.2955296752</v>
      </c>
      <c r="M9" s="138">
        <f>+'Fixed Assets'!M21</f>
        <v>1905905.2348382673</v>
      </c>
    </row>
    <row r="10" spans="2:18" x14ac:dyDescent="0.35">
      <c r="B10" t="s">
        <v>0</v>
      </c>
      <c r="C10" s="196">
        <v>149437</v>
      </c>
      <c r="D10" s="196">
        <v>116267</v>
      </c>
      <c r="E10" s="196">
        <v>102998</v>
      </c>
      <c r="F10" s="196">
        <v>104935</v>
      </c>
      <c r="G10" s="196">
        <v>114892.51</v>
      </c>
      <c r="H10" s="196">
        <v>117898</v>
      </c>
      <c r="I10" s="196">
        <v>156832</v>
      </c>
      <c r="J10" s="197">
        <v>156832</v>
      </c>
      <c r="K10" s="196">
        <v>156832</v>
      </c>
      <c r="L10" s="196">
        <v>156832</v>
      </c>
      <c r="M10" s="196">
        <v>156832</v>
      </c>
    </row>
    <row r="11" spans="2:18" x14ac:dyDescent="0.35">
      <c r="B11" t="s">
        <v>11</v>
      </c>
      <c r="C11" s="196">
        <v>197817</v>
      </c>
      <c r="D11" s="196">
        <v>212711</v>
      </c>
      <c r="E11" s="196">
        <v>178365</v>
      </c>
      <c r="F11" s="196">
        <v>175241</v>
      </c>
      <c r="G11" s="196">
        <v>206191.51</v>
      </c>
      <c r="H11" s="196">
        <v>240820</v>
      </c>
      <c r="I11" s="196">
        <v>206876</v>
      </c>
      <c r="J11" s="197">
        <v>206876</v>
      </c>
      <c r="K11" s="196">
        <v>206876</v>
      </c>
      <c r="L11" s="196">
        <v>206876</v>
      </c>
      <c r="M11" s="196">
        <v>206876</v>
      </c>
    </row>
    <row r="12" spans="2:18" x14ac:dyDescent="0.35">
      <c r="B12" t="s">
        <v>12</v>
      </c>
      <c r="C12" s="196">
        <v>140551</v>
      </c>
      <c r="D12" s="196">
        <v>168281</v>
      </c>
      <c r="E12" s="196">
        <v>135862</v>
      </c>
      <c r="F12" s="196">
        <v>184845</v>
      </c>
      <c r="G12" s="196">
        <v>203472.51</v>
      </c>
      <c r="H12" s="196">
        <v>149673</v>
      </c>
      <c r="I12" s="196">
        <v>129071</v>
      </c>
      <c r="J12" s="197">
        <v>129071</v>
      </c>
      <c r="K12" s="196">
        <v>129071</v>
      </c>
      <c r="L12" s="196">
        <v>129071</v>
      </c>
      <c r="M12" s="196">
        <v>129071</v>
      </c>
    </row>
    <row r="13" spans="2:18" x14ac:dyDescent="0.35">
      <c r="B13" t="s">
        <v>13</v>
      </c>
      <c r="C13" s="196">
        <v>302555</v>
      </c>
      <c r="D13" s="196">
        <v>297298</v>
      </c>
      <c r="E13" s="196">
        <v>317234</v>
      </c>
      <c r="F13" s="196">
        <v>329397</v>
      </c>
      <c r="G13" s="196">
        <v>300823.51</v>
      </c>
      <c r="H13" s="196">
        <v>289886</v>
      </c>
      <c r="I13" s="196">
        <v>296574</v>
      </c>
      <c r="J13" s="197">
        <v>296574</v>
      </c>
      <c r="K13" s="196">
        <v>296574</v>
      </c>
      <c r="L13" s="196">
        <v>296574</v>
      </c>
      <c r="M13" s="196">
        <v>296574</v>
      </c>
    </row>
    <row r="14" spans="2:18" x14ac:dyDescent="0.35">
      <c r="B14" s="4" t="s">
        <v>20</v>
      </c>
      <c r="C14" s="5">
        <f t="shared" ref="C14:M14" si="1">+SUM(C6:C13)</f>
        <v>3850054</v>
      </c>
      <c r="D14" s="5">
        <f t="shared" si="1"/>
        <v>4114754</v>
      </c>
      <c r="E14" s="5">
        <f t="shared" si="1"/>
        <v>3706821</v>
      </c>
      <c r="F14" s="5">
        <f t="shared" si="1"/>
        <v>3889624.8</v>
      </c>
      <c r="G14" s="5">
        <f t="shared" si="1"/>
        <v>3896248.0799999991</v>
      </c>
      <c r="H14" s="5">
        <f t="shared" si="1"/>
        <v>3858607</v>
      </c>
      <c r="I14" s="5">
        <f t="shared" si="1"/>
        <v>4009928</v>
      </c>
      <c r="J14" s="66">
        <f t="shared" si="1"/>
        <v>4086316.2430425948</v>
      </c>
      <c r="K14" s="5">
        <f t="shared" si="1"/>
        <v>4168008.7033292372</v>
      </c>
      <c r="L14" s="5">
        <f t="shared" si="1"/>
        <v>4255309.5110686924</v>
      </c>
      <c r="M14" s="5">
        <f t="shared" si="1"/>
        <v>4348540.6591163874</v>
      </c>
    </row>
    <row r="15" spans="2:18" x14ac:dyDescent="0.35">
      <c r="B15" t="s">
        <v>14</v>
      </c>
      <c r="C15" s="196">
        <v>56081</v>
      </c>
      <c r="D15" s="7"/>
      <c r="E15" s="7"/>
      <c r="F15" s="7"/>
      <c r="G15" s="7"/>
      <c r="H15" s="7"/>
      <c r="I15" s="7"/>
      <c r="J15" s="55"/>
    </row>
    <row r="16" spans="2:18" x14ac:dyDescent="0.35">
      <c r="B16" t="s">
        <v>15</v>
      </c>
      <c r="C16" s="196">
        <v>26492</v>
      </c>
      <c r="D16" s="196">
        <v>29260</v>
      </c>
      <c r="E16" s="196">
        <v>24389</v>
      </c>
      <c r="F16" s="196">
        <v>25290</v>
      </c>
      <c r="G16" s="196">
        <v>30185.51</v>
      </c>
      <c r="H16" s="196">
        <v>29837</v>
      </c>
      <c r="I16" s="196">
        <v>31988</v>
      </c>
      <c r="J16" s="61">
        <f ca="1">+'Income Statement'!J6*'Ratios &amp; KPI''s'!J6</f>
        <v>32503.469990351681</v>
      </c>
      <c r="K16" s="7">
        <f ca="1">+'Income Statement'!K6*'Ratios &amp; KPI''s'!K6</f>
        <v>34113.079744811432</v>
      </c>
      <c r="L16" s="7">
        <f ca="1">+'Income Statement'!L6*'Ratios &amp; KPI''s'!L6</f>
        <v>35821.976096298567</v>
      </c>
      <c r="M16" s="7">
        <f ca="1">+'Income Statement'!M6*'Ratios &amp; KPI''s'!M6</f>
        <v>37624.689003540625</v>
      </c>
    </row>
    <row r="17" spans="2:14" x14ac:dyDescent="0.35">
      <c r="B17" t="s">
        <v>16</v>
      </c>
      <c r="C17" s="196">
        <v>249076</v>
      </c>
      <c r="D17" s="196">
        <v>194077</v>
      </c>
      <c r="E17" s="196">
        <v>134961</v>
      </c>
      <c r="F17" s="196">
        <v>135866</v>
      </c>
      <c r="G17" s="196">
        <v>183355.6</v>
      </c>
      <c r="H17" s="196">
        <v>227315</v>
      </c>
      <c r="I17" s="196">
        <v>265480</v>
      </c>
      <c r="J17" s="61">
        <f ca="1">+'Income Statement'!J6*'Ratios &amp; KPI''s'!J9</f>
        <v>269758.07218452432</v>
      </c>
      <c r="K17" s="7">
        <f ca="1">+'Income Statement'!K6*'Ratios &amp; KPI''s'!K9</f>
        <v>283116.80663538008</v>
      </c>
      <c r="L17" s="7">
        <f ca="1">+'Income Statement'!L6*'Ratios &amp; KPI''s'!L9</f>
        <v>297299.55652261298</v>
      </c>
      <c r="M17" s="7">
        <f ca="1">+'Income Statement'!M6*'Ratios &amp; KPI''s'!M9</f>
        <v>312260.92399212095</v>
      </c>
    </row>
    <row r="18" spans="2:14" x14ac:dyDescent="0.35">
      <c r="B18" t="s">
        <v>17</v>
      </c>
      <c r="C18" s="196">
        <v>28870</v>
      </c>
      <c r="D18" s="196">
        <v>39577</v>
      </c>
      <c r="E18" s="196">
        <v>34794</v>
      </c>
      <c r="F18" s="196">
        <v>17598</v>
      </c>
      <c r="G18" s="196">
        <v>22670</v>
      </c>
      <c r="H18" s="196">
        <v>35812</v>
      </c>
      <c r="I18" s="196">
        <v>24118</v>
      </c>
      <c r="J18" s="197">
        <v>24118</v>
      </c>
      <c r="K18" s="196">
        <v>24118</v>
      </c>
      <c r="L18" s="196">
        <v>24118</v>
      </c>
      <c r="M18" s="196">
        <v>24118</v>
      </c>
    </row>
    <row r="19" spans="2:14" x14ac:dyDescent="0.35">
      <c r="B19" t="s">
        <v>18</v>
      </c>
      <c r="C19" s="196">
        <v>41097</v>
      </c>
      <c r="D19" s="196">
        <v>49046</v>
      </c>
      <c r="E19" s="196">
        <v>66941</v>
      </c>
      <c r="F19" s="196">
        <v>46622</v>
      </c>
      <c r="G19" s="196">
        <v>67411</v>
      </c>
      <c r="H19" s="196">
        <v>123345</v>
      </c>
      <c r="I19" s="196">
        <v>79001</v>
      </c>
      <c r="J19" s="197">
        <v>79001</v>
      </c>
      <c r="K19" s="196">
        <v>79001</v>
      </c>
      <c r="L19" s="196">
        <v>79001</v>
      </c>
      <c r="M19" s="196">
        <v>79001</v>
      </c>
    </row>
    <row r="20" spans="2:14" x14ac:dyDescent="0.35">
      <c r="B20" t="s">
        <v>19</v>
      </c>
      <c r="C20" s="196">
        <v>312902</v>
      </c>
      <c r="D20" s="196">
        <v>328944</v>
      </c>
      <c r="E20" s="196">
        <v>104650</v>
      </c>
      <c r="F20" s="196">
        <v>97858</v>
      </c>
      <c r="G20" s="196">
        <v>148680</v>
      </c>
      <c r="H20" s="196">
        <v>160229</v>
      </c>
      <c r="I20" s="196">
        <v>171272</v>
      </c>
      <c r="J20" s="76">
        <f ca="1">+I20+'Cash Flow Statement'!J47</f>
        <v>144288.28478371236</v>
      </c>
      <c r="K20" s="77">
        <f ca="1">+J20+'Cash Flow Statement'!K47</f>
        <v>151227.00299482618</v>
      </c>
      <c r="L20" s="77">
        <f ca="1">+K20+'Cash Flow Statement'!L47</f>
        <v>187418.38599713525</v>
      </c>
      <c r="M20" s="77">
        <f ca="1">+L20+'Cash Flow Statement'!M47</f>
        <v>255356.91930999694</v>
      </c>
    </row>
    <row r="21" spans="2:14" x14ac:dyDescent="0.35">
      <c r="B21" t="s">
        <v>164</v>
      </c>
      <c r="C21" s="7"/>
      <c r="D21" s="7"/>
      <c r="E21" s="7"/>
      <c r="F21" s="7"/>
      <c r="G21" s="7"/>
      <c r="H21" s="7"/>
      <c r="I21" s="7"/>
      <c r="J21" s="137">
        <f>-20369.4232802019*-1</f>
        <v>20369.4232802019</v>
      </c>
      <c r="K21" s="138">
        <f>-25799.2012155745*-1</f>
        <v>25799.2012155745</v>
      </c>
      <c r="L21" s="138">
        <f>-16057.8874447504*-1</f>
        <v>16057.8874447504</v>
      </c>
      <c r="M21" s="138">
        <f>11001.6071636518*-1</f>
        <v>-11001.607163651801</v>
      </c>
    </row>
    <row r="22" spans="2:14" x14ac:dyDescent="0.35">
      <c r="B22" s="4" t="s">
        <v>21</v>
      </c>
      <c r="C22" s="5">
        <f t="shared" ref="C22:M22" si="2">+SUM(C15:C21)</f>
        <v>714518</v>
      </c>
      <c r="D22" s="5">
        <f t="shared" si="2"/>
        <v>640904</v>
      </c>
      <c r="E22" s="5">
        <f t="shared" si="2"/>
        <v>365735</v>
      </c>
      <c r="F22" s="5">
        <f t="shared" si="2"/>
        <v>323234</v>
      </c>
      <c r="G22" s="5">
        <f t="shared" si="2"/>
        <v>452302.11</v>
      </c>
      <c r="H22" s="5">
        <f t="shared" si="2"/>
        <v>576538</v>
      </c>
      <c r="I22" s="5">
        <f t="shared" si="2"/>
        <v>571859</v>
      </c>
      <c r="J22" s="66">
        <f t="shared" ca="1" si="2"/>
        <v>570038.25023879018</v>
      </c>
      <c r="K22" s="5">
        <f t="shared" ca="1" si="2"/>
        <v>597375.09059059224</v>
      </c>
      <c r="L22" s="5">
        <f t="shared" ca="1" si="2"/>
        <v>639716.80606079719</v>
      </c>
      <c r="M22" s="5">
        <f t="shared" ca="1" si="2"/>
        <v>697359.92514200672</v>
      </c>
    </row>
    <row r="23" spans="2:14" x14ac:dyDescent="0.35">
      <c r="B23" s="10"/>
      <c r="C23" s="11"/>
      <c r="D23" s="11"/>
      <c r="E23" s="11"/>
      <c r="F23" s="11"/>
      <c r="G23" s="11"/>
      <c r="H23" s="11"/>
      <c r="I23" s="11"/>
      <c r="J23" s="67"/>
      <c r="K23" s="11"/>
      <c r="L23" s="11"/>
      <c r="M23" s="163"/>
    </row>
    <row r="24" spans="2:14" x14ac:dyDescent="0.35">
      <c r="B24" s="2" t="s">
        <v>22</v>
      </c>
      <c r="C24" s="3">
        <f t="shared" ref="C24:M24" si="3">+SUM(C14+C22)</f>
        <v>4564572</v>
      </c>
      <c r="D24" s="3">
        <f t="shared" si="3"/>
        <v>4755658</v>
      </c>
      <c r="E24" s="3">
        <f t="shared" si="3"/>
        <v>4072556</v>
      </c>
      <c r="F24" s="3">
        <f t="shared" si="3"/>
        <v>4212858.8</v>
      </c>
      <c r="G24" s="3">
        <f t="shared" si="3"/>
        <v>4348550.1899999995</v>
      </c>
      <c r="H24" s="3">
        <f t="shared" si="3"/>
        <v>4435145</v>
      </c>
      <c r="I24" s="3">
        <f t="shared" si="3"/>
        <v>4581787</v>
      </c>
      <c r="J24" s="68">
        <f t="shared" ca="1" si="3"/>
        <v>4656354.4932813849</v>
      </c>
      <c r="K24" s="3">
        <f t="shared" ca="1" si="3"/>
        <v>4765383.7939198297</v>
      </c>
      <c r="L24" s="3">
        <f t="shared" ca="1" si="3"/>
        <v>4895026.31712949</v>
      </c>
      <c r="M24" s="3">
        <f t="shared" ca="1" si="3"/>
        <v>5045900.5842583943</v>
      </c>
    </row>
    <row r="25" spans="2:14" x14ac:dyDescent="0.35">
      <c r="J25" s="55"/>
    </row>
    <row r="26" spans="2:14" x14ac:dyDescent="0.35">
      <c r="B26" t="s">
        <v>24</v>
      </c>
      <c r="C26" s="196">
        <v>45940</v>
      </c>
      <c r="D26" s="196">
        <v>45940</v>
      </c>
      <c r="E26" s="196">
        <v>44080</v>
      </c>
      <c r="F26" s="196">
        <v>44080</v>
      </c>
      <c r="G26" s="196">
        <v>44080</v>
      </c>
      <c r="H26" s="196">
        <v>44080</v>
      </c>
      <c r="I26" s="196">
        <v>44080</v>
      </c>
      <c r="J26" s="197">
        <v>44080</v>
      </c>
      <c r="K26" s="196">
        <v>44080</v>
      </c>
      <c r="L26" s="196">
        <v>44080</v>
      </c>
      <c r="M26" s="196">
        <v>44080</v>
      </c>
    </row>
    <row r="27" spans="2:14" x14ac:dyDescent="0.35">
      <c r="B27" t="s">
        <v>25</v>
      </c>
      <c r="C27" s="196">
        <v>1119301</v>
      </c>
      <c r="D27" s="196">
        <v>1107135</v>
      </c>
      <c r="E27" s="196">
        <v>1079054</v>
      </c>
      <c r="F27" s="196">
        <v>1079054</v>
      </c>
      <c r="G27" s="196">
        <v>1079054</v>
      </c>
      <c r="H27" s="196">
        <v>1079054</v>
      </c>
      <c r="I27" s="196">
        <v>1079054</v>
      </c>
      <c r="J27" s="197">
        <v>1079054</v>
      </c>
      <c r="K27" s="196">
        <v>1079054</v>
      </c>
      <c r="L27" s="196">
        <v>1079054</v>
      </c>
      <c r="M27" s="196">
        <v>1079054</v>
      </c>
    </row>
    <row r="28" spans="2:14" x14ac:dyDescent="0.35">
      <c r="B28" t="s">
        <v>26</v>
      </c>
      <c r="C28" s="196">
        <v>431873</v>
      </c>
      <c r="D28" s="196">
        <v>443037</v>
      </c>
      <c r="E28" s="196">
        <v>414564</v>
      </c>
      <c r="F28" s="196">
        <v>435432</v>
      </c>
      <c r="G28" s="196">
        <v>435552</v>
      </c>
      <c r="H28" s="196">
        <v>433010</v>
      </c>
      <c r="I28" s="196">
        <v>411939</v>
      </c>
      <c r="J28" s="197">
        <v>411939</v>
      </c>
      <c r="K28" s="196">
        <v>411939</v>
      </c>
      <c r="L28" s="196">
        <v>411939</v>
      </c>
      <c r="M28" s="196">
        <v>411939</v>
      </c>
    </row>
    <row r="29" spans="2:14" x14ac:dyDescent="0.35">
      <c r="B29" t="s">
        <v>27</v>
      </c>
      <c r="C29" s="196">
        <v>-16025</v>
      </c>
      <c r="D29" s="196">
        <v>-28191</v>
      </c>
      <c r="E29" s="196">
        <v>-3382</v>
      </c>
      <c r="F29" s="196">
        <v>-3599</v>
      </c>
      <c r="G29" s="196">
        <v>-3936</v>
      </c>
      <c r="H29" s="196">
        <v>-1615</v>
      </c>
      <c r="I29" s="196">
        <v>-1509</v>
      </c>
      <c r="J29" s="197">
        <v>-1509</v>
      </c>
      <c r="K29" s="196">
        <v>-1509</v>
      </c>
      <c r="L29" s="196">
        <v>-1509</v>
      </c>
      <c r="M29" s="196">
        <v>-1509</v>
      </c>
    </row>
    <row r="30" spans="2:14" x14ac:dyDescent="0.35">
      <c r="B30" t="s">
        <v>28</v>
      </c>
      <c r="C30" s="196">
        <v>-430458</v>
      </c>
      <c r="D30" s="196">
        <v>-325355</v>
      </c>
      <c r="E30" s="196">
        <v>-213079</v>
      </c>
      <c r="F30" s="196">
        <v>-835481</v>
      </c>
      <c r="G30" s="196">
        <v>-1027440</v>
      </c>
      <c r="H30" s="196">
        <v>-920599</v>
      </c>
      <c r="I30" s="196">
        <v>-710465</v>
      </c>
      <c r="J30" s="151">
        <f ca="1">+I30+'Income Statement'!J34+'Cash Flow Statement'!J32</f>
        <v>-562729.74146908068</v>
      </c>
      <c r="K30" s="152">
        <f ca="1">+J30+'Income Statement'!K34+'Cash Flow Statement'!K32</f>
        <v>-410446.14976230264</v>
      </c>
      <c r="L30" s="152">
        <f ca="1">+K30+'Income Statement'!L34+'Cash Flow Statement'!L32</f>
        <v>-246128.12752632942</v>
      </c>
      <c r="M30" s="152">
        <f ca="1">+L30+'Income Statement'!M34+'Cash Flow Statement'!M32</f>
        <v>-68976.872571023196</v>
      </c>
      <c r="N30" s="12"/>
    </row>
    <row r="31" spans="2:14" x14ac:dyDescent="0.35">
      <c r="B31" t="s">
        <v>29</v>
      </c>
      <c r="C31" s="196">
        <v>-133101</v>
      </c>
      <c r="D31" s="196">
        <v>-110515</v>
      </c>
      <c r="E31" s="196">
        <v>-246888</v>
      </c>
      <c r="F31" s="196">
        <v>-222214</v>
      </c>
      <c r="G31" s="196">
        <v>-228618</v>
      </c>
      <c r="H31" s="196">
        <v>-240157</v>
      </c>
      <c r="I31" s="196">
        <v>-202901</v>
      </c>
      <c r="J31" s="197">
        <v>-202901</v>
      </c>
      <c r="K31" s="196">
        <v>-202901</v>
      </c>
      <c r="L31" s="196">
        <v>-202901</v>
      </c>
      <c r="M31" s="196">
        <v>-202901</v>
      </c>
    </row>
    <row r="32" spans="2:14" x14ac:dyDescent="0.35">
      <c r="B32" t="s">
        <v>30</v>
      </c>
      <c r="C32" s="196">
        <v>-2148</v>
      </c>
      <c r="D32" s="196">
        <v>-2558</v>
      </c>
      <c r="E32" s="196">
        <v>-3088</v>
      </c>
      <c r="F32" s="196">
        <v>-1023</v>
      </c>
      <c r="G32" s="196">
        <v>3803</v>
      </c>
      <c r="H32" s="196">
        <v>1429</v>
      </c>
      <c r="I32" s="196">
        <v>-2652</v>
      </c>
      <c r="J32" s="197">
        <v>-2652</v>
      </c>
      <c r="K32" s="196">
        <v>-2652</v>
      </c>
      <c r="L32" s="196">
        <v>-2652</v>
      </c>
      <c r="M32" s="196">
        <v>-2652</v>
      </c>
    </row>
    <row r="33" spans="2:13" x14ac:dyDescent="0.35">
      <c r="B33" t="s">
        <v>31</v>
      </c>
      <c r="C33" s="196">
        <v>147094</v>
      </c>
      <c r="D33" s="196">
        <v>112898</v>
      </c>
      <c r="E33" s="196">
        <v>-595928</v>
      </c>
      <c r="F33" s="196">
        <v>-192900</v>
      </c>
      <c r="G33" s="196">
        <v>110694</v>
      </c>
      <c r="H33" s="196">
        <v>117734</v>
      </c>
      <c r="I33" s="196">
        <v>140626</v>
      </c>
      <c r="J33" s="197">
        <v>140626</v>
      </c>
      <c r="K33" s="196">
        <v>140626</v>
      </c>
      <c r="L33" s="196">
        <v>140626</v>
      </c>
      <c r="M33" s="196">
        <v>140626</v>
      </c>
    </row>
    <row r="34" spans="2:13" x14ac:dyDescent="0.35">
      <c r="B34" s="6" t="s">
        <v>32</v>
      </c>
      <c r="C34" s="8">
        <f t="shared" ref="C34:M34" si="4">+SUM(C26:C33)</f>
        <v>1162476</v>
      </c>
      <c r="D34" s="8">
        <f t="shared" si="4"/>
        <v>1242391</v>
      </c>
      <c r="E34" s="8">
        <f t="shared" si="4"/>
        <v>475333</v>
      </c>
      <c r="F34" s="8">
        <f t="shared" si="4"/>
        <v>303349</v>
      </c>
      <c r="G34" s="8">
        <f t="shared" si="4"/>
        <v>413189</v>
      </c>
      <c r="H34" s="8">
        <f t="shared" si="4"/>
        <v>512936</v>
      </c>
      <c r="I34" s="8">
        <f t="shared" si="4"/>
        <v>758172</v>
      </c>
      <c r="J34" s="64">
        <f t="shared" ca="1" si="4"/>
        <v>905907.25853091932</v>
      </c>
      <c r="K34" s="8">
        <f t="shared" ca="1" si="4"/>
        <v>1058190.8502376974</v>
      </c>
      <c r="L34" s="8">
        <f t="shared" ca="1" si="4"/>
        <v>1222508.8724736706</v>
      </c>
      <c r="M34" s="8">
        <f t="shared" ca="1" si="4"/>
        <v>1399660.1274289768</v>
      </c>
    </row>
    <row r="35" spans="2:13" x14ac:dyDescent="0.35">
      <c r="B35" t="s">
        <v>33</v>
      </c>
      <c r="C35" s="196">
        <v>41935</v>
      </c>
      <c r="D35" s="196">
        <v>43638</v>
      </c>
      <c r="E35" s="196">
        <v>25507</v>
      </c>
      <c r="F35" s="196">
        <v>22306</v>
      </c>
      <c r="G35" s="196">
        <v>32661</v>
      </c>
      <c r="H35" s="196">
        <v>50211</v>
      </c>
      <c r="I35" s="196">
        <v>311705</v>
      </c>
      <c r="J35" s="61">
        <f ca="1">+I35+'Income Statement'!J35</f>
        <v>333119.97118056141</v>
      </c>
      <c r="K35" s="7">
        <f ca="1">+J35+'Income Statement'!K35</f>
        <v>363255.06093844463</v>
      </c>
      <c r="L35" s="7">
        <f ca="1">+K35+'Income Statement'!L35</f>
        <v>395771.61963935487</v>
      </c>
      <c r="M35" s="7">
        <f ca="1">+L35+'Income Statement'!M35</f>
        <v>430827.72062152124</v>
      </c>
    </row>
    <row r="36" spans="2:13" x14ac:dyDescent="0.35">
      <c r="B36" s="4" t="s">
        <v>23</v>
      </c>
      <c r="C36" s="9">
        <f t="shared" ref="C36:M36" si="5">+SUM(C34+C35)</f>
        <v>1204411</v>
      </c>
      <c r="D36" s="9">
        <f t="shared" si="5"/>
        <v>1286029</v>
      </c>
      <c r="E36" s="9">
        <f t="shared" si="5"/>
        <v>500840</v>
      </c>
      <c r="F36" s="9">
        <f t="shared" si="5"/>
        <v>325655</v>
      </c>
      <c r="G36" s="9">
        <f t="shared" si="5"/>
        <v>445850</v>
      </c>
      <c r="H36" s="9">
        <f t="shared" si="5"/>
        <v>563147</v>
      </c>
      <c r="I36" s="9">
        <f t="shared" si="5"/>
        <v>1069877</v>
      </c>
      <c r="J36" s="211">
        <f t="shared" ca="1" si="5"/>
        <v>1239027.2297114807</v>
      </c>
      <c r="K36" s="212">
        <f t="shared" ca="1" si="5"/>
        <v>1421445.911176142</v>
      </c>
      <c r="L36" s="212">
        <f t="shared" ca="1" si="5"/>
        <v>1618280.4921130254</v>
      </c>
      <c r="M36" s="212">
        <f t="shared" ca="1" si="5"/>
        <v>1830487.8480504979</v>
      </c>
    </row>
    <row r="37" spans="2:13" x14ac:dyDescent="0.35">
      <c r="J37" s="55"/>
    </row>
    <row r="38" spans="2:13" x14ac:dyDescent="0.35">
      <c r="B38" t="s">
        <v>34</v>
      </c>
      <c r="C38" s="196">
        <v>33835</v>
      </c>
      <c r="D38" s="196">
        <v>33951</v>
      </c>
      <c r="E38" s="196">
        <v>34152</v>
      </c>
      <c r="F38" s="196">
        <v>51659</v>
      </c>
      <c r="G38" s="196">
        <v>52026</v>
      </c>
      <c r="H38" s="196">
        <v>52082</v>
      </c>
      <c r="I38" s="196">
        <v>52143</v>
      </c>
      <c r="J38" s="197">
        <v>52143</v>
      </c>
      <c r="K38" s="196">
        <v>52143</v>
      </c>
      <c r="L38" s="196">
        <v>52143</v>
      </c>
      <c r="M38" s="196">
        <v>52143</v>
      </c>
    </row>
    <row r="39" spans="2:13" x14ac:dyDescent="0.35">
      <c r="B39" t="s">
        <v>35</v>
      </c>
      <c r="C39" s="196">
        <v>719949</v>
      </c>
      <c r="D39" s="196">
        <v>786923</v>
      </c>
      <c r="E39" s="196">
        <v>1064925</v>
      </c>
      <c r="F39" s="196">
        <v>1126751</v>
      </c>
      <c r="G39" s="196">
        <v>1131463</v>
      </c>
      <c r="H39" s="196">
        <v>958390</v>
      </c>
      <c r="I39" s="196">
        <v>769022</v>
      </c>
      <c r="J39" s="83">
        <f ca="1">+I39+'Income Statement'!J24</f>
        <v>709449.7678659159</v>
      </c>
      <c r="K39" s="139">
        <f ca="1">+J39+'Income Statement'!K24</f>
        <v>653637.06296008592</v>
      </c>
      <c r="L39" s="139">
        <f ca="1">+K39+'Income Statement'!L24</f>
        <v>601346.62633696361</v>
      </c>
      <c r="M39" s="139">
        <f ca="1">+L39+'Income Statement'!M24</f>
        <v>552356.1721590088</v>
      </c>
    </row>
    <row r="40" spans="2:13" x14ac:dyDescent="0.35">
      <c r="B40" t="s">
        <v>36</v>
      </c>
      <c r="C40" s="196">
        <v>1126410</v>
      </c>
      <c r="D40" s="196">
        <v>1264282</v>
      </c>
      <c r="E40" s="196">
        <v>1189401</v>
      </c>
      <c r="F40" s="196">
        <v>1379126</v>
      </c>
      <c r="G40" s="196">
        <v>1313728</v>
      </c>
      <c r="H40" s="196">
        <v>1301464</v>
      </c>
      <c r="I40" s="196">
        <v>1312338</v>
      </c>
      <c r="J40" s="83">
        <f ca="1">+I40+'Income Statement'!J25</f>
        <v>1269699.1747572816</v>
      </c>
      <c r="K40" s="139">
        <f ca="1">+J40+'Income Statement'!K25</f>
        <v>1228302.2570459044</v>
      </c>
      <c r="L40" s="139">
        <f ca="1">+K40+'Income Statement'!L25</f>
        <v>1188111.074801849</v>
      </c>
      <c r="M40" s="139">
        <f ca="1">+L40+'Income Statement'!M25</f>
        <v>1149090.5095163581</v>
      </c>
    </row>
    <row r="41" spans="2:13" x14ac:dyDescent="0.35">
      <c r="B41" t="s">
        <v>37</v>
      </c>
      <c r="C41" s="196">
        <v>14961</v>
      </c>
      <c r="D41" s="196">
        <v>12212</v>
      </c>
      <c r="E41" s="196">
        <v>11529</v>
      </c>
      <c r="F41" s="196">
        <v>6011</v>
      </c>
      <c r="G41" s="196">
        <v>7746</v>
      </c>
      <c r="H41" s="196">
        <v>33713</v>
      </c>
      <c r="I41" s="196">
        <v>56268</v>
      </c>
      <c r="J41" s="197">
        <v>56268</v>
      </c>
      <c r="K41" s="196">
        <v>56268</v>
      </c>
      <c r="L41" s="196">
        <v>56268</v>
      </c>
      <c r="M41" s="196">
        <v>56268</v>
      </c>
    </row>
    <row r="42" spans="2:13" x14ac:dyDescent="0.35">
      <c r="B42" t="s">
        <v>38</v>
      </c>
      <c r="C42" s="196">
        <v>368535</v>
      </c>
      <c r="D42" s="196">
        <v>350593</v>
      </c>
      <c r="E42" s="196">
        <v>292423</v>
      </c>
      <c r="F42" s="196">
        <v>312876</v>
      </c>
      <c r="G42" s="196">
        <v>313612</v>
      </c>
      <c r="H42" s="196">
        <v>298631</v>
      </c>
      <c r="I42" s="196">
        <v>270374</v>
      </c>
      <c r="J42" s="197">
        <v>270374</v>
      </c>
      <c r="K42" s="196">
        <v>270374</v>
      </c>
      <c r="L42" s="196">
        <v>270374</v>
      </c>
      <c r="M42" s="196">
        <v>270374</v>
      </c>
    </row>
    <row r="43" spans="2:13" x14ac:dyDescent="0.35">
      <c r="B43" t="s">
        <v>39</v>
      </c>
      <c r="C43" s="196">
        <v>40199</v>
      </c>
      <c r="D43" s="196">
        <v>29805</v>
      </c>
      <c r="E43" s="196">
        <v>26483</v>
      </c>
      <c r="F43" s="196">
        <v>25656</v>
      </c>
      <c r="G43" s="196">
        <v>30198</v>
      </c>
      <c r="H43" s="196">
        <v>37677</v>
      </c>
      <c r="I43" s="196">
        <v>41036</v>
      </c>
      <c r="J43" s="197">
        <v>41036</v>
      </c>
      <c r="K43" s="196">
        <v>41036</v>
      </c>
      <c r="L43" s="196">
        <v>41036</v>
      </c>
      <c r="M43" s="196">
        <v>41036</v>
      </c>
    </row>
    <row r="44" spans="2:13" x14ac:dyDescent="0.35">
      <c r="B44" t="s">
        <v>40</v>
      </c>
      <c r="C44" s="196">
        <v>203239</v>
      </c>
      <c r="D44" s="196">
        <v>221888</v>
      </c>
      <c r="E44" s="196">
        <v>192870</v>
      </c>
      <c r="F44" s="196">
        <v>182776</v>
      </c>
      <c r="G44" s="196">
        <v>176946</v>
      </c>
      <c r="H44" s="196">
        <v>167930</v>
      </c>
      <c r="I44" s="196">
        <v>212746</v>
      </c>
      <c r="J44" s="197">
        <v>212746</v>
      </c>
      <c r="K44" s="196">
        <v>212746</v>
      </c>
      <c r="L44" s="196">
        <v>212746</v>
      </c>
      <c r="M44" s="196">
        <v>212746</v>
      </c>
    </row>
    <row r="45" spans="2:13" x14ac:dyDescent="0.35">
      <c r="B45" s="4" t="s">
        <v>41</v>
      </c>
      <c r="C45" s="9">
        <f t="shared" ref="C45:M45" si="6">+SUM(C38:C44)</f>
        <v>2507128</v>
      </c>
      <c r="D45" s="9">
        <f t="shared" si="6"/>
        <v>2699654</v>
      </c>
      <c r="E45" s="9">
        <f t="shared" si="6"/>
        <v>2811783</v>
      </c>
      <c r="F45" s="9">
        <f t="shared" si="6"/>
        <v>3084855</v>
      </c>
      <c r="G45" s="9">
        <f t="shared" si="6"/>
        <v>3025719</v>
      </c>
      <c r="H45" s="9">
        <f t="shared" si="6"/>
        <v>2849887</v>
      </c>
      <c r="I45" s="9">
        <f t="shared" si="6"/>
        <v>2713927</v>
      </c>
      <c r="J45" s="60">
        <f t="shared" ca="1" si="6"/>
        <v>2611715.9426231976</v>
      </c>
      <c r="K45" s="9">
        <f t="shared" ca="1" si="6"/>
        <v>2514506.3200059906</v>
      </c>
      <c r="L45" s="9">
        <f t="shared" ca="1" si="6"/>
        <v>2422024.7011388126</v>
      </c>
      <c r="M45" s="9">
        <f t="shared" ca="1" si="6"/>
        <v>2334013.6816753671</v>
      </c>
    </row>
    <row r="46" spans="2:13" x14ac:dyDescent="0.35">
      <c r="J46" s="55"/>
    </row>
    <row r="47" spans="2:13" x14ac:dyDescent="0.35">
      <c r="B47" t="s">
        <v>34</v>
      </c>
      <c r="C47" s="196">
        <v>51526</v>
      </c>
      <c r="D47" s="196">
        <v>172</v>
      </c>
      <c r="E47" s="196">
        <v>172</v>
      </c>
      <c r="F47" s="196">
        <v>82616</v>
      </c>
      <c r="G47" s="196">
        <v>24042</v>
      </c>
      <c r="H47" s="196">
        <v>24585</v>
      </c>
      <c r="I47" s="196">
        <v>11242</v>
      </c>
      <c r="J47" s="197">
        <v>11242</v>
      </c>
      <c r="K47" s="196">
        <v>11242</v>
      </c>
      <c r="L47" s="196">
        <v>11242</v>
      </c>
      <c r="M47" s="196">
        <v>11242</v>
      </c>
    </row>
    <row r="48" spans="2:13" x14ac:dyDescent="0.35">
      <c r="B48" t="s">
        <v>35</v>
      </c>
      <c r="C48" s="196">
        <v>115066</v>
      </c>
      <c r="D48" s="196">
        <v>100343</v>
      </c>
      <c r="E48" s="196">
        <v>260592</v>
      </c>
      <c r="F48" s="196">
        <v>122715</v>
      </c>
      <c r="G48" s="196">
        <v>151561</v>
      </c>
      <c r="H48" s="196">
        <v>288837</v>
      </c>
      <c r="I48" s="196">
        <v>111555</v>
      </c>
      <c r="J48" s="198">
        <v>111555</v>
      </c>
      <c r="K48" s="199">
        <v>111555</v>
      </c>
      <c r="L48" s="199">
        <v>111555</v>
      </c>
      <c r="M48" s="199">
        <v>111555</v>
      </c>
    </row>
    <row r="49" spans="2:13" x14ac:dyDescent="0.35">
      <c r="B49" t="s">
        <v>36</v>
      </c>
      <c r="C49" s="196">
        <v>151006</v>
      </c>
      <c r="D49" s="196">
        <v>172012</v>
      </c>
      <c r="E49" s="196">
        <v>159158</v>
      </c>
      <c r="F49" s="196">
        <v>188220</v>
      </c>
      <c r="G49" s="196">
        <v>148838</v>
      </c>
      <c r="H49" s="196">
        <v>147989</v>
      </c>
      <c r="I49" s="196">
        <v>151595</v>
      </c>
      <c r="J49" s="198">
        <v>151595</v>
      </c>
      <c r="K49" s="199">
        <v>151595</v>
      </c>
      <c r="L49" s="199">
        <v>151595</v>
      </c>
      <c r="M49" s="199">
        <v>151595</v>
      </c>
    </row>
    <row r="50" spans="2:13" x14ac:dyDescent="0.35">
      <c r="B50" t="s">
        <v>42</v>
      </c>
      <c r="C50" s="196">
        <v>452823</v>
      </c>
      <c r="D50" s="196">
        <v>424472</v>
      </c>
      <c r="E50" s="196">
        <v>293334</v>
      </c>
      <c r="F50" s="196">
        <v>366656</v>
      </c>
      <c r="G50" s="196">
        <v>500763</v>
      </c>
      <c r="H50" s="196">
        <v>505276</v>
      </c>
      <c r="I50" s="196">
        <v>473383</v>
      </c>
      <c r="J50" s="61">
        <f ca="1">+'Income Statement'!J6*'Ratios &amp; KPI''s'!J8</f>
        <v>481011.32094668783</v>
      </c>
      <c r="K50" s="7">
        <f ca="1">+'Income Statement'!K6*'Ratios &amp; KPI''s'!K8</f>
        <v>504831.56273721607</v>
      </c>
      <c r="L50" s="7">
        <f ca="1">+'Income Statement'!L6*'Ratios &amp; KPI''s'!L8</f>
        <v>530121.12387126754</v>
      </c>
      <c r="M50" s="7">
        <f ca="1">+'Income Statement'!M6*'Ratios &amp; KPI''s'!M8</f>
        <v>556799.05447552423</v>
      </c>
    </row>
    <row r="51" spans="2:13" x14ac:dyDescent="0.35">
      <c r="B51" t="s">
        <v>43</v>
      </c>
      <c r="C51" s="196">
        <v>7066</v>
      </c>
      <c r="D51" s="196">
        <v>7675</v>
      </c>
      <c r="E51" s="196">
        <v>1859</v>
      </c>
      <c r="F51" s="196">
        <v>1237</v>
      </c>
      <c r="G51" s="196">
        <v>7755</v>
      </c>
      <c r="H51" s="196">
        <v>9451</v>
      </c>
      <c r="I51" s="196">
        <v>23845</v>
      </c>
      <c r="J51" s="197">
        <v>23845</v>
      </c>
      <c r="K51" s="196">
        <v>23845</v>
      </c>
      <c r="L51" s="196">
        <v>23845</v>
      </c>
      <c r="M51" s="196">
        <v>23845</v>
      </c>
    </row>
    <row r="52" spans="2:13" x14ac:dyDescent="0.35">
      <c r="B52" t="s">
        <v>44</v>
      </c>
      <c r="C52" s="196">
        <v>75546</v>
      </c>
      <c r="D52" s="196">
        <v>65301</v>
      </c>
      <c r="E52" s="196">
        <v>44818</v>
      </c>
      <c r="F52" s="196">
        <v>40905</v>
      </c>
      <c r="G52" s="196">
        <v>44022</v>
      </c>
      <c r="H52" s="196">
        <v>45973</v>
      </c>
      <c r="I52" s="196">
        <v>26363</v>
      </c>
      <c r="J52" s="197">
        <v>26363</v>
      </c>
      <c r="K52" s="196">
        <v>26363</v>
      </c>
      <c r="L52" s="196">
        <v>26363</v>
      </c>
      <c r="M52" s="196">
        <v>26363</v>
      </c>
    </row>
    <row r="53" spans="2:13" x14ac:dyDescent="0.35">
      <c r="B53" s="4" t="s">
        <v>45</v>
      </c>
      <c r="C53" s="9">
        <f t="shared" ref="C53:M53" si="7">+SUM(C47:C52)</f>
        <v>853033</v>
      </c>
      <c r="D53" s="9">
        <f t="shared" si="7"/>
        <v>769975</v>
      </c>
      <c r="E53" s="9">
        <f t="shared" si="7"/>
        <v>759933</v>
      </c>
      <c r="F53" s="9">
        <f t="shared" si="7"/>
        <v>802349</v>
      </c>
      <c r="G53" s="9">
        <f t="shared" si="7"/>
        <v>876981</v>
      </c>
      <c r="H53" s="9">
        <f t="shared" si="7"/>
        <v>1022111</v>
      </c>
      <c r="I53" s="9">
        <f t="shared" si="7"/>
        <v>797983</v>
      </c>
      <c r="J53" s="60">
        <f t="shared" ca="1" si="7"/>
        <v>805611.32094668783</v>
      </c>
      <c r="K53" s="9">
        <f t="shared" ca="1" si="7"/>
        <v>829431.56273721601</v>
      </c>
      <c r="L53" s="9">
        <f t="shared" ca="1" si="7"/>
        <v>854721.12387126754</v>
      </c>
      <c r="M53" s="9">
        <f t="shared" ca="1" si="7"/>
        <v>881399.05447552423</v>
      </c>
    </row>
    <row r="54" spans="2:13" x14ac:dyDescent="0.35">
      <c r="J54" s="55"/>
    </row>
    <row r="55" spans="2:13" x14ac:dyDescent="0.35">
      <c r="B55" s="2" t="s">
        <v>46</v>
      </c>
      <c r="C55" s="3">
        <f t="shared" ref="C55:M55" si="8">+C53+C45+C36</f>
        <v>4564572</v>
      </c>
      <c r="D55" s="3">
        <f t="shared" si="8"/>
        <v>4755658</v>
      </c>
      <c r="E55" s="3">
        <f t="shared" si="8"/>
        <v>4072556</v>
      </c>
      <c r="F55" s="3">
        <f t="shared" si="8"/>
        <v>4212859</v>
      </c>
      <c r="G55" s="3">
        <f t="shared" si="8"/>
        <v>4348550</v>
      </c>
      <c r="H55" s="3">
        <f t="shared" si="8"/>
        <v>4435145</v>
      </c>
      <c r="I55" s="3">
        <f t="shared" si="8"/>
        <v>4581787</v>
      </c>
      <c r="J55" s="68">
        <f t="shared" ca="1" si="8"/>
        <v>4656354.4932813663</v>
      </c>
      <c r="K55" s="3">
        <f t="shared" ca="1" si="8"/>
        <v>4765383.7939193491</v>
      </c>
      <c r="L55" s="3">
        <f t="shared" ca="1" si="8"/>
        <v>4895026.3171231057</v>
      </c>
      <c r="M55" s="3">
        <f t="shared" ca="1" si="8"/>
        <v>5045900.5842013899</v>
      </c>
    </row>
    <row r="56" spans="2:13" x14ac:dyDescent="0.35">
      <c r="K56" s="1">
        <f ca="1">+K55-J55</f>
        <v>109029.30063798279</v>
      </c>
      <c r="L56" s="1">
        <f t="shared" ref="L56:M56" ca="1" si="9">+L55-K55</f>
        <v>129642.52320375666</v>
      </c>
      <c r="M56" s="1">
        <f t="shared" ca="1" si="9"/>
        <v>150874.26707828417</v>
      </c>
    </row>
    <row r="58" spans="2:13" x14ac:dyDescent="0.35">
      <c r="D58" s="12"/>
    </row>
  </sheetData>
  <pageMargins left="0.7" right="0.7" top="0.75" bottom="0.75" header="0.3" footer="0.3"/>
  <ignoredErrors>
    <ignoredError sqref="C14:I14" formulaRange="1"/>
  </ignoredErrors>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2022-573B-4F26-8657-7349E7C9B517}">
  <sheetPr>
    <tabColor theme="6" tint="0.59999389629810485"/>
  </sheetPr>
  <dimension ref="B1:T54"/>
  <sheetViews>
    <sheetView showGridLines="0" zoomScale="90" zoomScaleNormal="90" workbookViewId="0">
      <selection activeCell="J25" sqref="J25"/>
    </sheetView>
  </sheetViews>
  <sheetFormatPr defaultRowHeight="14.5" outlineLevelCol="1" x14ac:dyDescent="0.35"/>
  <cols>
    <col min="1" max="1" width="2.6328125" customWidth="1"/>
    <col min="2" max="2" width="63.26953125" customWidth="1"/>
    <col min="3" max="8" width="10.36328125" bestFit="1" customWidth="1" outlineLevel="1"/>
    <col min="9" max="14" width="10.36328125" bestFit="1" customWidth="1"/>
    <col min="15" max="15" width="9.36328125" bestFit="1" customWidth="1"/>
    <col min="16" max="16" width="15.26953125" customWidth="1"/>
    <col min="17" max="17" width="8.90625" bestFit="1" customWidth="1"/>
    <col min="18" max="19" width="10.36328125" bestFit="1" customWidth="1"/>
    <col min="20" max="20" width="9.36328125" bestFit="1" customWidth="1"/>
    <col min="21" max="21" width="8.90625" bestFit="1" customWidth="1"/>
    <col min="23" max="27" width="7.90625" bestFit="1" customWidth="1"/>
  </cols>
  <sheetData>
    <row r="1" spans="2:14" s="90" customFormat="1" x14ac:dyDescent="0.35"/>
    <row r="2" spans="2:14" s="90" customFormat="1" ht="26" x14ac:dyDescent="0.6">
      <c r="B2" s="169" t="s">
        <v>251</v>
      </c>
    </row>
    <row r="3" spans="2:14" s="90" customFormat="1" x14ac:dyDescent="0.35"/>
    <row r="5" spans="2:14" x14ac:dyDescent="0.35">
      <c r="B5" s="19" t="s">
        <v>80</v>
      </c>
      <c r="C5" s="20">
        <v>2018</v>
      </c>
      <c r="D5" s="20">
        <v>2019</v>
      </c>
      <c r="E5" s="20">
        <v>2020</v>
      </c>
      <c r="F5" s="20">
        <v>2021</v>
      </c>
      <c r="G5" s="20">
        <v>2022</v>
      </c>
      <c r="H5" s="20">
        <v>2023</v>
      </c>
      <c r="I5" s="39">
        <v>2024</v>
      </c>
      <c r="J5" s="41" t="s">
        <v>114</v>
      </c>
      <c r="K5" s="40" t="s">
        <v>115</v>
      </c>
      <c r="L5" s="23" t="s">
        <v>116</v>
      </c>
      <c r="M5" s="23" t="s">
        <v>117</v>
      </c>
    </row>
    <row r="6" spans="2:14" x14ac:dyDescent="0.35">
      <c r="B6" t="s">
        <v>68</v>
      </c>
      <c r="C6" s="194">
        <v>195202</v>
      </c>
      <c r="D6" s="194">
        <v>156312</v>
      </c>
      <c r="E6" s="194">
        <v>-663771</v>
      </c>
      <c r="F6" s="194">
        <v>-217391</v>
      </c>
      <c r="G6" s="194">
        <v>156312</v>
      </c>
      <c r="H6" s="194">
        <v>149317</v>
      </c>
      <c r="I6" s="194">
        <v>224424</v>
      </c>
      <c r="J6" s="112">
        <f ca="1">+'Income Statement'!J29</f>
        <v>211437.78713935078</v>
      </c>
      <c r="K6" s="112">
        <f ca="1">+'Income Statement'!K29</f>
        <v>228023.35183082661</v>
      </c>
      <c r="L6" s="112">
        <f ca="1">+'Income Statement'!L29</f>
        <v>246043.22617110438</v>
      </c>
      <c r="M6" s="112">
        <f ca="1">+'Income Statement'!M29</f>
        <v>265259.19492184074</v>
      </c>
    </row>
    <row r="7" spans="2:14" x14ac:dyDescent="0.35">
      <c r="B7" t="s">
        <v>58</v>
      </c>
      <c r="C7" s="200">
        <v>241648</v>
      </c>
      <c r="D7" s="200">
        <v>260042</v>
      </c>
      <c r="E7" s="200">
        <v>405817</v>
      </c>
      <c r="F7" s="200">
        <v>270875</v>
      </c>
      <c r="G7" s="200">
        <v>229660</v>
      </c>
      <c r="H7" s="200">
        <v>258763</v>
      </c>
      <c r="I7" s="200">
        <v>241892</v>
      </c>
      <c r="J7" s="112" cm="1">
        <f t="array" ref="J7">+SUM(ABS('Income Statement'!J18:J19))</f>
        <v>257347.81795740506</v>
      </c>
      <c r="K7" s="112" cm="1">
        <f t="array" ref="K7">+SUM(ABS('Income Statement'!K18:K19))</f>
        <v>265553.81318711169</v>
      </c>
      <c r="L7" s="112" cm="1">
        <f t="array" ref="L7">+SUM(ABS('Income Statement'!L18:L19))</f>
        <v>274294.24956401146</v>
      </c>
      <c r="M7" s="112" cm="1">
        <f t="array" ref="M7">+SUM(ABS('Income Statement'!M18:M19))</f>
        <v>283600.0045227774</v>
      </c>
    </row>
    <row r="8" spans="2:14" x14ac:dyDescent="0.35">
      <c r="B8" t="s">
        <v>67</v>
      </c>
      <c r="C8" s="200">
        <v>5320</v>
      </c>
      <c r="D8" s="200">
        <v>-6303</v>
      </c>
      <c r="E8" s="200">
        <v>-31859</v>
      </c>
      <c r="F8" s="200">
        <v>9198</v>
      </c>
      <c r="G8" s="200">
        <v>-16389</v>
      </c>
      <c r="H8" s="200">
        <v>12916</v>
      </c>
      <c r="I8" s="200">
        <v>10980</v>
      </c>
      <c r="J8" s="112">
        <f>+'Income Statement'!J28</f>
        <v>0</v>
      </c>
      <c r="K8" s="112">
        <f>+'Income Statement'!K28</f>
        <v>0</v>
      </c>
      <c r="L8" s="112">
        <f>+'Income Statement'!L28</f>
        <v>0</v>
      </c>
      <c r="M8" s="112">
        <f>+'Income Statement'!M28</f>
        <v>0</v>
      </c>
      <c r="N8" s="12"/>
    </row>
    <row r="9" spans="2:14" x14ac:dyDescent="0.35">
      <c r="B9" t="s">
        <v>66</v>
      </c>
      <c r="C9" s="200">
        <v>68989</v>
      </c>
      <c r="D9" s="200">
        <v>72786</v>
      </c>
      <c r="E9" s="200">
        <v>74564</v>
      </c>
      <c r="F9" s="200">
        <v>62847</v>
      </c>
      <c r="G9" s="200">
        <v>61176</v>
      </c>
      <c r="H9" s="200">
        <v>94598</v>
      </c>
      <c r="I9" s="200">
        <v>98059</v>
      </c>
      <c r="J9" s="112">
        <f ca="1">+-'Income Statement'!J27</f>
        <v>89987.986795463614</v>
      </c>
      <c r="K9" s="112">
        <f ca="1">+-'Income Statement'!K27</f>
        <v>84393.856264066577</v>
      </c>
      <c r="L9" s="112">
        <f ca="1">+-'Income Statement'!L27</f>
        <v>79036.597106527974</v>
      </c>
      <c r="M9" s="112">
        <f ca="1">+-'Income Statement'!M27</f>
        <v>73902.196856078561</v>
      </c>
    </row>
    <row r="10" spans="2:14" x14ac:dyDescent="0.35">
      <c r="B10" s="4" t="s">
        <v>57</v>
      </c>
      <c r="C10" s="201">
        <v>500898</v>
      </c>
      <c r="D10" s="201">
        <v>477911</v>
      </c>
      <c r="E10" s="201">
        <v>-151531</v>
      </c>
      <c r="F10" s="201">
        <v>125529</v>
      </c>
      <c r="G10" s="201">
        <v>430759</v>
      </c>
      <c r="H10" s="201">
        <v>489762</v>
      </c>
      <c r="I10" s="201">
        <v>575355</v>
      </c>
      <c r="J10" s="144">
        <f ca="1">+SUM(J6:J9)</f>
        <v>558773.5918922195</v>
      </c>
      <c r="K10" s="144">
        <f ca="1">+SUM(K6:K9)</f>
        <v>577971.02128200489</v>
      </c>
      <c r="L10" s="144">
        <f ca="1">+SUM(L6:L9)</f>
        <v>599374.07284164382</v>
      </c>
      <c r="M10" s="144">
        <f ca="1">+SUM(M6:M9)</f>
        <v>622761.39630069665</v>
      </c>
    </row>
    <row r="11" spans="2:14" x14ac:dyDescent="0.35">
      <c r="B11" t="s">
        <v>81</v>
      </c>
      <c r="C11" s="200">
        <v>0</v>
      </c>
      <c r="D11" s="200">
        <v>0</v>
      </c>
      <c r="E11" s="200">
        <v>0</v>
      </c>
      <c r="F11" s="200">
        <v>-75226</v>
      </c>
      <c r="G11" s="200">
        <v>-12239</v>
      </c>
      <c r="H11" s="200">
        <v>-3395</v>
      </c>
      <c r="I11" s="200">
        <v>-41771</v>
      </c>
      <c r="J11" s="112">
        <f>-'Income Statement'!J7</f>
        <v>-43496</v>
      </c>
      <c r="K11" s="112">
        <f>-'Income Statement'!K7</f>
        <v>-43496</v>
      </c>
      <c r="L11" s="112">
        <f>-'Income Statement'!L7</f>
        <v>-43496</v>
      </c>
      <c r="M11" s="112">
        <f>-'Income Statement'!M7</f>
        <v>-43496</v>
      </c>
    </row>
    <row r="12" spans="2:14" x14ac:dyDescent="0.35">
      <c r="B12" t="s">
        <v>82</v>
      </c>
      <c r="C12" s="200">
        <v>24475</v>
      </c>
      <c r="D12" s="200">
        <v>-42600</v>
      </c>
      <c r="E12" s="200">
        <v>7686</v>
      </c>
      <c r="F12" s="200">
        <v>3785</v>
      </c>
      <c r="G12" s="200">
        <v>10235</v>
      </c>
      <c r="H12" s="200">
        <v>-27954</v>
      </c>
      <c r="I12" s="200">
        <v>300</v>
      </c>
      <c r="J12" s="112">
        <f ca="1">-'Income Statement'!J26</f>
        <v>-12223.070581338912</v>
      </c>
      <c r="K12" s="112">
        <f ca="1">-'Income Statement'!K26</f>
        <v>-12815.766353140509</v>
      </c>
      <c r="L12" s="112">
        <f ca="1">-'Income Statement'!L26</f>
        <v>-13445.021760649866</v>
      </c>
      <c r="M12" s="112">
        <f ca="1">-'Income Statement'!M26</f>
        <v>-14108.822607366996</v>
      </c>
    </row>
    <row r="13" spans="2:14" x14ac:dyDescent="0.35">
      <c r="B13" t="s">
        <v>16</v>
      </c>
      <c r="C13" s="200">
        <v>31429</v>
      </c>
      <c r="D13" s="200">
        <v>1248</v>
      </c>
      <c r="E13" s="200">
        <v>30676</v>
      </c>
      <c r="F13" s="200">
        <v>-13099</v>
      </c>
      <c r="G13" s="200">
        <v>-52388</v>
      </c>
      <c r="H13" s="200">
        <v>-39948</v>
      </c>
      <c r="I13" s="200">
        <v>-34614</v>
      </c>
      <c r="J13" s="112">
        <f ca="1">+Balance!I17-Balance!J17</f>
        <v>-4278.0721845243243</v>
      </c>
      <c r="K13" s="112">
        <f ca="1">+Balance!J17-Balance!K17</f>
        <v>-13358.734450855758</v>
      </c>
      <c r="L13" s="112">
        <f ca="1">+Balance!K17-Balance!L17</f>
        <v>-14182.749887232902</v>
      </c>
      <c r="M13" s="112">
        <f ca="1">+Balance!L17-Balance!M17</f>
        <v>-14961.367469507968</v>
      </c>
    </row>
    <row r="14" spans="2:14" x14ac:dyDescent="0.35">
      <c r="B14" t="s">
        <v>83</v>
      </c>
      <c r="C14" s="200">
        <v>-1222</v>
      </c>
      <c r="D14" s="200">
        <v>-2196</v>
      </c>
      <c r="E14" s="200">
        <v>4870</v>
      </c>
      <c r="F14" s="200">
        <v>-900</v>
      </c>
      <c r="G14" s="200">
        <v>-4896</v>
      </c>
      <c r="H14" s="200">
        <v>349</v>
      </c>
      <c r="I14" s="200">
        <v>-2151</v>
      </c>
      <c r="J14" s="112">
        <f ca="1">+Balance!I16-Balance!J16</f>
        <v>-515.46999035168119</v>
      </c>
      <c r="K14" s="112">
        <f ca="1">+Balance!J16-Balance!K16</f>
        <v>-1609.6097544597505</v>
      </c>
      <c r="L14" s="112">
        <f ca="1">+Balance!K16-Balance!L16</f>
        <v>-1708.8963514871357</v>
      </c>
      <c r="M14" s="112">
        <f ca="1">+Balance!L16-Balance!M16</f>
        <v>-1802.7129072420576</v>
      </c>
    </row>
    <row r="15" spans="2:14" x14ac:dyDescent="0.35">
      <c r="B15" t="s">
        <v>42</v>
      </c>
      <c r="C15" s="200">
        <v>12960</v>
      </c>
      <c r="D15" s="200">
        <v>-23136</v>
      </c>
      <c r="E15" s="200">
        <v>-131138</v>
      </c>
      <c r="F15" s="200">
        <v>73322</v>
      </c>
      <c r="G15" s="200">
        <v>134108</v>
      </c>
      <c r="H15" s="200">
        <v>7403</v>
      </c>
      <c r="I15" s="200">
        <v>-27421</v>
      </c>
      <c r="J15" s="112">
        <f ca="1">+Balance!J50-Balance!I50</f>
        <v>7628.3209466878325</v>
      </c>
      <c r="K15" s="112">
        <f ca="1">+Balance!K50-Balance!J50</f>
        <v>23820.241790528235</v>
      </c>
      <c r="L15" s="112">
        <f ca="1">+Balance!L50-Balance!K50</f>
        <v>25289.561134051473</v>
      </c>
      <c r="M15" s="112">
        <f ca="1">+Balance!M50-Balance!L50</f>
        <v>26677.93060425669</v>
      </c>
    </row>
    <row r="16" spans="2:14" x14ac:dyDescent="0.35">
      <c r="B16" t="s">
        <v>84</v>
      </c>
      <c r="C16" s="200">
        <v>18611</v>
      </c>
      <c r="D16" s="200">
        <v>0</v>
      </c>
      <c r="E16" s="200">
        <v>-9932</v>
      </c>
      <c r="F16" s="200">
        <v>-213</v>
      </c>
      <c r="G16" s="200">
        <v>0</v>
      </c>
      <c r="H16" s="200">
        <v>0</v>
      </c>
      <c r="I16" s="200">
        <v>-28085</v>
      </c>
      <c r="J16" s="200">
        <v>0</v>
      </c>
      <c r="K16" s="200">
        <v>0</v>
      </c>
      <c r="L16" s="200">
        <v>0</v>
      </c>
      <c r="M16" s="200">
        <v>0</v>
      </c>
    </row>
    <row r="17" spans="2:20" x14ac:dyDescent="0.35">
      <c r="B17" t="s">
        <v>85</v>
      </c>
      <c r="C17" s="200">
        <v>-15784</v>
      </c>
      <c r="D17" s="200">
        <v>-28257</v>
      </c>
      <c r="E17" s="200">
        <v>-1032</v>
      </c>
      <c r="F17" s="200">
        <v>13653</v>
      </c>
      <c r="G17" s="200">
        <v>-12584</v>
      </c>
      <c r="H17" s="200">
        <v>-28993</v>
      </c>
      <c r="I17" s="200">
        <v>-24186</v>
      </c>
      <c r="J17" s="112">
        <f ca="1">-'Income Statement'!J29*'Ratios &amp; KPI''s'!J30</f>
        <v>-21143.77871393508</v>
      </c>
      <c r="K17" s="112">
        <f ca="1">-'Income Statement'!K29*'Ratios &amp; KPI''s'!K30</f>
        <v>-22802.335183082661</v>
      </c>
      <c r="L17" s="112">
        <f ca="1">-'Income Statement'!L29*'Ratios &amp; KPI''s'!L30</f>
        <v>-24604.32261711044</v>
      </c>
      <c r="M17" s="112">
        <f ca="1">-'Income Statement'!M29*'Ratios &amp; KPI''s'!M30</f>
        <v>-26525.919492184075</v>
      </c>
    </row>
    <row r="18" spans="2:20" x14ac:dyDescent="0.35">
      <c r="B18" s="2" t="s">
        <v>86</v>
      </c>
      <c r="C18" s="127">
        <f t="shared" ref="C18:M18" si="0">+SUM(C10:C17)</f>
        <v>571367</v>
      </c>
      <c r="D18" s="127">
        <f t="shared" si="0"/>
        <v>382970</v>
      </c>
      <c r="E18" s="127">
        <f t="shared" si="0"/>
        <v>-250401</v>
      </c>
      <c r="F18" s="127">
        <f t="shared" si="0"/>
        <v>126851</v>
      </c>
      <c r="G18" s="127">
        <f t="shared" si="0"/>
        <v>492995</v>
      </c>
      <c r="H18" s="127">
        <f t="shared" si="0"/>
        <v>397224</v>
      </c>
      <c r="I18" s="127">
        <f t="shared" si="0"/>
        <v>417427</v>
      </c>
      <c r="J18" s="127">
        <f t="shared" ca="1" si="0"/>
        <v>484745.52136875736</v>
      </c>
      <c r="K18" s="127">
        <f t="shared" ca="1" si="0"/>
        <v>507708.81733099435</v>
      </c>
      <c r="L18" s="127">
        <f t="shared" ca="1" si="0"/>
        <v>527226.64335921488</v>
      </c>
      <c r="M18" s="127">
        <f t="shared" ca="1" si="0"/>
        <v>548544.50442865235</v>
      </c>
    </row>
    <row r="19" spans="2:20" x14ac:dyDescent="0.35">
      <c r="C19" s="112"/>
      <c r="D19" s="112"/>
      <c r="E19" s="112"/>
      <c r="F19" s="112"/>
      <c r="G19" s="112"/>
      <c r="H19" s="112"/>
      <c r="I19" s="112"/>
      <c r="J19" s="112"/>
      <c r="K19" s="112"/>
      <c r="L19" s="112"/>
      <c r="M19" s="112"/>
    </row>
    <row r="20" spans="2:20" x14ac:dyDescent="0.35">
      <c r="B20" t="s">
        <v>87</v>
      </c>
      <c r="C20" s="200">
        <v>9393</v>
      </c>
      <c r="D20" s="200">
        <v>2388</v>
      </c>
      <c r="E20" s="200">
        <v>3475</v>
      </c>
      <c r="F20" s="200">
        <v>328</v>
      </c>
      <c r="G20" s="112"/>
      <c r="H20" s="200">
        <v>10646</v>
      </c>
      <c r="I20" s="200">
        <v>11202</v>
      </c>
      <c r="J20" s="200">
        <v>11202</v>
      </c>
      <c r="K20" s="200">
        <v>11202</v>
      </c>
      <c r="L20" s="200">
        <v>11202</v>
      </c>
      <c r="M20" s="200">
        <v>11202</v>
      </c>
    </row>
    <row r="21" spans="2:20" x14ac:dyDescent="0.35">
      <c r="B21" s="18" t="s">
        <v>88</v>
      </c>
      <c r="C21" s="112"/>
      <c r="D21" s="112"/>
      <c r="E21" s="112"/>
      <c r="F21" s="112"/>
      <c r="G21" s="112"/>
      <c r="H21" s="112"/>
      <c r="I21" s="112"/>
      <c r="J21" s="112"/>
      <c r="K21" s="112"/>
      <c r="L21" s="112"/>
      <c r="M21" s="112"/>
    </row>
    <row r="22" spans="2:20" x14ac:dyDescent="0.35">
      <c r="B22" t="s">
        <v>89</v>
      </c>
      <c r="C22" s="200">
        <v>-67842</v>
      </c>
      <c r="D22" s="200">
        <v>0</v>
      </c>
      <c r="E22" s="200">
        <v>0</v>
      </c>
      <c r="F22" s="200">
        <v>0</v>
      </c>
      <c r="G22" s="200">
        <v>-6750</v>
      </c>
      <c r="H22" s="200">
        <v>-20687</v>
      </c>
      <c r="I22" s="200">
        <v>-2019</v>
      </c>
      <c r="J22" s="200">
        <v>-2019</v>
      </c>
      <c r="K22" s="200">
        <v>-2019</v>
      </c>
      <c r="L22" s="200">
        <v>-2019</v>
      </c>
      <c r="M22" s="200">
        <v>-2019</v>
      </c>
    </row>
    <row r="23" spans="2:20" x14ac:dyDescent="0.35">
      <c r="B23" t="s">
        <v>113</v>
      </c>
      <c r="C23" s="200">
        <v>-34160</v>
      </c>
      <c r="D23" s="200">
        <v>-28634</v>
      </c>
      <c r="E23" s="200">
        <v>0</v>
      </c>
      <c r="F23" s="200">
        <v>0</v>
      </c>
      <c r="G23" s="200">
        <v>0</v>
      </c>
      <c r="H23" s="200">
        <v>0</v>
      </c>
      <c r="I23" s="200">
        <v>0</v>
      </c>
      <c r="J23" s="200">
        <v>0</v>
      </c>
      <c r="K23" s="200">
        <v>0</v>
      </c>
      <c r="L23" s="200">
        <v>0</v>
      </c>
      <c r="M23" s="200">
        <v>0</v>
      </c>
      <c r="N23" s="112"/>
      <c r="O23" s="112"/>
      <c r="P23" s="112"/>
      <c r="Q23" s="112"/>
      <c r="R23" s="112"/>
      <c r="S23" s="112"/>
      <c r="T23" s="112"/>
    </row>
    <row r="24" spans="2:20" x14ac:dyDescent="0.35">
      <c r="B24" t="s">
        <v>90</v>
      </c>
      <c r="C24" s="200">
        <v>-1151</v>
      </c>
      <c r="D24" s="200">
        <v>-13838</v>
      </c>
      <c r="E24" s="200">
        <v>-21868</v>
      </c>
      <c r="F24" s="200">
        <v>-9791</v>
      </c>
      <c r="G24" s="200">
        <v>-4960</v>
      </c>
      <c r="H24" s="200">
        <v>17744</v>
      </c>
      <c r="I24" s="200">
        <v>-11315</v>
      </c>
      <c r="J24" s="112">
        <f>+I24</f>
        <v>-11315</v>
      </c>
      <c r="K24" s="112">
        <f t="shared" ref="K24:M24" si="1">+J24</f>
        <v>-11315</v>
      </c>
      <c r="L24" s="112">
        <f t="shared" si="1"/>
        <v>-11315</v>
      </c>
      <c r="M24" s="112">
        <f t="shared" si="1"/>
        <v>-11315</v>
      </c>
      <c r="N24" s="112"/>
      <c r="O24" s="112"/>
      <c r="P24" s="112"/>
      <c r="Q24" s="112"/>
      <c r="R24" s="112"/>
      <c r="S24" s="112"/>
      <c r="T24" s="112"/>
    </row>
    <row r="25" spans="2:20" x14ac:dyDescent="0.35">
      <c r="B25" t="s">
        <v>91</v>
      </c>
      <c r="C25" s="200">
        <v>-153962</v>
      </c>
      <c r="D25" s="200">
        <v>-82127</v>
      </c>
      <c r="E25" s="200">
        <v>-47562</v>
      </c>
      <c r="F25" s="200">
        <v>110083</v>
      </c>
      <c r="G25" s="200">
        <v>-109900</v>
      </c>
      <c r="H25" s="200">
        <v>-120629</v>
      </c>
      <c r="I25" s="200">
        <v>-77805</v>
      </c>
      <c r="J25" s="145">
        <f>+'Fixed Assets'!J10+'Fixed Assets'!J29</f>
        <v>-182288.74999999997</v>
      </c>
      <c r="K25" s="145">
        <f>+'Fixed Assets'!K10+'Fixed Assets'!K29</f>
        <v>-182288.74999999997</v>
      </c>
      <c r="L25" s="145">
        <f>+'Fixed Assets'!L10+'Fixed Assets'!L29</f>
        <v>-182288.74999999997</v>
      </c>
      <c r="M25" s="145">
        <f>+'Fixed Assets'!M10+'Fixed Assets'!M29</f>
        <v>-182288.74999999997</v>
      </c>
      <c r="N25" s="112"/>
      <c r="O25" s="112"/>
      <c r="P25" s="112"/>
      <c r="Q25" s="112"/>
      <c r="R25" s="112"/>
      <c r="S25" s="112"/>
      <c r="T25" s="112"/>
    </row>
    <row r="26" spans="2:20" x14ac:dyDescent="0.35">
      <c r="B26" t="s">
        <v>92</v>
      </c>
      <c r="C26" s="200">
        <v>-15710</v>
      </c>
      <c r="D26" s="200">
        <v>44809</v>
      </c>
      <c r="E26" s="200">
        <v>-7857</v>
      </c>
      <c r="F26" s="200">
        <v>-13096</v>
      </c>
      <c r="G26" s="200">
        <v>-11777</v>
      </c>
      <c r="H26" s="200">
        <v>-17261</v>
      </c>
      <c r="I26" s="200">
        <v>-1604</v>
      </c>
      <c r="J26" s="200">
        <v>-1604</v>
      </c>
      <c r="K26" s="200">
        <v>-1604</v>
      </c>
      <c r="L26" s="200">
        <v>-1604</v>
      </c>
      <c r="M26" s="200">
        <v>-1604</v>
      </c>
      <c r="N26" s="112"/>
      <c r="O26" s="112"/>
      <c r="P26" s="112"/>
      <c r="Q26" s="112"/>
      <c r="R26" s="112"/>
      <c r="S26" s="112"/>
      <c r="T26" s="112"/>
    </row>
    <row r="27" spans="2:20" x14ac:dyDescent="0.35">
      <c r="B27" t="s">
        <v>93</v>
      </c>
      <c r="C27" s="200">
        <v>0</v>
      </c>
      <c r="D27" s="200">
        <v>0</v>
      </c>
      <c r="E27" s="200">
        <v>0</v>
      </c>
      <c r="F27" s="200">
        <v>0</v>
      </c>
      <c r="G27" s="200">
        <v>0</v>
      </c>
      <c r="H27" s="200">
        <v>0</v>
      </c>
      <c r="I27" s="200">
        <v>-37937</v>
      </c>
      <c r="J27" s="200">
        <v>0</v>
      </c>
      <c r="K27" s="200">
        <v>0</v>
      </c>
      <c r="L27" s="200">
        <v>0</v>
      </c>
      <c r="M27" s="200">
        <v>0</v>
      </c>
    </row>
    <row r="28" spans="2:20" x14ac:dyDescent="0.35">
      <c r="B28" s="18" t="s">
        <v>94</v>
      </c>
      <c r="C28" s="112"/>
      <c r="D28" s="112"/>
      <c r="E28" s="112"/>
      <c r="F28" s="112"/>
      <c r="G28" s="112"/>
      <c r="H28" s="112"/>
      <c r="I28" s="112"/>
      <c r="J28" s="112"/>
      <c r="K28" s="112"/>
      <c r="L28" s="112"/>
      <c r="M28" s="112"/>
    </row>
    <row r="29" spans="2:20" x14ac:dyDescent="0.35">
      <c r="B29" t="s">
        <v>95</v>
      </c>
      <c r="C29" s="200">
        <v>12822</v>
      </c>
      <c r="D29" s="200">
        <v>18822</v>
      </c>
      <c r="E29" s="200">
        <v>5771</v>
      </c>
      <c r="F29" s="200">
        <v>0</v>
      </c>
      <c r="G29" s="200">
        <v>300</v>
      </c>
      <c r="H29" s="200">
        <v>11367</v>
      </c>
      <c r="I29" s="200">
        <v>52579</v>
      </c>
      <c r="J29" s="200">
        <v>52579</v>
      </c>
      <c r="K29" s="200">
        <v>52579</v>
      </c>
      <c r="L29" s="200">
        <v>52579</v>
      </c>
      <c r="M29" s="200">
        <v>52579</v>
      </c>
    </row>
    <row r="30" spans="2:20" x14ac:dyDescent="0.35">
      <c r="B30" s="2" t="s">
        <v>96</v>
      </c>
      <c r="C30" s="127">
        <f t="shared" ref="C30:M30" si="2">+SUM(C20:C29)</f>
        <v>-250610</v>
      </c>
      <c r="D30" s="127">
        <f t="shared" si="2"/>
        <v>-58580</v>
      </c>
      <c r="E30" s="127">
        <f t="shared" si="2"/>
        <v>-68041</v>
      </c>
      <c r="F30" s="127">
        <f t="shared" si="2"/>
        <v>87524</v>
      </c>
      <c r="G30" s="127">
        <f t="shared" si="2"/>
        <v>-133087</v>
      </c>
      <c r="H30" s="127">
        <f t="shared" si="2"/>
        <v>-118820</v>
      </c>
      <c r="I30" s="127">
        <f t="shared" si="2"/>
        <v>-66899</v>
      </c>
      <c r="J30" s="127">
        <f t="shared" si="2"/>
        <v>-133445.74999999997</v>
      </c>
      <c r="K30" s="127">
        <f t="shared" si="2"/>
        <v>-133445.74999999997</v>
      </c>
      <c r="L30" s="127">
        <f t="shared" si="2"/>
        <v>-133445.74999999997</v>
      </c>
      <c r="M30" s="127">
        <f t="shared" si="2"/>
        <v>-133445.74999999997</v>
      </c>
      <c r="N30" s="12"/>
    </row>
    <row r="31" spans="2:20" x14ac:dyDescent="0.35">
      <c r="C31" s="112"/>
      <c r="D31" s="112"/>
      <c r="E31" s="112"/>
      <c r="F31" s="112"/>
      <c r="G31" s="112"/>
      <c r="H31" s="112"/>
      <c r="I31" s="112"/>
      <c r="J31" s="112"/>
      <c r="K31" s="112"/>
      <c r="L31" s="112"/>
      <c r="M31" s="112"/>
    </row>
    <row r="32" spans="2:20" x14ac:dyDescent="0.35">
      <c r="B32" t="s">
        <v>97</v>
      </c>
      <c r="C32" s="200">
        <v>-38324</v>
      </c>
      <c r="D32" s="200">
        <v>-43040</v>
      </c>
      <c r="E32" s="200">
        <v>-64</v>
      </c>
      <c r="F32" s="112"/>
      <c r="G32" s="112"/>
      <c r="H32" s="112"/>
      <c r="I32" s="200">
        <v>-25608</v>
      </c>
      <c r="J32" s="112">
        <f ca="1">+('Income Statement'!J32*'Ratios &amp; KPI''s'!J26)*-1</f>
        <v>-42287.557427870161</v>
      </c>
      <c r="K32" s="112">
        <f ca="1">+('Income Statement'!K32*'Ratios &amp; KPI''s'!K26)*-1</f>
        <v>-45604.670366165323</v>
      </c>
      <c r="L32" s="112">
        <f ca="1">+('Income Statement'!L32*'Ratios &amp; KPI''s'!L26)*-1</f>
        <v>-49208.64523422088</v>
      </c>
      <c r="M32" s="112">
        <f ca="1">+('Income Statement'!M32*'Ratios &amp; KPI''s'!M26)*-1</f>
        <v>-53051.838984368151</v>
      </c>
    </row>
    <row r="33" spans="2:13" x14ac:dyDescent="0.35">
      <c r="B33" t="s">
        <v>109</v>
      </c>
      <c r="C33" s="200">
        <v>0</v>
      </c>
      <c r="D33" s="200">
        <v>0</v>
      </c>
      <c r="E33" s="200">
        <v>0</v>
      </c>
      <c r="F33" s="200">
        <v>0</v>
      </c>
      <c r="G33" s="200">
        <v>0</v>
      </c>
      <c r="H33" s="200">
        <v>0</v>
      </c>
      <c r="I33" s="200">
        <v>359982</v>
      </c>
      <c r="J33" s="200">
        <v>0</v>
      </c>
      <c r="K33" s="200">
        <v>0</v>
      </c>
      <c r="L33" s="200">
        <v>0</v>
      </c>
      <c r="M33" s="200">
        <v>0</v>
      </c>
    </row>
    <row r="34" spans="2:13" x14ac:dyDescent="0.35">
      <c r="B34" t="s">
        <v>110</v>
      </c>
      <c r="C34" s="200">
        <v>0</v>
      </c>
      <c r="D34" s="200">
        <v>0</v>
      </c>
      <c r="E34" s="200">
        <v>0</v>
      </c>
      <c r="F34" s="200">
        <v>0</v>
      </c>
      <c r="G34" s="200">
        <v>0</v>
      </c>
      <c r="H34" s="200">
        <v>0</v>
      </c>
      <c r="I34" s="200">
        <v>-27947</v>
      </c>
      <c r="J34" s="200">
        <v>0</v>
      </c>
      <c r="K34" s="200">
        <v>0</v>
      </c>
      <c r="L34" s="200">
        <v>0</v>
      </c>
      <c r="M34" s="200">
        <v>0</v>
      </c>
    </row>
    <row r="35" spans="2:13" x14ac:dyDescent="0.35">
      <c r="B35" t="s">
        <v>112</v>
      </c>
      <c r="C35" s="200">
        <v>0</v>
      </c>
      <c r="D35" s="200">
        <v>-1000</v>
      </c>
      <c r="E35" s="200">
        <v>0</v>
      </c>
      <c r="F35" s="200">
        <v>0</v>
      </c>
      <c r="G35" s="200">
        <v>0</v>
      </c>
      <c r="H35" s="200">
        <v>0</v>
      </c>
      <c r="I35" s="200">
        <v>0</v>
      </c>
      <c r="J35" s="200">
        <v>0</v>
      </c>
      <c r="K35" s="200">
        <v>0</v>
      </c>
      <c r="L35" s="200">
        <v>0</v>
      </c>
      <c r="M35" s="200">
        <v>0</v>
      </c>
    </row>
    <row r="36" spans="2:13" x14ac:dyDescent="0.35">
      <c r="B36" t="s">
        <v>98</v>
      </c>
      <c r="C36" s="200">
        <v>-1002</v>
      </c>
      <c r="D36" s="200">
        <v>-12166</v>
      </c>
      <c r="E36" s="200">
        <v>-33323</v>
      </c>
      <c r="F36" s="200">
        <v>-217</v>
      </c>
      <c r="G36" s="200">
        <v>-337</v>
      </c>
      <c r="H36" s="200">
        <v>438</v>
      </c>
      <c r="I36" s="200">
        <v>74</v>
      </c>
      <c r="J36" s="112">
        <f>+Balance!I29-Balance!J29</f>
        <v>0</v>
      </c>
      <c r="K36" s="112">
        <f>+Balance!J29-Balance!K29</f>
        <v>0</v>
      </c>
      <c r="L36" s="112">
        <f>+Balance!K29-Balance!L29</f>
        <v>0</v>
      </c>
      <c r="M36" s="112">
        <f>+Balance!L29-Balance!M29</f>
        <v>0</v>
      </c>
    </row>
    <row r="37" spans="2:13" x14ac:dyDescent="0.35">
      <c r="B37" t="s">
        <v>99</v>
      </c>
      <c r="C37" s="200">
        <v>-28805</v>
      </c>
      <c r="D37" s="200">
        <v>-30824</v>
      </c>
      <c r="E37" s="200">
        <v>-32204</v>
      </c>
      <c r="F37" s="200">
        <v>-39904</v>
      </c>
      <c r="G37" s="200">
        <v>-40985</v>
      </c>
      <c r="H37" s="200">
        <v>-67152</v>
      </c>
      <c r="I37" s="200">
        <v>-61010</v>
      </c>
      <c r="J37" s="145">
        <f ca="1">+-'Ratios &amp; KPI''s'!J15*(((Balance!J47+Balance!J48+Balance!J38+Balance!J39)+(Balance!I38+Balance!I39+Balance!I47+Balance!I48))/2)</f>
        <v>-41706.873388462438</v>
      </c>
      <c r="K37" s="145">
        <f ca="1">+-'Ratios &amp; KPI''s'!K15*(((Balance!K47+Balance!K48+Balance!K38+Balance!K39)+(Balance!J38+Balance!J39+Balance!J47+Balance!J48))/2)</f>
        <v>-39074.806056213536</v>
      </c>
      <c r="L37" s="145">
        <f ca="1">+-'Ratios &amp; KPI''s'!L15*(((Balance!L47+Balance!L48+Balance!L38+Balance!L39)+(Balance!K38+Balance!K39+Balance!K47+Balance!K48))/2)</f>
        <v>-36608.845120312442</v>
      </c>
      <c r="M37" s="145">
        <f ca="1">+-'Ratios &amp; KPI''s'!M15*(((Balance!M47+Balance!M48+Balance!M38+Balance!M39)+(Balance!L38+Balance!L39+Balance!L47+Balance!L48))/2)</f>
        <v>-34298.507818950762</v>
      </c>
    </row>
    <row r="38" spans="2:13" x14ac:dyDescent="0.35">
      <c r="B38" t="s">
        <v>100</v>
      </c>
      <c r="C38" s="200">
        <v>204804</v>
      </c>
      <c r="D38" s="200">
        <v>235155</v>
      </c>
      <c r="E38" s="200">
        <v>670120</v>
      </c>
      <c r="F38" s="200">
        <v>419966</v>
      </c>
      <c r="G38" s="200">
        <v>303712</v>
      </c>
      <c r="H38" s="200">
        <v>79146</v>
      </c>
      <c r="I38" s="200">
        <v>515010</v>
      </c>
      <c r="J38" s="145">
        <f ca="1">-J39*'Ratios &amp; KPI''s'!J20</f>
        <v>241863.70083900719</v>
      </c>
      <c r="K38" s="145">
        <f ca="1">-K39*'Ratios &amp; KPI''s'!K20</f>
        <v>227395.89459153489</v>
      </c>
      <c r="L38" s="145">
        <f ca="1">-L39*'Ratios &amp; KPI''s'!L20</f>
        <v>214357.89939926128</v>
      </c>
      <c r="M38" s="145">
        <f ca="1">-M39*'Ratios &amp; KPI''s'!M20</f>
        <v>198419.03632926798</v>
      </c>
    </row>
    <row r="39" spans="2:13" x14ac:dyDescent="0.35">
      <c r="B39" t="s">
        <v>101</v>
      </c>
      <c r="C39" s="200">
        <v>-287292</v>
      </c>
      <c r="D39" s="200">
        <v>-253796</v>
      </c>
      <c r="E39" s="200">
        <v>-200620</v>
      </c>
      <c r="F39" s="200">
        <v>-422764</v>
      </c>
      <c r="G39" s="200">
        <v>-346064</v>
      </c>
      <c r="H39" s="200">
        <v>-110969</v>
      </c>
      <c r="I39" s="200">
        <v>-908403</v>
      </c>
      <c r="J39" s="145">
        <f ca="1">+(('Ratios &amp; KPI''s'!I13+'Ratios &amp; KPI''s'!J13)/2)*-'Ratios &amp; KPI''s'!J18</f>
        <v>-345519.57262716355</v>
      </c>
      <c r="K39" s="145">
        <f ca="1">+(('Ratios &amp; KPI''s'!J13+'Ratios &amp; KPI''s'!K13)/2)*-'Ratios &amp; KPI''s'!K18</f>
        <v>-324851.27798817784</v>
      </c>
      <c r="L39" s="145">
        <f ca="1">+(('Ratios &amp; KPI''s'!K13+'Ratios &amp; KPI''s'!L13)/2)*-'Ratios &amp; KPI''s'!L18</f>
        <v>-306225.57057392644</v>
      </c>
      <c r="M39" s="145">
        <f ca="1">+(('Ratios &amp; KPI''s'!L13+'Ratios &amp; KPI''s'!M13)/2)*-'Ratios &amp; KPI''s'!M18</f>
        <v>-283455.7662159577</v>
      </c>
    </row>
    <row r="40" spans="2:13" x14ac:dyDescent="0.35">
      <c r="B40" t="s">
        <v>56</v>
      </c>
      <c r="C40" s="200">
        <v>-174372</v>
      </c>
      <c r="D40" s="200">
        <v>-190475</v>
      </c>
      <c r="E40" s="200">
        <v>-274206</v>
      </c>
      <c r="F40" s="200">
        <v>-187575</v>
      </c>
      <c r="G40" s="200">
        <v>-221240</v>
      </c>
      <c r="H40" s="200">
        <v>-184658</v>
      </c>
      <c r="I40" s="200">
        <v>-187850</v>
      </c>
      <c r="J40" s="145">
        <f ca="1">+(((Balance!J40+Balance!I40+Balance!J49+Balance!I49)/2)*-'Ratios &amp; KPI''s'!J21)+'Income Statement'!J25</f>
        <v>-186900.18398058251</v>
      </c>
      <c r="K40" s="145">
        <f ca="1">+(((Balance!K40+Balance!J40+Balance!K49+Balance!J49)/2)*-'Ratios &amp; KPI''s'!K21)+'Income Statement'!K25</f>
        <v>-181456.48930153641</v>
      </c>
      <c r="L40" s="145">
        <f ca="1">+(((Balance!L40+Balance!K40+Balance!L49+Balance!K49)/2)*-'Ratios &amp; KPI''s'!L21)+'Income Statement'!L25</f>
        <v>-176171.34883644315</v>
      </c>
      <c r="M40" s="145">
        <f ca="1">+(((Balance!M40+Balance!L40+Balance!M49+Balance!L49)/2)*-'Ratios &amp; KPI''s'!M21)+'Income Statement'!M25</f>
        <v>-171040.14450140111</v>
      </c>
    </row>
    <row r="41" spans="2:13" x14ac:dyDescent="0.35">
      <c r="B41" t="s">
        <v>102</v>
      </c>
      <c r="C41" s="200">
        <v>0</v>
      </c>
      <c r="D41" s="200">
        <v>-1317</v>
      </c>
      <c r="E41" s="200">
        <v>-31281</v>
      </c>
      <c r="F41" s="200">
        <v>-2480</v>
      </c>
      <c r="G41" s="200">
        <v>7521</v>
      </c>
      <c r="H41" s="200">
        <v>23033</v>
      </c>
      <c r="I41" s="200">
        <v>-7596</v>
      </c>
      <c r="J41" s="200">
        <v>-7596</v>
      </c>
      <c r="K41" s="200">
        <v>-7596</v>
      </c>
      <c r="L41" s="200">
        <v>-7596</v>
      </c>
      <c r="M41" s="200">
        <v>-7596</v>
      </c>
    </row>
    <row r="42" spans="2:13" x14ac:dyDescent="0.35">
      <c r="B42" s="2" t="s">
        <v>103</v>
      </c>
      <c r="C42" s="127">
        <f t="shared" ref="C42:M42" si="3">SUM(C32:C41)</f>
        <v>-324991</v>
      </c>
      <c r="D42" s="127">
        <f t="shared" si="3"/>
        <v>-297463</v>
      </c>
      <c r="E42" s="127">
        <f t="shared" si="3"/>
        <v>98422</v>
      </c>
      <c r="F42" s="127">
        <f t="shared" si="3"/>
        <v>-232974</v>
      </c>
      <c r="G42" s="127">
        <f t="shared" si="3"/>
        <v>-297393</v>
      </c>
      <c r="H42" s="127">
        <f t="shared" si="3"/>
        <v>-260162</v>
      </c>
      <c r="I42" s="127">
        <f t="shared" si="3"/>
        <v>-343348</v>
      </c>
      <c r="J42" s="127">
        <f t="shared" ca="1" si="3"/>
        <v>-382146.48658507149</v>
      </c>
      <c r="K42" s="127">
        <f t="shared" ca="1" si="3"/>
        <v>-371187.34912055824</v>
      </c>
      <c r="L42" s="127">
        <f t="shared" ca="1" si="3"/>
        <v>-361452.51036564162</v>
      </c>
      <c r="M42" s="127">
        <f t="shared" ca="1" si="3"/>
        <v>-351023.22119140974</v>
      </c>
    </row>
    <row r="43" spans="2:13" ht="8.5" customHeight="1" x14ac:dyDescent="0.35">
      <c r="B43" s="181"/>
      <c r="C43" s="206"/>
      <c r="D43" s="206"/>
      <c r="E43" s="206"/>
      <c r="F43" s="206"/>
      <c r="G43" s="206"/>
      <c r="H43" s="206"/>
      <c r="I43" s="206"/>
      <c r="J43" s="206"/>
      <c r="K43" s="206"/>
      <c r="L43" s="206"/>
      <c r="M43" s="206"/>
    </row>
    <row r="44" spans="2:13" x14ac:dyDescent="0.35">
      <c r="B44" s="21" t="s">
        <v>104</v>
      </c>
      <c r="C44" s="146">
        <f t="shared" ref="C44:M44" si="4">+C18+C30+C42</f>
        <v>-4234</v>
      </c>
      <c r="D44" s="146">
        <f t="shared" si="4"/>
        <v>26927</v>
      </c>
      <c r="E44" s="146">
        <f t="shared" si="4"/>
        <v>-220020</v>
      </c>
      <c r="F44" s="146">
        <f t="shared" si="4"/>
        <v>-18599</v>
      </c>
      <c r="G44" s="146">
        <f t="shared" si="4"/>
        <v>62515</v>
      </c>
      <c r="H44" s="146">
        <f t="shared" si="4"/>
        <v>18242</v>
      </c>
      <c r="I44" s="146">
        <f t="shared" si="4"/>
        <v>7180</v>
      </c>
      <c r="J44" s="146">
        <f t="shared" ca="1" si="4"/>
        <v>-30846.715216314129</v>
      </c>
      <c r="K44" s="146">
        <f t="shared" ca="1" si="4"/>
        <v>3075.7182104361709</v>
      </c>
      <c r="L44" s="146">
        <f t="shared" ca="1" si="4"/>
        <v>32328.382993573265</v>
      </c>
      <c r="M44" s="146">
        <f t="shared" ca="1" si="4"/>
        <v>64075.533237242606</v>
      </c>
    </row>
    <row r="45" spans="2:13" x14ac:dyDescent="0.35">
      <c r="B45" s="21" t="s">
        <v>105</v>
      </c>
      <c r="C45" s="202">
        <v>-14751</v>
      </c>
      <c r="D45" s="202">
        <v>-10679</v>
      </c>
      <c r="E45" s="202">
        <v>-4274</v>
      </c>
      <c r="F45" s="202">
        <v>11807</v>
      </c>
      <c r="G45" s="202">
        <v>-11693</v>
      </c>
      <c r="H45" s="202">
        <v>-6859</v>
      </c>
      <c r="I45" s="202">
        <v>3777</v>
      </c>
      <c r="J45" s="202">
        <v>3777</v>
      </c>
      <c r="K45" s="202">
        <v>3777</v>
      </c>
      <c r="L45" s="202">
        <v>3777</v>
      </c>
      <c r="M45" s="202">
        <v>3777</v>
      </c>
    </row>
    <row r="46" spans="2:13" x14ac:dyDescent="0.35">
      <c r="B46" s="21" t="s">
        <v>111</v>
      </c>
      <c r="C46" s="202">
        <v>0</v>
      </c>
      <c r="D46" s="202">
        <v>-206</v>
      </c>
      <c r="E46" s="202">
        <v>0</v>
      </c>
      <c r="F46" s="202">
        <v>0</v>
      </c>
      <c r="G46" s="202">
        <v>0</v>
      </c>
      <c r="H46" s="202">
        <v>166</v>
      </c>
      <c r="I46" s="202">
        <v>86</v>
      </c>
      <c r="J46" s="202">
        <v>86</v>
      </c>
      <c r="K46" s="202">
        <v>86</v>
      </c>
      <c r="L46" s="202">
        <v>86</v>
      </c>
      <c r="M46" s="202">
        <v>86</v>
      </c>
    </row>
    <row r="47" spans="2:13" x14ac:dyDescent="0.35">
      <c r="B47" s="22" t="s">
        <v>106</v>
      </c>
      <c r="C47" s="147">
        <f t="shared" ref="C47:M47" si="5">+C44+C45+C46</f>
        <v>-18985</v>
      </c>
      <c r="D47" s="147">
        <f t="shared" si="5"/>
        <v>16042</v>
      </c>
      <c r="E47" s="147">
        <f t="shared" si="5"/>
        <v>-224294</v>
      </c>
      <c r="F47" s="147">
        <f t="shared" si="5"/>
        <v>-6792</v>
      </c>
      <c r="G47" s="147">
        <f t="shared" si="5"/>
        <v>50822</v>
      </c>
      <c r="H47" s="147">
        <f t="shared" si="5"/>
        <v>11549</v>
      </c>
      <c r="I47" s="147">
        <f t="shared" si="5"/>
        <v>11043</v>
      </c>
      <c r="J47" s="147">
        <f t="shared" ca="1" si="5"/>
        <v>-26983.715216314129</v>
      </c>
      <c r="K47" s="147">
        <f t="shared" ca="1" si="5"/>
        <v>6938.7182104361709</v>
      </c>
      <c r="L47" s="147">
        <f t="shared" ca="1" si="5"/>
        <v>36191.382993573265</v>
      </c>
      <c r="M47" s="147">
        <f t="shared" ca="1" si="5"/>
        <v>67938.533237242606</v>
      </c>
    </row>
    <row r="48" spans="2:13" x14ac:dyDescent="0.35">
      <c r="B48" s="21" t="s">
        <v>107</v>
      </c>
      <c r="C48" s="202">
        <v>331887</v>
      </c>
      <c r="D48" s="202">
        <v>312902</v>
      </c>
      <c r="E48" s="202">
        <v>328944</v>
      </c>
      <c r="F48" s="202">
        <v>104650</v>
      </c>
      <c r="G48" s="202">
        <v>97858</v>
      </c>
      <c r="H48" s="202">
        <v>148680</v>
      </c>
      <c r="I48" s="202">
        <v>160229</v>
      </c>
      <c r="J48" s="202">
        <v>171272</v>
      </c>
      <c r="K48" s="146">
        <f ca="1">+Balance!J20</f>
        <v>144288.28478371236</v>
      </c>
      <c r="L48" s="146">
        <f ca="1">+Balance!K20</f>
        <v>151227.00299482618</v>
      </c>
      <c r="M48" s="146">
        <f ca="1">+Balance!L20</f>
        <v>187418.38599713525</v>
      </c>
    </row>
    <row r="49" spans="2:13" x14ac:dyDescent="0.35">
      <c r="B49" s="21" t="s">
        <v>108</v>
      </c>
      <c r="C49" s="146">
        <f t="shared" ref="C49:M49" si="6">+C47+C48</f>
        <v>312902</v>
      </c>
      <c r="D49" s="146">
        <f t="shared" si="6"/>
        <v>328944</v>
      </c>
      <c r="E49" s="146">
        <f t="shared" si="6"/>
        <v>104650</v>
      </c>
      <c r="F49" s="146">
        <f t="shared" si="6"/>
        <v>97858</v>
      </c>
      <c r="G49" s="146">
        <f t="shared" si="6"/>
        <v>148680</v>
      </c>
      <c r="H49" s="146">
        <f t="shared" si="6"/>
        <v>160229</v>
      </c>
      <c r="I49" s="146">
        <f t="shared" si="6"/>
        <v>171272</v>
      </c>
      <c r="J49" s="146">
        <f t="shared" ca="1" si="6"/>
        <v>144288.28478368587</v>
      </c>
      <c r="K49" s="146">
        <f t="shared" ca="1" si="6"/>
        <v>151227.00299414853</v>
      </c>
      <c r="L49" s="146">
        <f t="shared" ca="1" si="6"/>
        <v>187418.38598839944</v>
      </c>
      <c r="M49" s="146">
        <f t="shared" ca="1" si="6"/>
        <v>255356.91923437786</v>
      </c>
    </row>
    <row r="50" spans="2:13" x14ac:dyDescent="0.35">
      <c r="C50" s="12">
        <f>+C49-Balance!C20</f>
        <v>0</v>
      </c>
      <c r="D50" s="12">
        <f>+D49-Balance!D20</f>
        <v>0</v>
      </c>
      <c r="E50" s="12">
        <f>+E49-Balance!E20</f>
        <v>0</v>
      </c>
      <c r="F50" s="12">
        <f>+F49-Balance!F20</f>
        <v>0</v>
      </c>
      <c r="G50" s="12">
        <f>+G49-Balance!G20</f>
        <v>0</v>
      </c>
      <c r="H50" s="12">
        <f>+H49-Balance!H20</f>
        <v>0</v>
      </c>
      <c r="I50" s="12">
        <f>+I49-Balance!I20</f>
        <v>0</v>
      </c>
      <c r="J50" s="12">
        <f ca="1">+J49-Balance!J20</f>
        <v>-2.648448571562767E-8</v>
      </c>
      <c r="K50" s="12">
        <f ca="1">+K49-Balance!K20</f>
        <v>-6.7765358835458755E-7</v>
      </c>
      <c r="L50" s="12">
        <f ca="1">+L49-Balance!L20</f>
        <v>-8.7358057498931885E-6</v>
      </c>
      <c r="M50" s="12">
        <f ca="1">+M49-Balance!M20</f>
        <v>-7.5619085691869259E-5</v>
      </c>
    </row>
    <row r="54" spans="2:13" x14ac:dyDescent="0.35">
      <c r="B54" t="s">
        <v>176</v>
      </c>
      <c r="C54" s="17">
        <f>+C18/'Income Statement'!C15</f>
        <v>1.1406853291488486</v>
      </c>
      <c r="D54" s="17">
        <f>+D18/'Income Statement'!D15</f>
        <v>0.80134167240343912</v>
      </c>
      <c r="E54" s="17">
        <f>+E18/'Income Statement'!E15</f>
        <v>1.6524737512456198</v>
      </c>
      <c r="F54" s="17">
        <f>+F18/'Income Statement'!F15</f>
        <v>1.0105314309840754</v>
      </c>
      <c r="G54" s="17">
        <f>+G18/'Income Statement'!G15</f>
        <v>1.1444798599681028</v>
      </c>
      <c r="H54" s="17">
        <f>+H18/'Income Statement'!H15</f>
        <v>0.81105516557021573</v>
      </c>
      <c r="I54" s="17">
        <f>+I18/'Income Statement'!I15</f>
        <v>0.72551207515360083</v>
      </c>
      <c r="J54" s="17">
        <f ca="1">+J18/'Income Statement'!J15</f>
        <v>0.86751687696482771</v>
      </c>
      <c r="K54" s="17">
        <f ca="1">+K18/'Income Statement'!K15</f>
        <v>0.87843299860404589</v>
      </c>
      <c r="L54" s="17">
        <f ca="1">+L18/'Income Statement'!L15</f>
        <v>0.87962871143161625</v>
      </c>
      <c r="M54" s="17">
        <f ca="1">+M18/'Income Statement'!M15</f>
        <v>0.88082612006314975</v>
      </c>
    </row>
  </sheetData>
  <pageMargins left="0.7" right="0.7" top="0.75" bottom="0.75" header="0.3" footer="0.3"/>
  <pageSetup paperSize="9" orientation="portrait" r:id="rId1"/>
  <ignoredErrors>
    <ignoredError sqref="C18:I18"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18BBB-2093-43E0-9DF8-F85E0B3C2615}">
  <sheetPr>
    <tabColor theme="8" tint="0.59999389629810485"/>
  </sheetPr>
  <dimension ref="B1:O53"/>
  <sheetViews>
    <sheetView showGridLines="0" zoomScale="110" zoomScaleNormal="110" workbookViewId="0">
      <selection activeCell="B14" sqref="B14"/>
    </sheetView>
  </sheetViews>
  <sheetFormatPr defaultColWidth="5.6328125" defaultRowHeight="14.5" x14ac:dyDescent="0.35"/>
  <cols>
    <col min="1" max="1" width="3.36328125" customWidth="1"/>
    <col min="2" max="2" width="33.81640625" customWidth="1"/>
    <col min="3" max="3" width="11.81640625" bestFit="1" customWidth="1"/>
    <col min="4" max="4" width="12.7265625" bestFit="1" customWidth="1"/>
    <col min="5" max="6" width="11.81640625" bestFit="1" customWidth="1"/>
    <col min="7" max="7" width="13.36328125" bestFit="1" customWidth="1"/>
    <col min="8" max="8" width="2.7265625" customWidth="1"/>
    <col min="9" max="9" width="6.6328125" customWidth="1"/>
    <col min="10" max="10" width="2.7265625" customWidth="1"/>
    <col min="11" max="11" width="31" bestFit="1" customWidth="1"/>
    <col min="12" max="12" width="13.81640625" bestFit="1" customWidth="1"/>
  </cols>
  <sheetData>
    <row r="1" spans="2:15" s="90" customFormat="1" x14ac:dyDescent="0.35"/>
    <row r="2" spans="2:15" s="90" customFormat="1" ht="28.5" x14ac:dyDescent="0.65">
      <c r="B2" s="170" t="s">
        <v>236</v>
      </c>
    </row>
    <row r="3" spans="2:15" s="90" customFormat="1" x14ac:dyDescent="0.35"/>
    <row r="5" spans="2:15" x14ac:dyDescent="0.35">
      <c r="B5" s="175" t="s">
        <v>233</v>
      </c>
      <c r="C5" s="185" t="s">
        <v>114</v>
      </c>
      <c r="D5" s="185" t="s">
        <v>115</v>
      </c>
      <c r="E5" s="185" t="s">
        <v>116</v>
      </c>
      <c r="F5" s="185" t="s">
        <v>117</v>
      </c>
      <c r="G5" s="186" t="s">
        <v>169</v>
      </c>
      <c r="K5" s="225" t="s">
        <v>248</v>
      </c>
      <c r="L5" s="225"/>
    </row>
    <row r="6" spans="2:15" x14ac:dyDescent="0.35">
      <c r="B6" s="164" t="s">
        <v>228</v>
      </c>
      <c r="C6" s="162">
        <f ca="1">+'Income Statement'!J21</f>
        <v>301425.77393481438</v>
      </c>
      <c r="D6" s="162">
        <f ca="1">+'Income Statement'!K21</f>
        <v>312417.2080948932</v>
      </c>
      <c r="E6" s="162">
        <f ca="1">+'Income Statement'!L21</f>
        <v>325079.82327763236</v>
      </c>
      <c r="F6" s="162">
        <f ca="1">+'Income Statement'!M21</f>
        <v>339161.39177791931</v>
      </c>
    </row>
    <row r="7" spans="2:15" x14ac:dyDescent="0.35">
      <c r="B7" s="191" t="s">
        <v>229</v>
      </c>
      <c r="C7" s="192">
        <f ca="1">+-C6*Projections!$C$94</f>
        <v>-63299.412526311018</v>
      </c>
      <c r="D7" s="192">
        <f ca="1">+-D6*Projections!$C$94</f>
        <v>-65607.613699927562</v>
      </c>
      <c r="E7" s="192">
        <f ca="1">+-E6*Projections!$C$94</f>
        <v>-68266.762888302794</v>
      </c>
      <c r="F7" s="192">
        <f ca="1">+-F6*Projections!$C$94</f>
        <v>-71223.892273363046</v>
      </c>
      <c r="G7" s="193"/>
      <c r="K7" t="s">
        <v>237</v>
      </c>
      <c r="L7" s="12">
        <f ca="1">+SUM(C17:G17)</f>
        <v>5973094.9781999663</v>
      </c>
    </row>
    <row r="8" spans="2:15" x14ac:dyDescent="0.35">
      <c r="B8" s="43" t="s">
        <v>230</v>
      </c>
      <c r="C8" s="112">
        <f ca="1">+C6+C7</f>
        <v>238126.36140850338</v>
      </c>
      <c r="D8" s="112">
        <f t="shared" ref="D8:F8" ca="1" si="0">+D6+D7</f>
        <v>246809.59439496562</v>
      </c>
      <c r="E8" s="112">
        <f t="shared" ca="1" si="0"/>
        <v>256813.06038932956</v>
      </c>
      <c r="F8" s="112">
        <f t="shared" ca="1" si="0"/>
        <v>267937.4995045563</v>
      </c>
      <c r="K8" s="172" t="s">
        <v>238</v>
      </c>
      <c r="L8" s="180">
        <f>+Balance!I47+Balance!I48+Balance!I49+Balance!I38+Balance!I39+Balance!I40-Balance!I20</f>
        <v>2236623</v>
      </c>
    </row>
    <row r="9" spans="2:15" x14ac:dyDescent="0.35">
      <c r="B9" s="165" t="s">
        <v>231</v>
      </c>
      <c r="C9" s="187">
        <f>+'Cash Flow Statement'!J7</f>
        <v>257347.81795740506</v>
      </c>
      <c r="D9" s="187">
        <f>+'Cash Flow Statement'!K7</f>
        <v>265553.81318711169</v>
      </c>
      <c r="E9" s="187">
        <f>+'Cash Flow Statement'!L7</f>
        <v>274294.24956401146</v>
      </c>
      <c r="F9" s="187">
        <f>+'Cash Flow Statement'!M7</f>
        <v>283600.0045227774</v>
      </c>
      <c r="G9" s="26"/>
      <c r="K9" s="164"/>
      <c r="L9" s="12"/>
    </row>
    <row r="10" spans="2:15" ht="15" thickBot="1" x14ac:dyDescent="0.4">
      <c r="B10" s="188" t="s">
        <v>227</v>
      </c>
      <c r="C10" s="189">
        <f ca="1">+C8+C9</f>
        <v>495474.17936590844</v>
      </c>
      <c r="D10" s="189">
        <f t="shared" ref="D10:F10" ca="1" si="1">+D8+D9</f>
        <v>512363.40758207731</v>
      </c>
      <c r="E10" s="189">
        <f t="shared" ca="1" si="1"/>
        <v>531107.30995334103</v>
      </c>
      <c r="F10" s="189">
        <f t="shared" ca="1" si="1"/>
        <v>551537.50402733369</v>
      </c>
      <c r="G10" s="190"/>
      <c r="K10" s="154" t="s">
        <v>239</v>
      </c>
      <c r="L10" s="203">
        <f ca="1">+L7-L8</f>
        <v>3736471.9781999663</v>
      </c>
    </row>
    <row r="11" spans="2:15" ht="15" thickTop="1" x14ac:dyDescent="0.35">
      <c r="B11" s="164" t="s">
        <v>294</v>
      </c>
      <c r="C11" s="112">
        <f>+'Cash Flow Statement'!J30</f>
        <v>-133445.74999999997</v>
      </c>
      <c r="D11" s="112">
        <f>+'Cash Flow Statement'!K30</f>
        <v>-133445.74999999997</v>
      </c>
      <c r="E11" s="112">
        <f>+'Cash Flow Statement'!L30</f>
        <v>-133445.74999999997</v>
      </c>
      <c r="F11" s="112">
        <f>+'Cash Flow Statement'!M30</f>
        <v>-133445.74999999997</v>
      </c>
      <c r="L11" s="12"/>
    </row>
    <row r="12" spans="2:15" x14ac:dyDescent="0.35">
      <c r="B12" s="165" t="s">
        <v>232</v>
      </c>
      <c r="C12" s="187">
        <f ca="1">+SUM('Cash Flow Statement'!J13:J15)</f>
        <v>2834.778771811827</v>
      </c>
      <c r="D12" s="187">
        <f ca="1">+SUM('Cash Flow Statement'!K13:K15)</f>
        <v>8851.897585212726</v>
      </c>
      <c r="E12" s="187">
        <f ca="1">+SUM('Cash Flow Statement'!L13:L15)</f>
        <v>9397.9148953314361</v>
      </c>
      <c r="F12" s="187">
        <f ca="1">+SUM('Cash Flow Statement'!M13:M15)</f>
        <v>9913.8502275066639</v>
      </c>
      <c r="G12" s="26"/>
      <c r="K12" t="s">
        <v>171</v>
      </c>
      <c r="L12" s="213">
        <f ca="1">L10/Info!C12</f>
        <v>16.95313964700529</v>
      </c>
    </row>
    <row r="13" spans="2:15" x14ac:dyDescent="0.35">
      <c r="B13" s="2" t="s">
        <v>295</v>
      </c>
      <c r="C13" s="69">
        <f ca="1">+C10+C11+C12</f>
        <v>364863.2081377203</v>
      </c>
      <c r="D13" s="69">
        <f t="shared" ref="D13:F13" ca="1" si="2">+D10+D11+D12</f>
        <v>387769.55516729003</v>
      </c>
      <c r="E13" s="69">
        <f t="shared" ca="1" si="2"/>
        <v>407059.47484867246</v>
      </c>
      <c r="F13" s="69">
        <f t="shared" ca="1" si="2"/>
        <v>428005.60425484035</v>
      </c>
      <c r="G13" s="69">
        <f ca="1">+(F13*(1+growth_rate))/(WACC-growth_rate)</f>
        <v>6955113.8215043871</v>
      </c>
      <c r="K13" t="s">
        <v>287</v>
      </c>
      <c r="L13" s="213">
        <f ca="1">+'Income Statement'!M32/Info!C12</f>
        <v>1.203535367158987</v>
      </c>
    </row>
    <row r="14" spans="2:15" x14ac:dyDescent="0.35">
      <c r="B14" s="181"/>
      <c r="C14" s="69"/>
      <c r="D14" s="69"/>
      <c r="E14" s="69"/>
      <c r="F14" s="69"/>
      <c r="G14" s="69"/>
      <c r="K14" t="s">
        <v>288</v>
      </c>
      <c r="L14" s="221">
        <f ca="1">+L12/L13</f>
        <v>14.086116710491135</v>
      </c>
      <c r="M14" s="112"/>
      <c r="N14" s="112"/>
      <c r="O14" s="112"/>
    </row>
    <row r="15" spans="2:15" x14ac:dyDescent="0.35">
      <c r="B15" s="182" t="s">
        <v>235</v>
      </c>
      <c r="C15" s="69">
        <v>1</v>
      </c>
      <c r="D15" s="69">
        <v>2</v>
      </c>
      <c r="E15" s="69">
        <v>3</v>
      </c>
      <c r="F15" s="69">
        <v>4</v>
      </c>
      <c r="G15" s="69">
        <v>5</v>
      </c>
      <c r="K15" s="164"/>
      <c r="L15" s="112"/>
      <c r="M15" s="112"/>
      <c r="N15" s="112"/>
      <c r="O15" s="112"/>
    </row>
    <row r="16" spans="2:15" x14ac:dyDescent="0.35">
      <c r="B16" s="182" t="s">
        <v>234</v>
      </c>
      <c r="C16" s="167">
        <f ca="1">+(1/(1+WACC)^C15)</f>
        <v>0.92355800407351329</v>
      </c>
      <c r="D16" s="167">
        <f ca="1">+(1/(1+WACC)^D15)</f>
        <v>0.85295938688825168</v>
      </c>
      <c r="E16" s="167">
        <f ca="1">+(1/(1+WACC)^E15)</f>
        <v>0.78775746891028131</v>
      </c>
      <c r="F16" s="167">
        <f ca="1">+(1/(1+WACC)^F15)</f>
        <v>0.72753971568078213</v>
      </c>
      <c r="G16" s="167">
        <f ca="1">+(1/(1+WACC)^G15)</f>
        <v>0.67192512769835455</v>
      </c>
      <c r="K16" s="164"/>
      <c r="L16" s="112"/>
      <c r="M16" s="112"/>
      <c r="N16" s="112"/>
      <c r="O16" s="112"/>
    </row>
    <row r="17" spans="2:12" ht="15" thickBot="1" x14ac:dyDescent="0.4">
      <c r="B17" s="166" t="s">
        <v>165</v>
      </c>
      <c r="C17" s="203">
        <f ca="1">+(C13/(1+WACC)^C15)</f>
        <v>336972.33626753185</v>
      </c>
      <c r="D17" s="203">
        <f ca="1">+(D13/(1+WACC)^D15)</f>
        <v>330751.68202942179</v>
      </c>
      <c r="E17" s="203">
        <f ca="1">+(E13/(1+WACC)^E15)</f>
        <v>320664.14160273853</v>
      </c>
      <c r="F17" s="203">
        <f ca="1">+(F13/(1+WACC)^F15)</f>
        <v>311391.07562934794</v>
      </c>
      <c r="G17" s="203">
        <f ca="1">+(G13/(1+WACC)^G15)</f>
        <v>4673315.7426709263</v>
      </c>
      <c r="K17" t="s">
        <v>289</v>
      </c>
      <c r="L17" s="17">
        <f ca="1">+(L12/Info!E15)-1</f>
        <v>1.236561958707822</v>
      </c>
    </row>
    <row r="18" spans="2:12" ht="15" thickTop="1" x14ac:dyDescent="0.35">
      <c r="C18" s="168"/>
      <c r="D18" s="168"/>
      <c r="E18" s="168"/>
      <c r="F18" s="168"/>
      <c r="G18" s="168"/>
    </row>
    <row r="20" spans="2:12" x14ac:dyDescent="0.35">
      <c r="D20" s="54"/>
      <c r="H20" s="46"/>
      <c r="I20" s="46"/>
      <c r="J20" s="46"/>
    </row>
    <row r="21" spans="2:12" x14ac:dyDescent="0.35">
      <c r="D21" s="171"/>
      <c r="H21" s="46"/>
      <c r="I21" s="46"/>
      <c r="J21" s="46"/>
    </row>
    <row r="22" spans="2:12" ht="8" customHeight="1" x14ac:dyDescent="0.35">
      <c r="D22" s="171"/>
      <c r="H22" s="46"/>
      <c r="I22" s="46"/>
      <c r="J22" s="46"/>
    </row>
    <row r="23" spans="2:12" x14ac:dyDescent="0.35">
      <c r="D23" s="54"/>
      <c r="H23" s="46"/>
      <c r="I23" s="46"/>
      <c r="J23" s="46"/>
    </row>
    <row r="24" spans="2:12" x14ac:dyDescent="0.35">
      <c r="D24" s="54"/>
      <c r="H24" s="46"/>
      <c r="I24" s="46"/>
      <c r="J24" s="46"/>
    </row>
    <row r="25" spans="2:12" x14ac:dyDescent="0.35">
      <c r="D25" s="54"/>
      <c r="L25" s="54"/>
    </row>
    <row r="26" spans="2:12" x14ac:dyDescent="0.35">
      <c r="D26" s="54"/>
      <c r="L26" s="54"/>
    </row>
    <row r="28" spans="2:12" x14ac:dyDescent="0.35">
      <c r="F28" s="38"/>
      <c r="G28" s="38"/>
    </row>
    <row r="30" spans="2:12" x14ac:dyDescent="0.35">
      <c r="H30" s="38"/>
      <c r="I30" s="38"/>
      <c r="J30" s="38"/>
    </row>
    <row r="32" spans="2:12" x14ac:dyDescent="0.35">
      <c r="K32" s="38"/>
    </row>
    <row r="33" ht="9" customHeight="1" x14ac:dyDescent="0.35"/>
    <row r="35" ht="9" customHeight="1" x14ac:dyDescent="0.35"/>
    <row r="37" ht="9" customHeight="1" x14ac:dyDescent="0.35"/>
    <row r="39" ht="9" customHeight="1" x14ac:dyDescent="0.35"/>
    <row r="41" ht="9" customHeight="1" x14ac:dyDescent="0.35"/>
    <row r="49" ht="9" customHeight="1" x14ac:dyDescent="0.35"/>
    <row r="51" ht="9" customHeight="1" x14ac:dyDescent="0.35"/>
    <row r="53" ht="9" customHeight="1" x14ac:dyDescent="0.35"/>
  </sheetData>
  <mergeCells count="1">
    <mergeCell ref="K5:L5"/>
  </mergeCells>
  <pageMargins left="0.7" right="0.7" top="0.75" bottom="0.75" header="0.3" footer="0.3"/>
  <pageSetup paperSize="9" orientation="portrait" r:id="rId1"/>
  <ignoredErrors>
    <ignoredError sqref="C9:F9 C11:F11"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03BA7-2554-4081-8380-675D80BEBA71}">
  <dimension ref="C3:H24"/>
  <sheetViews>
    <sheetView showGridLines="0" workbookViewId="0">
      <selection activeCell="C20" sqref="C20:D24"/>
    </sheetView>
  </sheetViews>
  <sheetFormatPr defaultRowHeight="14.5" x14ac:dyDescent="0.35"/>
  <cols>
    <col min="3" max="3" width="28.08984375" bestFit="1" customWidth="1"/>
    <col min="4" max="7" width="10.26953125" bestFit="1" customWidth="1"/>
  </cols>
  <sheetData>
    <row r="3" spans="3:8" x14ac:dyDescent="0.35">
      <c r="C3" t="s">
        <v>275</v>
      </c>
      <c r="D3" t="str">
        <f>+Projections!J$8</f>
        <v>2025e</v>
      </c>
      <c r="E3" t="str">
        <f>+Projections!K$8</f>
        <v>2026e</v>
      </c>
      <c r="F3" t="str">
        <f>+Projections!L$8</f>
        <v>2027e</v>
      </c>
      <c r="G3" t="str">
        <f>+Projections!M$8</f>
        <v>2028e</v>
      </c>
    </row>
    <row r="4" spans="3:8" x14ac:dyDescent="0.35">
      <c r="C4" t="s">
        <v>276</v>
      </c>
      <c r="D4" s="219">
        <f ca="1">+Projections!J13+Projections!J23+Projections!J33+Projections!J43+Projections!J53</f>
        <v>1843628</v>
      </c>
      <c r="E4" s="219">
        <f ca="1">+Projections!K13+Projections!K23+Projections!K33+Projections!K43+Projections!K53</f>
        <v>1932745.8800000004</v>
      </c>
      <c r="F4" s="219">
        <f ca="1">+Projections!L13+Projections!L23+Projections!L33+Projections!L43+Projections!L53</f>
        <v>2026298.0888</v>
      </c>
      <c r="G4" s="219">
        <f ca="1">+Projections!M13+Projections!M23+Projections!M33+Projections!M43+Projections!M53</f>
        <v>2124511.5387680004</v>
      </c>
    </row>
    <row r="5" spans="3:8" x14ac:dyDescent="0.35">
      <c r="C5" t="s">
        <v>277</v>
      </c>
      <c r="D5" s="219">
        <f ca="1">+Projections!J18+Projections!J28+Projections!J38+Projections!J48+Projections!J58</f>
        <v>201593</v>
      </c>
      <c r="E5" s="219">
        <f ca="1">+Projections!K18+Projections!K28+Projections!K38+Projections!K48+Projections!K58</f>
        <v>213756.85000000003</v>
      </c>
      <c r="F5" s="219">
        <f ca="1">+Projections!L18+Projections!L28+Projections!L38+Projections!L48+Projections!L58</f>
        <v>227733.79750000004</v>
      </c>
      <c r="G5" s="219">
        <f ca="1">+Projections!M18+Projections!M28+Projections!M38+Projections!M48+Projections!M58</f>
        <v>242952.73785700003</v>
      </c>
    </row>
    <row r="8" spans="3:8" x14ac:dyDescent="0.35">
      <c r="C8" t="s">
        <v>284</v>
      </c>
      <c r="D8" t="str">
        <f>+Projections!J$8</f>
        <v>2025e</v>
      </c>
      <c r="E8" t="str">
        <f>+Projections!K$8</f>
        <v>2026e</v>
      </c>
      <c r="F8" t="str">
        <f>+Projections!L$8</f>
        <v>2027e</v>
      </c>
      <c r="G8" t="str">
        <f>+Projections!M$8</f>
        <v>2028e</v>
      </c>
    </row>
    <row r="9" spans="3:8" x14ac:dyDescent="0.35">
      <c r="C9" t="s">
        <v>280</v>
      </c>
      <c r="D9" s="219">
        <f ca="1">+Projections!J13+Projections!J18</f>
        <v>908644</v>
      </c>
      <c r="E9" s="219">
        <f ca="1">+Projections!K13+Projections!K18</f>
        <v>946938.04</v>
      </c>
      <c r="F9" s="219">
        <f ca="1">+Projections!L13+Projections!L18</f>
        <v>986880.73840000015</v>
      </c>
      <c r="G9" s="219">
        <f ca="1">+Projections!M13+Projections!M18</f>
        <v>1028545.0553440002</v>
      </c>
      <c r="H9" s="17">
        <f ca="1">+D9/SUM($D$9:$D$13)</f>
        <v>0.4442766820798339</v>
      </c>
    </row>
    <row r="10" spans="3:8" x14ac:dyDescent="0.35">
      <c r="C10" t="s">
        <v>281</v>
      </c>
      <c r="D10" s="219">
        <f ca="1">+Projections!J23+Projections!J28</f>
        <v>564888</v>
      </c>
      <c r="E10" s="219">
        <f ca="1">+Projections!K23+Projections!K28</f>
        <v>594627.12</v>
      </c>
      <c r="F10" s="219">
        <f ca="1">+Projections!L23+Projections!L28</f>
        <v>626802.3432</v>
      </c>
      <c r="G10" s="219">
        <f ca="1">+Projections!M23+Projections!M28</f>
        <v>660855.15295200015</v>
      </c>
      <c r="H10" s="17">
        <f t="shared" ref="H10:H13" ca="1" si="0">+D10/SUM($D$9:$D$13)</f>
        <v>0.2761990024549914</v>
      </c>
    </row>
    <row r="11" spans="3:8" x14ac:dyDescent="0.35">
      <c r="C11" t="s">
        <v>285</v>
      </c>
      <c r="D11" s="219">
        <f ca="1">+Projections!J33+Projections!J38</f>
        <v>547005</v>
      </c>
      <c r="E11" s="219">
        <f ca="1">+Projections!K33+Projections!K38</f>
        <v>578561.49</v>
      </c>
      <c r="F11" s="219">
        <f ca="1">+Projections!L33+Projections!L38</f>
        <v>611973.45510000014</v>
      </c>
      <c r="G11" s="219">
        <f ca="1">+Projections!M33+Projections!M38</f>
        <v>647351.08637700009</v>
      </c>
      <c r="H11" s="17">
        <f t="shared" ca="1" si="0"/>
        <v>0.26745520410752677</v>
      </c>
    </row>
    <row r="12" spans="3:8" x14ac:dyDescent="0.35">
      <c r="C12" t="s">
        <v>282</v>
      </c>
      <c r="D12" s="219">
        <f ca="1">+Projections!J43+Projections!J48</f>
        <v>11984.000000000002</v>
      </c>
      <c r="E12" s="219">
        <f ca="1">+Projections!K43+Projections!K48</f>
        <v>13422.080000000004</v>
      </c>
      <c r="F12" s="219">
        <f ca="1">+Projections!L43+Projections!L48</f>
        <v>15032.729600000006</v>
      </c>
      <c r="G12" s="219">
        <f ca="1">+Projections!M43+Projections!M48</f>
        <v>16836.657152000007</v>
      </c>
      <c r="H12" s="17">
        <f t="shared" ca="1" si="0"/>
        <v>5.8595134706713858E-3</v>
      </c>
    </row>
    <row r="13" spans="3:8" x14ac:dyDescent="0.35">
      <c r="C13" t="s">
        <v>283</v>
      </c>
      <c r="D13" s="219">
        <f ca="1">+Projections!J53+Projections!J58</f>
        <v>12700</v>
      </c>
      <c r="E13" s="219">
        <f ca="1">+Projections!K53+Projections!K58</f>
        <v>12954</v>
      </c>
      <c r="F13" s="219">
        <f ca="1">+Projections!L53+Projections!L58</f>
        <v>13342.62</v>
      </c>
      <c r="G13" s="219">
        <f ca="1">+Projections!M53+Projections!M58</f>
        <v>13876.324800000002</v>
      </c>
      <c r="H13" s="17">
        <f t="shared" ca="1" si="0"/>
        <v>6.2095978869765173E-3</v>
      </c>
    </row>
    <row r="15" spans="3:8" x14ac:dyDescent="0.35">
      <c r="C15" t="str">
        <f>+DCF!B$5</f>
        <v>Free Cash Flow to Firm</v>
      </c>
      <c r="D15" t="str">
        <f>+DCF!C$5</f>
        <v>2025e</v>
      </c>
      <c r="E15" t="str">
        <f>+DCF!D$5</f>
        <v>2026e</v>
      </c>
      <c r="F15" t="str">
        <f>+DCF!E$5</f>
        <v>2027e</v>
      </c>
      <c r="G15" t="str">
        <f>+DCF!F$5</f>
        <v>2028e</v>
      </c>
    </row>
    <row r="16" spans="3:8" x14ac:dyDescent="0.35">
      <c r="C16" t="s">
        <v>290</v>
      </c>
      <c r="D16" s="219">
        <v>402332.77593048976</v>
      </c>
      <c r="E16" s="219">
        <v>466136.3043364074</v>
      </c>
      <c r="F16" s="219">
        <v>531178.32918235695</v>
      </c>
      <c r="G16" s="219">
        <v>604527.81215956737</v>
      </c>
    </row>
    <row r="17" spans="3:7" x14ac:dyDescent="0.35">
      <c r="C17" t="s">
        <v>291</v>
      </c>
      <c r="D17" s="219">
        <v>364863.2081377203</v>
      </c>
      <c r="E17" s="219">
        <v>387769.55516729003</v>
      </c>
      <c r="F17" s="219">
        <v>407059.47484867246</v>
      </c>
      <c r="G17" s="219">
        <v>428005.60425484035</v>
      </c>
    </row>
    <row r="18" spans="3:7" x14ac:dyDescent="0.35">
      <c r="C18" t="s">
        <v>292</v>
      </c>
      <c r="D18" s="219">
        <v>315850.84933721606</v>
      </c>
      <c r="E18" s="219">
        <v>299044.47760907299</v>
      </c>
      <c r="F18" s="219">
        <v>275292.14515325089</v>
      </c>
      <c r="G18" s="219">
        <v>250753.18283413569</v>
      </c>
    </row>
    <row r="20" spans="3:7" x14ac:dyDescent="0.35">
      <c r="C20" t="s">
        <v>297</v>
      </c>
      <c r="D20" t="str">
        <f>+DCF!C$5</f>
        <v>2025e</v>
      </c>
    </row>
    <row r="21" spans="3:7" x14ac:dyDescent="0.35">
      <c r="C21" t="s">
        <v>298</v>
      </c>
      <c r="D21" s="222">
        <v>39</v>
      </c>
    </row>
    <row r="22" spans="3:7" x14ac:dyDescent="0.35">
      <c r="C22" t="s">
        <v>299</v>
      </c>
      <c r="D22" s="222">
        <v>85</v>
      </c>
    </row>
    <row r="23" spans="3:7" x14ac:dyDescent="0.35">
      <c r="C23" t="s">
        <v>277</v>
      </c>
      <c r="D23" s="222">
        <v>167</v>
      </c>
    </row>
    <row r="24" spans="3:7" x14ac:dyDescent="0.35">
      <c r="C24" t="s">
        <v>300</v>
      </c>
      <c r="D24" s="222">
        <v>74</v>
      </c>
    </row>
  </sheetData>
  <pageMargins left="0.7" right="0.7" top="0.75" bottom="0.75" header="0.3" footer="0.3"/>
</worksheet>
</file>

<file path=docMetadata/LabelInfo.xml><?xml version="1.0" encoding="utf-8"?>
<clbl:labelList xmlns:clbl="http://schemas.microsoft.com/office/2020/mipLabelMetadata">
  <clbl:label id="{3048dc87-43f0-4100-9acb-ae1971c79395}" enabled="0" method="" siteId="{3048dc87-43f0-4100-9acb-ae1971c79395}" removed="1"/>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Dashboard</vt:lpstr>
      <vt:lpstr>Info</vt:lpstr>
      <vt:lpstr>Projections</vt:lpstr>
      <vt:lpstr>Ratios &amp; KPI's</vt:lpstr>
      <vt:lpstr>NWC Assumptions</vt:lpstr>
      <vt:lpstr>Fixed Assets</vt:lpstr>
      <vt:lpstr>WACC</vt:lpstr>
      <vt:lpstr>Income Statement</vt:lpstr>
      <vt:lpstr>Balance</vt:lpstr>
      <vt:lpstr>Cash Flow Statement</vt:lpstr>
      <vt:lpstr>DCF</vt:lpstr>
      <vt:lpstr>Graphics</vt:lpstr>
      <vt:lpstr>growth_rate</vt:lpstr>
      <vt:lpstr>WACC</vt:lpstr>
    </vt:vector>
  </TitlesOfParts>
  <Company>NTT 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Asier Requena Gonzalez</dc:creator>
  <cp:lastModifiedBy>Requena Gonzalez, Asier</cp:lastModifiedBy>
  <dcterms:created xsi:type="dcterms:W3CDTF">2025-06-16T16:58:41Z</dcterms:created>
  <dcterms:modified xsi:type="dcterms:W3CDTF">2025-09-21T16:35:28Z</dcterms:modified>
</cp:coreProperties>
</file>