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erisgroup-my.sharepoint.com/personal/arequeng_emeal_nttdata_com/Documents/Controlling/Valoración Meliá/"/>
    </mc:Choice>
  </mc:AlternateContent>
  <xr:revisionPtr revIDLastSave="2276" documentId="8_{26F49966-2F0D-4126-B3ED-866215C5C32F}" xr6:coauthVersionLast="47" xr6:coauthVersionMax="47" xr10:uidLastSave="{80162BDD-E3C2-4DB8-93BC-D05268104CAE}"/>
  <bookViews>
    <workbookView xWindow="28680" yWindow="-120" windowWidth="25440" windowHeight="15270" activeTab="1" xr2:uid="{1BDE1FBA-C85A-4A90-89F2-E960CE133B46}"/>
  </bookViews>
  <sheets>
    <sheet name="Income Statement" sheetId="3" r:id="rId1"/>
    <sheet name="Balance" sheetId="5" r:id="rId2"/>
    <sheet name="Cash Flow Statement" sheetId="6" r:id="rId3"/>
    <sheet name="Ratios &amp; KPI's" sheetId="7" r:id="rId4"/>
    <sheet name="Projections" sheetId="4" r:id="rId5"/>
    <sheet name="DCF" sheetId="2" r:id="rId6"/>
    <sheet name="Graphics" sheetId="8" r:id="rId7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O14" i="3" l="1"/>
  <c r="I5" i="3"/>
  <c r="H5" i="3"/>
  <c r="G5" i="3"/>
  <c r="F5" i="3"/>
  <c r="E5" i="3"/>
  <c r="D5" i="3"/>
  <c r="C28" i="2"/>
  <c r="C16" i="6"/>
  <c r="C55" i="6" s="1"/>
  <c r="I29" i="7"/>
  <c r="H29" i="7"/>
  <c r="G29" i="7"/>
  <c r="F29" i="7"/>
  <c r="E29" i="7"/>
  <c r="D29" i="7"/>
  <c r="C29" i="7"/>
  <c r="I22" i="7"/>
  <c r="H22" i="7"/>
  <c r="G22" i="7"/>
  <c r="F22" i="7"/>
  <c r="E22" i="7"/>
  <c r="D22" i="7"/>
  <c r="C22" i="7"/>
  <c r="I19" i="7"/>
  <c r="H19" i="7"/>
  <c r="G19" i="7"/>
  <c r="F19" i="7"/>
  <c r="E19" i="7"/>
  <c r="D19" i="7"/>
  <c r="C19" i="7"/>
  <c r="I18" i="7"/>
  <c r="H18" i="7"/>
  <c r="G18" i="7"/>
  <c r="F18" i="7"/>
  <c r="E18" i="7"/>
  <c r="D18" i="7"/>
  <c r="C18" i="7"/>
  <c r="I17" i="7"/>
  <c r="H17" i="7"/>
  <c r="G17" i="7"/>
  <c r="F17" i="7"/>
  <c r="E17" i="7"/>
  <c r="D17" i="7"/>
  <c r="C17" i="7"/>
  <c r="I16" i="7"/>
  <c r="H16" i="7"/>
  <c r="G16" i="7"/>
  <c r="F16" i="7"/>
  <c r="E16" i="7"/>
  <c r="D16" i="7"/>
  <c r="C16" i="7"/>
  <c r="I15" i="7"/>
  <c r="H15" i="7"/>
  <c r="G15" i="7"/>
  <c r="F15" i="7"/>
  <c r="E15" i="7"/>
  <c r="D15" i="7"/>
  <c r="C15" i="7"/>
  <c r="I11" i="7"/>
  <c r="H11" i="7"/>
  <c r="G11" i="7"/>
  <c r="F11" i="7"/>
  <c r="E11" i="7"/>
  <c r="D11" i="7"/>
  <c r="C11" i="7"/>
  <c r="I10" i="7"/>
  <c r="H10" i="7"/>
  <c r="G10" i="7"/>
  <c r="F10" i="7"/>
  <c r="E10" i="7"/>
  <c r="D10" i="7"/>
  <c r="C10" i="7"/>
  <c r="I9" i="7"/>
  <c r="H9" i="7"/>
  <c r="G9" i="7"/>
  <c r="F9" i="7"/>
  <c r="E9" i="7"/>
  <c r="D9" i="7"/>
  <c r="C9" i="7"/>
  <c r="I8" i="7"/>
  <c r="H8" i="7"/>
  <c r="G8" i="7"/>
  <c r="F8" i="7"/>
  <c r="E8" i="7"/>
  <c r="D8" i="7"/>
  <c r="C8" i="7"/>
  <c r="M7" i="7"/>
  <c r="L7" i="7"/>
  <c r="K7" i="7"/>
  <c r="J7" i="7"/>
  <c r="I6" i="7"/>
  <c r="I7" i="7" s="1"/>
  <c r="H6" i="7"/>
  <c r="H7" i="7" s="1"/>
  <c r="G6" i="7"/>
  <c r="G7" i="7" s="1"/>
  <c r="F6" i="7"/>
  <c r="F7" i="7" s="1"/>
  <c r="E6" i="7"/>
  <c r="E7" i="7" s="1"/>
  <c r="D6" i="7"/>
  <c r="D7" i="7" s="1"/>
  <c r="C6" i="7"/>
  <c r="C7" i="7" s="1"/>
  <c r="G5" i="7"/>
  <c r="F5" i="7"/>
  <c r="E5" i="7"/>
  <c r="I4" i="7"/>
  <c r="I5" i="7" s="1"/>
  <c r="H4" i="7"/>
  <c r="H5" i="7" s="1"/>
  <c r="G4" i="7"/>
  <c r="F4" i="7"/>
  <c r="E4" i="7"/>
  <c r="D4" i="7"/>
  <c r="D5" i="7" s="1"/>
  <c r="C4" i="7"/>
  <c r="C5" i="7" s="1"/>
  <c r="I44" i="6"/>
  <c r="H44" i="6"/>
  <c r="G44" i="6"/>
  <c r="F44" i="6"/>
  <c r="E44" i="6"/>
  <c r="D44" i="6"/>
  <c r="C44" i="6"/>
  <c r="M38" i="6"/>
  <c r="L38" i="6"/>
  <c r="K38" i="6"/>
  <c r="J38" i="6"/>
  <c r="H32" i="6"/>
  <c r="G32" i="6"/>
  <c r="F32" i="6"/>
  <c r="E32" i="6"/>
  <c r="D32" i="6"/>
  <c r="C32" i="6"/>
  <c r="I22" i="6"/>
  <c r="I32" i="6" s="1"/>
  <c r="C4" i="2" s="1"/>
  <c r="I16" i="6"/>
  <c r="C3" i="2" s="1"/>
  <c r="H16" i="6"/>
  <c r="H55" i="6" s="1"/>
  <c r="G16" i="6"/>
  <c r="G55" i="6" s="1"/>
  <c r="F16" i="6"/>
  <c r="E16" i="6"/>
  <c r="D16" i="6"/>
  <c r="M10" i="6"/>
  <c r="L10" i="6"/>
  <c r="K10" i="6"/>
  <c r="J10" i="6"/>
  <c r="M6" i="6"/>
  <c r="L6" i="6"/>
  <c r="K6" i="6"/>
  <c r="J6" i="6"/>
  <c r="I5" i="6" a="1"/>
  <c r="I5" i="6" s="1"/>
  <c r="H5" i="6" a="1"/>
  <c r="H5" i="6" s="1"/>
  <c r="G5" i="6" a="1"/>
  <c r="G5" i="6" s="1"/>
  <c r="F5" i="6" a="1"/>
  <c r="F5" i="6" s="1"/>
  <c r="E5" i="6" a="1"/>
  <c r="E5" i="6" s="1"/>
  <c r="D5" i="6" a="1"/>
  <c r="D5" i="6" s="1"/>
  <c r="C5" i="6" a="1"/>
  <c r="C5" i="6" s="1"/>
  <c r="C53" i="5"/>
  <c r="I51" i="5"/>
  <c r="H51" i="5"/>
  <c r="H53" i="5" s="1"/>
  <c r="G51" i="5"/>
  <c r="F51" i="5"/>
  <c r="E51" i="5"/>
  <c r="D51" i="5"/>
  <c r="D53" i="5" s="1"/>
  <c r="C51" i="5"/>
  <c r="I43" i="5"/>
  <c r="H43" i="5"/>
  <c r="G43" i="5"/>
  <c r="F43" i="5"/>
  <c r="E43" i="5"/>
  <c r="D43" i="5"/>
  <c r="C43" i="5"/>
  <c r="H34" i="5"/>
  <c r="C34" i="5"/>
  <c r="I32" i="5"/>
  <c r="I34" i="5" s="1"/>
  <c r="H32" i="5"/>
  <c r="G32" i="5"/>
  <c r="G34" i="5" s="1"/>
  <c r="F32" i="5"/>
  <c r="F34" i="5" s="1"/>
  <c r="E32" i="5"/>
  <c r="E34" i="5" s="1"/>
  <c r="D32" i="5"/>
  <c r="D34" i="5" s="1"/>
  <c r="C32" i="5"/>
  <c r="F22" i="5"/>
  <c r="E22" i="5"/>
  <c r="I20" i="5"/>
  <c r="I22" i="5" s="1"/>
  <c r="H20" i="5"/>
  <c r="G20" i="5"/>
  <c r="F20" i="5"/>
  <c r="E20" i="5"/>
  <c r="D20" i="5"/>
  <c r="C20" i="5"/>
  <c r="I12" i="5"/>
  <c r="H12" i="5"/>
  <c r="H22" i="5" s="1"/>
  <c r="G12" i="5"/>
  <c r="G22" i="5" s="1"/>
  <c r="F12" i="5"/>
  <c r="E12" i="5"/>
  <c r="D12" i="5"/>
  <c r="D22" i="5" s="1"/>
  <c r="C12" i="5"/>
  <c r="C22" i="5" s="1"/>
  <c r="C18" i="2"/>
  <c r="D45" i="6" l="1"/>
  <c r="D48" i="6" s="1"/>
  <c r="D50" i="6" s="1"/>
  <c r="D51" i="6" s="1"/>
  <c r="E45" i="6"/>
  <c r="E48" i="6" s="1"/>
  <c r="E50" i="6" s="1"/>
  <c r="E51" i="6" s="1"/>
  <c r="J22" i="6"/>
  <c r="K22" i="6" s="1"/>
  <c r="L22" i="6" s="1"/>
  <c r="I55" i="6"/>
  <c r="F45" i="6"/>
  <c r="F48" i="6" s="1"/>
  <c r="F50" i="6" s="1"/>
  <c r="F51" i="6" s="1"/>
  <c r="G45" i="6"/>
  <c r="G48" i="6" s="1"/>
  <c r="G50" i="6" s="1"/>
  <c r="G51" i="6" s="1"/>
  <c r="F55" i="6"/>
  <c r="H45" i="6"/>
  <c r="H48" i="6" s="1"/>
  <c r="H50" i="6" s="1"/>
  <c r="H51" i="6" s="1"/>
  <c r="C45" i="6"/>
  <c r="C48" i="6" s="1"/>
  <c r="C50" i="6" s="1"/>
  <c r="C51" i="6" s="1"/>
  <c r="E55" i="6"/>
  <c r="I45" i="6"/>
  <c r="I48" i="6" s="1"/>
  <c r="I50" i="6" s="1"/>
  <c r="I51" i="6" s="1"/>
  <c r="D55" i="6"/>
  <c r="E53" i="5"/>
  <c r="F53" i="5"/>
  <c r="G53" i="5"/>
  <c r="I53" i="5"/>
  <c r="M22" i="6" l="1"/>
  <c r="F28" i="2" l="1"/>
  <c r="C6" i="2"/>
  <c r="L67" i="4"/>
  <c r="M67" i="4" s="1"/>
  <c r="K67" i="4"/>
  <c r="O35" i="3"/>
  <c r="O6" i="3"/>
  <c r="D89" i="4"/>
  <c r="E89" i="4"/>
  <c r="F89" i="4"/>
  <c r="G89" i="4"/>
  <c r="H89" i="4"/>
  <c r="C89" i="4"/>
  <c r="I27" i="3"/>
  <c r="D93" i="4"/>
  <c r="E93" i="4"/>
  <c r="F93" i="4"/>
  <c r="G93" i="4"/>
  <c r="H93" i="4"/>
  <c r="I93" i="4"/>
  <c r="C93" i="4"/>
  <c r="F88" i="4"/>
  <c r="G88" i="4"/>
  <c r="H88" i="4"/>
  <c r="I88" i="4"/>
  <c r="D88" i="4"/>
  <c r="E88" i="4"/>
  <c r="C88" i="4"/>
  <c r="K6" i="3"/>
  <c r="K9" i="6" s="1"/>
  <c r="L6" i="3"/>
  <c r="L9" i="6" s="1"/>
  <c r="M6" i="3"/>
  <c r="M9" i="6" s="1"/>
  <c r="J6" i="3"/>
  <c r="J9" i="6" s="1"/>
  <c r="O6" i="4"/>
  <c r="C29" i="2" l="1"/>
  <c r="F29" i="2"/>
  <c r="C24" i="2" s="1"/>
  <c r="C20" i="2" l="1"/>
  <c r="C8" i="2" l="1"/>
  <c r="J25" i="4" l="1"/>
  <c r="K25" i="4" s="1"/>
  <c r="L25" i="4" s="1"/>
  <c r="M25" i="4" s="1"/>
  <c r="J21" i="4"/>
  <c r="K21" i="4" s="1"/>
  <c r="L21" i="4" s="1"/>
  <c r="M21" i="4" s="1"/>
  <c r="J17" i="4"/>
  <c r="K17" i="4" s="1"/>
  <c r="L17" i="4" s="1"/>
  <c r="M17" i="4" s="1"/>
  <c r="K15" i="4"/>
  <c r="L15" i="4" s="1"/>
  <c r="M15" i="4" s="1"/>
  <c r="J15" i="4"/>
  <c r="K11" i="4"/>
  <c r="L11" i="4" s="1"/>
  <c r="M11" i="4" s="1"/>
  <c r="J11" i="4"/>
  <c r="J13" i="4"/>
  <c r="K13" i="4" s="1"/>
  <c r="L13" i="4" s="1"/>
  <c r="M13" i="4" s="1"/>
  <c r="J23" i="4"/>
  <c r="K23" i="4" s="1"/>
  <c r="L23" i="4" s="1"/>
  <c r="M23" i="4" s="1"/>
  <c r="J19" i="4"/>
  <c r="K19" i="4" s="1"/>
  <c r="L19" i="4" s="1"/>
  <c r="M19" i="4" s="1"/>
  <c r="J9" i="4"/>
  <c r="K9" i="4" s="1"/>
  <c r="L9" i="4" s="1"/>
  <c r="M9" i="4" s="1"/>
  <c r="J7" i="4"/>
  <c r="K7" i="4" s="1"/>
  <c r="L7" i="4" s="1"/>
  <c r="M7" i="4" s="1"/>
  <c r="I26" i="4"/>
  <c r="H26" i="4"/>
  <c r="G26" i="4"/>
  <c r="F26" i="4"/>
  <c r="E26" i="4"/>
  <c r="D26" i="4"/>
  <c r="I22" i="4"/>
  <c r="H22" i="4"/>
  <c r="G22" i="4"/>
  <c r="F22" i="4"/>
  <c r="E22" i="4"/>
  <c r="D22" i="4"/>
  <c r="I18" i="4"/>
  <c r="H18" i="4"/>
  <c r="G18" i="4"/>
  <c r="F18" i="4"/>
  <c r="E18" i="4"/>
  <c r="D18" i="4"/>
  <c r="I16" i="4"/>
  <c r="H16" i="4"/>
  <c r="G16" i="4"/>
  <c r="F16" i="4"/>
  <c r="E16" i="4"/>
  <c r="D16" i="4"/>
  <c r="I14" i="4"/>
  <c r="H14" i="4"/>
  <c r="G14" i="4"/>
  <c r="F14" i="4"/>
  <c r="E14" i="4"/>
  <c r="D14" i="4"/>
  <c r="I12" i="4"/>
  <c r="H12" i="4"/>
  <c r="G12" i="4"/>
  <c r="F12" i="4"/>
  <c r="E12" i="4"/>
  <c r="D12" i="4"/>
  <c r="I10" i="4"/>
  <c r="H10" i="4"/>
  <c r="G10" i="4"/>
  <c r="F10" i="4"/>
  <c r="E10" i="4"/>
  <c r="D10" i="4"/>
  <c r="D85" i="4"/>
  <c r="E85" i="4"/>
  <c r="F85" i="4"/>
  <c r="G85" i="4"/>
  <c r="H85" i="4"/>
  <c r="I85" i="4"/>
  <c r="C85" i="4"/>
  <c r="D84" i="4"/>
  <c r="E84" i="4"/>
  <c r="F84" i="4"/>
  <c r="G84" i="4"/>
  <c r="H84" i="4"/>
  <c r="I84" i="4"/>
  <c r="C84" i="4"/>
  <c r="D81" i="4"/>
  <c r="E81" i="4"/>
  <c r="F81" i="4"/>
  <c r="G81" i="4"/>
  <c r="H81" i="4"/>
  <c r="I81" i="4"/>
  <c r="C81" i="4"/>
  <c r="E24" i="4"/>
  <c r="F24" i="4"/>
  <c r="G24" i="4"/>
  <c r="H24" i="4"/>
  <c r="I24" i="4"/>
  <c r="D24" i="4"/>
  <c r="E20" i="4"/>
  <c r="F20" i="4"/>
  <c r="G20" i="4"/>
  <c r="H20" i="4"/>
  <c r="I20" i="4"/>
  <c r="D20" i="4"/>
  <c r="E8" i="4"/>
  <c r="F8" i="4"/>
  <c r="G8" i="4"/>
  <c r="H8" i="4"/>
  <c r="I8" i="4"/>
  <c r="D8" i="4"/>
  <c r="D78" i="4"/>
  <c r="E78" i="4"/>
  <c r="F78" i="4"/>
  <c r="G78" i="4"/>
  <c r="H78" i="4"/>
  <c r="I78" i="4"/>
  <c r="C78" i="4"/>
  <c r="C27" i="4"/>
  <c r="C75" i="4" s="1"/>
  <c r="D69" i="4"/>
  <c r="E69" i="4"/>
  <c r="F69" i="4"/>
  <c r="G69" i="4"/>
  <c r="H69" i="4"/>
  <c r="I69" i="4"/>
  <c r="C69" i="4"/>
  <c r="D72" i="4"/>
  <c r="E72" i="4"/>
  <c r="F72" i="4"/>
  <c r="G72" i="4"/>
  <c r="H72" i="4"/>
  <c r="I72" i="4"/>
  <c r="C72" i="4"/>
  <c r="J67" i="4"/>
  <c r="D68" i="4"/>
  <c r="E68" i="4"/>
  <c r="F68" i="4"/>
  <c r="G68" i="4"/>
  <c r="H68" i="4"/>
  <c r="I68" i="4"/>
  <c r="D65" i="4"/>
  <c r="E65" i="4"/>
  <c r="F65" i="4"/>
  <c r="G65" i="4"/>
  <c r="H65" i="4"/>
  <c r="I65" i="4"/>
  <c r="C65" i="4"/>
  <c r="I64" i="4"/>
  <c r="H64" i="4"/>
  <c r="G64" i="4"/>
  <c r="F64" i="4"/>
  <c r="E64" i="4"/>
  <c r="D64" i="4"/>
  <c r="H62" i="4"/>
  <c r="I62" i="4"/>
  <c r="F62" i="4"/>
  <c r="G62" i="4"/>
  <c r="E62" i="4"/>
  <c r="D62" i="4"/>
  <c r="E6" i="4"/>
  <c r="F6" i="4"/>
  <c r="G6" i="4"/>
  <c r="H6" i="4"/>
  <c r="I6" i="4"/>
  <c r="D6" i="4"/>
  <c r="J61" i="4" l="1"/>
  <c r="J62" i="4" s="1"/>
  <c r="F27" i="4"/>
  <c r="F75" i="4" s="1"/>
  <c r="H27" i="4"/>
  <c r="H75" i="4" s="1"/>
  <c r="E27" i="4"/>
  <c r="E75" i="4" s="1"/>
  <c r="D27" i="4"/>
  <c r="D75" i="4" s="1"/>
  <c r="G27" i="4"/>
  <c r="G75" i="4" s="1"/>
  <c r="I27" i="4"/>
  <c r="I75" i="4" s="1"/>
  <c r="D66" i="4"/>
  <c r="F66" i="4"/>
  <c r="E66" i="4"/>
  <c r="J65" i="4"/>
  <c r="I66" i="4"/>
  <c r="G66" i="4"/>
  <c r="H66" i="4"/>
  <c r="I89" i="4" l="1"/>
  <c r="J63" i="4"/>
  <c r="K65" i="4"/>
  <c r="L65" i="4" s="1"/>
  <c r="M65" i="4" s="1"/>
  <c r="K61" i="4"/>
  <c r="K62" i="4" s="1"/>
  <c r="D27" i="3"/>
  <c r="E27" i="3"/>
  <c r="F27" i="3"/>
  <c r="G27" i="3"/>
  <c r="H27" i="3"/>
  <c r="C27" i="3"/>
  <c r="D11" i="3"/>
  <c r="E11" i="3"/>
  <c r="F11" i="3"/>
  <c r="G11" i="3"/>
  <c r="H11" i="3"/>
  <c r="I11" i="3"/>
  <c r="C11" i="3"/>
  <c r="D7" i="3"/>
  <c r="E7" i="3"/>
  <c r="F7" i="3"/>
  <c r="G7" i="3"/>
  <c r="H7" i="3"/>
  <c r="I7" i="3"/>
  <c r="C7" i="3"/>
  <c r="J30" i="4" l="1"/>
  <c r="J9" i="3" s="1"/>
  <c r="J64" i="4"/>
  <c r="K63" i="4"/>
  <c r="K30" i="4" s="1"/>
  <c r="K9" i="3" s="1"/>
  <c r="M61" i="4"/>
  <c r="L61" i="4"/>
  <c r="H12" i="3"/>
  <c r="H14" i="3" s="1"/>
  <c r="H14" i="7" s="1"/>
  <c r="D12" i="3"/>
  <c r="D14" i="3" s="1"/>
  <c r="D14" i="7" s="1"/>
  <c r="C12" i="3"/>
  <c r="C14" i="3" s="1"/>
  <c r="C14" i="7" s="1"/>
  <c r="I12" i="3"/>
  <c r="G12" i="3"/>
  <c r="G14" i="3" s="1"/>
  <c r="G14" i="7" s="1"/>
  <c r="F12" i="3"/>
  <c r="F14" i="3" s="1"/>
  <c r="F14" i="7" s="1"/>
  <c r="E12" i="3"/>
  <c r="I14" i="3" l="1"/>
  <c r="I14" i="7" s="1"/>
  <c r="O12" i="3"/>
  <c r="D16" i="3"/>
  <c r="C20" i="3"/>
  <c r="L63" i="4"/>
  <c r="L30" i="4" s="1"/>
  <c r="L9" i="3" s="1"/>
  <c r="L62" i="4"/>
  <c r="M63" i="4"/>
  <c r="M62" i="4"/>
  <c r="K64" i="4"/>
  <c r="D20" i="3"/>
  <c r="D23" i="7" s="1"/>
  <c r="C16" i="3"/>
  <c r="G15" i="3"/>
  <c r="H20" i="3"/>
  <c r="H23" i="7" s="1"/>
  <c r="H15" i="3"/>
  <c r="D15" i="3"/>
  <c r="H16" i="3"/>
  <c r="F20" i="3"/>
  <c r="F23" i="7" s="1"/>
  <c r="F16" i="3"/>
  <c r="G20" i="3"/>
  <c r="G23" i="7" s="1"/>
  <c r="G16" i="3"/>
  <c r="I16" i="3"/>
  <c r="E14" i="3"/>
  <c r="E14" i="7" s="1"/>
  <c r="C22" i="3" l="1"/>
  <c r="C23" i="7"/>
  <c r="I15" i="3"/>
  <c r="I20" i="3"/>
  <c r="I23" i="7" s="1"/>
  <c r="I22" i="3"/>
  <c r="O21" i="3"/>
  <c r="D21" i="3"/>
  <c r="G21" i="3"/>
  <c r="C29" i="3"/>
  <c r="C30" i="7" s="1"/>
  <c r="E15" i="3"/>
  <c r="M30" i="4"/>
  <c r="M9" i="3" s="1"/>
  <c r="L64" i="4"/>
  <c r="M64" i="4"/>
  <c r="D22" i="3"/>
  <c r="D29" i="3"/>
  <c r="D30" i="7" s="1"/>
  <c r="H22" i="3"/>
  <c r="H21" i="3"/>
  <c r="I29" i="3"/>
  <c r="I30" i="7" s="1"/>
  <c r="I21" i="3"/>
  <c r="H29" i="3"/>
  <c r="H30" i="7" s="1"/>
  <c r="F15" i="3"/>
  <c r="G29" i="3"/>
  <c r="G30" i="7" s="1"/>
  <c r="G22" i="3"/>
  <c r="F29" i="3"/>
  <c r="F30" i="7" s="1"/>
  <c r="F22" i="3"/>
  <c r="E20" i="3"/>
  <c r="E16" i="3"/>
  <c r="E21" i="3" l="1"/>
  <c r="E23" i="7"/>
  <c r="O29" i="3"/>
  <c r="I92" i="4"/>
  <c r="C31" i="3"/>
  <c r="H92" i="4"/>
  <c r="F92" i="4"/>
  <c r="G92" i="4"/>
  <c r="D32" i="3"/>
  <c r="D92" i="4"/>
  <c r="C32" i="3"/>
  <c r="C92" i="4"/>
  <c r="D31" i="3"/>
  <c r="I32" i="3"/>
  <c r="I31" i="3"/>
  <c r="F32" i="3"/>
  <c r="F31" i="3"/>
  <c r="G32" i="3"/>
  <c r="G31" i="3"/>
  <c r="H32" i="3"/>
  <c r="H31" i="3"/>
  <c r="F21" i="3"/>
  <c r="E29" i="3"/>
  <c r="E30" i="7" s="1"/>
  <c r="E22" i="3"/>
  <c r="G33" i="7" l="1"/>
  <c r="G26" i="7"/>
  <c r="I33" i="7"/>
  <c r="I26" i="7"/>
  <c r="C33" i="7"/>
  <c r="C26" i="7"/>
  <c r="D33" i="3"/>
  <c r="D26" i="7"/>
  <c r="D33" i="7"/>
  <c r="F26" i="7"/>
  <c r="F33" i="7"/>
  <c r="H33" i="7"/>
  <c r="H26" i="7"/>
  <c r="D34" i="3"/>
  <c r="O32" i="3"/>
  <c r="E92" i="4"/>
  <c r="H34" i="3"/>
  <c r="I34" i="3"/>
  <c r="G34" i="3"/>
  <c r="C34" i="3"/>
  <c r="F34" i="3"/>
  <c r="G33" i="3"/>
  <c r="I33" i="3"/>
  <c r="H33" i="3"/>
  <c r="E32" i="3"/>
  <c r="E31" i="3"/>
  <c r="E33" i="7" l="1"/>
  <c r="E26" i="7"/>
  <c r="F33" i="3"/>
  <c r="E34" i="3"/>
  <c r="E33" i="3"/>
  <c r="J2" i="5"/>
  <c r="K2" i="5"/>
  <c r="L2" i="5"/>
  <c r="M2" i="5"/>
  <c r="J6" i="5"/>
  <c r="K6" i="5"/>
  <c r="L6" i="5"/>
  <c r="M6" i="5"/>
  <c r="J7" i="5"/>
  <c r="K7" i="5"/>
  <c r="L7" i="5"/>
  <c r="M7" i="5"/>
  <c r="J12" i="5"/>
  <c r="K12" i="5"/>
  <c r="L12" i="5"/>
  <c r="M12" i="5"/>
  <c r="J14" i="5"/>
  <c r="K14" i="5"/>
  <c r="L14" i="5"/>
  <c r="M14" i="5"/>
  <c r="J15" i="5"/>
  <c r="K15" i="5"/>
  <c r="L15" i="5"/>
  <c r="M15" i="5"/>
  <c r="J18" i="5"/>
  <c r="K18" i="5"/>
  <c r="L18" i="5"/>
  <c r="M18" i="5"/>
  <c r="L19" i="5"/>
  <c r="M19" i="5"/>
  <c r="J20" i="5"/>
  <c r="K20" i="5"/>
  <c r="L20" i="5"/>
  <c r="M20" i="5"/>
  <c r="J22" i="5"/>
  <c r="K22" i="5"/>
  <c r="L22" i="5"/>
  <c r="M22" i="5"/>
  <c r="J28" i="5"/>
  <c r="K28" i="5"/>
  <c r="L28" i="5"/>
  <c r="M28" i="5"/>
  <c r="J32" i="5"/>
  <c r="K32" i="5"/>
  <c r="L32" i="5"/>
  <c r="M32" i="5"/>
  <c r="J33" i="5"/>
  <c r="K33" i="5"/>
  <c r="L33" i="5"/>
  <c r="M33" i="5"/>
  <c r="J34" i="5"/>
  <c r="K34" i="5"/>
  <c r="L34" i="5"/>
  <c r="M34" i="5"/>
  <c r="J37" i="5"/>
  <c r="K37" i="5"/>
  <c r="L37" i="5"/>
  <c r="M37" i="5"/>
  <c r="J38" i="5"/>
  <c r="K38" i="5"/>
  <c r="L38" i="5"/>
  <c r="M38" i="5"/>
  <c r="J43" i="5"/>
  <c r="K43" i="5"/>
  <c r="L43" i="5"/>
  <c r="M43" i="5"/>
  <c r="J48" i="5"/>
  <c r="K48" i="5"/>
  <c r="L48" i="5"/>
  <c r="M48" i="5"/>
  <c r="J51" i="5"/>
  <c r="K51" i="5"/>
  <c r="L51" i="5"/>
  <c r="M51" i="5"/>
  <c r="J53" i="5"/>
  <c r="K53" i="5"/>
  <c r="L53" i="5"/>
  <c r="M53" i="5"/>
  <c r="J4" i="6"/>
  <c r="K4" i="6"/>
  <c r="L4" i="6"/>
  <c r="M4" i="6"/>
  <c r="J5" i="6" a="1"/>
  <c r="J5" i="6"/>
  <c r="K5" i="6" a="1"/>
  <c r="K5" i="6"/>
  <c r="L5" i="6" a="1"/>
  <c r="L5" i="6"/>
  <c r="M5" i="6" a="1"/>
  <c r="M5" i="6"/>
  <c r="J7" i="6"/>
  <c r="K7" i="6"/>
  <c r="L7" i="6"/>
  <c r="M7" i="6"/>
  <c r="J8" i="6"/>
  <c r="K8" i="6"/>
  <c r="L8" i="6"/>
  <c r="M8" i="6"/>
  <c r="J11" i="6"/>
  <c r="K11" i="6"/>
  <c r="L11" i="6"/>
  <c r="M11" i="6"/>
  <c r="J12" i="6"/>
  <c r="K12" i="6"/>
  <c r="L12" i="6"/>
  <c r="M12" i="6"/>
  <c r="J13" i="6"/>
  <c r="K13" i="6"/>
  <c r="L13" i="6"/>
  <c r="M13" i="6"/>
  <c r="J15" i="6"/>
  <c r="K15" i="6"/>
  <c r="L15" i="6"/>
  <c r="M15" i="6"/>
  <c r="J16" i="6"/>
  <c r="K16" i="6"/>
  <c r="L16" i="6"/>
  <c r="M16" i="6"/>
  <c r="J23" i="6"/>
  <c r="K23" i="6"/>
  <c r="L23" i="6"/>
  <c r="M23" i="6"/>
  <c r="J32" i="6"/>
  <c r="K32" i="6"/>
  <c r="L32" i="6"/>
  <c r="M32" i="6"/>
  <c r="J39" i="6"/>
  <c r="K39" i="6"/>
  <c r="L39" i="6"/>
  <c r="M39" i="6"/>
  <c r="J40" i="6"/>
  <c r="K40" i="6"/>
  <c r="L40" i="6"/>
  <c r="M40" i="6"/>
  <c r="J41" i="6"/>
  <c r="K41" i="6"/>
  <c r="L41" i="6"/>
  <c r="M41" i="6"/>
  <c r="J42" i="6"/>
  <c r="K42" i="6"/>
  <c r="L42" i="6"/>
  <c r="M42" i="6"/>
  <c r="J44" i="6"/>
  <c r="K44" i="6"/>
  <c r="L44" i="6"/>
  <c r="M44" i="6"/>
  <c r="J45" i="6"/>
  <c r="K45" i="6"/>
  <c r="L45" i="6"/>
  <c r="M45" i="6"/>
  <c r="J48" i="6"/>
  <c r="K48" i="6"/>
  <c r="L48" i="6"/>
  <c r="M48" i="6"/>
  <c r="K49" i="6"/>
  <c r="L49" i="6"/>
  <c r="M49" i="6"/>
  <c r="J50" i="6"/>
  <c r="K50" i="6"/>
  <c r="L50" i="6"/>
  <c r="M50" i="6"/>
  <c r="J51" i="6"/>
  <c r="K51" i="6"/>
  <c r="L51" i="6"/>
  <c r="M51" i="6"/>
  <c r="J55" i="6"/>
  <c r="K55" i="6"/>
  <c r="L55" i="6"/>
  <c r="M55" i="6"/>
  <c r="D3" i="2"/>
  <c r="E3" i="2"/>
  <c r="F3" i="2"/>
  <c r="G3" i="2"/>
  <c r="D4" i="2"/>
  <c r="E4" i="2"/>
  <c r="F4" i="2"/>
  <c r="G4" i="2"/>
  <c r="D6" i="2"/>
  <c r="E6" i="2"/>
  <c r="F6" i="2"/>
  <c r="G6" i="2"/>
  <c r="H6" i="2"/>
  <c r="D8" i="2"/>
  <c r="E8" i="2"/>
  <c r="F8" i="2"/>
  <c r="G8" i="2"/>
  <c r="H8" i="2"/>
  <c r="C11" i="2"/>
  <c r="C12" i="2"/>
  <c r="C13" i="2"/>
  <c r="C14" i="2"/>
  <c r="F14" i="2"/>
  <c r="G14" i="2"/>
  <c r="H14" i="2"/>
  <c r="I14" i="2"/>
  <c r="J4" i="3"/>
  <c r="K4" i="3"/>
  <c r="L4" i="3"/>
  <c r="M4" i="3"/>
  <c r="J5" i="3"/>
  <c r="K5" i="3"/>
  <c r="L5" i="3"/>
  <c r="M5" i="3"/>
  <c r="R6" i="3"/>
  <c r="J7" i="3"/>
  <c r="K7" i="3"/>
  <c r="L7" i="3"/>
  <c r="M7" i="3"/>
  <c r="J8" i="3"/>
  <c r="K8" i="3"/>
  <c r="L8" i="3"/>
  <c r="M8" i="3"/>
  <c r="J10" i="3"/>
  <c r="K10" i="3"/>
  <c r="L10" i="3"/>
  <c r="M10" i="3"/>
  <c r="J11" i="3"/>
  <c r="K11" i="3"/>
  <c r="L11" i="3"/>
  <c r="M11" i="3"/>
  <c r="J12" i="3"/>
  <c r="K12" i="3"/>
  <c r="L12" i="3"/>
  <c r="M12" i="3"/>
  <c r="R12" i="3"/>
  <c r="J13" i="3"/>
  <c r="K13" i="3"/>
  <c r="L13" i="3"/>
  <c r="M13" i="3"/>
  <c r="J14" i="3"/>
  <c r="K14" i="3"/>
  <c r="L14" i="3"/>
  <c r="M14" i="3"/>
  <c r="R14" i="3"/>
  <c r="J15" i="3"/>
  <c r="K15" i="3"/>
  <c r="L15" i="3"/>
  <c r="M15" i="3"/>
  <c r="J16" i="3"/>
  <c r="K16" i="3"/>
  <c r="L16" i="3"/>
  <c r="M16" i="3"/>
  <c r="J17" i="3"/>
  <c r="K17" i="3"/>
  <c r="L17" i="3"/>
  <c r="M17" i="3"/>
  <c r="J18" i="3"/>
  <c r="K18" i="3"/>
  <c r="L18" i="3"/>
  <c r="M18" i="3"/>
  <c r="J20" i="3"/>
  <c r="K20" i="3"/>
  <c r="L20" i="3"/>
  <c r="M20" i="3"/>
  <c r="J21" i="3"/>
  <c r="K21" i="3"/>
  <c r="L21" i="3"/>
  <c r="M21" i="3"/>
  <c r="R21" i="3"/>
  <c r="J22" i="3"/>
  <c r="K22" i="3"/>
  <c r="L22" i="3"/>
  <c r="M22" i="3"/>
  <c r="J24" i="3"/>
  <c r="K24" i="3"/>
  <c r="L24" i="3"/>
  <c r="M24" i="3"/>
  <c r="J25" i="3"/>
  <c r="K25" i="3"/>
  <c r="L25" i="3"/>
  <c r="M25" i="3"/>
  <c r="J27" i="3"/>
  <c r="K27" i="3"/>
  <c r="L27" i="3"/>
  <c r="M27" i="3"/>
  <c r="J29" i="3"/>
  <c r="K29" i="3"/>
  <c r="L29" i="3"/>
  <c r="M29" i="3"/>
  <c r="R29" i="3"/>
  <c r="J30" i="3"/>
  <c r="K30" i="3"/>
  <c r="L30" i="3"/>
  <c r="M30" i="3"/>
  <c r="J32" i="3"/>
  <c r="K32" i="3"/>
  <c r="L32" i="3"/>
  <c r="M32" i="3"/>
  <c r="R32" i="3"/>
  <c r="J33" i="3"/>
  <c r="K33" i="3"/>
  <c r="L33" i="3"/>
  <c r="M33" i="3"/>
  <c r="J34" i="3"/>
  <c r="K34" i="3"/>
  <c r="L34" i="3"/>
  <c r="M34" i="3"/>
  <c r="J35" i="3"/>
  <c r="K35" i="3"/>
  <c r="L35" i="3"/>
  <c r="M35" i="3"/>
  <c r="R35" i="3"/>
  <c r="J36" i="3"/>
  <c r="K36" i="3"/>
  <c r="L36" i="3"/>
  <c r="M36" i="3"/>
  <c r="J4" i="4"/>
  <c r="K4" i="4"/>
  <c r="L4" i="4"/>
  <c r="M4" i="4"/>
  <c r="J6" i="4"/>
  <c r="K6" i="4"/>
  <c r="L6" i="4"/>
  <c r="M6" i="4"/>
  <c r="R6" i="4"/>
  <c r="J27" i="4"/>
  <c r="K27" i="4"/>
  <c r="L27" i="4"/>
  <c r="M27" i="4"/>
  <c r="J29" i="4"/>
  <c r="K29" i="4"/>
  <c r="L29" i="4"/>
  <c r="M29" i="4"/>
  <c r="J31" i="4"/>
  <c r="K31" i="4"/>
  <c r="L31" i="4"/>
  <c r="M31" i="4"/>
  <c r="J32" i="4"/>
  <c r="K32" i="4"/>
  <c r="L32" i="4"/>
  <c r="M32" i="4"/>
  <c r="J33" i="4"/>
  <c r="K33" i="4"/>
  <c r="L33" i="4"/>
  <c r="M33" i="4"/>
  <c r="J34" i="4"/>
  <c r="K34" i="4"/>
  <c r="L34" i="4"/>
  <c r="M34" i="4"/>
  <c r="J35" i="4"/>
  <c r="K35" i="4"/>
  <c r="L35" i="4"/>
  <c r="M35" i="4"/>
  <c r="J36" i="4"/>
  <c r="K36" i="4"/>
  <c r="L36" i="4"/>
  <c r="M36" i="4"/>
  <c r="J37" i="4"/>
  <c r="K37" i="4"/>
  <c r="L37" i="4"/>
  <c r="M37" i="4"/>
  <c r="J69" i="4"/>
  <c r="K69" i="4"/>
  <c r="L69" i="4"/>
  <c r="M69" i="4"/>
  <c r="J87" i="4"/>
  <c r="K87" i="4"/>
  <c r="L87" i="4"/>
  <c r="M87" i="4"/>
  <c r="J90" i="4"/>
  <c r="K90" i="4"/>
  <c r="L90" i="4"/>
  <c r="M90" i="4"/>
  <c r="J4" i="7"/>
  <c r="K4" i="7"/>
  <c r="L4" i="7"/>
  <c r="M4" i="7"/>
  <c r="J5" i="7"/>
  <c r="K5" i="7"/>
  <c r="L5" i="7"/>
  <c r="M5" i="7"/>
  <c r="J13" i="7"/>
  <c r="K13" i="7"/>
  <c r="L13" i="7"/>
  <c r="M13" i="7"/>
  <c r="J14" i="7"/>
  <c r="K14" i="7"/>
  <c r="L14" i="7"/>
  <c r="M14" i="7"/>
  <c r="J26" i="7"/>
  <c r="K26" i="7"/>
  <c r="L26" i="7"/>
  <c r="M26" i="7"/>
  <c r="J33" i="7"/>
  <c r="K33" i="7"/>
  <c r="L33" i="7"/>
  <c r="M3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tc={8B5C16C9-992D-4B9F-90E3-73C267EF1B05}</author>
  </authors>
  <commentList>
    <comment ref="B67" authorId="0" shapeId="0" xr:uid="{8B5C16C9-992D-4B9F-90E3-73C267EF1B05}">
      <text>
        <t>[Threaded comment]
Your version of Excel allows you to read this threaded comment; however, any edits to it will get removed if the file is opened in a newer version of Excel. Learn more: https://go.microsoft.com/fwlink/?linkid=870924
Comment:
    Suponemos que abrimos 20 hoteles por año.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<sst xmlns="http://schemas.openxmlformats.org/spreadsheetml/2006/main" count="291" uniqueCount="200">
  <si>
    <t>Investment Property</t>
  </si>
  <si>
    <t>Ratios</t>
  </si>
  <si>
    <t>Working Capital</t>
  </si>
  <si>
    <t>Working Capital / Sales</t>
  </si>
  <si>
    <t>Inventories / Sales</t>
  </si>
  <si>
    <t>Asset turnover</t>
  </si>
  <si>
    <t>Accounts Payables / Expenses</t>
  </si>
  <si>
    <t>Goodwill</t>
  </si>
  <si>
    <t>Other intangible assets</t>
  </si>
  <si>
    <t>Property, Plant &amp; Equipment</t>
  </si>
  <si>
    <t>Right of use</t>
  </si>
  <si>
    <t>Equity Method</t>
  </si>
  <si>
    <t>Other non-current financial assets</t>
  </si>
  <si>
    <t>Deferred tax assets</t>
  </si>
  <si>
    <t>Non-current assets held for sale</t>
  </si>
  <si>
    <t>Inventories</t>
  </si>
  <si>
    <t>Trade and other receivables</t>
  </si>
  <si>
    <t>Current tax assets</t>
  </si>
  <si>
    <t>Other current financial assets</t>
  </si>
  <si>
    <t>Cash and other cash equivalents</t>
  </si>
  <si>
    <t>Total Non-Current Assets</t>
  </si>
  <si>
    <t>Total Current Assets</t>
  </si>
  <si>
    <t>Total Assets</t>
  </si>
  <si>
    <t>Total Equity</t>
  </si>
  <si>
    <t>Share capital</t>
  </si>
  <si>
    <t>Share premium</t>
  </si>
  <si>
    <t>Reserves</t>
  </si>
  <si>
    <t>Treasury shares</t>
  </si>
  <si>
    <t>Retained earnings</t>
  </si>
  <si>
    <t>Translation differences</t>
  </si>
  <si>
    <t>Other measurement adjustments</t>
  </si>
  <si>
    <t>Profit / (loss) for the year attributed to the parent company</t>
  </si>
  <si>
    <t>NET EQUITY ATTRIBUTED TO THE PARENT COMPANY</t>
  </si>
  <si>
    <t>Non-Controling Shareholders</t>
  </si>
  <si>
    <t>Bonds and other negotiables securities</t>
  </si>
  <si>
    <t>Financial liabilities</t>
  </si>
  <si>
    <t>Lease liabilities</t>
  </si>
  <si>
    <t>Other non-current financial liabilities</t>
  </si>
  <si>
    <t>Capital grants and other deferred income</t>
  </si>
  <si>
    <t>Provisions</t>
  </si>
  <si>
    <t>Deferred tax liabilities</t>
  </si>
  <si>
    <t>Total Non-Current Liabilities</t>
  </si>
  <si>
    <t>Trade creditors and other payables</t>
  </si>
  <si>
    <t>Current tax liabilities</t>
  </si>
  <si>
    <t>Other current liabilites</t>
  </si>
  <si>
    <t>Total Current Liabilities</t>
  </si>
  <si>
    <t>Total Equity + Liabilities</t>
  </si>
  <si>
    <t>Income Statement (Thousands €)</t>
  </si>
  <si>
    <t>Operating income</t>
  </si>
  <si>
    <t>Results from assets sale</t>
  </si>
  <si>
    <t>Total Operating Income</t>
  </si>
  <si>
    <t>Supplies</t>
  </si>
  <si>
    <t>Staff costs</t>
  </si>
  <si>
    <t>Other expenses</t>
  </si>
  <si>
    <t>Total Operating Expenses</t>
  </si>
  <si>
    <t>EBITDAR*</t>
  </si>
  <si>
    <t>Leases</t>
  </si>
  <si>
    <t>EBITDA</t>
  </si>
  <si>
    <t>Depreciation and impairment</t>
  </si>
  <si>
    <t>Depreciation Right of use</t>
  </si>
  <si>
    <t>Bargain purchase</t>
  </si>
  <si>
    <t>EBIT</t>
  </si>
  <si>
    <t>Exchange differences</t>
  </si>
  <si>
    <t>Borrowings</t>
  </si>
  <si>
    <t>Financial expenses leases</t>
  </si>
  <si>
    <t>Other financial income</t>
  </si>
  <si>
    <t>Net Financial Income</t>
  </si>
  <si>
    <t>Profit / (loss) from companies carried by the equity method</t>
  </si>
  <si>
    <t>Net Income Before Tax</t>
  </si>
  <si>
    <t>Income tax</t>
  </si>
  <si>
    <t>Consolidate Net Income</t>
  </si>
  <si>
    <t>a) Attributed to the parent</t>
  </si>
  <si>
    <t>b) Attributed to minority</t>
  </si>
  <si>
    <t>EBITDA %</t>
  </si>
  <si>
    <t>EBIT %</t>
  </si>
  <si>
    <t>Net Income %</t>
  </si>
  <si>
    <t>EBITDA crec %</t>
  </si>
  <si>
    <t>EBIT crec %</t>
  </si>
  <si>
    <t>Net Income crec %</t>
  </si>
  <si>
    <t>tax rate %</t>
  </si>
  <si>
    <t>Cash Flow Statement (Thousand €)</t>
  </si>
  <si>
    <t>Results from asset sale</t>
  </si>
  <si>
    <t>Other result adjustments</t>
  </si>
  <si>
    <t>Other assets</t>
  </si>
  <si>
    <t>Other liabilities</t>
  </si>
  <si>
    <t>Income taxes paid</t>
  </si>
  <si>
    <t>Cash Flow from Operating Activities</t>
  </si>
  <si>
    <t>Dividend income</t>
  </si>
  <si>
    <t>Investments (-)</t>
  </si>
  <si>
    <t>Investments in associates and joint ventures</t>
  </si>
  <si>
    <t>Loans to associates and joint ventures</t>
  </si>
  <si>
    <t>Property, Plant, Equipment and invesments properties</t>
  </si>
  <si>
    <t>Non-current financial investments</t>
  </si>
  <si>
    <t>Share purchase</t>
  </si>
  <si>
    <t>Divestments (+)</t>
  </si>
  <si>
    <t>Current financial investments</t>
  </si>
  <si>
    <t>Cash Flow from Investing Activities</t>
  </si>
  <si>
    <t>Dividend payments</t>
  </si>
  <si>
    <t>Treasury stock</t>
  </si>
  <si>
    <t>Debt interest paid</t>
  </si>
  <si>
    <t>Debt issue</t>
  </si>
  <si>
    <t>Debt redemption and payment</t>
  </si>
  <si>
    <t>Other financial liabilities</t>
  </si>
  <si>
    <t>Cash Flow from Financing Activities</t>
  </si>
  <si>
    <t>Cash Flow Total</t>
  </si>
  <si>
    <t>Effect of exchange rate</t>
  </si>
  <si>
    <t>Net Cash Flow</t>
  </si>
  <si>
    <t>Cash &amp; equivalents at the beginning</t>
  </si>
  <si>
    <t>Cash &amp; equivalents at the end of year</t>
  </si>
  <si>
    <t>Proceeds from changes in shareholdings in subsidiaries without loss of control</t>
  </si>
  <si>
    <t>Payments for changes in shareholdings in subsidiaries without loss of control</t>
  </si>
  <si>
    <t>Effect of changes in consolidation</t>
  </si>
  <si>
    <t>Change in investment</t>
  </si>
  <si>
    <t>Business combination</t>
  </si>
  <si>
    <t>Non-current Assets Held for Sale</t>
  </si>
  <si>
    <t>2025e</t>
  </si>
  <si>
    <t>2026e</t>
  </si>
  <si>
    <t>2027e</t>
  </si>
  <si>
    <t>2028e</t>
  </si>
  <si>
    <t>crec%</t>
  </si>
  <si>
    <t>Staff</t>
  </si>
  <si>
    <t>Average number of employees</t>
  </si>
  <si>
    <t>%crec</t>
  </si>
  <si>
    <t>Staffing costs</t>
  </si>
  <si>
    <t>Staff cost per capita</t>
  </si>
  <si>
    <t>Number of Hotels</t>
  </si>
  <si>
    <t>Spain O&amp;L</t>
  </si>
  <si>
    <t>Spain Management</t>
  </si>
  <si>
    <t>Income by region (thousands</t>
  </si>
  <si>
    <t>EMEA O&amp;L</t>
  </si>
  <si>
    <t>EMEA Management</t>
  </si>
  <si>
    <t>AMERICA O&amp;L</t>
  </si>
  <si>
    <t>AMERICA Management</t>
  </si>
  <si>
    <t>APAC O&amp;L</t>
  </si>
  <si>
    <t>APAC Management</t>
  </si>
  <si>
    <t>Cuba O&amp;L</t>
  </si>
  <si>
    <t>Cuba Management</t>
  </si>
  <si>
    <t>Avg num of employees per hotel</t>
  </si>
  <si>
    <t>Supplies costs</t>
  </si>
  <si>
    <t>as % of sales</t>
  </si>
  <si>
    <t>as % sales</t>
  </si>
  <si>
    <t>Other operating income</t>
  </si>
  <si>
    <t>Depreciation Right of Use</t>
  </si>
  <si>
    <t>as % balance ROU</t>
  </si>
  <si>
    <t>CAGR % 2018 - 2024</t>
  </si>
  <si>
    <t>CAGR % 2024 - 2028e</t>
  </si>
  <si>
    <t>Depreciation Fixed Assets</t>
  </si>
  <si>
    <t>Capex</t>
  </si>
  <si>
    <t>Profit/Loss Equity Method</t>
  </si>
  <si>
    <t>as % net income pretax</t>
  </si>
  <si>
    <t>Net Debt</t>
  </si>
  <si>
    <t>Net Debt / EBITDA</t>
  </si>
  <si>
    <t>Avg cost of debt</t>
  </si>
  <si>
    <t>Receivables / Sales</t>
  </si>
  <si>
    <t>Dividends</t>
  </si>
  <si>
    <t>Payout Ratio</t>
  </si>
  <si>
    <t>Avg cost of Leases Expenses</t>
  </si>
  <si>
    <t>Avg cost of Financial Liabilities</t>
  </si>
  <si>
    <t>Income Taxes Paid</t>
  </si>
  <si>
    <t>as% sales</t>
  </si>
  <si>
    <t>as % income pre tax</t>
  </si>
  <si>
    <t>NCI ratio</t>
  </si>
  <si>
    <t>as % of consolidated income</t>
  </si>
  <si>
    <t>as % of sales (total investments)</t>
  </si>
  <si>
    <t>% Debt Redeption as Net Debt</t>
  </si>
  <si>
    <t>% Debt Redeption as Total Debt</t>
  </si>
  <si>
    <t>Reissue of debt</t>
  </si>
  <si>
    <t>Leases avg amortization</t>
  </si>
  <si>
    <t>CAGR % 2024 - 2028</t>
  </si>
  <si>
    <t>Other current assets</t>
  </si>
  <si>
    <t>Free Cash Flow</t>
  </si>
  <si>
    <t>Discounted FCF</t>
  </si>
  <si>
    <t>WACC</t>
  </si>
  <si>
    <t>Cost of Equity</t>
  </si>
  <si>
    <t>Cost of Debt</t>
  </si>
  <si>
    <t>Wd</t>
  </si>
  <si>
    <t>Equity</t>
  </si>
  <si>
    <t>Total</t>
  </si>
  <si>
    <t>We</t>
  </si>
  <si>
    <t>D/E</t>
  </si>
  <si>
    <t>Tax Rate</t>
  </si>
  <si>
    <t>Unlevered Beta (according Damodaran)</t>
  </si>
  <si>
    <t>Market Cap as of 20/06 in €</t>
  </si>
  <si>
    <t>Risk Free Rate (10y German Bund)</t>
  </si>
  <si>
    <t>ERP (Spain's ERP as USA ERP + Spain's CDS)</t>
  </si>
  <si>
    <t>Terminal Value</t>
  </si>
  <si>
    <t>Growth Rate</t>
  </si>
  <si>
    <t>Equity Value</t>
  </si>
  <si>
    <t>Levered Beta (according to capital structure)</t>
  </si>
  <si>
    <t>Levered Beta (historically for Meliá according Yahoo Finance)</t>
  </si>
  <si>
    <t>Price per Share</t>
  </si>
  <si>
    <t>VAN / Enterprise Value</t>
  </si>
  <si>
    <t>Nº of Shares</t>
  </si>
  <si>
    <t>Interest Coverage Ratio</t>
  </si>
  <si>
    <t>Balance Sheet (Thousands €)</t>
  </si>
  <si>
    <t>as % of sales (plant/property)</t>
  </si>
  <si>
    <t>%growth</t>
  </si>
  <si>
    <t>CFO/EBITDA</t>
  </si>
  <si>
    <t>Price to Earnings Ratio (PER) 2024</t>
  </si>
  <si>
    <t>Price to Earnings Ratio (PER)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</si>
</sst>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£&quot;#,##0.00;[Red]\-&quot;£&quot;#,##0.00"/>
    <numFmt numFmtId="43" formatCode="_-* #,##0.00_-;\-* #,##0.00_-;_-* &quot;-&quot;??_-;_-@_-"/>
    <numFmt numFmtId="164" formatCode="_-* #,##0_-;\-* #,##0_-;_-* &quot;-&quot;??_-;_-@_-"/>
    <numFmt numFmtId="165" formatCode="#,##0;\(#,##0\)"/>
    <numFmt numFmtId="166" formatCode="0.0%"/>
    <numFmt numFmtId="167" formatCode="#,##0.0;\(#,##0.0\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i/>
      <sz val="11"/>
      <color theme="0" tint="-0.499984740745262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2" tint="-0.249946592608417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0" fontId="3" fillId="4" borderId="0" xfId="0" applyFont="1" applyFill="1"/>
    <xf numFmtId="165" fontId="0" fillId="0" borderId="0" xfId="1" applyNumberFormat="1" applyFont="1"/>
    <xf numFmtId="165" fontId="0" fillId="4" borderId="0" xfId="1" applyNumberFormat="1" applyFont="1" applyFill="1"/>
    <xf numFmtId="165" fontId="1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1" applyNumberFormat="1" applyFont="1" applyFill="1" applyBorder="1" applyAlignment="1">
      <alignment horizontal="center" vertical="center"/>
    </xf>
    <xf numFmtId="165" fontId="0" fillId="0" borderId="0" xfId="0" applyNumberFormat="1"/>
    <xf numFmtId="165" fontId="2" fillId="2" borderId="1" xfId="1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9" fontId="0" fillId="4" borderId="0" xfId="2" applyFont="1" applyFill="1"/>
    <xf numFmtId="0" fontId="5" fillId="4" borderId="0" xfId="0" applyFont="1" applyFill="1" applyAlignment="1">
      <alignment horizontal="center" vertical="center"/>
    </xf>
    <xf numFmtId="9" fontId="5" fillId="4" borderId="0" xfId="2" applyFont="1" applyFill="1"/>
    <xf numFmtId="9" fontId="0" fillId="0" borderId="0" xfId="2" applyFont="1"/>
    <xf numFmtId="0" fontId="6" fillId="0" borderId="0" xfId="0" applyFont="1" applyAlignment="1">
      <alignment horizontal="left" indent="1"/>
    </xf>
    <xf numFmtId="0" fontId="4" fillId="5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165" fontId="4" fillId="6" borderId="1" xfId="1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5" fontId="4" fillId="7" borderId="1" xfId="1" applyNumberFormat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/>
    </xf>
    <xf numFmtId="166" fontId="0" fillId="0" borderId="0" xfId="2" applyNumberFormat="1" applyFont="1"/>
    <xf numFmtId="10" fontId="0" fillId="0" borderId="0" xfId="2" applyNumberFormat="1" applyFont="1"/>
    <xf numFmtId="0" fontId="0" fillId="0" borderId="1" xfId="0" applyBorder="1"/>
    <xf numFmtId="9" fontId="0" fillId="0" borderId="1" xfId="2" applyFont="1" applyBorder="1"/>
    <xf numFmtId="166" fontId="0" fillId="0" borderId="1" xfId="2" applyNumberFormat="1" applyFont="1" applyBorder="1"/>
    <xf numFmtId="0" fontId="2" fillId="0" borderId="1" xfId="0" applyFont="1" applyBorder="1"/>
    <xf numFmtId="164" fontId="0" fillId="0" borderId="1" xfId="1" applyNumberFormat="1" applyFont="1" applyBorder="1"/>
    <xf numFmtId="9" fontId="0" fillId="9" borderId="0" xfId="2" applyFont="1" applyFill="1"/>
    <xf numFmtId="166" fontId="0" fillId="9" borderId="0" xfId="2" applyNumberFormat="1" applyFont="1" applyFill="1"/>
    <xf numFmtId="0" fontId="0" fillId="9" borderId="0" xfId="0" applyFill="1"/>
    <xf numFmtId="0" fontId="3" fillId="10" borderId="0" xfId="0" applyFont="1" applyFill="1"/>
    <xf numFmtId="164" fontId="3" fillId="10" borderId="0" xfId="1" applyNumberFormat="1" applyFont="1" applyFill="1"/>
    <xf numFmtId="164" fontId="3" fillId="10" borderId="0" xfId="0" applyNumberFormat="1" applyFont="1" applyFill="1"/>
    <xf numFmtId="0" fontId="3" fillId="10" borderId="3" xfId="0" applyFont="1" applyFill="1" applyBorder="1" applyAlignment="1">
      <alignment horizontal="center"/>
    </xf>
    <xf numFmtId="164" fontId="3" fillId="10" borderId="3" xfId="1" applyNumberFormat="1" applyFont="1" applyFill="1" applyBorder="1"/>
    <xf numFmtId="10" fontId="3" fillId="10" borderId="3" xfId="2" applyNumberFormat="1" applyFont="1" applyFill="1" applyBorder="1"/>
    <xf numFmtId="165" fontId="1" fillId="4" borderId="1" xfId="1" applyNumberFormat="1" applyFont="1" applyFill="1" applyBorder="1" applyAlignment="1">
      <alignment horizontal="center" vertical="center"/>
    </xf>
    <xf numFmtId="9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horizontal="centerContinuous" vertical="center"/>
    </xf>
    <xf numFmtId="166" fontId="2" fillId="0" borderId="0" xfId="2" applyNumberFormat="1" applyFont="1" applyAlignment="1">
      <alignment horizontal="centerContinuous" vertical="center"/>
    </xf>
    <xf numFmtId="43" fontId="0" fillId="0" borderId="0" xfId="0" applyNumberFormat="1"/>
    <xf numFmtId="0" fontId="4" fillId="5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164" fontId="0" fillId="0" borderId="0" xfId="1" applyNumberFormat="1" applyFont="1" applyBorder="1"/>
    <xf numFmtId="165" fontId="0" fillId="0" borderId="0" xfId="1" applyNumberFormat="1" applyFont="1" applyBorder="1"/>
    <xf numFmtId="0" fontId="2" fillId="0" borderId="0" xfId="0" applyFont="1"/>
    <xf numFmtId="167" fontId="0" fillId="0" borderId="0" xfId="0" applyNumberFormat="1"/>
    <xf numFmtId="9" fontId="0" fillId="0" borderId="0" xfId="2" applyFont="1" applyBorder="1"/>
    <xf numFmtId="165" fontId="0" fillId="0" borderId="0" xfId="1" applyNumberFormat="1" applyFont="1" applyFill="1"/>
    <xf numFmtId="2" fontId="0" fillId="0" borderId="0" xfId="0" applyNumberFormat="1"/>
    <xf numFmtId="167" fontId="0" fillId="11" borderId="0" xfId="0" applyNumberFormat="1" applyFill="1"/>
    <xf numFmtId="4" fontId="0" fillId="0" borderId="0" xfId="0" applyNumberFormat="1"/>
    <xf numFmtId="3" fontId="0" fillId="0" borderId="0" xfId="0" applyNumberFormat="1"/>
    <xf numFmtId="0" fontId="0" fillId="0" borderId="2" xfId="0" applyBorder="1"/>
    <xf numFmtId="0" fontId="2" fillId="0" borderId="4" xfId="0" applyFont="1" applyBorder="1" applyAlignment="1">
      <alignment horizontal="centerContinuous" vertical="center"/>
    </xf>
    <xf numFmtId="164" fontId="2" fillId="0" borderId="0" xfId="0" applyNumberFormat="1" applyFont="1"/>
    <xf numFmtId="43" fontId="0" fillId="0" borderId="1" xfId="0" applyNumberFormat="1" applyBorder="1"/>
    <xf numFmtId="10" fontId="0" fillId="0" borderId="0" xfId="0" applyNumberFormat="1"/>
    <xf numFmtId="10" fontId="2" fillId="0" borderId="1" xfId="2" applyNumberFormat="1" applyFont="1" applyBorder="1"/>
    <xf numFmtId="8" fontId="0" fillId="0" borderId="0" xfId="0" applyNumberFormat="1"/>
    <xf numFmtId="164" fontId="0" fillId="0" borderId="0" xfId="1" applyNumberFormat="1" applyFont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10" fontId="0" fillId="0" borderId="5" xfId="2" applyNumberFormat="1" applyFont="1" applyBorder="1"/>
    <xf numFmtId="0" fontId="0" fillId="0" borderId="5" xfId="0" applyBorder="1"/>
    <xf numFmtId="9" fontId="0" fillId="0" borderId="5" xfId="2" applyFont="1" applyBorder="1"/>
    <xf numFmtId="9" fontId="0" fillId="0" borderId="9" xfId="2" applyFont="1" applyBorder="1"/>
    <xf numFmtId="166" fontId="0" fillId="0" borderId="0" xfId="0" applyNumberFormat="1"/>
    <xf numFmtId="2" fontId="0" fillId="0" borderId="0" xfId="2" applyNumberFormat="1" applyFont="1"/>
    <xf numFmtId="0" fontId="4" fillId="8" borderId="4" xfId="0" applyFont="1" applyFill="1" applyBorder="1" applyAlignment="1">
      <alignment horizontal="center"/>
    </xf>
    <xf numFmtId="164" fontId="0" fillId="0" borderId="4" xfId="1" applyNumberFormat="1" applyFont="1" applyBorder="1"/>
    <xf numFmtId="165" fontId="1" fillId="3" borderId="7" xfId="1" applyNumberFormat="1" applyFont="1" applyFill="1" applyBorder="1" applyAlignment="1">
      <alignment horizontal="center" vertical="center"/>
    </xf>
    <xf numFmtId="165" fontId="0" fillId="0" borderId="4" xfId="1" applyNumberFormat="1" applyFont="1" applyBorder="1"/>
    <xf numFmtId="9" fontId="0" fillId="4" borderId="4" xfId="2" applyFont="1" applyFill="1" applyBorder="1"/>
    <xf numFmtId="9" fontId="5" fillId="4" borderId="4" xfId="2" applyFont="1" applyFill="1" applyBorder="1"/>
    <xf numFmtId="165" fontId="0" fillId="4" borderId="4" xfId="1" applyNumberFormat="1" applyFont="1" applyFill="1" applyBorder="1"/>
    <xf numFmtId="9" fontId="0" fillId="0" borderId="4" xfId="0" applyNumberFormat="1" applyBorder="1"/>
    <xf numFmtId="165" fontId="2" fillId="2" borderId="7" xfId="1" applyNumberFormat="1" applyFont="1" applyFill="1" applyBorder="1" applyAlignment="1">
      <alignment horizontal="center" vertical="center"/>
    </xf>
    <xf numFmtId="165" fontId="0" fillId="0" borderId="4" xfId="0" applyNumberFormat="1" applyBorder="1"/>
    <xf numFmtId="164" fontId="1" fillId="3" borderId="7" xfId="1" applyNumberFormat="1" applyFont="1" applyFill="1" applyBorder="1" applyAlignment="1">
      <alignment horizontal="center" vertical="center"/>
    </xf>
    <xf numFmtId="165" fontId="0" fillId="0" borderId="4" xfId="1" applyNumberFormat="1" applyFont="1" applyFill="1" applyBorder="1"/>
    <xf numFmtId="164" fontId="1" fillId="0" borderId="7" xfId="1" applyNumberFormat="1" applyFont="1" applyFill="1" applyBorder="1" applyAlignment="1">
      <alignment horizontal="center" vertical="center"/>
    </xf>
    <xf numFmtId="164" fontId="2" fillId="2" borderId="7" xfId="1" applyNumberFormat="1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right" vertical="center"/>
    </xf>
    <xf numFmtId="165" fontId="0" fillId="0" borderId="5" xfId="0" applyNumberFormat="1" applyBorder="1"/>
    <xf numFmtId="165" fontId="0" fillId="0" borderId="1" xfId="0" applyNumberFormat="1" applyBorder="1"/>
    <xf numFmtId="165" fontId="0" fillId="0" borderId="8" xfId="0" applyNumberFormat="1" applyBorder="1"/>
    <xf numFmtId="43" fontId="0" fillId="0" borderId="5" xfId="0" applyNumberFormat="1" applyBorder="1"/>
    <xf numFmtId="43" fontId="0" fillId="0" borderId="9" xfId="0" applyNumberFormat="1" applyBorder="1"/>
    <xf numFmtId="165" fontId="0" fillId="12" borderId="4" xfId="1" applyNumberFormat="1" applyFont="1" applyFill="1" applyBorder="1"/>
    <xf numFmtId="165" fontId="0" fillId="12" borderId="0" xfId="1" applyNumberFormat="1" applyFont="1" applyFill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'Income Statement'!$B$20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'Income Statement'!$C$3:$M$3</c:f>
              <c:strCache>
                <c:ptCount val="1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2025e</c:v>
                </c:pt>
                <c:pt idx="8">
                  <c:v>2026e</c:v>
                </c:pt>
                <c:pt idx="9">
                  <c:v>2027e</c:v>
                </c:pt>
                <c:pt idx="10">
                  <c:v>2028e</c:v>
                </c:pt>
              </c:strCache>
            </c:strRef>
          </c:cat>
          <c:val>
            <c:numRef>
              <c:f>'Income Statement'!$C$20:$M$20</c:f>
              <c:numCache>
                <c:formatCode>#,##0;\(#,##0\)</c:formatCode>
                <c:ptCount val="11"/>
                <c:pt idx="0">
                  <c:v>258871</c:v>
                </c:pt>
                <c:pt idx="1">
                  <c:v>222795</c:v>
                </c:pt>
                <c:pt idx="2">
                  <c:v>-557348</c:v>
                </c:pt>
                <c:pt idx="3">
                  <c:v>-145346</c:v>
                </c:pt>
                <c:pt idx="4">
                  <c:v>201099</c:v>
                </c:pt>
                <c:pt idx="5">
                  <c:v>230999</c:v>
                </c:pt>
                <c:pt idx="6">
                  <c:v>333463</c:v>
                </c:pt>
                <c:pt idx="7">
                  <c:v>359117.2037299606</c:v>
                </c:pt>
                <c:pt idx="8">
                  <c:v>387340.2022347952</c:v>
                </c:pt>
                <c:pt idx="9">
                  <c:v>403615.12447186006</c:v>
                </c:pt>
                <c:pt idx="10">
                  <c:v>425931.78949071886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59-4367-987D-A34CAFDCD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56093375"/>
        <c:axId val="1856093855"/>
      </c:barChart>
      <c:lineChart>
        <c:grouping val="standard"/>
        <c:varyColors val="0"/>
        <c:ser>
          <c:idx val="1"/>
          <c:order val="1"/>
          <c:tx>
            <c:strRef>
              <c:f>'Income Statement'!$B$21</c:f>
              <c:strCache>
                <c:ptCount val="1"/>
                <c:pt idx="0">
                  <c:v>%growth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'Income Statement'!$C$3:$M$3</c:f>
              <c:strCache>
                <c:ptCount val="1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2025e</c:v>
                </c:pt>
                <c:pt idx="8">
                  <c:v>2026e</c:v>
                </c:pt>
                <c:pt idx="9">
                  <c:v>2027e</c:v>
                </c:pt>
                <c:pt idx="10">
                  <c:v>2028e</c:v>
                </c:pt>
              </c:strCache>
            </c:strRef>
          </c:cat>
          <c:val>
            <c:numRef>
              <c:f>'Income Statement'!$C$21:$M$21</c:f>
              <c:numCache>
                <c:formatCode>0%</c:formatCode>
                <c:ptCount val="11"/>
                <c:pt idx="1">
                  <c:v>-0.1393589857496591</c:v>
                </c:pt>
                <c:pt idx="2">
                  <c:v>-3.5016180794003455</c:v>
                </c:pt>
                <c:pt idx="3">
                  <c:v>0.73921858515684991</c:v>
                </c:pt>
                <c:pt idx="4">
                  <c:v>2.3835881276402517</c:v>
                </c:pt>
                <c:pt idx="5">
                  <c:v>0.14868298698650914</c:v>
                </c:pt>
                <c:pt idx="6">
                  <c:v>0.44356901977930641</c:v>
                </c:pt>
                <c:pt idx="7">
                  <c:v>7.6932684375659671E-2</c:v>
                </c:pt>
                <c:pt idx="8">
                  <c:v>7.8589937245270428E-2</c:v>
                </c:pt>
                <c:pt idx="9">
                  <c:v>4.2017126399906832E-2</c:v>
                </c:pt>
                <c:pt idx="10">
                  <c:v>5.5291944393958674E-2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59-4367-987D-A34CAFDCDDD4}"/>
            </c:ext>
          </c:extLst>
        </c:ser>
        <c:ser>
          <c:idx val="2"/>
          <c:order val="2"/>
          <c:tx>
            <c:strRef>
              <c:f>'Income Statement'!$B$22</c:f>
              <c:strCache>
                <c:ptCount val="1"/>
                <c:pt idx="0">
                  <c:v>EBIT 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'Income Statement'!$C$3:$M$3</c:f>
              <c:strCache>
                <c:ptCount val="1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2025e</c:v>
                </c:pt>
                <c:pt idx="8">
                  <c:v>2026e</c:v>
                </c:pt>
                <c:pt idx="9">
                  <c:v>2027e</c:v>
                </c:pt>
                <c:pt idx="10">
                  <c:v>2028e</c:v>
                </c:pt>
              </c:strCache>
            </c:strRef>
          </c:cat>
          <c:val>
            <c:numRef>
              <c:f>'Income Statement'!$C$22:$M$22</c:f>
              <c:numCache>
                <c:formatCode>0%</c:formatCode>
                <c:ptCount val="11"/>
                <c:pt idx="0">
                  <c:v>0.14135798592814453</c:v>
                </c:pt>
                <c:pt idx="1">
                  <c:v>0.1237235172697583</c:v>
                </c:pt>
                <c:pt idx="2">
                  <c:v>-1.0547882467382541</c:v>
                </c:pt>
                <c:pt idx="3">
                  <c:v>-0.16105997779338987</c:v>
                </c:pt>
                <c:pt idx="4">
                  <c:v>0.11885192371453411</c:v>
                </c:pt>
                <c:pt idx="5">
                  <c:v>0.11955257127123749</c:v>
                </c:pt>
                <c:pt idx="6">
                  <c:v>0.16216793221941347</c:v>
                </c:pt>
                <c:pt idx="7">
                  <c:v>0.16789005422035466</c:v>
                </c:pt>
                <c:pt idx="8">
                  <c:v>0.17395282313441107</c:v>
                </c:pt>
                <c:pt idx="9">
                  <c:v>0.17535414781395262</c:v>
                </c:pt>
                <c:pt idx="10">
                  <c:v>0.17846491459166336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59-4367-987D-A34CAFDCD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419823"/>
        <c:axId val="112418863"/>
      </c:lineChart>
      <c:catAx>
        <c:axId val="185609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6093855"/>
        <c:crosses val="autoZero"/>
        <c:auto val="1"/>
        <c:lblAlgn val="ctr"/>
        <c:lblOffset val="100"/>
        <c:noMultiLvlLbl val="0"/>
      </c:catAx>
      <c:valAx>
        <c:axId val="185609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6093375"/>
        <c:crosses val="autoZero"/>
        <c:crossBetween val="between"/>
      </c:valAx>
      <c:valAx>
        <c:axId val="112418863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419823"/>
        <c:crosses val="max"/>
        <c:crossBetween val="between"/>
      </c:valAx>
      <c:catAx>
        <c:axId val="1124198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418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Projections!$B$4</c:f>
              <c:strCache>
                <c:ptCount val="1"/>
                <c:pt idx="0">
                  <c:v>Operating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Projections!$C$4:$M$4</c15:sqref>
                  </c15:fullRef>
                </c:ext>
              </c:extLst>
              <c:f>Projections!$G$4:$M$4</c:f>
              <c:numCache>
                <c:formatCode>#,##0;\(#,##0\)</c:formatCode>
                <c:ptCount val="7"/>
                <c:pt idx="0">
                  <c:v>1679774</c:v>
                </c:pt>
                <c:pt idx="1">
                  <c:v>1928801</c:v>
                </c:pt>
                <c:pt idx="2">
                  <c:v>2012786</c:v>
                </c:pt>
                <c:pt idx="3" formatCode="_-* #,##0_-;\-* #,##0_-;_-* &quot;-&quot;??_-;_-@_-">
                  <c:v>2095506.25</c:v>
                </c:pt>
                <c:pt idx="4" formatCode="_-* #,##0_-;\-* #,##0_-;_-* &quot;-&quot;??_-;_-@_-">
                  <c:v>2183200.8437500005</c:v>
                </c:pt>
                <c:pt idx="5" formatCode="_-* #,##0_-;\-* #,##0_-;_-* &quot;-&quot;??_-;_-@_-">
                  <c:v>2258218.1567708338</c:v>
                </c:pt>
                <c:pt idx="6" formatCode="_-* #,##0_-;\-* #,##0_-;_-* &quot;-&quot;??_-;_-@_-">
                  <c:v>2343145.6010411461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F-4411-AD67-D2E9E07A91BF}"/>
            </c:ext>
          </c:extLst>
        </c:ser>
        <c:ser>
          <c:idx val="3"/>
          <c:order val="3"/>
          <c:tx>
            <c:strRef>
              <c:f>Projections!$B$7</c:f>
              <c:strCache>
                <c:ptCount val="1"/>
                <c:pt idx="0">
                  <c:v>Spain O&amp;L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Projections!$C$7:$M$7</c15:sqref>
                  </c15:fullRef>
                </c:ext>
              </c:extLst>
              <c:f>Projections!$G$7:$M$7</c:f>
              <c:numCache>
                <c:formatCode>_-* #,##0_-;\-* #,##0_-;_-* "-"??_-;_-@_-</c:formatCode>
                <c:ptCount val="7"/>
                <c:pt idx="0">
                  <c:v>670100</c:v>
                </c:pt>
                <c:pt idx="1">
                  <c:v>755500</c:v>
                </c:pt>
                <c:pt idx="2">
                  <c:v>772600</c:v>
                </c:pt>
                <c:pt idx="3">
                  <c:v>788052</c:v>
                </c:pt>
                <c:pt idx="4">
                  <c:v>803813.04</c:v>
                </c:pt>
                <c:pt idx="5">
                  <c:v>819889.30080000008</c:v>
                </c:pt>
                <c:pt idx="6">
                  <c:v>836287.08681600005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7F-4411-AD67-D2E9E07A91BF}"/>
            </c:ext>
          </c:extLst>
        </c:ser>
        <c:ser>
          <c:idx val="5"/>
          <c:order val="5"/>
          <c:tx>
            <c:strRef>
              <c:f>Projections!$B$9</c:f>
              <c:strCache>
                <c:ptCount val="1"/>
                <c:pt idx="0">
                  <c:v>Spain Management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Projections!$C$9:$M$9</c15:sqref>
                  </c15:fullRef>
                </c:ext>
              </c:extLst>
              <c:f>Projections!$G$9:$M$9</c:f>
              <c:numCache>
                <c:formatCode>_-* #,##0_-;\-* #,##0_-;_-* "-"??_-;_-@_-</c:formatCode>
                <c:ptCount val="7"/>
                <c:pt idx="0">
                  <c:v>61500</c:v>
                </c:pt>
                <c:pt idx="1">
                  <c:v>79600</c:v>
                </c:pt>
                <c:pt idx="2">
                  <c:v>91900</c:v>
                </c:pt>
                <c:pt idx="3">
                  <c:v>96495</c:v>
                </c:pt>
                <c:pt idx="4">
                  <c:v>101319.75</c:v>
                </c:pt>
                <c:pt idx="5">
                  <c:v>104359.3425</c:v>
                </c:pt>
                <c:pt idx="6">
                  <c:v>106968.3260625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7F-4411-AD67-D2E9E07A91BF}"/>
            </c:ext>
          </c:extLst>
        </c:ser>
        <c:ser>
          <c:idx val="7"/>
          <c:order val="7"/>
          <c:tx>
            <c:strRef>
              <c:f>Projections!$B$11</c:f>
              <c:strCache>
                <c:ptCount val="1"/>
                <c:pt idx="0">
                  <c:v>EMEA O&amp;L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Projections!$C$11:$M$11</c15:sqref>
                  </c15:fullRef>
                </c:ext>
              </c:extLst>
              <c:f>Projections!$G$11:$M$11</c:f>
              <c:numCache>
                <c:formatCode>_-* #,##0_-;\-* #,##0_-;_-* "-"??_-;_-@_-</c:formatCode>
                <c:ptCount val="7"/>
                <c:pt idx="0">
                  <c:v>422900</c:v>
                </c:pt>
                <c:pt idx="1">
                  <c:v>458300</c:v>
                </c:pt>
                <c:pt idx="2">
                  <c:v>502400</c:v>
                </c:pt>
                <c:pt idx="3">
                  <c:v>527520</c:v>
                </c:pt>
                <c:pt idx="4">
                  <c:v>553896</c:v>
                </c:pt>
                <c:pt idx="5">
                  <c:v>576051.84</c:v>
                </c:pt>
                <c:pt idx="6">
                  <c:v>596213.65439999988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7F-4411-AD67-D2E9E07A91BF}"/>
            </c:ext>
          </c:extLst>
        </c:ser>
        <c:ser>
          <c:idx val="9"/>
          <c:order val="9"/>
          <c:tx>
            <c:strRef>
              <c:f>Projections!$B$13</c:f>
              <c:strCache>
                <c:ptCount val="1"/>
                <c:pt idx="0">
                  <c:v>EMEA Management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Projections!$C$13:$M$13</c15:sqref>
                  </c15:fullRef>
                </c:ext>
              </c:extLst>
              <c:f>Projections!$G$13:$M$13</c:f>
              <c:numCache>
                <c:formatCode>_-* #,##0_-;\-* #,##0_-;_-* "-"??_-;_-@_-</c:formatCode>
                <c:ptCount val="7"/>
                <c:pt idx="0">
                  <c:v>33000</c:v>
                </c:pt>
                <c:pt idx="1">
                  <c:v>32100</c:v>
                </c:pt>
                <c:pt idx="2">
                  <c:v>34600</c:v>
                </c:pt>
                <c:pt idx="3">
                  <c:v>37368</c:v>
                </c:pt>
                <c:pt idx="4">
                  <c:v>40731.120000000003</c:v>
                </c:pt>
                <c:pt idx="5">
                  <c:v>45211.543200000007</c:v>
                </c:pt>
                <c:pt idx="6">
                  <c:v>50184.812952000015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7F-4411-AD67-D2E9E07A91BF}"/>
            </c:ext>
          </c:extLst>
        </c:ser>
        <c:ser>
          <c:idx val="11"/>
          <c:order val="11"/>
          <c:tx>
            <c:strRef>
              <c:f>Projections!$B$15</c:f>
              <c:strCache>
                <c:ptCount val="1"/>
                <c:pt idx="0">
                  <c:v>AMERICA O&amp;L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Projections!$C$15:$M$15</c15:sqref>
                  </c15:fullRef>
                </c:ext>
              </c:extLst>
              <c:f>Projections!$G$15:$M$15</c:f>
              <c:numCache>
                <c:formatCode>_-* #,##0_-;\-* #,##0_-;_-* "-"??_-;_-@_-</c:formatCode>
                <c:ptCount val="7"/>
                <c:pt idx="0">
                  <c:v>407900</c:v>
                </c:pt>
                <c:pt idx="1">
                  <c:v>457300</c:v>
                </c:pt>
                <c:pt idx="2">
                  <c:v>476300</c:v>
                </c:pt>
                <c:pt idx="3">
                  <c:v>495352</c:v>
                </c:pt>
                <c:pt idx="4">
                  <c:v>525073.12</c:v>
                </c:pt>
                <c:pt idx="5">
                  <c:v>546076.04480000003</c:v>
                </c:pt>
                <c:pt idx="6">
                  <c:v>578840.60748800007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17F-4411-AD67-D2E9E07A91BF}"/>
            </c:ext>
          </c:extLst>
        </c:ser>
        <c:ser>
          <c:idx val="13"/>
          <c:order val="13"/>
          <c:tx>
            <c:strRef>
              <c:f>Projections!$B$17</c:f>
              <c:strCache>
                <c:ptCount val="1"/>
                <c:pt idx="0">
                  <c:v>AMERICA Management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Projections!$C$17:$M$17</c15:sqref>
                  </c15:fullRef>
                </c:ext>
              </c:extLst>
              <c:f>Projections!$G$17:$M$17</c:f>
              <c:numCache>
                <c:formatCode>_-* #,##0_-;\-* #,##0_-;_-* "-"??_-;_-@_-</c:formatCode>
                <c:ptCount val="7"/>
                <c:pt idx="0">
                  <c:v>63600</c:v>
                </c:pt>
                <c:pt idx="1">
                  <c:v>42700</c:v>
                </c:pt>
                <c:pt idx="2">
                  <c:v>40900</c:v>
                </c:pt>
                <c:pt idx="3">
                  <c:v>42536</c:v>
                </c:pt>
                <c:pt idx="4">
                  <c:v>44875.479999999996</c:v>
                </c:pt>
                <c:pt idx="5">
                  <c:v>47792.386199999994</c:v>
                </c:pt>
                <c:pt idx="6">
                  <c:v>50420.967440999993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17F-4411-AD67-D2E9E07A91BF}"/>
            </c:ext>
          </c:extLst>
        </c:ser>
        <c:ser>
          <c:idx val="15"/>
          <c:order val="15"/>
          <c:tx>
            <c:strRef>
              <c:f>Projections!$B$19</c:f>
              <c:strCache>
                <c:ptCount val="1"/>
                <c:pt idx="0">
                  <c:v>APAC O&amp;L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Projections!$C$19:$M$19</c15:sqref>
                  </c15:fullRef>
                </c:ext>
              </c:extLst>
              <c:f>Projections!$G$19:$M$19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17F-4411-AD67-D2E9E07A91BF}"/>
            </c:ext>
          </c:extLst>
        </c:ser>
        <c:ser>
          <c:idx val="17"/>
          <c:order val="17"/>
          <c:tx>
            <c:strRef>
              <c:f>Projections!$B$21</c:f>
              <c:strCache>
                <c:ptCount val="1"/>
                <c:pt idx="0">
                  <c:v>APAC Management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Projections!$C$21:$M$21</c15:sqref>
                  </c15:fullRef>
                </c:ext>
              </c:extLst>
              <c:f>Projections!$G$21:$M$21</c:f>
              <c:numCache>
                <c:formatCode>_-* #,##0_-;\-* #,##0_-;_-* "-"??_-;_-@_-</c:formatCode>
                <c:ptCount val="7"/>
                <c:pt idx="0">
                  <c:v>5700</c:v>
                </c:pt>
                <c:pt idx="1">
                  <c:v>9300</c:v>
                </c:pt>
                <c:pt idx="2">
                  <c:v>10700</c:v>
                </c:pt>
                <c:pt idx="3">
                  <c:v>11663</c:v>
                </c:pt>
                <c:pt idx="4">
                  <c:v>12829.300000000001</c:v>
                </c:pt>
                <c:pt idx="5">
                  <c:v>14240.523000000003</c:v>
                </c:pt>
                <c:pt idx="6">
                  <c:v>15379.764840000003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17F-4411-AD67-D2E9E07A91BF}"/>
            </c:ext>
          </c:extLst>
        </c:ser>
        <c:ser>
          <c:idx val="19"/>
          <c:order val="19"/>
          <c:tx>
            <c:strRef>
              <c:f>Projections!$B$23</c:f>
              <c:strCache>
                <c:ptCount val="1"/>
                <c:pt idx="0">
                  <c:v>Cuba O&amp;L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Projections!$C$23:$M$23</c15:sqref>
                  </c15:fullRef>
                </c:ext>
              </c:extLst>
              <c:f>Projections!$G$23:$M$23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17F-4411-AD67-D2E9E07A91BF}"/>
            </c:ext>
          </c:extLst>
        </c:ser>
        <c:ser>
          <c:idx val="21"/>
          <c:order val="21"/>
          <c:tx>
            <c:strRef>
              <c:f>Projections!$B$25</c:f>
              <c:strCache>
                <c:ptCount val="1"/>
                <c:pt idx="0">
                  <c:v>Cuba Management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Projections!$C$25:$M$25</c15:sqref>
                  </c15:fullRef>
                </c:ext>
              </c:extLst>
              <c:f>Projections!$G$25:$M$25</c:f>
              <c:numCache>
                <c:formatCode>_-* #,##0_-;\-* #,##0_-;_-* "-"??_-;_-@_-</c:formatCode>
                <c:ptCount val="7"/>
                <c:pt idx="0">
                  <c:v>20200</c:v>
                </c:pt>
                <c:pt idx="1">
                  <c:v>15500</c:v>
                </c:pt>
                <c:pt idx="2">
                  <c:v>12700</c:v>
                </c:pt>
                <c:pt idx="3">
                  <c:v>12700</c:v>
                </c:pt>
                <c:pt idx="4">
                  <c:v>13335</c:v>
                </c:pt>
                <c:pt idx="5">
                  <c:v>14268.45</c:v>
                </c:pt>
                <c:pt idx="6">
                  <c:v>15124.557000000001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17F-4411-AD67-D2E9E07A91BF}"/>
            </c:ext>
          </c:extLst>
        </c:ser>
        <c:ser>
          <c:idx val="23"/>
          <c:order val="23"/>
          <c:tx>
            <c:strRef>
              <c:f>Projections!$B$27</c:f>
              <c:strCache>
                <c:ptCount val="1"/>
                <c:pt idx="0">
                  <c:v>Other operating income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Projections!$C$27:$M$27</c15:sqref>
                  </c15:fullRef>
                </c:ext>
              </c:extLst>
              <c:f>Projections!$G$27:$M$27</c:f>
              <c:numCache>
                <c:formatCode>_-* #,##0_-;\-* #,##0_-;_-* "-"??_-;_-@_-</c:formatCode>
                <c:ptCount val="7"/>
                <c:pt idx="0">
                  <c:v>-5136.2712744304445</c:v>
                </c:pt>
                <c:pt idx="1">
                  <c:v>78500.097741676727</c:v>
                </c:pt>
                <c:pt idx="2">
                  <c:v>70685.498805284267</c:v>
                </c:pt>
                <c:pt idx="3">
                  <c:v>83820.25</c:v>
                </c:pt>
                <c:pt idx="4">
                  <c:v>87328.033750000017</c:v>
                </c:pt>
                <c:pt idx="5">
                  <c:v>90328.726270833358</c:v>
                </c:pt>
                <c:pt idx="6">
                  <c:v>93725.824041645843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17F-4411-AD67-D2E9E07A9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851359"/>
        <c:axId val="96855679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Projections!$B$5</c15:sqref>
                        </c15:formulaRef>
                      </c:ext>
                    </c:extLst>
                    <c:strCache>
                      <c:ptCount val="1"/>
                      <c:pt idx="0">
                        <c:v>Results from assets sale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Projections!$C$5:$M$5</c15:sqref>
                        </c15:fullRef>
                        <c15:formulaRef>
                          <c15:sqref>Projections!$G$5:$M$5</c15:sqref>
                        </c15:formulaRef>
                      </c:ext>
                    </c:extLst>
                    <c:numCache>
                      <c:formatCode>#,##0;\(#,##0\)</c:formatCode>
                      <c:ptCount val="7"/>
                      <c:pt idx="0">
                        <c:v>12239</c:v>
                      </c:pt>
                      <c:pt idx="1">
                        <c:v>3395</c:v>
                      </c:pt>
                      <c:pt idx="2">
                        <c:v>43496</c:v>
                      </c:pt>
                      <c:pt idx="3">
                        <c:v>43496</c:v>
                      </c:pt>
                      <c:pt idx="4">
                        <c:v>43496</c:v>
                      </c:pt>
                      <c:pt idx="5">
                        <c:v>43496</c:v>
                      </c:pt>
                      <c:pt idx="6">
                        <c:v>43496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17F-4411-AD67-D2E9E07A91B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Projections!$B$6</c15:sqref>
                        </c15:formulaRef>
                      </c:ext>
                    </c:extLst>
                    <c:strCache>
                      <c:ptCount val="1"/>
                      <c:pt idx="0">
                        <c:v>crec%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Projections!$C$6:$M$6</c15:sqref>
                        </c15:fullRef>
                        <c15:formulaRef>
                          <c15:sqref>Projections!$G$6:$M$6</c15:sqref>
                        </c15:formulaRef>
                      </c:ext>
                    </c:extLst>
                    <c:numCache>
                      <c:formatCode>0.0%</c:formatCode>
                      <c:ptCount val="7"/>
                      <c:pt idx="0">
                        <c:v>1.0306549259678341</c:v>
                      </c:pt>
                      <c:pt idx="1">
                        <c:v>0.14825030033802156</c:v>
                      </c:pt>
                      <c:pt idx="2">
                        <c:v>4.354259459633214E-2</c:v>
                      </c:pt>
                      <c:pt idx="3">
                        <c:v>4.1097389389632033E-2</c:v>
                      </c:pt>
                      <c:pt idx="4">
                        <c:v>4.1848881982575969E-2</c:v>
                      </c:pt>
                      <c:pt idx="5">
                        <c:v>3.4361159778584005E-2</c:v>
                      </c:pt>
                      <c:pt idx="6">
                        <c:v>3.7608166427886447E-2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17F-4411-AD67-D2E9E07A91B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Projections!$B$8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Projections!$C$8:$M$8</c15:sqref>
                        </c15:fullRef>
                        <c15:formulaRef>
                          <c15:sqref>Projections!$G$8:$M$8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1.2071805006587617</c:v>
                      </c:pt>
                      <c:pt idx="1">
                        <c:v>0.12744366512460825</c:v>
                      </c:pt>
                      <c:pt idx="2">
                        <c:v>2.2634017207147528E-2</c:v>
                      </c:pt>
                      <c:pt idx="3" formatCode="0.0%">
                        <c:v>0.02</c:v>
                      </c:pt>
                      <c:pt idx="4" formatCode="0.0%">
                        <c:v>0.02</c:v>
                      </c:pt>
                      <c:pt idx="5" formatCode="0.0%">
                        <c:v>0.02</c:v>
                      </c:pt>
                      <c:pt idx="6" formatCode="0.0%">
                        <c:v>0.02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17F-4411-AD67-D2E9E07A91BF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Projections!$B$10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Projections!$C$10:$M$10</c15:sqref>
                        </c15:fullRef>
                        <c15:formulaRef>
                          <c15:sqref>Projections!$G$10:$M$10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0.977491961414791</c:v>
                      </c:pt>
                      <c:pt idx="1">
                        <c:v>0.29430894308943079</c:v>
                      </c:pt>
                      <c:pt idx="2">
                        <c:v>0.15452261306532655</c:v>
                      </c:pt>
                      <c:pt idx="3" formatCode="0.0%">
                        <c:v>0.05</c:v>
                      </c:pt>
                      <c:pt idx="4" formatCode="0.0%">
                        <c:v>0.05</c:v>
                      </c:pt>
                      <c:pt idx="5" formatCode="0.0%">
                        <c:v>0.03</c:v>
                      </c:pt>
                      <c:pt idx="6" formatCode="0.0%">
                        <c:v>2.5000000000000001E-2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17F-4411-AD67-D2E9E07A91BF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Projections!$B$12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Projections!$C$12:$M$12</c15:sqref>
                        </c15:fullRef>
                        <c15:formulaRef>
                          <c15:sqref>Projections!$G$12:$M$12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1.3313120176405735</c:v>
                      </c:pt>
                      <c:pt idx="1">
                        <c:v>8.3707732324426631E-2</c:v>
                      </c:pt>
                      <c:pt idx="2">
                        <c:v>9.6225180013091771E-2</c:v>
                      </c:pt>
                      <c:pt idx="3" formatCode="0.0%">
                        <c:v>0.05</c:v>
                      </c:pt>
                      <c:pt idx="4" formatCode="0.0%">
                        <c:v>0.05</c:v>
                      </c:pt>
                      <c:pt idx="5" formatCode="0.0%">
                        <c:v>0.04</c:v>
                      </c:pt>
                      <c:pt idx="6" formatCode="0.0%">
                        <c:v>3.5000000000000003E-2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17F-4411-AD67-D2E9E07A91BF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Projections!$B$14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Projections!$C$14:$M$14</c15:sqref>
                        </c15:fullRef>
                        <c15:formulaRef>
                          <c15:sqref>Projections!$G$14:$M$14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2.0841121495327104</c:v>
                      </c:pt>
                      <c:pt idx="1">
                        <c:v>-2.7272727272727226E-2</c:v>
                      </c:pt>
                      <c:pt idx="2">
                        <c:v>7.7881619937694602E-2</c:v>
                      </c:pt>
                      <c:pt idx="3" formatCode="0.0%">
                        <c:v>0.08</c:v>
                      </c:pt>
                      <c:pt idx="4" formatCode="0.0%">
                        <c:v>0.09</c:v>
                      </c:pt>
                      <c:pt idx="5" formatCode="0.0%">
                        <c:v>0.11</c:v>
                      </c:pt>
                      <c:pt idx="6" formatCode="0.0%">
                        <c:v>0.11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17F-4411-AD67-D2E9E07A91BF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Projections!$B$16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Projections!$C$16:$M$16</c15:sqref>
                        </c15:fullRef>
                        <c15:formulaRef>
                          <c15:sqref>Projections!$G$16:$M$16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0.85746812386156646</c:v>
                      </c:pt>
                      <c:pt idx="1">
                        <c:v>0.1211081147340034</c:v>
                      </c:pt>
                      <c:pt idx="2">
                        <c:v>4.1548217800131182E-2</c:v>
                      </c:pt>
                      <c:pt idx="3" formatCode="0.0%">
                        <c:v>0.04</c:v>
                      </c:pt>
                      <c:pt idx="4" formatCode="0.0%">
                        <c:v>0.06</c:v>
                      </c:pt>
                      <c:pt idx="5" formatCode="0.0%">
                        <c:v>0.04</c:v>
                      </c:pt>
                      <c:pt idx="6" formatCode="0.0%">
                        <c:v>0.06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17F-4411-AD67-D2E9E07A91BF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Projections!$B$18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Projections!$C$18:$M$18</c15:sqref>
                        </c15:fullRef>
                        <c15:formulaRef>
                          <c15:sqref>Projections!$G$18:$M$18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2.9750000000000001</c:v>
                      </c:pt>
                      <c:pt idx="1">
                        <c:v>-0.32861635220125784</c:v>
                      </c:pt>
                      <c:pt idx="2">
                        <c:v>-4.2154566744730726E-2</c:v>
                      </c:pt>
                      <c:pt idx="3" formatCode="0.0%">
                        <c:v>0.04</c:v>
                      </c:pt>
                      <c:pt idx="4" formatCode="0.0%">
                        <c:v>5.5E-2</c:v>
                      </c:pt>
                      <c:pt idx="5" formatCode="0.0%">
                        <c:v>6.5000000000000002E-2</c:v>
                      </c:pt>
                      <c:pt idx="6" formatCode="0.0%">
                        <c:v>5.5E-2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17F-4411-AD67-D2E9E07A91BF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Projections!$B$20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Projections!$C$20:$M$20</c15:sqref>
                        </c15:fullRef>
                        <c15:formulaRef>
                          <c15:sqref>Projections!$G$20:$M$20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0.0%">
                        <c:v>0</c:v>
                      </c:pt>
                      <c:pt idx="4" formatCode="0.0%">
                        <c:v>0</c:v>
                      </c:pt>
                      <c:pt idx="5" formatCode="0.0%">
                        <c:v>0</c:v>
                      </c:pt>
                      <c:pt idx="6" formatCode="0.0%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17F-4411-AD67-D2E9E07A91BF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Projections!$B$22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Projections!$C$22:$M$22</c15:sqref>
                        </c15:fullRef>
                        <c15:formulaRef>
                          <c15:sqref>Projections!$G$22:$M$22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0.83870967741935476</c:v>
                      </c:pt>
                      <c:pt idx="1">
                        <c:v>0.63157894736842102</c:v>
                      </c:pt>
                      <c:pt idx="2">
                        <c:v>0.15053763440860224</c:v>
                      </c:pt>
                      <c:pt idx="3" formatCode="0.0%">
                        <c:v>0.09</c:v>
                      </c:pt>
                      <c:pt idx="4" formatCode="0.0%">
                        <c:v>0.1</c:v>
                      </c:pt>
                      <c:pt idx="5" formatCode="0.0%">
                        <c:v>0.11</c:v>
                      </c:pt>
                      <c:pt idx="6" formatCode="0.0%">
                        <c:v>0.08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17F-4411-AD67-D2E9E07A91BF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Projections!$B$24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Projections!$C$24:$M$24</c15:sqref>
                        </c15:fullRef>
                        <c15:formulaRef>
                          <c15:sqref>Projections!$G$24:$M$24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0.0%">
                        <c:v>0</c:v>
                      </c:pt>
                      <c:pt idx="4" formatCode="0.0%">
                        <c:v>0</c:v>
                      </c:pt>
                      <c:pt idx="5" formatCode="0.0%">
                        <c:v>0</c:v>
                      </c:pt>
                      <c:pt idx="6" formatCode="0.0%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C17F-4411-AD67-D2E9E07A91BF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Projections!$B$26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Projections!$C$26:$M$26</c15:sqref>
                        </c15:fullRef>
                        <c15:formulaRef>
                          <c15:sqref>Projections!$G$26:$M$26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7.08</c:v>
                      </c:pt>
                      <c:pt idx="1">
                        <c:v>-0.23267326732673266</c:v>
                      </c:pt>
                      <c:pt idx="2">
                        <c:v>-0.1806451612903226</c:v>
                      </c:pt>
                      <c:pt idx="3" formatCode="0.0%">
                        <c:v>0</c:v>
                      </c:pt>
                      <c:pt idx="4" formatCode="0.0%">
                        <c:v>0.05</c:v>
                      </c:pt>
                      <c:pt idx="5" formatCode="0.0%">
                        <c:v>7.0000000000000007E-2</c:v>
                      </c:pt>
                      <c:pt idx="6" formatCode="0.0%">
                        <c:v>0.06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C17F-4411-AD67-D2E9E07A91BF}"/>
                  </c:ext>
                </c:extLst>
              </c15:ser>
            </c15:filteredBarSeries>
          </c:ext>
        </c:extLst>
      </c:barChart>
      <c:catAx>
        <c:axId val="9685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855679"/>
        <c:crosses val="autoZero"/>
        <c:auto val="1"/>
        <c:lblAlgn val="ctr"/>
        <c:lblOffset val="100"/>
        <c:noMultiLvlLbl val="0"/>
      </c:catAx>
      <c:valAx>
        <c:axId val="9685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85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'Income Statement'!$B$20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'Income Statement'!$C$3:$M$3</c:f>
              <c:strCache>
                <c:ptCount val="1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2025e</c:v>
                </c:pt>
                <c:pt idx="8">
                  <c:v>2026e</c:v>
                </c:pt>
                <c:pt idx="9">
                  <c:v>2027e</c:v>
                </c:pt>
                <c:pt idx="10">
                  <c:v>2028e</c:v>
                </c:pt>
              </c:strCache>
            </c:strRef>
          </c:cat>
          <c:val>
            <c:numRef>
              <c:f>'Income Statement'!$C$20:$M$20</c:f>
              <c:numCache>
                <c:formatCode>#,##0;\(#,##0\)</c:formatCode>
                <c:ptCount val="11"/>
                <c:pt idx="0">
                  <c:v>258871</c:v>
                </c:pt>
                <c:pt idx="1">
                  <c:v>222795</c:v>
                </c:pt>
                <c:pt idx="2">
                  <c:v>-557348</c:v>
                </c:pt>
                <c:pt idx="3">
                  <c:v>-145346</c:v>
                </c:pt>
                <c:pt idx="4">
                  <c:v>201099</c:v>
                </c:pt>
                <c:pt idx="5">
                  <c:v>230999</c:v>
                </c:pt>
                <c:pt idx="6">
                  <c:v>333463</c:v>
                </c:pt>
                <c:pt idx="7">
                  <c:v>359117.2037299606</c:v>
                </c:pt>
                <c:pt idx="8">
                  <c:v>387340.2022347952</c:v>
                </c:pt>
                <c:pt idx="9">
                  <c:v>403615.12447186006</c:v>
                </c:pt>
                <c:pt idx="10">
                  <c:v>425931.78949071886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5-4A6A-B657-74DCBF6FE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56093375"/>
        <c:axId val="1856093855"/>
      </c:barChart>
      <c:lineChart>
        <c:grouping val="standard"/>
        <c:varyColors val="0"/>
        <c:ser>
          <c:idx val="1"/>
          <c:order val="1"/>
          <c:tx>
            <c:strRef>
              <c:f>'Income Statement'!$B$21</c:f>
              <c:strCache>
                <c:ptCount val="1"/>
                <c:pt idx="0">
                  <c:v>%growth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'Income Statement'!$C$3:$M$3</c:f>
              <c:strCache>
                <c:ptCount val="1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2025e</c:v>
                </c:pt>
                <c:pt idx="8">
                  <c:v>2026e</c:v>
                </c:pt>
                <c:pt idx="9">
                  <c:v>2027e</c:v>
                </c:pt>
                <c:pt idx="10">
                  <c:v>2028e</c:v>
                </c:pt>
              </c:strCache>
            </c:strRef>
          </c:cat>
          <c:val>
            <c:numRef>
              <c:f>'Income Statement'!$C$21:$M$21</c:f>
              <c:numCache>
                <c:formatCode>0%</c:formatCode>
                <c:ptCount val="11"/>
                <c:pt idx="1">
                  <c:v>-0.1393589857496591</c:v>
                </c:pt>
                <c:pt idx="2">
                  <c:v>-3.5016180794003455</c:v>
                </c:pt>
                <c:pt idx="3">
                  <c:v>0.73921858515684991</c:v>
                </c:pt>
                <c:pt idx="4">
                  <c:v>2.3835881276402517</c:v>
                </c:pt>
                <c:pt idx="5">
                  <c:v>0.14868298698650914</c:v>
                </c:pt>
                <c:pt idx="6">
                  <c:v>0.44356901977930641</c:v>
                </c:pt>
                <c:pt idx="7">
                  <c:v>7.6932684375659671E-2</c:v>
                </c:pt>
                <c:pt idx="8">
                  <c:v>7.8589937245270428E-2</c:v>
                </c:pt>
                <c:pt idx="9">
                  <c:v>4.2017126399906832E-2</c:v>
                </c:pt>
                <c:pt idx="10">
                  <c:v>5.5291944393958674E-2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E5-4A6A-B657-74DCBF6FEA8A}"/>
            </c:ext>
          </c:extLst>
        </c:ser>
        <c:ser>
          <c:idx val="2"/>
          <c:order val="2"/>
          <c:tx>
            <c:strRef>
              <c:f>'Income Statement'!$B$22</c:f>
              <c:strCache>
                <c:ptCount val="1"/>
                <c:pt idx="0">
                  <c:v>EBIT 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'Income Statement'!$C$3:$M$3</c:f>
              <c:strCache>
                <c:ptCount val="1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2025e</c:v>
                </c:pt>
                <c:pt idx="8">
                  <c:v>2026e</c:v>
                </c:pt>
                <c:pt idx="9">
                  <c:v>2027e</c:v>
                </c:pt>
                <c:pt idx="10">
                  <c:v>2028e</c:v>
                </c:pt>
              </c:strCache>
            </c:strRef>
          </c:cat>
          <c:val>
            <c:numRef>
              <c:f>'Income Statement'!$C$22:$M$22</c:f>
              <c:numCache>
                <c:formatCode>0%</c:formatCode>
                <c:ptCount val="11"/>
                <c:pt idx="0">
                  <c:v>0.14135798592814453</c:v>
                </c:pt>
                <c:pt idx="1">
                  <c:v>0.1237235172697583</c:v>
                </c:pt>
                <c:pt idx="2">
                  <c:v>-1.0547882467382541</c:v>
                </c:pt>
                <c:pt idx="3">
                  <c:v>-0.16105997779338987</c:v>
                </c:pt>
                <c:pt idx="4">
                  <c:v>0.11885192371453411</c:v>
                </c:pt>
                <c:pt idx="5">
                  <c:v>0.11955257127123749</c:v>
                </c:pt>
                <c:pt idx="6">
                  <c:v>0.16216793221941347</c:v>
                </c:pt>
                <c:pt idx="7">
                  <c:v>0.16789005422035466</c:v>
                </c:pt>
                <c:pt idx="8">
                  <c:v>0.17395282313441107</c:v>
                </c:pt>
                <c:pt idx="9">
                  <c:v>0.17535414781395262</c:v>
                </c:pt>
                <c:pt idx="10">
                  <c:v>0.17846491459166336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5-4A6A-B657-74DCBF6FE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419823"/>
        <c:axId val="112418863"/>
      </c:lineChart>
      <c:catAx>
        <c:axId val="185609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6093855"/>
        <c:crosses val="autoZero"/>
        <c:auto val="1"/>
        <c:lblAlgn val="ctr"/>
        <c:lblOffset val="100"/>
        <c:noMultiLvlLbl val="0"/>
      </c:catAx>
      <c:valAx>
        <c:axId val="185609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6093375"/>
        <c:crosses val="autoZero"/>
        <c:crossBetween val="between"/>
      </c:valAx>
      <c:valAx>
        <c:axId val="112418863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419823"/>
        <c:crosses val="max"/>
        <c:crossBetween val="between"/>
      </c:valAx>
      <c:catAx>
        <c:axId val="1124198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418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'Ratios &amp; KPI''s'!$B$4</c:f>
              <c:strCache>
                <c:ptCount val="1"/>
                <c:pt idx="0">
                  <c:v>Working Capital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'Ratios &amp; KPI''s'!$C$3:$M$3</c:f>
              <c:strCache>
                <c:ptCount val="5"/>
                <c:pt idx="0">
                  <c:v>2024</c:v>
                </c:pt>
                <c:pt idx="1">
                  <c:v>2025e</c:v>
                </c:pt>
                <c:pt idx="2">
                  <c:v>2026e</c:v>
                </c:pt>
                <c:pt idx="3">
                  <c:v>2027e</c:v>
                </c:pt>
                <c:pt idx="4">
                  <c:v>2028e</c:v>
                </c:pt>
              </c:strCache>
            </c:strRef>
          </c:cat>
          <c:val>
            <c:numRef>
              <c:f>'Ratios &amp; KPI''s'!$C$4:$M$4</c:f>
              <c:numCache>
                <c:formatCode>#,##0;\(#,##0\)</c:formatCode>
                <c:ptCount val="5"/>
                <c:pt idx="0">
                  <c:v>-202278</c:v>
                </c:pt>
                <c:pt idx="1">
                  <c:v>-209507.64725447714</c:v>
                </c:pt>
                <c:pt idx="2">
                  <c:v>-217172.04598317028</c:v>
                </c:pt>
                <c:pt idx="3">
                  <c:v>-223728.46609939722</c:v>
                </c:pt>
                <c:pt idx="4">
                  <c:v>-231151.01939558063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2-4B13-9473-F6A307C02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56307695"/>
        <c:axId val="1856307215"/>
      </c:barChart>
      <c:lineChart>
        <c:grouping val="standard"/>
        <c:varyColors val="0"/>
        <c:ser>
          <c:idx val="1"/>
          <c:order val="1"/>
          <c:tx>
            <c:strRef>
              <c:f>'Ratios &amp; KPI''s'!$B$5</c:f>
              <c:strCache>
                <c:ptCount val="1"/>
                <c:pt idx="0">
                  <c:v>Working Capital /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'Ratios &amp; KPI''s'!$C$3:$M$3</c:f>
              <c:strCache>
                <c:ptCount val="5"/>
                <c:pt idx="0">
                  <c:v>2024</c:v>
                </c:pt>
                <c:pt idx="1">
                  <c:v>2025e</c:v>
                </c:pt>
                <c:pt idx="2">
                  <c:v>2026e</c:v>
                </c:pt>
                <c:pt idx="3">
                  <c:v>2027e</c:v>
                </c:pt>
                <c:pt idx="4">
                  <c:v>2028e</c:v>
                </c:pt>
              </c:strCache>
            </c:strRef>
          </c:cat>
          <c:val>
            <c:numRef>
              <c:f>'Ratios &amp; KPI''s'!$C$5:$M$5</c:f>
              <c:numCache>
                <c:formatCode>0.0%</c:formatCode>
                <c:ptCount val="5"/>
                <c:pt idx="0">
                  <c:v>-0.10049652571112876</c:v>
                </c:pt>
                <c:pt idx="1">
                  <c:v>-9.9979490519046241E-2</c:v>
                </c:pt>
                <c:pt idx="2">
                  <c:v>-9.9474148979414173E-2</c:v>
                </c:pt>
                <c:pt idx="3">
                  <c:v>-9.9073008260335854E-2</c:v>
                </c:pt>
                <c:pt idx="4">
                  <c:v>-9.8649874464852585E-2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82-4B13-9473-F6A307C02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473151"/>
        <c:axId val="1980480351"/>
      </c:lineChart>
      <c:catAx>
        <c:axId val="185630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6307215"/>
        <c:crosses val="autoZero"/>
        <c:auto val="1"/>
        <c:lblAlgn val="ctr"/>
        <c:lblOffset val="100"/>
        <c:noMultiLvlLbl val="0"/>
      </c:catAx>
      <c:valAx>
        <c:axId val="1856307215"/>
        <c:scaling>
          <c:orientation val="minMax"/>
          <c:max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6307695"/>
        <c:crosses val="autoZero"/>
        <c:crossBetween val="between"/>
      </c:valAx>
      <c:valAx>
        <c:axId val="1980480351"/>
        <c:scaling>
          <c:orientation val="minMax"/>
          <c:max val="0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0473151"/>
        <c:crosses val="max"/>
        <c:crossBetween val="between"/>
      </c:valAx>
      <c:catAx>
        <c:axId val="1980473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04803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Projections!$B$4</c:f>
              <c:strCache>
                <c:ptCount val="1"/>
                <c:pt idx="0">
                  <c:v>Operating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Projections!$C$4:$M$4</c15:sqref>
                  </c15:fullRef>
                </c:ext>
              </c:extLst>
              <c:f>Projections!$G$4:$M$4</c:f>
              <c:numCache>
                <c:formatCode>#,##0;\(#,##0\)</c:formatCode>
                <c:ptCount val="7"/>
                <c:pt idx="0">
                  <c:v>1679774</c:v>
                </c:pt>
                <c:pt idx="1">
                  <c:v>1928801</c:v>
                </c:pt>
                <c:pt idx="2">
                  <c:v>2012786</c:v>
                </c:pt>
                <c:pt idx="3" formatCode="_-* #,##0_-;\-* #,##0_-;_-* &quot;-&quot;??_-;_-@_-">
                  <c:v>2095506.25</c:v>
                </c:pt>
                <c:pt idx="4" formatCode="_-* #,##0_-;\-* #,##0_-;_-* &quot;-&quot;??_-;_-@_-">
                  <c:v>2183200.8437500005</c:v>
                </c:pt>
                <c:pt idx="5" formatCode="_-* #,##0_-;\-* #,##0_-;_-* &quot;-&quot;??_-;_-@_-">
                  <c:v>2258218.1567708338</c:v>
                </c:pt>
                <c:pt idx="6" formatCode="_-* #,##0_-;\-* #,##0_-;_-* &quot;-&quot;??_-;_-@_-">
                  <c:v>2343145.6010411461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A-4950-8F88-7E72D23466F2}"/>
            </c:ext>
          </c:extLst>
        </c:ser>
        <c:ser>
          <c:idx val="3"/>
          <c:order val="3"/>
          <c:tx>
            <c:strRef>
              <c:f>Projections!$B$7</c:f>
              <c:strCache>
                <c:ptCount val="1"/>
                <c:pt idx="0">
                  <c:v>Spain O&amp;L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Projections!$C$7:$M$7</c15:sqref>
                  </c15:fullRef>
                </c:ext>
              </c:extLst>
              <c:f>Projections!$G$7:$M$7</c:f>
              <c:numCache>
                <c:formatCode>_-* #,##0_-;\-* #,##0_-;_-* "-"??_-;_-@_-</c:formatCode>
                <c:ptCount val="7"/>
                <c:pt idx="0">
                  <c:v>670100</c:v>
                </c:pt>
                <c:pt idx="1">
                  <c:v>755500</c:v>
                </c:pt>
                <c:pt idx="2">
                  <c:v>772600</c:v>
                </c:pt>
                <c:pt idx="3">
                  <c:v>788052</c:v>
                </c:pt>
                <c:pt idx="4">
                  <c:v>803813.04</c:v>
                </c:pt>
                <c:pt idx="5">
                  <c:v>819889.30080000008</c:v>
                </c:pt>
                <c:pt idx="6">
                  <c:v>836287.08681600005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AA-4950-8F88-7E72D23466F2}"/>
            </c:ext>
          </c:extLst>
        </c:ser>
        <c:ser>
          <c:idx val="5"/>
          <c:order val="5"/>
          <c:tx>
            <c:strRef>
              <c:f>Projections!$B$9</c:f>
              <c:strCache>
                <c:ptCount val="1"/>
                <c:pt idx="0">
                  <c:v>Spain Management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Projections!$C$9:$M$9</c15:sqref>
                  </c15:fullRef>
                </c:ext>
              </c:extLst>
              <c:f>Projections!$G$9:$M$9</c:f>
              <c:numCache>
                <c:formatCode>_-* #,##0_-;\-* #,##0_-;_-* "-"??_-;_-@_-</c:formatCode>
                <c:ptCount val="7"/>
                <c:pt idx="0">
                  <c:v>61500</c:v>
                </c:pt>
                <c:pt idx="1">
                  <c:v>79600</c:v>
                </c:pt>
                <c:pt idx="2">
                  <c:v>91900</c:v>
                </c:pt>
                <c:pt idx="3">
                  <c:v>96495</c:v>
                </c:pt>
                <c:pt idx="4">
                  <c:v>101319.75</c:v>
                </c:pt>
                <c:pt idx="5">
                  <c:v>104359.3425</c:v>
                </c:pt>
                <c:pt idx="6">
                  <c:v>106968.3260625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AA-4950-8F88-7E72D23466F2}"/>
            </c:ext>
          </c:extLst>
        </c:ser>
        <c:ser>
          <c:idx val="7"/>
          <c:order val="7"/>
          <c:tx>
            <c:strRef>
              <c:f>Projections!$B$11</c:f>
              <c:strCache>
                <c:ptCount val="1"/>
                <c:pt idx="0">
                  <c:v>EMEA O&amp;L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Projections!$C$11:$M$11</c15:sqref>
                  </c15:fullRef>
                </c:ext>
              </c:extLst>
              <c:f>Projections!$G$11:$M$11</c:f>
              <c:numCache>
                <c:formatCode>_-* #,##0_-;\-* #,##0_-;_-* "-"??_-;_-@_-</c:formatCode>
                <c:ptCount val="7"/>
                <c:pt idx="0">
                  <c:v>422900</c:v>
                </c:pt>
                <c:pt idx="1">
                  <c:v>458300</c:v>
                </c:pt>
                <c:pt idx="2">
                  <c:v>502400</c:v>
                </c:pt>
                <c:pt idx="3">
                  <c:v>527520</c:v>
                </c:pt>
                <c:pt idx="4">
                  <c:v>553896</c:v>
                </c:pt>
                <c:pt idx="5">
                  <c:v>576051.84</c:v>
                </c:pt>
                <c:pt idx="6">
                  <c:v>596213.65439999988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AA-4950-8F88-7E72D23466F2}"/>
            </c:ext>
          </c:extLst>
        </c:ser>
        <c:ser>
          <c:idx val="9"/>
          <c:order val="9"/>
          <c:tx>
            <c:strRef>
              <c:f>Projections!$B$13</c:f>
              <c:strCache>
                <c:ptCount val="1"/>
                <c:pt idx="0">
                  <c:v>EMEA Management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Projections!$C$13:$M$13</c15:sqref>
                  </c15:fullRef>
                </c:ext>
              </c:extLst>
              <c:f>Projections!$G$13:$M$13</c:f>
              <c:numCache>
                <c:formatCode>_-* #,##0_-;\-* #,##0_-;_-* "-"??_-;_-@_-</c:formatCode>
                <c:ptCount val="7"/>
                <c:pt idx="0">
                  <c:v>33000</c:v>
                </c:pt>
                <c:pt idx="1">
                  <c:v>32100</c:v>
                </c:pt>
                <c:pt idx="2">
                  <c:v>34600</c:v>
                </c:pt>
                <c:pt idx="3">
                  <c:v>37368</c:v>
                </c:pt>
                <c:pt idx="4">
                  <c:v>40731.120000000003</c:v>
                </c:pt>
                <c:pt idx="5">
                  <c:v>45211.543200000007</c:v>
                </c:pt>
                <c:pt idx="6">
                  <c:v>50184.812952000015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AA-4950-8F88-7E72D23466F2}"/>
            </c:ext>
          </c:extLst>
        </c:ser>
        <c:ser>
          <c:idx val="11"/>
          <c:order val="11"/>
          <c:tx>
            <c:strRef>
              <c:f>Projections!$B$15</c:f>
              <c:strCache>
                <c:ptCount val="1"/>
                <c:pt idx="0">
                  <c:v>AMERICA O&amp;L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Projections!$C$15:$M$15</c15:sqref>
                  </c15:fullRef>
                </c:ext>
              </c:extLst>
              <c:f>Projections!$G$15:$M$15</c:f>
              <c:numCache>
                <c:formatCode>_-* #,##0_-;\-* #,##0_-;_-* "-"??_-;_-@_-</c:formatCode>
                <c:ptCount val="7"/>
                <c:pt idx="0">
                  <c:v>407900</c:v>
                </c:pt>
                <c:pt idx="1">
                  <c:v>457300</c:v>
                </c:pt>
                <c:pt idx="2">
                  <c:v>476300</c:v>
                </c:pt>
                <c:pt idx="3">
                  <c:v>495352</c:v>
                </c:pt>
                <c:pt idx="4">
                  <c:v>525073.12</c:v>
                </c:pt>
                <c:pt idx="5">
                  <c:v>546076.04480000003</c:v>
                </c:pt>
                <c:pt idx="6">
                  <c:v>578840.60748800007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AA-4950-8F88-7E72D23466F2}"/>
            </c:ext>
          </c:extLst>
        </c:ser>
        <c:ser>
          <c:idx val="13"/>
          <c:order val="13"/>
          <c:tx>
            <c:strRef>
              <c:f>Projections!$B$17</c:f>
              <c:strCache>
                <c:ptCount val="1"/>
                <c:pt idx="0">
                  <c:v>AMERICA Management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Projections!$C$17:$M$17</c15:sqref>
                  </c15:fullRef>
                </c:ext>
              </c:extLst>
              <c:f>Projections!$G$17:$M$17</c:f>
              <c:numCache>
                <c:formatCode>_-* #,##0_-;\-* #,##0_-;_-* "-"??_-;_-@_-</c:formatCode>
                <c:ptCount val="7"/>
                <c:pt idx="0">
                  <c:v>63600</c:v>
                </c:pt>
                <c:pt idx="1">
                  <c:v>42700</c:v>
                </c:pt>
                <c:pt idx="2">
                  <c:v>40900</c:v>
                </c:pt>
                <c:pt idx="3">
                  <c:v>42536</c:v>
                </c:pt>
                <c:pt idx="4">
                  <c:v>44875.479999999996</c:v>
                </c:pt>
                <c:pt idx="5">
                  <c:v>47792.386199999994</c:v>
                </c:pt>
                <c:pt idx="6">
                  <c:v>50420.967440999993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AA-4950-8F88-7E72D23466F2}"/>
            </c:ext>
          </c:extLst>
        </c:ser>
        <c:ser>
          <c:idx val="15"/>
          <c:order val="15"/>
          <c:tx>
            <c:strRef>
              <c:f>Projections!$B$19</c:f>
              <c:strCache>
                <c:ptCount val="1"/>
                <c:pt idx="0">
                  <c:v>APAC O&amp;L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Projections!$C$19:$M$19</c15:sqref>
                  </c15:fullRef>
                </c:ext>
              </c:extLst>
              <c:f>Projections!$G$19:$M$19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5AA-4950-8F88-7E72D23466F2}"/>
            </c:ext>
          </c:extLst>
        </c:ser>
        <c:ser>
          <c:idx val="17"/>
          <c:order val="17"/>
          <c:tx>
            <c:strRef>
              <c:f>Projections!$B$21</c:f>
              <c:strCache>
                <c:ptCount val="1"/>
                <c:pt idx="0">
                  <c:v>APAC Management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Projections!$C$21:$M$21</c15:sqref>
                  </c15:fullRef>
                </c:ext>
              </c:extLst>
              <c:f>Projections!$G$21:$M$21</c:f>
              <c:numCache>
                <c:formatCode>_-* #,##0_-;\-* #,##0_-;_-* "-"??_-;_-@_-</c:formatCode>
                <c:ptCount val="7"/>
                <c:pt idx="0">
                  <c:v>5700</c:v>
                </c:pt>
                <c:pt idx="1">
                  <c:v>9300</c:v>
                </c:pt>
                <c:pt idx="2">
                  <c:v>10700</c:v>
                </c:pt>
                <c:pt idx="3">
                  <c:v>11663</c:v>
                </c:pt>
                <c:pt idx="4">
                  <c:v>12829.300000000001</c:v>
                </c:pt>
                <c:pt idx="5">
                  <c:v>14240.523000000003</c:v>
                </c:pt>
                <c:pt idx="6">
                  <c:v>15379.764840000003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AA-4950-8F88-7E72D23466F2}"/>
            </c:ext>
          </c:extLst>
        </c:ser>
        <c:ser>
          <c:idx val="19"/>
          <c:order val="19"/>
          <c:tx>
            <c:strRef>
              <c:f>Projections!$B$23</c:f>
              <c:strCache>
                <c:ptCount val="1"/>
                <c:pt idx="0">
                  <c:v>Cuba O&amp;L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Projections!$C$23:$M$23</c15:sqref>
                  </c15:fullRef>
                </c:ext>
              </c:extLst>
              <c:f>Projections!$G$23:$M$23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5AA-4950-8F88-7E72D23466F2}"/>
            </c:ext>
          </c:extLst>
        </c:ser>
        <c:ser>
          <c:idx val="21"/>
          <c:order val="21"/>
          <c:tx>
            <c:strRef>
              <c:f>Projections!$B$25</c:f>
              <c:strCache>
                <c:ptCount val="1"/>
                <c:pt idx="0">
                  <c:v>Cuba Management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Projections!$C$25:$M$25</c15:sqref>
                  </c15:fullRef>
                </c:ext>
              </c:extLst>
              <c:f>Projections!$G$25:$M$25</c:f>
              <c:numCache>
                <c:formatCode>_-* #,##0_-;\-* #,##0_-;_-* "-"??_-;_-@_-</c:formatCode>
                <c:ptCount val="7"/>
                <c:pt idx="0">
                  <c:v>20200</c:v>
                </c:pt>
                <c:pt idx="1">
                  <c:v>15500</c:v>
                </c:pt>
                <c:pt idx="2">
                  <c:v>12700</c:v>
                </c:pt>
                <c:pt idx="3">
                  <c:v>12700</c:v>
                </c:pt>
                <c:pt idx="4">
                  <c:v>13335</c:v>
                </c:pt>
                <c:pt idx="5">
                  <c:v>14268.45</c:v>
                </c:pt>
                <c:pt idx="6">
                  <c:v>15124.557000000001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AA-4950-8F88-7E72D23466F2}"/>
            </c:ext>
          </c:extLst>
        </c:ser>
        <c:ser>
          <c:idx val="23"/>
          <c:order val="23"/>
          <c:tx>
            <c:strRef>
              <c:f>Projections!$B$27</c:f>
              <c:strCache>
                <c:ptCount val="1"/>
                <c:pt idx="0">
                  <c:v>Other operating income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Projections!$C$3:$M$3</c15:sqref>
                  </c15:fullRef>
                </c:ext>
              </c:extLst>
              <c:f>Projections!$G$3:$M$3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2025e</c:v>
                </c:pt>
                <c:pt idx="4">
                  <c:v>2026e</c:v>
                </c:pt>
                <c:pt idx="5">
                  <c:v>2027e</c:v>
                </c:pt>
                <c:pt idx="6">
                  <c:v>2028e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Projections!$C$27:$M$27</c15:sqref>
                  </c15:fullRef>
                </c:ext>
              </c:extLst>
              <c:f>Projections!$G$27:$M$27</c:f>
              <c:numCache>
                <c:formatCode>_-* #,##0_-;\-* #,##0_-;_-* "-"??_-;_-@_-</c:formatCode>
                <c:ptCount val="7"/>
                <c:pt idx="0">
                  <c:v>-5136.2712744304445</c:v>
                </c:pt>
                <c:pt idx="1">
                  <c:v>78500.097741676727</c:v>
                </c:pt>
                <c:pt idx="2">
                  <c:v>70685.498805284267</c:v>
                </c:pt>
                <c:pt idx="3">
                  <c:v>83820.25</c:v>
                </c:pt>
                <c:pt idx="4">
                  <c:v>87328.033750000017</c:v>
                </c:pt>
                <c:pt idx="5">
                  <c:v>90328.726270833358</c:v>
                </c:pt>
                <c:pt idx="6">
                  <c:v>93725.824041645843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5AA-4950-8F88-7E72D2346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851359"/>
        <c:axId val="96855679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Projections!$B$5</c15:sqref>
                        </c15:formulaRef>
                      </c:ext>
                    </c:extLst>
                    <c:strCache>
                      <c:ptCount val="1"/>
                      <c:pt idx="0">
                        <c:v>Results from assets sale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Projections!$C$5:$M$5</c15:sqref>
                        </c15:fullRef>
                        <c15:formulaRef>
                          <c15:sqref>Projections!$G$5:$M$5</c15:sqref>
                        </c15:formulaRef>
                      </c:ext>
                    </c:extLst>
                    <c:numCache>
                      <c:formatCode>#,##0;\(#,##0\)</c:formatCode>
                      <c:ptCount val="7"/>
                      <c:pt idx="0">
                        <c:v>12239</c:v>
                      </c:pt>
                      <c:pt idx="1">
                        <c:v>3395</c:v>
                      </c:pt>
                      <c:pt idx="2">
                        <c:v>43496</c:v>
                      </c:pt>
                      <c:pt idx="3">
                        <c:v>43496</c:v>
                      </c:pt>
                      <c:pt idx="4">
                        <c:v>43496</c:v>
                      </c:pt>
                      <c:pt idx="5">
                        <c:v>43496</c:v>
                      </c:pt>
                      <c:pt idx="6">
                        <c:v>43496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65AA-4950-8F88-7E72D23466F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Projections!$B$6</c15:sqref>
                        </c15:formulaRef>
                      </c:ext>
                    </c:extLst>
                    <c:strCache>
                      <c:ptCount val="1"/>
                      <c:pt idx="0">
                        <c:v>crec%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Projections!$C$6:$M$6</c15:sqref>
                        </c15:fullRef>
                        <c15:formulaRef>
                          <c15:sqref>Projections!$G$6:$M$6</c15:sqref>
                        </c15:formulaRef>
                      </c:ext>
                    </c:extLst>
                    <c:numCache>
                      <c:formatCode>0.0%</c:formatCode>
                      <c:ptCount val="7"/>
                      <c:pt idx="0">
                        <c:v>1.0306549259678341</c:v>
                      </c:pt>
                      <c:pt idx="1">
                        <c:v>0.14825030033802156</c:v>
                      </c:pt>
                      <c:pt idx="2">
                        <c:v>4.354259459633214E-2</c:v>
                      </c:pt>
                      <c:pt idx="3">
                        <c:v>4.1097389389632033E-2</c:v>
                      </c:pt>
                      <c:pt idx="4">
                        <c:v>4.1848881982575969E-2</c:v>
                      </c:pt>
                      <c:pt idx="5">
                        <c:v>3.4361159778584005E-2</c:v>
                      </c:pt>
                      <c:pt idx="6">
                        <c:v>3.7608166427886447E-2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5AA-4950-8F88-7E72D23466F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Projections!$B$8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Projections!$C$8:$M$8</c15:sqref>
                        </c15:fullRef>
                        <c15:formulaRef>
                          <c15:sqref>Projections!$G$8:$M$8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1.2071805006587617</c:v>
                      </c:pt>
                      <c:pt idx="1">
                        <c:v>0.12744366512460825</c:v>
                      </c:pt>
                      <c:pt idx="2">
                        <c:v>2.2634017207147528E-2</c:v>
                      </c:pt>
                      <c:pt idx="3" formatCode="0.0%">
                        <c:v>0.02</c:v>
                      </c:pt>
                      <c:pt idx="4" formatCode="0.0%">
                        <c:v>0.02</c:v>
                      </c:pt>
                      <c:pt idx="5" formatCode="0.0%">
                        <c:v>0.02</c:v>
                      </c:pt>
                      <c:pt idx="6" formatCode="0.0%">
                        <c:v>0.02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5AA-4950-8F88-7E72D23466F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Projections!$B$10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Projections!$C$10:$M$10</c15:sqref>
                        </c15:fullRef>
                        <c15:formulaRef>
                          <c15:sqref>Projections!$G$10:$M$10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0.977491961414791</c:v>
                      </c:pt>
                      <c:pt idx="1">
                        <c:v>0.29430894308943079</c:v>
                      </c:pt>
                      <c:pt idx="2">
                        <c:v>0.15452261306532655</c:v>
                      </c:pt>
                      <c:pt idx="3" formatCode="0.0%">
                        <c:v>0.05</c:v>
                      </c:pt>
                      <c:pt idx="4" formatCode="0.0%">
                        <c:v>0.05</c:v>
                      </c:pt>
                      <c:pt idx="5" formatCode="0.0%">
                        <c:v>0.03</c:v>
                      </c:pt>
                      <c:pt idx="6" formatCode="0.0%">
                        <c:v>2.5000000000000001E-2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5AA-4950-8F88-7E72D23466F2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Projections!$B$12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Projections!$C$12:$M$12</c15:sqref>
                        </c15:fullRef>
                        <c15:formulaRef>
                          <c15:sqref>Projections!$G$12:$M$12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1.3313120176405735</c:v>
                      </c:pt>
                      <c:pt idx="1">
                        <c:v>8.3707732324426631E-2</c:v>
                      </c:pt>
                      <c:pt idx="2">
                        <c:v>9.6225180013091771E-2</c:v>
                      </c:pt>
                      <c:pt idx="3" formatCode="0.0%">
                        <c:v>0.05</c:v>
                      </c:pt>
                      <c:pt idx="4" formatCode="0.0%">
                        <c:v>0.05</c:v>
                      </c:pt>
                      <c:pt idx="5" formatCode="0.0%">
                        <c:v>0.04</c:v>
                      </c:pt>
                      <c:pt idx="6" formatCode="0.0%">
                        <c:v>3.5000000000000003E-2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5AA-4950-8F88-7E72D23466F2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Projections!$B$14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Projections!$C$14:$M$14</c15:sqref>
                        </c15:fullRef>
                        <c15:formulaRef>
                          <c15:sqref>Projections!$G$14:$M$14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2.0841121495327104</c:v>
                      </c:pt>
                      <c:pt idx="1">
                        <c:v>-2.7272727272727226E-2</c:v>
                      </c:pt>
                      <c:pt idx="2">
                        <c:v>7.7881619937694602E-2</c:v>
                      </c:pt>
                      <c:pt idx="3" formatCode="0.0%">
                        <c:v>0.08</c:v>
                      </c:pt>
                      <c:pt idx="4" formatCode="0.0%">
                        <c:v>0.09</c:v>
                      </c:pt>
                      <c:pt idx="5" formatCode="0.0%">
                        <c:v>0.11</c:v>
                      </c:pt>
                      <c:pt idx="6" formatCode="0.0%">
                        <c:v>0.11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5AA-4950-8F88-7E72D23466F2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Projections!$B$16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Projections!$C$16:$M$16</c15:sqref>
                        </c15:fullRef>
                        <c15:formulaRef>
                          <c15:sqref>Projections!$G$16:$M$16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0.85746812386156646</c:v>
                      </c:pt>
                      <c:pt idx="1">
                        <c:v>0.1211081147340034</c:v>
                      </c:pt>
                      <c:pt idx="2">
                        <c:v>4.1548217800131182E-2</c:v>
                      </c:pt>
                      <c:pt idx="3" formatCode="0.0%">
                        <c:v>0.04</c:v>
                      </c:pt>
                      <c:pt idx="4" formatCode="0.0%">
                        <c:v>0.06</c:v>
                      </c:pt>
                      <c:pt idx="5" formatCode="0.0%">
                        <c:v>0.04</c:v>
                      </c:pt>
                      <c:pt idx="6" formatCode="0.0%">
                        <c:v>0.06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5AA-4950-8F88-7E72D23466F2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Projections!$B$18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Projections!$C$18:$M$18</c15:sqref>
                        </c15:fullRef>
                        <c15:formulaRef>
                          <c15:sqref>Projections!$G$18:$M$18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2.9750000000000001</c:v>
                      </c:pt>
                      <c:pt idx="1">
                        <c:v>-0.32861635220125784</c:v>
                      </c:pt>
                      <c:pt idx="2">
                        <c:v>-4.2154566744730726E-2</c:v>
                      </c:pt>
                      <c:pt idx="3" formatCode="0.0%">
                        <c:v>0.04</c:v>
                      </c:pt>
                      <c:pt idx="4" formatCode="0.0%">
                        <c:v>5.5E-2</c:v>
                      </c:pt>
                      <c:pt idx="5" formatCode="0.0%">
                        <c:v>6.5000000000000002E-2</c:v>
                      </c:pt>
                      <c:pt idx="6" formatCode="0.0%">
                        <c:v>5.5E-2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5AA-4950-8F88-7E72D23466F2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Projections!$B$20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Projections!$C$20:$M$20</c15:sqref>
                        </c15:fullRef>
                        <c15:formulaRef>
                          <c15:sqref>Projections!$G$20:$M$20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0.0%">
                        <c:v>0</c:v>
                      </c:pt>
                      <c:pt idx="4" formatCode="0.0%">
                        <c:v>0</c:v>
                      </c:pt>
                      <c:pt idx="5" formatCode="0.0%">
                        <c:v>0</c:v>
                      </c:pt>
                      <c:pt idx="6" formatCode="0.0%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5AA-4950-8F88-7E72D23466F2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Projections!$B$22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Projections!$C$22:$M$22</c15:sqref>
                        </c15:fullRef>
                        <c15:formulaRef>
                          <c15:sqref>Projections!$G$22:$M$22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0.83870967741935476</c:v>
                      </c:pt>
                      <c:pt idx="1">
                        <c:v>0.63157894736842102</c:v>
                      </c:pt>
                      <c:pt idx="2">
                        <c:v>0.15053763440860224</c:v>
                      </c:pt>
                      <c:pt idx="3" formatCode="0.0%">
                        <c:v>0.09</c:v>
                      </c:pt>
                      <c:pt idx="4" formatCode="0.0%">
                        <c:v>0.1</c:v>
                      </c:pt>
                      <c:pt idx="5" formatCode="0.0%">
                        <c:v>0.11</c:v>
                      </c:pt>
                      <c:pt idx="6" formatCode="0.0%">
                        <c:v>0.08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5AA-4950-8F88-7E72D23466F2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Projections!$B$24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Projections!$C$24:$M$24</c15:sqref>
                        </c15:fullRef>
                        <c15:formulaRef>
                          <c15:sqref>Projections!$G$24:$M$24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0.0%">
                        <c:v>0</c:v>
                      </c:pt>
                      <c:pt idx="4" formatCode="0.0%">
                        <c:v>0</c:v>
                      </c:pt>
                      <c:pt idx="5" formatCode="0.0%">
                        <c:v>0</c:v>
                      </c:pt>
                      <c:pt idx="6" formatCode="0.0%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5AA-4950-8F88-7E72D23466F2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Projections!$B$26</c15:sqref>
                        </c15:formulaRef>
                      </c:ext>
                    </c:extLst>
                    <c:strCache>
                      <c:ptCount val="1"/>
                      <c:pt idx="0">
                        <c:v>%crec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Projections!$C$3:$M$3</c15:sqref>
                        </c15:fullRef>
                        <c15:formulaRef>
                          <c15:sqref>Projections!$G$3:$M$3</c15:sqref>
                        </c15:formulaRef>
                      </c:ext>
                    </c:extLst>
                    <c:strCache>
                      <c:ptCount val="7"/>
                      <c:pt idx="0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2025e</c:v>
                      </c:pt>
                      <c:pt idx="4">
                        <c:v>2026e</c:v>
                      </c:pt>
                      <c:pt idx="5">
                        <c:v>2027e</c:v>
                      </c:pt>
                      <c:pt idx="6">
                        <c:v>2028e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Projections!$C$26:$M$26</c15:sqref>
                        </c15:fullRef>
                        <c15:formulaRef>
                          <c15:sqref>Projections!$G$26:$M$26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7.08</c:v>
                      </c:pt>
                      <c:pt idx="1">
                        <c:v>-0.23267326732673266</c:v>
                      </c:pt>
                      <c:pt idx="2">
                        <c:v>-0.1806451612903226</c:v>
                      </c:pt>
                      <c:pt idx="3" formatCode="0.0%">
                        <c:v>0</c:v>
                      </c:pt>
                      <c:pt idx="4" formatCode="0.0%">
                        <c:v>0.05</c:v>
                      </c:pt>
                      <c:pt idx="5" formatCode="0.0%">
                        <c:v>7.0000000000000007E-2</c:v>
                      </c:pt>
                      <c:pt idx="6" formatCode="0.0%">
                        <c:v>0.06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5AA-4950-8F88-7E72D23466F2}"/>
                  </c:ext>
                </c:extLst>
              </c15:ser>
            </c15:filteredBarSeries>
          </c:ext>
        </c:extLst>
      </c:barChart>
      <c:catAx>
        <c:axId val="9685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855679"/>
        <c:crosses val="autoZero"/>
        <c:auto val="1"/>
        <c:lblAlgn val="ctr"/>
        <c:lblOffset val="100"/>
        <c:noMultiLvlLbl val="0"/>
      </c:catAx>
      <c:valAx>
        <c:axId val="9685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85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4</xdr:row>
      <xdr:rowOff>131445</xdr:rowOff>
    </xdr:from>
    <xdr:to>
      <xdr:col>24</xdr:col>
      <xdr:colOff>573405</xdr:colOff>
      <xdr:row>19</xdr:row>
      <xdr:rowOff>158115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E3A7CE-F48F-6B1B-6247-4BFFF4F09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222249</xdr:colOff>
      <xdr:row>8</xdr:row>
      <xdr:rowOff>168273</xdr:rowOff>
    </xdr:from>
    <xdr:to>
      <xdr:col>25</xdr:col>
      <xdr:colOff>317499</xdr:colOff>
      <xdr:row>30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AB8E4-F087-136D-043B-49330EE64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2</xdr:row>
      <xdr:rowOff>66675</xdr:rowOff>
    </xdr:from>
    <xdr:to>
      <xdr:col>8</xdr:col>
      <xdr:colOff>278130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2B3A6-1161-4DF6-9C81-66E235460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314325</xdr:colOff>
      <xdr:row>2</xdr:row>
      <xdr:rowOff>19050</xdr:rowOff>
    </xdr:from>
    <xdr:to>
      <xdr:col>17</xdr:col>
      <xdr:colOff>9525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21322F-4CA8-49FC-B045-061CC7000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552450</xdr:colOff>
      <xdr:row>18</xdr:row>
      <xdr:rowOff>19050</xdr:rowOff>
    </xdr:from>
    <xdr:to>
      <xdr:col>12</xdr:col>
      <xdr:colOff>53763</xdr:colOff>
      <xdr:row>39</xdr:row>
      <xdr:rowOff>40219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F60034-7C3F-497D-A8B2-86B4561D2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sier Requena Gonzalez" id="{5D58A4EB-7674-4491-8FCC-A5717ED131F2}" userId="S::arequeng@emeal.nttdata.com::efeb5c56-5752-4932-98ea-f480ac5ca7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7" dT="2025-06-27T16:40:29.55" personId="{5D58A4EB-7674-4491-8FCC-A5717ED131F2}" id="{8B5C16C9-992D-4B9F-90E3-73C267EF1B05}">
    <text>Suponemos que abrimos 20 hoteles por año.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EC10-CA06-41AB-9117-103E3DA2EC74}">
  <sheetPr>
    <tabColor theme="3" tint="0.749992370372631"/>
  </sheetPr>
  <dimension ref="B3:S73"/>
  <sheetViews>
    <sheetView showGridLines="0" workbookViewId="0">
      <selection activeCell="V38" sqref="V38"/>
    </sheetView>
  </sheetViews>
  <sheetFormatPr defaultRowHeight="14.4" outlineLevelCol="1" x14ac:dyDescent="0.3"/>
  <cols>
    <col min="1" max="1" width="1.5546875" customWidth="1"/>
    <col min="2" max="2" width="44" customWidth="1"/>
    <col min="3" max="3" width="11.5546875" customWidth="1" outlineLevel="1"/>
    <col min="4" max="5" width="10.44140625" customWidth="1" outlineLevel="1"/>
    <col min="6" max="6" width="11.44140625" customWidth="1" outlineLevel="1"/>
    <col min="7" max="8" width="10.44140625" customWidth="1" outlineLevel="1"/>
    <col min="9" max="9" width="10.21875" customWidth="1" outlineLevel="1"/>
    <col min="10" max="10" width="10.77734375" bestFit="1" customWidth="1"/>
    <col min="11" max="13" width="11" customWidth="1"/>
    <col min="14" max="14" width="2.21875" customWidth="1"/>
    <col min="15" max="16" width="9" customWidth="1"/>
    <col min="17" max="17" width="1.44140625" style="62" customWidth="1"/>
  </cols>
  <sheetData>
    <row r="3" spans="2:19" x14ac:dyDescent="0.3">
      <c r="B3" s="20" t="s">
        <v>47</v>
      </c>
      <c r="C3" s="21">
        <v>2018</v>
      </c>
      <c r="D3" s="21">
        <v>2019</v>
      </c>
      <c r="E3" s="21">
        <v>2020</v>
      </c>
      <c r="F3" s="21">
        <v>2021</v>
      </c>
      <c r="G3" s="21">
        <v>2022</v>
      </c>
      <c r="H3" s="21">
        <v>2023</v>
      </c>
      <c r="I3" s="49">
        <v>2024</v>
      </c>
      <c r="J3" s="80" t="s">
        <v>115</v>
      </c>
      <c r="K3" s="50" t="s">
        <v>116</v>
      </c>
      <c r="L3" s="26" t="s">
        <v>117</v>
      </c>
      <c r="M3" s="26" t="s">
        <v>118</v>
      </c>
      <c r="O3" s="46" t="s">
        <v>144</v>
      </c>
      <c r="P3" s="46"/>
      <c r="R3" s="63" t="s">
        <v>168</v>
      </c>
      <c r="S3" s="46"/>
    </row>
    <row r="4" spans="2:19" x14ac:dyDescent="0.3">
      <c r="B4" t="s">
        <v>48</v>
      </c>
      <c r="C4" s="7">
        <v>1819505</v>
      </c>
      <c r="D4" s="7">
        <v>1789538</v>
      </c>
      <c r="E4" s="7">
        <v>528398</v>
      </c>
      <c r="F4" s="7">
        <v>827208</v>
      </c>
      <c r="G4" s="7">
        <v>1679774</v>
      </c>
      <c r="H4" s="7">
        <v>1928801</v>
      </c>
      <c r="I4" s="7">
        <v>2012786</v>
      </c>
      <c r="J4" s="81">
        <f ca="1">+Projections!J4</f>
        <v>2095506.25</v>
      </c>
      <c r="K4" s="45">
        <f ca="1">+Projections!K4</f>
        <v>2183200.8437500005</v>
      </c>
      <c r="L4" s="45">
        <f ca="1">+Projections!L4</f>
        <v>2258218.1567708338</v>
      </c>
      <c r="M4" s="45">
        <f ca="1">+Projections!M4</f>
        <v>2343145.6010411461</v>
      </c>
    </row>
    <row r="5" spans="2:19" x14ac:dyDescent="0.3">
      <c r="B5" s="14" t="s">
        <v>196</v>
      </c>
      <c r="C5" s="15"/>
      <c r="D5" s="15">
        <f t="shared" ref="D5:M5" si="0">+((D4-C4)/ABS(C4))</f>
        <v>-1.6469864056432932E-2</v>
      </c>
      <c r="E5" s="15">
        <f t="shared" si="0"/>
        <v>-0.70472937707944727</v>
      </c>
      <c r="F5" s="15">
        <f t="shared" si="0"/>
        <v>0.56550176192945467</v>
      </c>
      <c r="G5" s="15">
        <f t="shared" si="0"/>
        <v>1.0306549259678339</v>
      </c>
      <c r="H5" s="15">
        <f t="shared" si="0"/>
        <v>0.14825030033802167</v>
      </c>
      <c r="I5" s="15">
        <f t="shared" si="0"/>
        <v>4.3542594596332126E-2</v>
      </c>
      <c r="J5" s="84">
        <f t="shared" ca="1" si="0"/>
        <v>4.1097389389632082E-2</v>
      </c>
      <c r="K5" s="15">
        <f t="shared" ca="1" si="0"/>
        <v>4.1848881982576032E-2</v>
      </c>
      <c r="L5" s="15">
        <f t="shared" ca="1" si="0"/>
        <v>3.4361159778584061E-2</v>
      </c>
      <c r="M5" s="15">
        <f t="shared" ca="1" si="0"/>
        <v>3.7608166427886378E-2</v>
      </c>
    </row>
    <row r="6" spans="2:19" x14ac:dyDescent="0.3">
      <c r="B6" t="s">
        <v>49</v>
      </c>
      <c r="C6" s="7">
        <v>11810</v>
      </c>
      <c r="D6" s="7">
        <v>11211</v>
      </c>
      <c r="E6" s="7"/>
      <c r="F6" s="7">
        <v>75226</v>
      </c>
      <c r="G6" s="7">
        <v>12239</v>
      </c>
      <c r="H6" s="7">
        <v>3395</v>
      </c>
      <c r="I6" s="7">
        <v>43496</v>
      </c>
      <c r="J6" s="81">
        <f>+Projections!J5</f>
        <v>43496</v>
      </c>
      <c r="K6" s="45">
        <f>+Projections!K5</f>
        <v>43496</v>
      </c>
      <c r="L6" s="45">
        <f>+Projections!L5</f>
        <v>43496</v>
      </c>
      <c r="M6" s="45">
        <f>+Projections!M5</f>
        <v>43496</v>
      </c>
      <c r="O6" s="47">
        <f>+((I4/C4)^(1/6))-1</f>
        <v>1.696824357624771E-2</v>
      </c>
      <c r="P6" s="46"/>
      <c r="R6" s="47">
        <f ca="1">+((M4/I4)^(1/4))-1</f>
        <v>3.8724602827933996E-2</v>
      </c>
      <c r="S6" s="46"/>
    </row>
    <row r="7" spans="2:19" x14ac:dyDescent="0.3">
      <c r="B7" s="4" t="s">
        <v>50</v>
      </c>
      <c r="C7" s="9">
        <f t="shared" ref="C7:M7" si="1">+C4+C6</f>
        <v>1831315</v>
      </c>
      <c r="D7" s="9">
        <f t="shared" si="1"/>
        <v>1800749</v>
      </c>
      <c r="E7" s="9">
        <f t="shared" si="1"/>
        <v>528398</v>
      </c>
      <c r="F7" s="9">
        <f t="shared" si="1"/>
        <v>902434</v>
      </c>
      <c r="G7" s="9">
        <f t="shared" si="1"/>
        <v>1692013</v>
      </c>
      <c r="H7" s="9">
        <f t="shared" si="1"/>
        <v>1932196</v>
      </c>
      <c r="I7" s="9">
        <f t="shared" si="1"/>
        <v>2056282</v>
      </c>
      <c r="J7" s="82">
        <f t="shared" ca="1" si="1"/>
        <v>2139002.25</v>
      </c>
      <c r="K7" s="9">
        <f t="shared" ca="1" si="1"/>
        <v>2226696.8437500005</v>
      </c>
      <c r="L7" s="9">
        <f t="shared" ca="1" si="1"/>
        <v>2301714.1567708338</v>
      </c>
      <c r="M7" s="9">
        <f t="shared" ca="1" si="1"/>
        <v>2386641.6010411461</v>
      </c>
    </row>
    <row r="8" spans="2:19" x14ac:dyDescent="0.3">
      <c r="B8" t="s">
        <v>51</v>
      </c>
      <c r="C8" s="7">
        <v>-190785</v>
      </c>
      <c r="D8" s="7">
        <v>-199035</v>
      </c>
      <c r="E8" s="7">
        <v>-58871</v>
      </c>
      <c r="F8" s="7">
        <v>-91590</v>
      </c>
      <c r="G8" s="7">
        <v>-177947</v>
      </c>
      <c r="H8" s="7">
        <v>-209528</v>
      </c>
      <c r="I8" s="7">
        <v>-202389</v>
      </c>
      <c r="J8" s="83">
        <f ca="1">+Projections!J29</f>
        <v>-220028.15625</v>
      </c>
      <c r="K8" s="7">
        <f ca="1">+Projections!K29</f>
        <v>-224869.68690625005</v>
      </c>
      <c r="L8" s="7">
        <f ca="1">+Projections!L29</f>
        <v>-230338.25199062502</v>
      </c>
      <c r="M8" s="7">
        <f ca="1">+Projections!M29</f>
        <v>-236657.70570515576</v>
      </c>
    </row>
    <row r="9" spans="2:19" x14ac:dyDescent="0.3">
      <c r="B9" t="s">
        <v>52</v>
      </c>
      <c r="C9" s="7">
        <v>-526644</v>
      </c>
      <c r="D9" s="7">
        <v>-523918</v>
      </c>
      <c r="E9" s="7">
        <v>-282106</v>
      </c>
      <c r="F9" s="7">
        <v>-307364</v>
      </c>
      <c r="G9" s="7">
        <v>-473397</v>
      </c>
      <c r="H9" s="7">
        <v>-544741</v>
      </c>
      <c r="I9" s="7">
        <v>-570278</v>
      </c>
      <c r="J9" s="83">
        <f>+Projections!J30</f>
        <v>-586554.61988018744</v>
      </c>
      <c r="K9" s="7">
        <f>+Projections!K30</f>
        <v>-624826.54108572041</v>
      </c>
      <c r="L9" s="7">
        <f>+Projections!L30</f>
        <v>-664645.46171410498</v>
      </c>
      <c r="M9" s="7">
        <f>+Projections!M30</f>
        <v>-702620.59319165372</v>
      </c>
    </row>
    <row r="10" spans="2:19" x14ac:dyDescent="0.3">
      <c r="B10" t="s">
        <v>53</v>
      </c>
      <c r="C10" s="7">
        <v>-592173</v>
      </c>
      <c r="D10" s="7">
        <v>-579301</v>
      </c>
      <c r="E10" s="7">
        <v>-338288</v>
      </c>
      <c r="F10" s="7">
        <v>-372603</v>
      </c>
      <c r="G10" s="7">
        <v>-591339</v>
      </c>
      <c r="H10" s="7">
        <v>-645325</v>
      </c>
      <c r="I10" s="7">
        <v>-669111</v>
      </c>
      <c r="J10" s="83">
        <f ca="1">+Projections!J31</f>
        <v>-691517.0625</v>
      </c>
      <c r="K10" s="7">
        <f ca="1">+Projections!K31</f>
        <v>-720456.27843750024</v>
      </c>
      <c r="L10" s="7">
        <f ca="1">+Projections!L31</f>
        <v>-745211.99173437513</v>
      </c>
      <c r="M10" s="7">
        <f ca="1">+Projections!M31</f>
        <v>-773238.04834357824</v>
      </c>
    </row>
    <row r="11" spans="2:19" x14ac:dyDescent="0.3">
      <c r="B11" s="4" t="s">
        <v>54</v>
      </c>
      <c r="C11" s="9">
        <f t="shared" ref="C11:M11" si="2">+C8+C9+C10</f>
        <v>-1309602</v>
      </c>
      <c r="D11" s="9">
        <f t="shared" si="2"/>
        <v>-1302254</v>
      </c>
      <c r="E11" s="9">
        <f t="shared" si="2"/>
        <v>-679265</v>
      </c>
      <c r="F11" s="9">
        <f t="shared" si="2"/>
        <v>-771557</v>
      </c>
      <c r="G11" s="9">
        <f t="shared" si="2"/>
        <v>-1242683</v>
      </c>
      <c r="H11" s="9">
        <f t="shared" si="2"/>
        <v>-1399594</v>
      </c>
      <c r="I11" s="9">
        <f t="shared" si="2"/>
        <v>-1441778</v>
      </c>
      <c r="J11" s="82">
        <f t="shared" ca="1" si="2"/>
        <v>-1498099.8386301873</v>
      </c>
      <c r="K11" s="9">
        <f t="shared" ca="1" si="2"/>
        <v>-1570152.5064294706</v>
      </c>
      <c r="L11" s="9">
        <f t="shared" ca="1" si="2"/>
        <v>-1640195.7054391052</v>
      </c>
      <c r="M11" s="9">
        <f t="shared" ca="1" si="2"/>
        <v>-1712516.3472403877</v>
      </c>
    </row>
    <row r="12" spans="2:19" x14ac:dyDescent="0.3">
      <c r="B12" s="4" t="s">
        <v>55</v>
      </c>
      <c r="C12" s="9">
        <f t="shared" ref="C12:M12" si="3">+C7+C11</f>
        <v>521713</v>
      </c>
      <c r="D12" s="9">
        <f t="shared" si="3"/>
        <v>498495</v>
      </c>
      <c r="E12" s="9">
        <f t="shared" si="3"/>
        <v>-150867</v>
      </c>
      <c r="F12" s="9">
        <f t="shared" si="3"/>
        <v>130877</v>
      </c>
      <c r="G12" s="9">
        <f t="shared" si="3"/>
        <v>449330</v>
      </c>
      <c r="H12" s="9">
        <f t="shared" si="3"/>
        <v>532602</v>
      </c>
      <c r="I12" s="9">
        <f t="shared" si="3"/>
        <v>614504</v>
      </c>
      <c r="J12" s="82">
        <f t="shared" ca="1" si="3"/>
        <v>640902.41136981267</v>
      </c>
      <c r="K12" s="9">
        <f t="shared" ca="1" si="3"/>
        <v>656544.33732052986</v>
      </c>
      <c r="L12" s="9">
        <f t="shared" ca="1" si="3"/>
        <v>661518.4513317286</v>
      </c>
      <c r="M12" s="9">
        <f t="shared" ca="1" si="3"/>
        <v>674125.25380075839</v>
      </c>
      <c r="O12" s="47">
        <f>+((I12/C12)^(1/6))-1</f>
        <v>2.76585564686469E-2</v>
      </c>
      <c r="P12" s="46"/>
      <c r="R12" s="47">
        <f ca="1">+((M12/I12)^(1/4))-1</f>
        <v>2.3420166871096271E-2</v>
      </c>
      <c r="S12" s="46"/>
    </row>
    <row r="13" spans="2:19" x14ac:dyDescent="0.3">
      <c r="B13" t="s">
        <v>56</v>
      </c>
      <c r="C13" s="7">
        <v>-20815</v>
      </c>
      <c r="D13" s="7">
        <v>-20584</v>
      </c>
      <c r="E13" s="7">
        <v>-664</v>
      </c>
      <c r="F13" s="7">
        <v>-5348</v>
      </c>
      <c r="G13" s="7">
        <v>-18571</v>
      </c>
      <c r="H13" s="7">
        <v>-42840</v>
      </c>
      <c r="I13" s="7">
        <v>-39149</v>
      </c>
      <c r="J13" s="83">
        <f ca="1">+Projections!J34</f>
        <v>-41910.125</v>
      </c>
      <c r="K13" s="7">
        <f ca="1">+Projections!K34</f>
        <v>-43664.016875000008</v>
      </c>
      <c r="L13" s="7">
        <f ca="1">+Projections!L34</f>
        <v>-45164.363135416679</v>
      </c>
      <c r="M13" s="7">
        <f ca="1">+Projections!M34</f>
        <v>-46862.912020822921</v>
      </c>
    </row>
    <row r="14" spans="2:19" x14ac:dyDescent="0.3">
      <c r="B14" s="4" t="s">
        <v>57</v>
      </c>
      <c r="C14" s="9">
        <f t="shared" ref="C14:M14" si="4">+C12+C13</f>
        <v>500898</v>
      </c>
      <c r="D14" s="9">
        <f t="shared" si="4"/>
        <v>477911</v>
      </c>
      <c r="E14" s="9">
        <f t="shared" si="4"/>
        <v>-151531</v>
      </c>
      <c r="F14" s="9">
        <f t="shared" si="4"/>
        <v>125529</v>
      </c>
      <c r="G14" s="9">
        <f t="shared" si="4"/>
        <v>430759</v>
      </c>
      <c r="H14" s="9">
        <f t="shared" si="4"/>
        <v>489762</v>
      </c>
      <c r="I14" s="9">
        <f t="shared" si="4"/>
        <v>575355</v>
      </c>
      <c r="J14" s="82">
        <f t="shared" ca="1" si="4"/>
        <v>598992.28636981267</v>
      </c>
      <c r="K14" s="9">
        <f t="shared" ca="1" si="4"/>
        <v>612880.32044552988</v>
      </c>
      <c r="L14" s="9">
        <f t="shared" ca="1" si="4"/>
        <v>616354.08819631196</v>
      </c>
      <c r="M14" s="9">
        <f t="shared" ca="1" si="4"/>
        <v>627262.34177993552</v>
      </c>
      <c r="O14" s="47">
        <f>+((I14/C14)^(1/6))-1</f>
        <v>2.3366270949449541E-2</v>
      </c>
      <c r="P14" s="46"/>
      <c r="R14" s="47">
        <f ca="1">+((M14/I14)^(1/4))-1</f>
        <v>2.1829251439996478E-2</v>
      </c>
      <c r="S14" s="46"/>
    </row>
    <row r="15" spans="2:19" x14ac:dyDescent="0.3">
      <c r="B15" s="14" t="s">
        <v>196</v>
      </c>
      <c r="C15" s="15"/>
      <c r="D15" s="15">
        <f t="shared" ref="D15:M15" si="5">+((D14-C14)/ABS(C14))</f>
        <v>-4.5891578724610596E-2</v>
      </c>
      <c r="E15" s="15">
        <f t="shared" si="5"/>
        <v>-1.3170694962032681</v>
      </c>
      <c r="F15" s="15">
        <f t="shared" si="5"/>
        <v>1.8284047488632689</v>
      </c>
      <c r="G15" s="15">
        <f t="shared" si="5"/>
        <v>2.4315496817468474</v>
      </c>
      <c r="H15" s="15">
        <f t="shared" si="5"/>
        <v>0.13697450314444967</v>
      </c>
      <c r="I15" s="15">
        <f t="shared" si="5"/>
        <v>0.17476447744006274</v>
      </c>
      <c r="J15" s="84">
        <f t="shared" ca="1" si="5"/>
        <v>4.1082959859239383E-2</v>
      </c>
      <c r="K15" s="15">
        <f t="shared" ca="1" si="5"/>
        <v>2.3185664309444642E-2</v>
      </c>
      <c r="L15" s="15">
        <f t="shared" ca="1" si="5"/>
        <v>5.6679381518676296E-3</v>
      </c>
      <c r="M15" s="15">
        <f t="shared" ca="1" si="5"/>
        <v>1.7698030714041808E-2</v>
      </c>
    </row>
    <row r="16" spans="2:19" x14ac:dyDescent="0.3">
      <c r="B16" s="16" t="s">
        <v>73</v>
      </c>
      <c r="C16" s="17">
        <f t="shared" ref="C16:M16" si="6">IFERROR(C14/C7,0)</f>
        <v>0.27351820959256051</v>
      </c>
      <c r="D16" s="17">
        <f t="shared" si="6"/>
        <v>0.26539567702106182</v>
      </c>
      <c r="E16" s="17">
        <f t="shared" si="6"/>
        <v>-0.28677436326405475</v>
      </c>
      <c r="F16" s="17">
        <f t="shared" si="6"/>
        <v>0.13910047715400795</v>
      </c>
      <c r="G16" s="17">
        <f t="shared" si="6"/>
        <v>0.2545837413778736</v>
      </c>
      <c r="H16" s="17">
        <f t="shared" si="6"/>
        <v>0.2534742852174417</v>
      </c>
      <c r="I16" s="17">
        <f t="shared" si="6"/>
        <v>0.27980354834599536</v>
      </c>
      <c r="J16" s="85">
        <f t="shared" ca="1" si="6"/>
        <v>0.28003349990389803</v>
      </c>
      <c r="K16" s="17">
        <f t="shared" ca="1" si="6"/>
        <v>0.27524192265588004</v>
      </c>
      <c r="L16" s="17">
        <f t="shared" ca="1" si="6"/>
        <v>0.26778046543408307</v>
      </c>
      <c r="M16" s="17">
        <f t="shared" ca="1" si="6"/>
        <v>0.26282217719924905</v>
      </c>
    </row>
    <row r="17" spans="2:19" x14ac:dyDescent="0.3">
      <c r="B17" t="s">
        <v>58</v>
      </c>
      <c r="C17" s="7">
        <v>-117378</v>
      </c>
      <c r="D17" s="7">
        <v>-122329</v>
      </c>
      <c r="E17" s="7">
        <v>-179912</v>
      </c>
      <c r="F17" s="7">
        <v>-125581</v>
      </c>
      <c r="G17" s="7">
        <v>-89927</v>
      </c>
      <c r="H17" s="7">
        <v>-114368</v>
      </c>
      <c r="I17" s="7">
        <v>-102333</v>
      </c>
      <c r="J17" s="83">
        <f ca="1">+-'Ratios &amp; KPI''s'!J10*((Balance!J6+Balance!I6)/2)</f>
        <v>-95317.463592233005</v>
      </c>
      <c r="K17" s="53">
        <f ca="1">+-'Ratios &amp; KPI''s'!K10*((Balance!K6+Balance!J6)/2)</f>
        <v>-94749.891453365068</v>
      </c>
      <c r="L17" s="53">
        <f ca="1">+-'Ratios &amp; KPI''s'!L10*((Balance!L6+Balance!K6)/2)</f>
        <v>-94404.949039212734</v>
      </c>
      <c r="M17" s="53">
        <f ca="1">+-'Ratios &amp; KPI''s'!M10*((Balance!M6+Balance!L6)/2)</f>
        <v>-94266.443764476426</v>
      </c>
    </row>
    <row r="18" spans="2:19" x14ac:dyDescent="0.3">
      <c r="B18" t="s">
        <v>59</v>
      </c>
      <c r="C18" s="7">
        <v>-124270</v>
      </c>
      <c r="D18" s="7">
        <v>-137713</v>
      </c>
      <c r="E18" s="7">
        <v>-225905</v>
      </c>
      <c r="F18" s="7">
        <v>-145294</v>
      </c>
      <c r="G18" s="7">
        <v>-139733</v>
      </c>
      <c r="H18" s="7">
        <v>-144395</v>
      </c>
      <c r="I18" s="7">
        <v>-139559</v>
      </c>
      <c r="J18" s="83">
        <f ca="1">+-'Ratios &amp; KPI''s'!J11*((Balance!J7+Balance!I7)/2)</f>
        <v>-144557.61904761905</v>
      </c>
      <c r="K18" s="53">
        <f ca="1">+-'Ratios &amp; KPI''s'!K11*((Balance!K7+Balance!J7)/2)</f>
        <v>-130790.22675736962</v>
      </c>
      <c r="L18" s="53">
        <f ca="1">+-'Ratios &amp; KPI''s'!L11*((Balance!L7+Balance!K7)/2)</f>
        <v>-118334.01468523918</v>
      </c>
      <c r="M18" s="53">
        <f ca="1">+-'Ratios &amp; KPI''s'!M11*((Balance!M7+Balance!L7)/2)</f>
        <v>-107064.10852474021</v>
      </c>
    </row>
    <row r="19" spans="2:19" x14ac:dyDescent="0.3">
      <c r="B19" t="s">
        <v>60</v>
      </c>
      <c r="C19" s="7">
        <v>-379</v>
      </c>
      <c r="D19" s="7">
        <v>4926</v>
      </c>
      <c r="E19" s="7"/>
      <c r="F19" s="7"/>
      <c r="G19" s="7"/>
      <c r="H19" s="7"/>
      <c r="I19" s="7"/>
      <c r="J19" s="83"/>
      <c r="K19" s="53"/>
      <c r="L19" s="53"/>
      <c r="M19" s="53"/>
    </row>
    <row r="20" spans="2:19" x14ac:dyDescent="0.3">
      <c r="B20" s="4" t="s">
        <v>61</v>
      </c>
      <c r="C20" s="9">
        <f t="shared" ref="C20:M20" si="7">+C14+C17+C18+C19</f>
        <v>258871</v>
      </c>
      <c r="D20" s="9">
        <f t="shared" si="7"/>
        <v>222795</v>
      </c>
      <c r="E20" s="9">
        <f t="shared" si="7"/>
        <v>-557348</v>
      </c>
      <c r="F20" s="9">
        <f t="shared" si="7"/>
        <v>-145346</v>
      </c>
      <c r="G20" s="9">
        <f t="shared" si="7"/>
        <v>201099</v>
      </c>
      <c r="H20" s="9">
        <f t="shared" si="7"/>
        <v>230999</v>
      </c>
      <c r="I20" s="9">
        <f t="shared" si="7"/>
        <v>333463</v>
      </c>
      <c r="J20" s="82">
        <f t="shared" ca="1" si="7"/>
        <v>359117.2037299606</v>
      </c>
      <c r="K20" s="9">
        <f t="shared" ca="1" si="7"/>
        <v>387340.2022347952</v>
      </c>
      <c r="L20" s="9">
        <f t="shared" ca="1" si="7"/>
        <v>403615.12447186006</v>
      </c>
      <c r="M20" s="9">
        <f t="shared" ca="1" si="7"/>
        <v>425931.78949071886</v>
      </c>
    </row>
    <row r="21" spans="2:19" x14ac:dyDescent="0.3">
      <c r="B21" s="14" t="s">
        <v>196</v>
      </c>
      <c r="C21" s="15"/>
      <c r="D21" s="15">
        <f t="shared" ref="D21:M21" si="8">+((D20-C20)/ABS(C20))</f>
        <v>-0.1393589857496591</v>
      </c>
      <c r="E21" s="15">
        <f t="shared" si="8"/>
        <v>-3.5016180794003455</v>
      </c>
      <c r="F21" s="15">
        <f t="shared" si="8"/>
        <v>0.73921858515684991</v>
      </c>
      <c r="G21" s="15">
        <f t="shared" si="8"/>
        <v>2.3835881276402517</v>
      </c>
      <c r="H21" s="15">
        <f t="shared" si="8"/>
        <v>0.14868298698650914</v>
      </c>
      <c r="I21" s="15">
        <f t="shared" si="8"/>
        <v>0.44356901977930641</v>
      </c>
      <c r="J21" s="84">
        <f t="shared" ca="1" si="8"/>
        <v>7.6932684375659671E-2</v>
      </c>
      <c r="K21" s="15">
        <f t="shared" ca="1" si="8"/>
        <v>7.8589937245270428E-2</v>
      </c>
      <c r="L21" s="15">
        <f t="shared" ca="1" si="8"/>
        <v>4.2017126399906832E-2</v>
      </c>
      <c r="M21" s="15">
        <f t="shared" ca="1" si="8"/>
        <v>5.5291944393958674E-2</v>
      </c>
      <c r="O21" s="47">
        <f>+((I20/C20)^(1/6))-1</f>
        <v>4.3103434299532895E-2</v>
      </c>
      <c r="P21" s="46"/>
      <c r="R21" s="47">
        <f ca="1">+((M20/I20)^(1/4))-1</f>
        <v>6.3097508883160458E-2</v>
      </c>
      <c r="S21" s="46"/>
    </row>
    <row r="22" spans="2:19" x14ac:dyDescent="0.3">
      <c r="B22" s="16" t="s">
        <v>74</v>
      </c>
      <c r="C22" s="17">
        <f t="shared" ref="C22:M22" si="9">+IFERROR(C20/C7,0)</f>
        <v>0.14135798592814453</v>
      </c>
      <c r="D22" s="17">
        <f t="shared" si="9"/>
        <v>0.1237235172697583</v>
      </c>
      <c r="E22" s="17">
        <f t="shared" si="9"/>
        <v>-1.0547882467382541</v>
      </c>
      <c r="F22" s="17">
        <f t="shared" si="9"/>
        <v>-0.16105997779338987</v>
      </c>
      <c r="G22" s="17">
        <f t="shared" si="9"/>
        <v>0.11885192371453411</v>
      </c>
      <c r="H22" s="17">
        <f t="shared" si="9"/>
        <v>0.11955257127123749</v>
      </c>
      <c r="I22" s="17">
        <f t="shared" si="9"/>
        <v>0.16216793221941347</v>
      </c>
      <c r="J22" s="85">
        <f t="shared" ca="1" si="9"/>
        <v>0.16789005422035466</v>
      </c>
      <c r="K22" s="17">
        <f t="shared" ca="1" si="9"/>
        <v>0.17395282313441107</v>
      </c>
      <c r="L22" s="17">
        <f t="shared" ca="1" si="9"/>
        <v>0.17535414781395262</v>
      </c>
      <c r="M22" s="17">
        <f t="shared" ca="1" si="9"/>
        <v>0.17846491459166336</v>
      </c>
    </row>
    <row r="23" spans="2:19" x14ac:dyDescent="0.3">
      <c r="B23" t="s">
        <v>62</v>
      </c>
      <c r="C23" s="7">
        <v>-8935</v>
      </c>
      <c r="D23" s="7">
        <v>-12753</v>
      </c>
      <c r="E23" s="7">
        <v>-655</v>
      </c>
      <c r="F23" s="7">
        <v>-1549</v>
      </c>
      <c r="G23" s="7">
        <v>-13711</v>
      </c>
      <c r="H23" s="7">
        <v>1977</v>
      </c>
      <c r="I23" s="7">
        <v>-43</v>
      </c>
      <c r="J23" s="71"/>
    </row>
    <row r="24" spans="2:19" x14ac:dyDescent="0.3">
      <c r="B24" t="s">
        <v>63</v>
      </c>
      <c r="C24" s="7">
        <v>-31762</v>
      </c>
      <c r="D24" s="7">
        <v>-33069</v>
      </c>
      <c r="E24" s="7">
        <v>-33328</v>
      </c>
      <c r="F24" s="7">
        <v>-39157</v>
      </c>
      <c r="G24" s="7">
        <v>-45488</v>
      </c>
      <c r="H24" s="7">
        <v>-73905</v>
      </c>
      <c r="I24" s="7">
        <v>-63585</v>
      </c>
      <c r="J24" s="83">
        <f ca="1">+(((Balance!J36+Balance!J37+Balance!J45+Balance!J46)+(Balance!I36+Balance!I37+Balance!I45+Balance!I46))/2)*-'Ratios &amp; KPI''s'!J16</f>
        <v>-54624.49172856519</v>
      </c>
      <c r="K24" s="7">
        <f ca="1">+(((Balance!K36+Balance!K37+Balance!K45+Balance!K46)+(Balance!J36+Balance!J37+Balance!J45+Balance!J46))/2)*-'Ratios &amp; KPI''s'!K16</f>
        <v>-50773.71668214626</v>
      </c>
      <c r="L24" s="7">
        <f ca="1">+(((Balance!L36+Balance!L37+Balance!L45+Balance!L46)+(Balance!K36+Balance!K37+Balance!K45+Balance!K46))/2)*-'Ratios &amp; KPI''s'!L16</f>
        <v>-47258.974033170067</v>
      </c>
      <c r="M24" s="7">
        <f ca="1">+(((Balance!M36+Balance!M37+Balance!M45+Balance!M46)+(Balance!L36+Balance!L37+Balance!L45+Balance!L46))/2)*-'Ratios &amp; KPI''s'!M16</f>
        <v>-44050.940393287521</v>
      </c>
    </row>
    <row r="25" spans="2:19" x14ac:dyDescent="0.3">
      <c r="B25" t="s">
        <v>64</v>
      </c>
      <c r="C25" s="7">
        <v>-43515</v>
      </c>
      <c r="D25" s="7">
        <v>-41381</v>
      </c>
      <c r="E25" s="7">
        <v>-32507</v>
      </c>
      <c r="F25" s="7">
        <v>-27422</v>
      </c>
      <c r="G25" s="7">
        <v>-29415</v>
      </c>
      <c r="H25" s="7">
        <v>-33385</v>
      </c>
      <c r="I25" s="7">
        <v>-38454</v>
      </c>
      <c r="J25" s="83">
        <f ca="1">+(((Balance!J38+Balance!J47)+(Balance!I38+Balance!I47))/2)*-'Ratios &amp; KPI''s'!J17</f>
        <v>-42200.200415776009</v>
      </c>
      <c r="K25" s="7">
        <f ca="1">+(((Balance!K38+Balance!K47)+(Balance!J38+Balance!J47))/2)*-'Ratios &amp; KPI''s'!K17</f>
        <v>-38914.521707710883</v>
      </c>
      <c r="L25" s="7">
        <f ca="1">+(((Balance!L38+Balance!L47)+(Balance!K38+Balance!K47))/2)*-'Ratios &amp; KPI''s'!L17</f>
        <v>-35915.563070329816</v>
      </c>
      <c r="M25" s="7">
        <f ca="1">+(((Balance!M38+Balance!M47)+(Balance!L38+Balance!L47))/2)*-'Ratios &amp; KPI''s'!M17</f>
        <v>-33178.304285213017</v>
      </c>
    </row>
    <row r="26" spans="2:19" x14ac:dyDescent="0.3">
      <c r="B26" t="s">
        <v>65</v>
      </c>
      <c r="C26" s="7">
        <v>15223</v>
      </c>
      <c r="D26" s="7">
        <v>14417</v>
      </c>
      <c r="E26" s="7">
        <v>-8074</v>
      </c>
      <c r="F26" s="7">
        <v>5281</v>
      </c>
      <c r="G26" s="7">
        <v>27438</v>
      </c>
      <c r="H26" s="7">
        <v>10715</v>
      </c>
      <c r="I26" s="7">
        <v>4023</v>
      </c>
      <c r="J26" s="83">
        <v>4023</v>
      </c>
      <c r="K26" s="7">
        <v>4023</v>
      </c>
      <c r="L26" s="7">
        <v>4023</v>
      </c>
      <c r="M26" s="7">
        <v>4023</v>
      </c>
    </row>
    <row r="27" spans="2:19" x14ac:dyDescent="0.3">
      <c r="B27" s="4" t="s">
        <v>66</v>
      </c>
      <c r="C27" s="9">
        <f t="shared" ref="C27:M27" si="10">(C23+C24+C25+C26)</f>
        <v>-68989</v>
      </c>
      <c r="D27" s="9">
        <f t="shared" si="10"/>
        <v>-72786</v>
      </c>
      <c r="E27" s="9">
        <f t="shared" si="10"/>
        <v>-74564</v>
      </c>
      <c r="F27" s="9">
        <f t="shared" si="10"/>
        <v>-62847</v>
      </c>
      <c r="G27" s="9">
        <f t="shared" si="10"/>
        <v>-61176</v>
      </c>
      <c r="H27" s="9">
        <f t="shared" si="10"/>
        <v>-94598</v>
      </c>
      <c r="I27" s="9">
        <f t="shared" si="10"/>
        <v>-98059</v>
      </c>
      <c r="J27" s="82">
        <f t="shared" ca="1" si="10"/>
        <v>-92801.692144341199</v>
      </c>
      <c r="K27" s="9">
        <f t="shared" ca="1" si="10"/>
        <v>-85665.238389857142</v>
      </c>
      <c r="L27" s="9">
        <f t="shared" ca="1" si="10"/>
        <v>-79151.537103499883</v>
      </c>
      <c r="M27" s="9">
        <f t="shared" ca="1" si="10"/>
        <v>-73206.244678500545</v>
      </c>
    </row>
    <row r="28" spans="2:19" x14ac:dyDescent="0.3">
      <c r="B28" s="6" t="s">
        <v>67</v>
      </c>
      <c r="C28" s="8">
        <v>5320</v>
      </c>
      <c r="D28" s="8">
        <v>6303</v>
      </c>
      <c r="E28" s="8">
        <v>-31859</v>
      </c>
      <c r="F28" s="8">
        <v>-9198</v>
      </c>
      <c r="G28" s="8">
        <v>16389</v>
      </c>
      <c r="H28" s="8">
        <v>12916</v>
      </c>
      <c r="I28" s="8">
        <v>-10980</v>
      </c>
      <c r="J28" s="86"/>
      <c r="K28" s="8"/>
      <c r="L28" s="8"/>
      <c r="M28" s="8"/>
    </row>
    <row r="29" spans="2:19" x14ac:dyDescent="0.3">
      <c r="B29" s="4" t="s">
        <v>68</v>
      </c>
      <c r="C29" s="9">
        <f t="shared" ref="C29:M29" si="11">+C20+C27+C28</f>
        <v>195202</v>
      </c>
      <c r="D29" s="9">
        <f t="shared" si="11"/>
        <v>156312</v>
      </c>
      <c r="E29" s="9">
        <f t="shared" si="11"/>
        <v>-663771</v>
      </c>
      <c r="F29" s="9">
        <f t="shared" si="11"/>
        <v>-217391</v>
      </c>
      <c r="G29" s="9">
        <f t="shared" si="11"/>
        <v>156312</v>
      </c>
      <c r="H29" s="9">
        <f t="shared" si="11"/>
        <v>149317</v>
      </c>
      <c r="I29" s="9">
        <f t="shared" si="11"/>
        <v>224424</v>
      </c>
      <c r="J29" s="82">
        <f t="shared" ca="1" si="11"/>
        <v>266315.51158561942</v>
      </c>
      <c r="K29" s="9">
        <f t="shared" ca="1" si="11"/>
        <v>301674.96384493809</v>
      </c>
      <c r="L29" s="9">
        <f t="shared" ca="1" si="11"/>
        <v>324463.5873683602</v>
      </c>
      <c r="M29" s="9">
        <f t="shared" ca="1" si="11"/>
        <v>352725.54481221829</v>
      </c>
      <c r="O29" s="47">
        <f>+((I29/C29)^(1/6))-1</f>
        <v>2.3522763448873052E-2</v>
      </c>
      <c r="P29" s="46"/>
      <c r="R29" s="47">
        <f ca="1">+((M29/I29)^(1/4))-1</f>
        <v>0.11967479923527602</v>
      </c>
      <c r="S29" s="46"/>
    </row>
    <row r="30" spans="2:19" x14ac:dyDescent="0.3">
      <c r="B30" t="s">
        <v>69</v>
      </c>
      <c r="C30" s="7">
        <v>-43538</v>
      </c>
      <c r="D30" s="7">
        <v>-34632</v>
      </c>
      <c r="E30" s="7">
        <v>51050</v>
      </c>
      <c r="F30" s="7">
        <v>19531</v>
      </c>
      <c r="G30" s="7">
        <v>-36188</v>
      </c>
      <c r="H30" s="7">
        <v>-19209</v>
      </c>
      <c r="I30" s="7">
        <v>-62383</v>
      </c>
      <c r="J30" s="83">
        <f ca="1">+J29*-J31</f>
        <v>-66578.877896404854</v>
      </c>
      <c r="K30" s="7">
        <f ca="1">+K29*-K31</f>
        <v>-75418.740961234522</v>
      </c>
      <c r="L30" s="7">
        <f ca="1">+L29*-L31</f>
        <v>-81115.896842090049</v>
      </c>
      <c r="M30" s="7">
        <f ca="1">+M29*-M31</f>
        <v>-88181.386203054572</v>
      </c>
    </row>
    <row r="31" spans="2:19" x14ac:dyDescent="0.3">
      <c r="B31" t="s">
        <v>79</v>
      </c>
      <c r="C31" s="18">
        <f t="shared" ref="C31:I31" si="12">+ABS(C30/C29)</f>
        <v>0.22304074753332445</v>
      </c>
      <c r="D31" s="18">
        <f t="shared" si="12"/>
        <v>0.22155688622754491</v>
      </c>
      <c r="E31" s="18">
        <f t="shared" si="12"/>
        <v>7.6909054478125738E-2</v>
      </c>
      <c r="F31" s="18">
        <f t="shared" si="12"/>
        <v>8.9842725779816085E-2</v>
      </c>
      <c r="G31" s="18">
        <f t="shared" si="12"/>
        <v>0.23151133630175547</v>
      </c>
      <c r="H31" s="18">
        <f t="shared" si="12"/>
        <v>0.12864576705934355</v>
      </c>
      <c r="I31" s="18">
        <f t="shared" si="12"/>
        <v>0.27796937938901367</v>
      </c>
      <c r="J31" s="87">
        <v>0.25</v>
      </c>
      <c r="K31" s="44">
        <v>0.25</v>
      </c>
      <c r="L31" s="44">
        <v>0.25</v>
      </c>
      <c r="M31" s="44">
        <v>0.25</v>
      </c>
    </row>
    <row r="32" spans="2:19" x14ac:dyDescent="0.3">
      <c r="B32" s="2" t="s">
        <v>70</v>
      </c>
      <c r="C32" s="13">
        <f t="shared" ref="C32:M32" si="13">+C29+C30</f>
        <v>151664</v>
      </c>
      <c r="D32" s="13">
        <f t="shared" si="13"/>
        <v>121680</v>
      </c>
      <c r="E32" s="13">
        <f t="shared" si="13"/>
        <v>-612721</v>
      </c>
      <c r="F32" s="13">
        <f t="shared" si="13"/>
        <v>-197860</v>
      </c>
      <c r="G32" s="13">
        <f t="shared" si="13"/>
        <v>120124</v>
      </c>
      <c r="H32" s="13">
        <f t="shared" si="13"/>
        <v>130108</v>
      </c>
      <c r="I32" s="13">
        <f t="shared" si="13"/>
        <v>162041</v>
      </c>
      <c r="J32" s="88">
        <f t="shared" ca="1" si="13"/>
        <v>199736.63368921456</v>
      </c>
      <c r="K32" s="13">
        <f t="shared" ca="1" si="13"/>
        <v>226256.22288370357</v>
      </c>
      <c r="L32" s="13">
        <f t="shared" ca="1" si="13"/>
        <v>243347.69052627013</v>
      </c>
      <c r="M32" s="13">
        <f t="shared" ca="1" si="13"/>
        <v>264544.15860916371</v>
      </c>
      <c r="O32" s="47">
        <f>+((I32/C32)^(1/6))-1</f>
        <v>1.1091365112976925E-2</v>
      </c>
      <c r="P32" s="46"/>
      <c r="R32" s="47">
        <f ca="1">+((M32/I32)^(1/4))-1</f>
        <v>0.13036399435004009</v>
      </c>
      <c r="S32" s="46"/>
    </row>
    <row r="33" spans="2:19" x14ac:dyDescent="0.3">
      <c r="B33" s="14" t="s">
        <v>196</v>
      </c>
      <c r="C33" s="15"/>
      <c r="D33" s="15">
        <f t="shared" ref="D33:M33" si="14">+((D32-C32)/ABS(C32))</f>
        <v>-0.19770017934381265</v>
      </c>
      <c r="E33" s="15">
        <f t="shared" si="14"/>
        <v>-6.0355111768573311</v>
      </c>
      <c r="F33" s="15">
        <f t="shared" si="14"/>
        <v>0.67707978019359549</v>
      </c>
      <c r="G33" s="15">
        <f t="shared" si="14"/>
        <v>1.6071161427271807</v>
      </c>
      <c r="H33" s="15">
        <f t="shared" si="14"/>
        <v>8.3114115414072126E-2</v>
      </c>
      <c r="I33" s="15">
        <f t="shared" si="14"/>
        <v>0.24543456205613798</v>
      </c>
      <c r="J33" s="84">
        <f t="shared" ca="1" si="14"/>
        <v>0.23263022129716901</v>
      </c>
      <c r="K33" s="15">
        <f t="shared" ca="1" si="14"/>
        <v>0.13277278536571741</v>
      </c>
      <c r="L33" s="15">
        <f t="shared" ca="1" si="14"/>
        <v>7.5540320724577989E-2</v>
      </c>
      <c r="M33" s="15">
        <f t="shared" ca="1" si="14"/>
        <v>8.7103633640629757E-2</v>
      </c>
    </row>
    <row r="34" spans="2:19" x14ac:dyDescent="0.3">
      <c r="B34" s="16" t="s">
        <v>75</v>
      </c>
      <c r="C34" s="17">
        <f t="shared" ref="C34:M34" si="15">+IFERROR(C32/C7,0)</f>
        <v>8.2816992161370381E-2</v>
      </c>
      <c r="D34" s="17">
        <f t="shared" si="15"/>
        <v>6.7571882588856075E-2</v>
      </c>
      <c r="E34" s="17">
        <f t="shared" si="15"/>
        <v>-1.1595823602663144</v>
      </c>
      <c r="F34" s="17">
        <f t="shared" si="15"/>
        <v>-0.21925149096776053</v>
      </c>
      <c r="G34" s="17">
        <f t="shared" si="15"/>
        <v>7.0994726399856267E-2</v>
      </c>
      <c r="H34" s="17">
        <f t="shared" si="15"/>
        <v>6.7336854025161014E-2</v>
      </c>
      <c r="I34" s="17">
        <f t="shared" si="15"/>
        <v>7.8802907383325835E-2</v>
      </c>
      <c r="J34" s="85">
        <f t="shared" ca="1" si="15"/>
        <v>9.337841214950314E-2</v>
      </c>
      <c r="K34" s="17">
        <f t="shared" ca="1" si="15"/>
        <v>0.10161069905801069</v>
      </c>
      <c r="L34" s="17">
        <f t="shared" ca="1" si="15"/>
        <v>0.10572454872835829</v>
      </c>
      <c r="M34" s="17">
        <f t="shared" ca="1" si="15"/>
        <v>0.11084368867690869</v>
      </c>
    </row>
    <row r="35" spans="2:19" x14ac:dyDescent="0.3">
      <c r="B35" t="s">
        <v>71</v>
      </c>
      <c r="C35" s="7">
        <v>147094</v>
      </c>
      <c r="D35" s="7">
        <v>112898</v>
      </c>
      <c r="E35" s="7">
        <v>-595928</v>
      </c>
      <c r="F35" s="7">
        <v>-192901</v>
      </c>
      <c r="G35" s="7">
        <v>110693</v>
      </c>
      <c r="H35" s="7">
        <v>117733</v>
      </c>
      <c r="I35" s="7">
        <v>140626</v>
      </c>
      <c r="J35" s="89">
        <f ca="1">+J32-J36</f>
        <v>177441.84210382894</v>
      </c>
      <c r="K35" s="12">
        <f ca="1">+K32-K36</f>
        <v>203444.51174477016</v>
      </c>
      <c r="L35" s="12">
        <f ca="1">+L32-L36</f>
        <v>220406.68401946299</v>
      </c>
      <c r="M35" s="12">
        <f ca="1">+M32-M36</f>
        <v>241197.14146458806</v>
      </c>
      <c r="O35" s="47">
        <f>+((I35/C35)^(1/6))-1</f>
        <v>-7.4666440994761718E-3</v>
      </c>
      <c r="P35" s="46"/>
      <c r="R35" s="47">
        <f ca="1">+((M35/I35)^(1/4))-1</f>
        <v>0.14439679587197851</v>
      </c>
      <c r="S35" s="46"/>
    </row>
    <row r="36" spans="2:19" x14ac:dyDescent="0.3">
      <c r="B36" t="s">
        <v>72</v>
      </c>
      <c r="C36" s="7">
        <v>4570</v>
      </c>
      <c r="D36" s="7">
        <v>8781</v>
      </c>
      <c r="E36" s="7">
        <v>-16792</v>
      </c>
      <c r="F36" s="7">
        <v>-4959</v>
      </c>
      <c r="G36" s="7">
        <v>9430</v>
      </c>
      <c r="H36" s="7">
        <v>12375</v>
      </c>
      <c r="I36" s="7">
        <v>21415</v>
      </c>
      <c r="J36" s="83">
        <f ca="1">+I36*(1+J15)</f>
        <v>22294.791585385614</v>
      </c>
      <c r="K36" s="7">
        <f ca="1">+J36*(1+K15)</f>
        <v>22811.711138933395</v>
      </c>
      <c r="L36" s="7">
        <f ca="1">+K36*(1+L15)</f>
        <v>22941.006506807138</v>
      </c>
      <c r="M36" s="7">
        <f ca="1">+L36*(1+M15)</f>
        <v>23347.017144575642</v>
      </c>
    </row>
    <row r="39" spans="2:19" x14ac:dyDescent="0.3">
      <c r="N39" s="12"/>
    </row>
    <row r="53" spans="15:15" x14ac:dyDescent="0.3">
      <c r="O53" s="44"/>
    </row>
    <row r="70" spans="10:13" x14ac:dyDescent="0.3">
      <c r="J70" s="12"/>
      <c r="K70" s="12"/>
      <c r="L70" s="12"/>
      <c r="M70" s="12"/>
    </row>
    <row r="71" spans="10:13" x14ac:dyDescent="0.3">
      <c r="J71" s="52"/>
      <c r="K71" s="52"/>
      <c r="L71" s="52"/>
      <c r="M71" s="52"/>
    </row>
    <row r="72" spans="10:13" x14ac:dyDescent="0.3">
      <c r="J72" s="61"/>
    </row>
    <row r="73" spans="10:13" x14ac:dyDescent="0.3">
      <c r="J73" s="6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F19F-B583-4EA5-8E44-1EB6C34854C8}">
  <sheetPr>
    <tabColor theme="5" tint="0.59999389629810485"/>
  </sheetPr>
  <dimension ref="B2:M53"/>
  <sheetViews>
    <sheetView showGridLines="0" tabSelected="1" workbookViewId="0">
      <selection activeCell="J6" sqref="J6"/>
    </sheetView>
  </sheetViews>
  <sheetFormatPr defaultRowHeight="14.4" x14ac:dyDescent="0.3"/>
  <cols>
    <col min="1" max="1" width="2.88671875" customWidth="1"/>
    <col min="2" max="2" width="51.5546875" bestFit="1" customWidth="1"/>
    <col min="3" max="13" width="10.44140625" bestFit="1" customWidth="1"/>
  </cols>
  <sheetData>
    <row r="2" spans="2:13" x14ac:dyDescent="0.3">
      <c r="J2" s="1">
        <f t="shared" ref="J2:K2" ca="1" si="0">+J22-J53</f>
        <v>0</v>
      </c>
      <c r="K2" s="1">
        <f t="shared" ca="1" si="0"/>
        <v>0</v>
      </c>
      <c r="L2" s="1">
        <f ca="1">+L22-L53</f>
        <v>0</v>
      </c>
      <c r="M2" s="1">
        <f ca="1">+M22-M53</f>
        <v>0</v>
      </c>
    </row>
    <row r="3" spans="2:13" x14ac:dyDescent="0.3">
      <c r="B3" s="20" t="s">
        <v>194</v>
      </c>
      <c r="C3" s="21">
        <v>2018</v>
      </c>
      <c r="D3" s="21">
        <v>2019</v>
      </c>
      <c r="E3" s="21">
        <v>2020</v>
      </c>
      <c r="F3" s="21">
        <v>2021</v>
      </c>
      <c r="G3" s="21">
        <v>2022</v>
      </c>
      <c r="H3" s="21">
        <v>2023</v>
      </c>
      <c r="I3" s="49">
        <v>2024</v>
      </c>
      <c r="J3" s="80" t="s">
        <v>115</v>
      </c>
      <c r="K3" s="50" t="s">
        <v>116</v>
      </c>
      <c r="L3" s="26" t="s">
        <v>117</v>
      </c>
      <c r="M3" s="26" t="s">
        <v>118</v>
      </c>
    </row>
    <row r="4" spans="2:13" x14ac:dyDescent="0.3">
      <c r="B4" t="s">
        <v>7</v>
      </c>
      <c r="C4" s="7">
        <v>67998.509999999995</v>
      </c>
      <c r="D4" s="7">
        <v>72267</v>
      </c>
      <c r="E4" s="7">
        <v>35335</v>
      </c>
      <c r="F4" s="7">
        <v>28031.4</v>
      </c>
      <c r="G4" s="7">
        <v>27939.51</v>
      </c>
      <c r="H4" s="7">
        <v>27088</v>
      </c>
      <c r="I4" s="7">
        <v>27164</v>
      </c>
      <c r="J4" s="83">
        <v>27164</v>
      </c>
      <c r="K4" s="7">
        <v>27164</v>
      </c>
      <c r="L4" s="7">
        <v>27164</v>
      </c>
      <c r="M4" s="7">
        <v>27164</v>
      </c>
    </row>
    <row r="5" spans="2:13" x14ac:dyDescent="0.3">
      <c r="B5" t="s">
        <v>8</v>
      </c>
      <c r="C5" s="7">
        <v>76371.509999999995</v>
      </c>
      <c r="D5" s="7">
        <v>73408</v>
      </c>
      <c r="E5" s="7">
        <v>61385</v>
      </c>
      <c r="F5" s="7">
        <v>49034.400000000001</v>
      </c>
      <c r="G5" s="7">
        <v>52287.51</v>
      </c>
      <c r="H5" s="7">
        <v>79239</v>
      </c>
      <c r="I5" s="7">
        <v>81183</v>
      </c>
      <c r="J5" s="83">
        <v>81183</v>
      </c>
      <c r="K5" s="7">
        <v>81183</v>
      </c>
      <c r="L5" s="7">
        <v>81183</v>
      </c>
      <c r="M5" s="7">
        <v>81183</v>
      </c>
    </row>
    <row r="6" spans="2:13" x14ac:dyDescent="0.3">
      <c r="B6" t="s">
        <v>9</v>
      </c>
      <c r="C6" s="7">
        <v>1851193.98</v>
      </c>
      <c r="D6" s="7">
        <v>1923267</v>
      </c>
      <c r="E6" s="7">
        <v>1688724</v>
      </c>
      <c r="F6" s="7">
        <v>1589041</v>
      </c>
      <c r="G6" s="7">
        <v>1619824.51</v>
      </c>
      <c r="H6" s="7">
        <v>1578149</v>
      </c>
      <c r="I6" s="7">
        <v>1594373</v>
      </c>
      <c r="J6" s="89">
        <f ca="1">+I6+'Income Statement'!J17-'Cash Flow Statement'!J23</f>
        <v>1582875.7864077671</v>
      </c>
      <c r="K6" s="12">
        <f ca="1">+J6+'Income Statement'!K17-'Cash Flow Statement'!K23</f>
        <v>1575453.9287044019</v>
      </c>
      <c r="L6" s="12">
        <f ca="1">+K6+'Income Statement'!L17-'Cash Flow Statement'!L23</f>
        <v>1571377.7059360226</v>
      </c>
      <c r="M6" s="12">
        <f ca="1">+L6+'Income Statement'!M17-'Cash Flow Statement'!M23</f>
        <v>1570837.086213192</v>
      </c>
    </row>
    <row r="7" spans="2:13" x14ac:dyDescent="0.3">
      <c r="B7" t="s">
        <v>10</v>
      </c>
      <c r="C7" s="7">
        <v>1064130</v>
      </c>
      <c r="D7" s="7">
        <v>1251255</v>
      </c>
      <c r="E7" s="7">
        <v>1186918</v>
      </c>
      <c r="F7" s="7">
        <v>1429100</v>
      </c>
      <c r="G7" s="7">
        <v>1370816.51</v>
      </c>
      <c r="H7" s="7">
        <v>1375854</v>
      </c>
      <c r="I7" s="7">
        <v>1517855</v>
      </c>
      <c r="J7" s="83">
        <f ca="1">+I7+'Income Statement'!J18</f>
        <v>1373297.3809523811</v>
      </c>
      <c r="K7" s="7">
        <f ca="1">+J7+'Income Statement'!K18</f>
        <v>1242507.1541950114</v>
      </c>
      <c r="L7" s="7">
        <f ca="1">+K7+'Income Statement'!L18</f>
        <v>1124173.1395097722</v>
      </c>
      <c r="M7" s="7">
        <f ca="1">+L7+'Income Statement'!M18</f>
        <v>1017109.030985032</v>
      </c>
    </row>
    <row r="8" spans="2:13" x14ac:dyDescent="0.3">
      <c r="B8" t="s">
        <v>0</v>
      </c>
      <c r="C8" s="7">
        <v>149437</v>
      </c>
      <c r="D8" s="7">
        <v>116267</v>
      </c>
      <c r="E8" s="7">
        <v>102998</v>
      </c>
      <c r="F8" s="7">
        <v>104935</v>
      </c>
      <c r="G8" s="7">
        <v>114892.51</v>
      </c>
      <c r="H8" s="7">
        <v>117898</v>
      </c>
      <c r="I8" s="7">
        <v>156832</v>
      </c>
      <c r="J8" s="83">
        <v>156832</v>
      </c>
      <c r="K8" s="7">
        <v>156832</v>
      </c>
      <c r="L8" s="7">
        <v>156832</v>
      </c>
      <c r="M8" s="7">
        <v>156832</v>
      </c>
    </row>
    <row r="9" spans="2:13" x14ac:dyDescent="0.3">
      <c r="B9" t="s">
        <v>11</v>
      </c>
      <c r="C9" s="7">
        <v>197817</v>
      </c>
      <c r="D9" s="7">
        <v>212711</v>
      </c>
      <c r="E9" s="7">
        <v>178365</v>
      </c>
      <c r="F9" s="7">
        <v>175241</v>
      </c>
      <c r="G9" s="7">
        <v>206191.51</v>
      </c>
      <c r="H9" s="7">
        <v>240820</v>
      </c>
      <c r="I9" s="7">
        <v>206876</v>
      </c>
      <c r="J9" s="83">
        <v>206876</v>
      </c>
      <c r="K9" s="7">
        <v>206876</v>
      </c>
      <c r="L9" s="7">
        <v>206876</v>
      </c>
      <c r="M9" s="7">
        <v>206876</v>
      </c>
    </row>
    <row r="10" spans="2:13" x14ac:dyDescent="0.3">
      <c r="B10" t="s">
        <v>12</v>
      </c>
      <c r="C10" s="7">
        <v>140551</v>
      </c>
      <c r="D10" s="7">
        <v>168281</v>
      </c>
      <c r="E10" s="7">
        <v>135862</v>
      </c>
      <c r="F10" s="7">
        <v>184845</v>
      </c>
      <c r="G10" s="7">
        <v>203472.51</v>
      </c>
      <c r="H10" s="7">
        <v>149673</v>
      </c>
      <c r="I10" s="7">
        <v>129071</v>
      </c>
      <c r="J10" s="83">
        <v>129071</v>
      </c>
      <c r="K10" s="7">
        <v>129071</v>
      </c>
      <c r="L10" s="7">
        <v>129071</v>
      </c>
      <c r="M10" s="7">
        <v>129071</v>
      </c>
    </row>
    <row r="11" spans="2:13" x14ac:dyDescent="0.3">
      <c r="B11" t="s">
        <v>13</v>
      </c>
      <c r="C11" s="7">
        <v>302555</v>
      </c>
      <c r="D11" s="7">
        <v>297298</v>
      </c>
      <c r="E11" s="7">
        <v>317234</v>
      </c>
      <c r="F11" s="7">
        <v>329397</v>
      </c>
      <c r="G11" s="7">
        <v>300823.51</v>
      </c>
      <c r="H11" s="7">
        <v>289886</v>
      </c>
      <c r="I11" s="7">
        <v>296574</v>
      </c>
      <c r="J11" s="83">
        <v>296574</v>
      </c>
      <c r="K11" s="7">
        <v>296574</v>
      </c>
      <c r="L11" s="7">
        <v>296574</v>
      </c>
      <c r="M11" s="7">
        <v>296574</v>
      </c>
    </row>
    <row r="12" spans="2:13" x14ac:dyDescent="0.3">
      <c r="B12" s="4" t="s">
        <v>20</v>
      </c>
      <c r="C12" s="5">
        <f t="shared" ref="C12:M12" si="1">+SUM(C4:C11)</f>
        <v>3850054</v>
      </c>
      <c r="D12" s="5">
        <f t="shared" si="1"/>
        <v>4114754</v>
      </c>
      <c r="E12" s="5">
        <f t="shared" si="1"/>
        <v>3706821</v>
      </c>
      <c r="F12" s="5">
        <f t="shared" si="1"/>
        <v>3889624.8</v>
      </c>
      <c r="G12" s="5">
        <f t="shared" si="1"/>
        <v>3896248.0799999991</v>
      </c>
      <c r="H12" s="5">
        <f t="shared" si="1"/>
        <v>3858607</v>
      </c>
      <c r="I12" s="5">
        <f t="shared" si="1"/>
        <v>4009928</v>
      </c>
      <c r="J12" s="90">
        <f t="shared" ca="1" si="1"/>
        <v>3853873.1673601484</v>
      </c>
      <c r="K12" s="5">
        <f t="shared" ca="1" si="1"/>
        <v>3715661.0828994131</v>
      </c>
      <c r="L12" s="5">
        <f t="shared" ca="1" si="1"/>
        <v>3593250.845445795</v>
      </c>
      <c r="M12" s="5">
        <f t="shared" ca="1" si="1"/>
        <v>3485646.1171982242</v>
      </c>
    </row>
    <row r="13" spans="2:13" x14ac:dyDescent="0.3">
      <c r="B13" t="s">
        <v>14</v>
      </c>
      <c r="C13" s="7">
        <v>56081</v>
      </c>
      <c r="D13" s="7"/>
      <c r="E13" s="7"/>
      <c r="F13" s="7"/>
      <c r="G13" s="7"/>
      <c r="H13" s="7"/>
      <c r="I13" s="7"/>
      <c r="J13" s="71"/>
    </row>
    <row r="14" spans="2:13" x14ac:dyDescent="0.3">
      <c r="B14" t="s">
        <v>15</v>
      </c>
      <c r="C14" s="7">
        <v>26492</v>
      </c>
      <c r="D14" s="7">
        <v>29260</v>
      </c>
      <c r="E14" s="7">
        <v>24389</v>
      </c>
      <c r="F14" s="7">
        <v>25290</v>
      </c>
      <c r="G14" s="7">
        <v>30185.51</v>
      </c>
      <c r="H14" s="7">
        <v>29837</v>
      </c>
      <c r="I14" s="7">
        <v>31988</v>
      </c>
      <c r="J14" s="83">
        <f ca="1">+'Income Statement'!J4*'Ratios &amp; KPI''s'!J6</f>
        <v>33302.623291795549</v>
      </c>
      <c r="K14" s="7">
        <f ca="1">+'Income Statement'!K4*'Ratios &amp; KPI''s'!K6</f>
        <v>34696.300843644094</v>
      </c>
      <c r="L14" s="7">
        <f ca="1">+'Income Statement'!L4*'Ratios &amp; KPI''s'!L6</f>
        <v>35888.505980658367</v>
      </c>
      <c r="M14" s="7">
        <f ca="1">+'Income Statement'!M4*'Ratios &amp; KPI''s'!M6</f>
        <v>37238.206886427164</v>
      </c>
    </row>
    <row r="15" spans="2:13" x14ac:dyDescent="0.3">
      <c r="B15" t="s">
        <v>16</v>
      </c>
      <c r="C15" s="7">
        <v>249076</v>
      </c>
      <c r="D15" s="7">
        <v>194077</v>
      </c>
      <c r="E15" s="7">
        <v>134961</v>
      </c>
      <c r="F15" s="7">
        <v>135866</v>
      </c>
      <c r="G15" s="7">
        <v>183355.6</v>
      </c>
      <c r="H15" s="7">
        <v>227315</v>
      </c>
      <c r="I15" s="7">
        <v>265480</v>
      </c>
      <c r="J15" s="83">
        <f ca="1">+'Income Statement'!J4*'Ratios &amp; KPI''s'!J9</f>
        <v>276390.53493515955</v>
      </c>
      <c r="K15" s="7">
        <f ca="1">+'Income Statement'!K4*'Ratios &amp; KPI''s'!K9</f>
        <v>287957.16981276206</v>
      </c>
      <c r="L15" s="7">
        <f ca="1">+'Income Statement'!L4*'Ratios &amp; KPI''s'!L9</f>
        <v>297851.71213408728</v>
      </c>
      <c r="M15" s="7">
        <f ca="1">+'Income Statement'!M4*'Ratios &amp; KPI''s'!M9</f>
        <v>309053.36889485695</v>
      </c>
    </row>
    <row r="16" spans="2:13" x14ac:dyDescent="0.3">
      <c r="B16" t="s">
        <v>17</v>
      </c>
      <c r="C16" s="7">
        <v>28870</v>
      </c>
      <c r="D16" s="7">
        <v>39577</v>
      </c>
      <c r="E16" s="7">
        <v>34794</v>
      </c>
      <c r="F16" s="7">
        <v>17598</v>
      </c>
      <c r="G16" s="7">
        <v>22670</v>
      </c>
      <c r="H16" s="7">
        <v>35812</v>
      </c>
      <c r="I16" s="7">
        <v>24118</v>
      </c>
      <c r="J16" s="83">
        <v>24118</v>
      </c>
      <c r="K16" s="7">
        <v>24118</v>
      </c>
      <c r="L16" s="7">
        <v>24118</v>
      </c>
      <c r="M16" s="7">
        <v>24118</v>
      </c>
    </row>
    <row r="17" spans="2:13" x14ac:dyDescent="0.3">
      <c r="B17" t="s">
        <v>18</v>
      </c>
      <c r="C17" s="7">
        <v>41097</v>
      </c>
      <c r="D17" s="7">
        <v>49046</v>
      </c>
      <c r="E17" s="7">
        <v>66941</v>
      </c>
      <c r="F17" s="7">
        <v>46622</v>
      </c>
      <c r="G17" s="7">
        <v>67411</v>
      </c>
      <c r="H17" s="7">
        <v>123345</v>
      </c>
      <c r="I17" s="7">
        <v>79001</v>
      </c>
      <c r="J17" s="83">
        <v>79001</v>
      </c>
      <c r="K17" s="7">
        <v>79001</v>
      </c>
      <c r="L17" s="7">
        <v>79001</v>
      </c>
      <c r="M17" s="7">
        <v>79001</v>
      </c>
    </row>
    <row r="18" spans="2:13" x14ac:dyDescent="0.3">
      <c r="B18" t="s">
        <v>19</v>
      </c>
      <c r="C18" s="7">
        <v>312902</v>
      </c>
      <c r="D18" s="7">
        <v>328944</v>
      </c>
      <c r="E18" s="7">
        <v>104650</v>
      </c>
      <c r="F18" s="7">
        <v>97858</v>
      </c>
      <c r="G18" s="7">
        <v>148680</v>
      </c>
      <c r="H18" s="7">
        <v>160229</v>
      </c>
      <c r="I18" s="7">
        <v>171272</v>
      </c>
      <c r="J18" s="100">
        <f ca="1">+I18+'Cash Flow Statement'!J48</f>
        <v>290875.94048574154</v>
      </c>
      <c r="K18" s="101">
        <f ca="1">+J18+'Cash Flow Statement'!K48</f>
        <v>453784.06393521669</v>
      </c>
      <c r="L18" s="101">
        <f ca="1">+K18+'Cash Flow Statement'!L48</f>
        <v>648938.13790122094</v>
      </c>
      <c r="M18" s="101">
        <f ca="1">+L18+'Cash Flow Statement'!M48</f>
        <v>884746.91771388217</v>
      </c>
    </row>
    <row r="19" spans="2:13" x14ac:dyDescent="0.3">
      <c r="B19" t="s">
        <v>169</v>
      </c>
      <c r="C19" s="7"/>
      <c r="D19" s="7"/>
      <c r="E19" s="7"/>
      <c r="F19" s="7"/>
      <c r="G19" s="7"/>
      <c r="H19" s="7"/>
      <c r="I19" s="7"/>
      <c r="J19" s="91">
        <v>36182.258435042575</v>
      </c>
      <c r="K19" s="57">
        <v>54021.340303151868</v>
      </c>
      <c r="L19" s="57">
        <f ca="1">54547.3278408926-L2</f>
        <v>54547.327840892598</v>
      </c>
      <c r="M19" s="57">
        <f ca="1">36401.6932377191-M2</f>
        <v>36401.693237719097</v>
      </c>
    </row>
    <row r="20" spans="2:13" x14ac:dyDescent="0.3">
      <c r="B20" s="4" t="s">
        <v>21</v>
      </c>
      <c r="C20" s="5">
        <f t="shared" ref="C20:M20" si="2">+SUM(C13:C19)</f>
        <v>714518</v>
      </c>
      <c r="D20" s="5">
        <f t="shared" si="2"/>
        <v>640904</v>
      </c>
      <c r="E20" s="5">
        <f t="shared" si="2"/>
        <v>365735</v>
      </c>
      <c r="F20" s="5">
        <f t="shared" si="2"/>
        <v>323234</v>
      </c>
      <c r="G20" s="5">
        <f t="shared" si="2"/>
        <v>452302.11</v>
      </c>
      <c r="H20" s="5">
        <f t="shared" si="2"/>
        <v>576538</v>
      </c>
      <c r="I20" s="5">
        <f t="shared" si="2"/>
        <v>571859</v>
      </c>
      <c r="J20" s="90">
        <f t="shared" ca="1" si="2"/>
        <v>739870.35714773927</v>
      </c>
      <c r="K20" s="5">
        <f t="shared" ca="1" si="2"/>
        <v>933577.87489477475</v>
      </c>
      <c r="L20" s="5">
        <f t="shared" ca="1" si="2"/>
        <v>1140344.6838568591</v>
      </c>
      <c r="M20" s="5">
        <f t="shared" ca="1" si="2"/>
        <v>1370559.1867328854</v>
      </c>
    </row>
    <row r="21" spans="2:13" x14ac:dyDescent="0.3">
      <c r="B21" s="10"/>
      <c r="C21" s="11"/>
      <c r="D21" s="11"/>
      <c r="E21" s="11"/>
      <c r="F21" s="11"/>
      <c r="G21" s="11"/>
      <c r="H21" s="11"/>
      <c r="I21" s="11"/>
      <c r="J21" s="92"/>
      <c r="K21" s="11"/>
      <c r="L21" s="11"/>
      <c r="M21" s="11"/>
    </row>
    <row r="22" spans="2:13" x14ac:dyDescent="0.3">
      <c r="B22" s="2" t="s">
        <v>22</v>
      </c>
      <c r="C22" s="3">
        <f t="shared" ref="C22:M22" si="3">+SUM(C12+C20)</f>
        <v>4564572</v>
      </c>
      <c r="D22" s="3">
        <f t="shared" si="3"/>
        <v>4755658</v>
      </c>
      <c r="E22" s="3">
        <f t="shared" si="3"/>
        <v>4072556</v>
      </c>
      <c r="F22" s="3">
        <f t="shared" si="3"/>
        <v>4212858.8</v>
      </c>
      <c r="G22" s="3">
        <f t="shared" si="3"/>
        <v>4348550.1899999995</v>
      </c>
      <c r="H22" s="3">
        <f t="shared" si="3"/>
        <v>4435145</v>
      </c>
      <c r="I22" s="3">
        <f t="shared" si="3"/>
        <v>4581787</v>
      </c>
      <c r="J22" s="93">
        <f t="shared" ca="1" si="3"/>
        <v>4593743.5245078877</v>
      </c>
      <c r="K22" s="3">
        <f t="shared" ca="1" si="3"/>
        <v>4649238.9577941876</v>
      </c>
      <c r="L22" s="3">
        <f t="shared" ca="1" si="3"/>
        <v>4733595.5293026539</v>
      </c>
      <c r="M22" s="3">
        <f t="shared" ca="1" si="3"/>
        <v>4856205.3039311096</v>
      </c>
    </row>
    <row r="23" spans="2:13" x14ac:dyDescent="0.3">
      <c r="J23" s="71"/>
    </row>
    <row r="24" spans="2:13" x14ac:dyDescent="0.3">
      <c r="B24" t="s">
        <v>24</v>
      </c>
      <c r="C24" s="7">
        <v>45940</v>
      </c>
      <c r="D24" s="7">
        <v>45940</v>
      </c>
      <c r="E24" s="7">
        <v>44080</v>
      </c>
      <c r="F24" s="7">
        <v>44080</v>
      </c>
      <c r="G24" s="7">
        <v>44080</v>
      </c>
      <c r="H24" s="7">
        <v>44080</v>
      </c>
      <c r="I24" s="7">
        <v>44080</v>
      </c>
      <c r="J24" s="83">
        <v>44080</v>
      </c>
      <c r="K24" s="7">
        <v>44080</v>
      </c>
      <c r="L24" s="7">
        <v>44080</v>
      </c>
      <c r="M24" s="7">
        <v>44080</v>
      </c>
    </row>
    <row r="25" spans="2:13" x14ac:dyDescent="0.3">
      <c r="B25" t="s">
        <v>25</v>
      </c>
      <c r="C25" s="7">
        <v>1119301</v>
      </c>
      <c r="D25" s="7">
        <v>1107135</v>
      </c>
      <c r="E25" s="7">
        <v>1079054</v>
      </c>
      <c r="F25" s="7">
        <v>1079054</v>
      </c>
      <c r="G25" s="7">
        <v>1079054</v>
      </c>
      <c r="H25" s="7">
        <v>1079054</v>
      </c>
      <c r="I25" s="7">
        <v>1079054</v>
      </c>
      <c r="J25" s="83">
        <v>1079054</v>
      </c>
      <c r="K25" s="7">
        <v>1079054</v>
      </c>
      <c r="L25" s="7">
        <v>1079054</v>
      </c>
      <c r="M25" s="7">
        <v>1079054</v>
      </c>
    </row>
    <row r="26" spans="2:13" x14ac:dyDescent="0.3">
      <c r="B26" t="s">
        <v>26</v>
      </c>
      <c r="C26" s="7">
        <v>431873</v>
      </c>
      <c r="D26" s="7">
        <v>443037</v>
      </c>
      <c r="E26" s="7">
        <v>414564</v>
      </c>
      <c r="F26" s="7">
        <v>435432</v>
      </c>
      <c r="G26" s="7">
        <v>435552</v>
      </c>
      <c r="H26" s="7">
        <v>433010</v>
      </c>
      <c r="I26" s="7">
        <v>411939</v>
      </c>
      <c r="J26" s="83">
        <v>411939</v>
      </c>
      <c r="K26" s="7">
        <v>411939</v>
      </c>
      <c r="L26" s="7">
        <v>411939</v>
      </c>
      <c r="M26" s="7">
        <v>411939</v>
      </c>
    </row>
    <row r="27" spans="2:13" x14ac:dyDescent="0.3">
      <c r="B27" t="s">
        <v>27</v>
      </c>
      <c r="C27" s="7">
        <v>-16025</v>
      </c>
      <c r="D27" s="7">
        <v>-28191</v>
      </c>
      <c r="E27" s="7">
        <v>-3382</v>
      </c>
      <c r="F27" s="7">
        <v>-3599</v>
      </c>
      <c r="G27" s="7">
        <v>-3936</v>
      </c>
      <c r="H27" s="7">
        <v>-1615</v>
      </c>
      <c r="I27" s="7">
        <v>-1509</v>
      </c>
      <c r="J27" s="83">
        <v>-1509</v>
      </c>
      <c r="K27" s="7">
        <v>-1509</v>
      </c>
      <c r="L27" s="7">
        <v>-1509</v>
      </c>
      <c r="M27" s="7">
        <v>-1509</v>
      </c>
    </row>
    <row r="28" spans="2:13" x14ac:dyDescent="0.3">
      <c r="B28" t="s">
        <v>28</v>
      </c>
      <c r="C28" s="7">
        <v>-430458</v>
      </c>
      <c r="D28" s="7">
        <v>-325355</v>
      </c>
      <c r="E28" s="7">
        <v>-213079</v>
      </c>
      <c r="F28" s="7">
        <v>-835481</v>
      </c>
      <c r="G28" s="7">
        <v>-1027440</v>
      </c>
      <c r="H28" s="7">
        <v>-920599</v>
      </c>
      <c r="I28" s="7">
        <v>-710465</v>
      </c>
      <c r="J28" s="89">
        <f ca="1">+I28+'Income Statement'!J35+'Cash Flow Statement'!J34</f>
        <v>-558631.15789617109</v>
      </c>
      <c r="K28" s="12">
        <f ca="1">+J28+'Income Statement'!K35+'Cash Flow Statement'!K34</f>
        <v>-380794.64615140093</v>
      </c>
      <c r="L28" s="12">
        <f ca="1">+K28+'Income Statement'!L35+'Cash Flow Statement'!L34</f>
        <v>-185995.96213193794</v>
      </c>
      <c r="M28" s="12">
        <f ca="1">+L28+'Income Statement'!M35+'Cash Flow Statement'!M34</f>
        <v>29593.179332650121</v>
      </c>
    </row>
    <row r="29" spans="2:13" x14ac:dyDescent="0.3">
      <c r="B29" t="s">
        <v>29</v>
      </c>
      <c r="C29" s="7">
        <v>-133101</v>
      </c>
      <c r="D29" s="7">
        <v>-110515</v>
      </c>
      <c r="E29" s="7">
        <v>-246888</v>
      </c>
      <c r="F29" s="7">
        <v>-222214</v>
      </c>
      <c r="G29" s="7">
        <v>-228618</v>
      </c>
      <c r="H29" s="7">
        <v>-240157</v>
      </c>
      <c r="I29" s="7">
        <v>-202901</v>
      </c>
      <c r="J29" s="83">
        <v>-202901</v>
      </c>
      <c r="K29" s="7">
        <v>-202901</v>
      </c>
      <c r="L29" s="7">
        <v>-202901</v>
      </c>
      <c r="M29" s="7">
        <v>-202901</v>
      </c>
    </row>
    <row r="30" spans="2:13" x14ac:dyDescent="0.3">
      <c r="B30" t="s">
        <v>30</v>
      </c>
      <c r="C30" s="7">
        <v>-2148</v>
      </c>
      <c r="D30" s="7">
        <v>-2558</v>
      </c>
      <c r="E30" s="7">
        <v>-3088</v>
      </c>
      <c r="F30" s="7">
        <v>-1023</v>
      </c>
      <c r="G30" s="7">
        <v>3803</v>
      </c>
      <c r="H30" s="7">
        <v>1429</v>
      </c>
      <c r="I30" s="7">
        <v>-2652</v>
      </c>
      <c r="J30" s="83">
        <v>-2652</v>
      </c>
      <c r="K30" s="7">
        <v>-2652</v>
      </c>
      <c r="L30" s="7">
        <v>-2652</v>
      </c>
      <c r="M30" s="7">
        <v>-2652</v>
      </c>
    </row>
    <row r="31" spans="2:13" x14ac:dyDescent="0.3">
      <c r="B31" t="s">
        <v>31</v>
      </c>
      <c r="C31" s="7">
        <v>147094</v>
      </c>
      <c r="D31" s="7">
        <v>112898</v>
      </c>
      <c r="E31" s="7">
        <v>-595928</v>
      </c>
      <c r="F31" s="7">
        <v>-192900</v>
      </c>
      <c r="G31" s="7">
        <v>110694</v>
      </c>
      <c r="H31" s="7">
        <v>117734</v>
      </c>
      <c r="I31" s="7">
        <v>140626</v>
      </c>
      <c r="J31" s="83">
        <v>140626</v>
      </c>
      <c r="K31" s="7">
        <v>140626</v>
      </c>
      <c r="L31" s="7">
        <v>140626</v>
      </c>
      <c r="M31" s="7">
        <v>140626</v>
      </c>
    </row>
    <row r="32" spans="2:13" x14ac:dyDescent="0.3">
      <c r="B32" s="6" t="s">
        <v>32</v>
      </c>
      <c r="C32" s="8">
        <f t="shared" ref="C32:M32" si="4">+SUM(C24:C31)</f>
        <v>1162476</v>
      </c>
      <c r="D32" s="8">
        <f t="shared" si="4"/>
        <v>1242391</v>
      </c>
      <c r="E32" s="8">
        <f t="shared" si="4"/>
        <v>475333</v>
      </c>
      <c r="F32" s="8">
        <f t="shared" si="4"/>
        <v>303349</v>
      </c>
      <c r="G32" s="8">
        <f t="shared" si="4"/>
        <v>413189</v>
      </c>
      <c r="H32" s="8">
        <f t="shared" si="4"/>
        <v>512936</v>
      </c>
      <c r="I32" s="8">
        <f t="shared" si="4"/>
        <v>758172</v>
      </c>
      <c r="J32" s="86">
        <f t="shared" ca="1" si="4"/>
        <v>910005.84210382891</v>
      </c>
      <c r="K32" s="8">
        <f t="shared" ca="1" si="4"/>
        <v>1087842.3538485991</v>
      </c>
      <c r="L32" s="8">
        <f t="shared" ca="1" si="4"/>
        <v>1282641.037868062</v>
      </c>
      <c r="M32" s="8">
        <f t="shared" ca="1" si="4"/>
        <v>1498230.17933265</v>
      </c>
    </row>
    <row r="33" spans="2:13" x14ac:dyDescent="0.3">
      <c r="B33" t="s">
        <v>33</v>
      </c>
      <c r="C33" s="7">
        <v>41935</v>
      </c>
      <c r="D33" s="7">
        <v>43638</v>
      </c>
      <c r="E33" s="7">
        <v>25507</v>
      </c>
      <c r="F33" s="7">
        <v>22306</v>
      </c>
      <c r="G33" s="7">
        <v>32661</v>
      </c>
      <c r="H33" s="7">
        <v>50211</v>
      </c>
      <c r="I33" s="7">
        <v>311705</v>
      </c>
      <c r="J33" s="83">
        <f ca="1">+I33+'Income Statement'!J36</f>
        <v>333999.79158538562</v>
      </c>
      <c r="K33" s="7">
        <f ca="1">+J33+'Income Statement'!K36</f>
        <v>356811.502724319</v>
      </c>
      <c r="L33" s="7">
        <f ca="1">+K33+'Income Statement'!L36</f>
        <v>379752.50923112611</v>
      </c>
      <c r="M33" s="7">
        <f ca="1">+L33+'Income Statement'!M36</f>
        <v>403099.52637570177</v>
      </c>
    </row>
    <row r="34" spans="2:13" x14ac:dyDescent="0.3">
      <c r="B34" s="4" t="s">
        <v>23</v>
      </c>
      <c r="C34" s="9">
        <f t="shared" ref="C34:M34" si="5">+SUM(C32+C33)</f>
        <v>1204411</v>
      </c>
      <c r="D34" s="9">
        <f t="shared" si="5"/>
        <v>1286029</v>
      </c>
      <c r="E34" s="9">
        <f t="shared" si="5"/>
        <v>500840</v>
      </c>
      <c r="F34" s="9">
        <f t="shared" si="5"/>
        <v>325655</v>
      </c>
      <c r="G34" s="9">
        <f t="shared" si="5"/>
        <v>445850</v>
      </c>
      <c r="H34" s="9">
        <f t="shared" si="5"/>
        <v>563147</v>
      </c>
      <c r="I34" s="9">
        <f t="shared" si="5"/>
        <v>1069877</v>
      </c>
      <c r="J34" s="82">
        <f t="shared" ca="1" si="5"/>
        <v>1244005.6336892145</v>
      </c>
      <c r="K34" s="9">
        <f t="shared" ca="1" si="5"/>
        <v>1444653.8565729181</v>
      </c>
      <c r="L34" s="9">
        <f t="shared" ca="1" si="5"/>
        <v>1662393.5470991882</v>
      </c>
      <c r="M34" s="9">
        <f t="shared" ca="1" si="5"/>
        <v>1901329.7057083519</v>
      </c>
    </row>
    <row r="35" spans="2:13" x14ac:dyDescent="0.3">
      <c r="J35" s="71"/>
    </row>
    <row r="36" spans="2:13" x14ac:dyDescent="0.3">
      <c r="B36" t="s">
        <v>34</v>
      </c>
      <c r="C36" s="7">
        <v>33835</v>
      </c>
      <c r="D36" s="7">
        <v>33951</v>
      </c>
      <c r="E36" s="7">
        <v>34152</v>
      </c>
      <c r="F36" s="7">
        <v>51659</v>
      </c>
      <c r="G36" s="7">
        <v>52026</v>
      </c>
      <c r="H36" s="7">
        <v>52082</v>
      </c>
      <c r="I36" s="7">
        <v>52143</v>
      </c>
      <c r="J36" s="83">
        <v>52143</v>
      </c>
      <c r="K36" s="7">
        <v>52143</v>
      </c>
      <c r="L36" s="7">
        <v>52143</v>
      </c>
      <c r="M36" s="7">
        <v>52143</v>
      </c>
    </row>
    <row r="37" spans="2:13" x14ac:dyDescent="0.3">
      <c r="B37" t="s">
        <v>35</v>
      </c>
      <c r="C37" s="7">
        <v>719949</v>
      </c>
      <c r="D37" s="7">
        <v>786923</v>
      </c>
      <c r="E37" s="7">
        <v>1064925</v>
      </c>
      <c r="F37" s="7">
        <v>1126751</v>
      </c>
      <c r="G37" s="7">
        <v>1131463</v>
      </c>
      <c r="H37" s="7">
        <v>958390</v>
      </c>
      <c r="I37" s="7">
        <v>769022</v>
      </c>
      <c r="J37" s="91">
        <f ca="1">((I37+J37)/2)*(1-'Ratios &amp; KPI''s'!J15)</f>
        <v>701914.39095217327</v>
      </c>
      <c r="K37" s="57">
        <f ca="1">((J37+K37)/2)*(1-'Ratios &amp; KPI''s'!K15)</f>
        <v>640662.83178603533</v>
      </c>
      <c r="L37" s="57">
        <f ca="1">((K37+L37)/2)*(1-'Ratios &amp; KPI''s'!L15)</f>
        <v>584756.30265296681</v>
      </c>
      <c r="M37" s="57">
        <f ca="1">((L37+M37)/2)*(1-'Ratios &amp; KPI''s'!M15)</f>
        <v>533728.37712328392</v>
      </c>
    </row>
    <row r="38" spans="2:13" x14ac:dyDescent="0.3">
      <c r="B38" t="s">
        <v>36</v>
      </c>
      <c r="C38" s="7">
        <v>1126410</v>
      </c>
      <c r="D38" s="7">
        <v>1264282</v>
      </c>
      <c r="E38" s="7">
        <v>1189401</v>
      </c>
      <c r="F38" s="7">
        <v>1379126</v>
      </c>
      <c r="G38" s="7">
        <v>1313728</v>
      </c>
      <c r="H38" s="7">
        <v>1301464</v>
      </c>
      <c r="I38" s="7">
        <v>1312338</v>
      </c>
      <c r="J38" s="91">
        <f ca="1">((I38+J38)/2)*(1-'Ratios &amp; KPI''s'!J15)</f>
        <v>1197818.6943850676</v>
      </c>
      <c r="K38" s="57">
        <f ca="1">((J38+K38)/2)*(1-'Ratios &amp; KPI''s'!K15)</f>
        <v>1093292.7527956578</v>
      </c>
      <c r="L38" s="57">
        <f ca="1">((K38+L38)/2)*(1-'Ratios &amp; KPI''s'!L15)</f>
        <v>997888.1185596633</v>
      </c>
      <c r="M38" s="57">
        <f ca="1">((L38+M38)/2)*(1-'Ratios &amp; KPI''s'!M15)</f>
        <v>910808.83378787129</v>
      </c>
    </row>
    <row r="39" spans="2:13" x14ac:dyDescent="0.3">
      <c r="B39" t="s">
        <v>37</v>
      </c>
      <c r="C39" s="7">
        <v>14961</v>
      </c>
      <c r="D39" s="7">
        <v>12212</v>
      </c>
      <c r="E39" s="7">
        <v>11529</v>
      </c>
      <c r="F39" s="7">
        <v>6011</v>
      </c>
      <c r="G39" s="7">
        <v>7746</v>
      </c>
      <c r="H39" s="7">
        <v>33713</v>
      </c>
      <c r="I39" s="7">
        <v>56268</v>
      </c>
      <c r="J39" s="83">
        <v>56268</v>
      </c>
      <c r="K39" s="7">
        <v>56268</v>
      </c>
      <c r="L39" s="7">
        <v>56268</v>
      </c>
      <c r="M39" s="7">
        <v>56268</v>
      </c>
    </row>
    <row r="40" spans="2:13" x14ac:dyDescent="0.3">
      <c r="B40" t="s">
        <v>38</v>
      </c>
      <c r="C40" s="7">
        <v>368535</v>
      </c>
      <c r="D40" s="7">
        <v>350593</v>
      </c>
      <c r="E40" s="7">
        <v>292423</v>
      </c>
      <c r="F40" s="7">
        <v>312876</v>
      </c>
      <c r="G40" s="7">
        <v>313612</v>
      </c>
      <c r="H40" s="7">
        <v>298631</v>
      </c>
      <c r="I40" s="7">
        <v>270374</v>
      </c>
      <c r="J40" s="83">
        <v>270374</v>
      </c>
      <c r="K40" s="7">
        <v>270374</v>
      </c>
      <c r="L40" s="7">
        <v>270374</v>
      </c>
      <c r="M40" s="7">
        <v>270374</v>
      </c>
    </row>
    <row r="41" spans="2:13" x14ac:dyDescent="0.3">
      <c r="B41" t="s">
        <v>39</v>
      </c>
      <c r="C41" s="7">
        <v>40199</v>
      </c>
      <c r="D41" s="7">
        <v>29805</v>
      </c>
      <c r="E41" s="7">
        <v>26483</v>
      </c>
      <c r="F41" s="7">
        <v>25656</v>
      </c>
      <c r="G41" s="7">
        <v>30198</v>
      </c>
      <c r="H41" s="7">
        <v>37677</v>
      </c>
      <c r="I41" s="7">
        <v>41036</v>
      </c>
      <c r="J41" s="83">
        <v>41036</v>
      </c>
      <c r="K41" s="7">
        <v>41036</v>
      </c>
      <c r="L41" s="7">
        <v>41036</v>
      </c>
      <c r="M41" s="7">
        <v>41036</v>
      </c>
    </row>
    <row r="42" spans="2:13" x14ac:dyDescent="0.3">
      <c r="B42" t="s">
        <v>40</v>
      </c>
      <c r="C42" s="7">
        <v>203239</v>
      </c>
      <c r="D42" s="7">
        <v>221888</v>
      </c>
      <c r="E42" s="7">
        <v>192870</v>
      </c>
      <c r="F42" s="7">
        <v>182776</v>
      </c>
      <c r="G42" s="7">
        <v>176946</v>
      </c>
      <c r="H42" s="7">
        <v>167930</v>
      </c>
      <c r="I42" s="7">
        <v>212746</v>
      </c>
      <c r="J42" s="83">
        <v>212746</v>
      </c>
      <c r="K42" s="7">
        <v>212746</v>
      </c>
      <c r="L42" s="7">
        <v>212746</v>
      </c>
      <c r="M42" s="7">
        <v>212746</v>
      </c>
    </row>
    <row r="43" spans="2:13" x14ac:dyDescent="0.3">
      <c r="B43" s="4" t="s">
        <v>41</v>
      </c>
      <c r="C43" s="9">
        <f t="shared" ref="C43:M43" si="6">+SUM(C36:C42)</f>
        <v>2507128</v>
      </c>
      <c r="D43" s="9">
        <f t="shared" si="6"/>
        <v>2699654</v>
      </c>
      <c r="E43" s="9">
        <f t="shared" si="6"/>
        <v>2811783</v>
      </c>
      <c r="F43" s="9">
        <f t="shared" si="6"/>
        <v>3084855</v>
      </c>
      <c r="G43" s="9">
        <f t="shared" si="6"/>
        <v>3025719</v>
      </c>
      <c r="H43" s="9">
        <f t="shared" si="6"/>
        <v>2849887</v>
      </c>
      <c r="I43" s="9">
        <f t="shared" si="6"/>
        <v>2713927</v>
      </c>
      <c r="J43" s="82">
        <f t="shared" ca="1" si="6"/>
        <v>2532300.0853372407</v>
      </c>
      <c r="K43" s="9">
        <f t="shared" ca="1" si="6"/>
        <v>2366522.5845816932</v>
      </c>
      <c r="L43" s="9">
        <f t="shared" ca="1" si="6"/>
        <v>2215211.4212126303</v>
      </c>
      <c r="M43" s="9">
        <f t="shared" ca="1" si="6"/>
        <v>2077104.2109111552</v>
      </c>
    </row>
    <row r="44" spans="2:13" x14ac:dyDescent="0.3">
      <c r="J44" s="71"/>
    </row>
    <row r="45" spans="2:13" x14ac:dyDescent="0.3">
      <c r="B45" t="s">
        <v>34</v>
      </c>
      <c r="C45" s="7">
        <v>51526</v>
      </c>
      <c r="D45" s="7">
        <v>172</v>
      </c>
      <c r="E45" s="7">
        <v>172</v>
      </c>
      <c r="F45" s="7">
        <v>82616</v>
      </c>
      <c r="G45" s="7">
        <v>24042</v>
      </c>
      <c r="H45" s="7">
        <v>24585</v>
      </c>
      <c r="I45" s="7">
        <v>11242</v>
      </c>
      <c r="J45" s="83">
        <v>11242</v>
      </c>
      <c r="K45" s="7">
        <v>11242</v>
      </c>
      <c r="L45" s="7">
        <v>11242</v>
      </c>
      <c r="M45" s="7">
        <v>11242</v>
      </c>
    </row>
    <row r="46" spans="2:13" x14ac:dyDescent="0.3">
      <c r="B46" t="s">
        <v>35</v>
      </c>
      <c r="C46" s="7">
        <v>115066</v>
      </c>
      <c r="D46" s="7">
        <v>100343</v>
      </c>
      <c r="E46" s="7">
        <v>260592</v>
      </c>
      <c r="F46" s="7">
        <v>122715</v>
      </c>
      <c r="G46" s="7">
        <v>151561</v>
      </c>
      <c r="H46" s="7">
        <v>288837</v>
      </c>
      <c r="I46" s="7">
        <v>111555</v>
      </c>
      <c r="J46" s="91">
        <v>111555</v>
      </c>
      <c r="K46" s="57">
        <v>111555</v>
      </c>
      <c r="L46" s="57">
        <v>111555</v>
      </c>
      <c r="M46" s="57">
        <v>111555</v>
      </c>
    </row>
    <row r="47" spans="2:13" x14ac:dyDescent="0.3">
      <c r="B47" t="s">
        <v>36</v>
      </c>
      <c r="C47" s="7">
        <v>151006</v>
      </c>
      <c r="D47" s="7">
        <v>172012</v>
      </c>
      <c r="E47" s="7">
        <v>159158</v>
      </c>
      <c r="F47" s="7">
        <v>188220</v>
      </c>
      <c r="G47" s="7">
        <v>148838</v>
      </c>
      <c r="H47" s="7">
        <v>147989</v>
      </c>
      <c r="I47" s="7">
        <v>151595</v>
      </c>
      <c r="J47" s="91">
        <v>151595</v>
      </c>
      <c r="K47" s="57">
        <v>151595</v>
      </c>
      <c r="L47" s="57">
        <v>151595</v>
      </c>
      <c r="M47" s="57">
        <v>151595</v>
      </c>
    </row>
    <row r="48" spans="2:13" x14ac:dyDescent="0.3">
      <c r="B48" t="s">
        <v>42</v>
      </c>
      <c r="C48" s="7">
        <v>452823</v>
      </c>
      <c r="D48" s="7">
        <v>424472</v>
      </c>
      <c r="E48" s="7">
        <v>293334</v>
      </c>
      <c r="F48" s="7">
        <v>366656</v>
      </c>
      <c r="G48" s="7">
        <v>500763</v>
      </c>
      <c r="H48" s="7">
        <v>505276</v>
      </c>
      <c r="I48" s="7">
        <v>473383</v>
      </c>
      <c r="J48" s="83">
        <f ca="1">+'Income Statement'!J4*'Ratios &amp; KPI''s'!J8</f>
        <v>492837.80548143224</v>
      </c>
      <c r="K48" s="7">
        <f ca="1">+'Income Statement'!K4*'Ratios &amp; KPI''s'!K8</f>
        <v>513462.51663957641</v>
      </c>
      <c r="L48" s="7">
        <f ca="1">+'Income Statement'!L4*'Ratios &amp; KPI''s'!L8</f>
        <v>531105.68421414285</v>
      </c>
      <c r="M48" s="7">
        <f ca="1">+'Income Statement'!M4*'Ratios &amp; KPI''s'!M8</f>
        <v>551079.59517686476</v>
      </c>
    </row>
    <row r="49" spans="2:13" x14ac:dyDescent="0.3">
      <c r="B49" t="s">
        <v>43</v>
      </c>
      <c r="C49" s="7">
        <v>7066</v>
      </c>
      <c r="D49" s="7">
        <v>7675</v>
      </c>
      <c r="E49" s="7">
        <v>1859</v>
      </c>
      <c r="F49" s="7">
        <v>1237</v>
      </c>
      <c r="G49" s="7">
        <v>7755</v>
      </c>
      <c r="H49" s="7">
        <v>9451</v>
      </c>
      <c r="I49" s="7">
        <v>23845</v>
      </c>
      <c r="J49" s="83">
        <v>23845</v>
      </c>
      <c r="K49" s="7">
        <v>23845</v>
      </c>
      <c r="L49" s="7">
        <v>23845</v>
      </c>
      <c r="M49" s="7">
        <v>23845</v>
      </c>
    </row>
    <row r="50" spans="2:13" x14ac:dyDescent="0.3">
      <c r="B50" t="s">
        <v>44</v>
      </c>
      <c r="C50" s="7">
        <v>75546</v>
      </c>
      <c r="D50" s="7">
        <v>65301</v>
      </c>
      <c r="E50" s="7">
        <v>44818</v>
      </c>
      <c r="F50" s="7">
        <v>40905</v>
      </c>
      <c r="G50" s="7">
        <v>44022</v>
      </c>
      <c r="H50" s="7">
        <v>45973</v>
      </c>
      <c r="I50" s="7">
        <v>26363</v>
      </c>
      <c r="J50" s="83">
        <v>26363</v>
      </c>
      <c r="K50" s="7">
        <v>26363</v>
      </c>
      <c r="L50" s="7">
        <v>26363</v>
      </c>
      <c r="M50" s="7">
        <v>26363</v>
      </c>
    </row>
    <row r="51" spans="2:13" x14ac:dyDescent="0.3">
      <c r="B51" s="4" t="s">
        <v>45</v>
      </c>
      <c r="C51" s="9">
        <f t="shared" ref="C51:M51" si="7">+SUM(C45:C50)</f>
        <v>853033</v>
      </c>
      <c r="D51" s="9">
        <f t="shared" si="7"/>
        <v>769975</v>
      </c>
      <c r="E51" s="9">
        <f t="shared" si="7"/>
        <v>759933</v>
      </c>
      <c r="F51" s="9">
        <f t="shared" si="7"/>
        <v>802349</v>
      </c>
      <c r="G51" s="9">
        <f t="shared" si="7"/>
        <v>876981</v>
      </c>
      <c r="H51" s="9">
        <f t="shared" si="7"/>
        <v>1022111</v>
      </c>
      <c r="I51" s="9">
        <f t="shared" si="7"/>
        <v>797983</v>
      </c>
      <c r="J51" s="82">
        <f t="shared" ca="1" si="7"/>
        <v>817437.80548143224</v>
      </c>
      <c r="K51" s="9">
        <f t="shared" ca="1" si="7"/>
        <v>838062.51663957641</v>
      </c>
      <c r="L51" s="9">
        <f t="shared" ca="1" si="7"/>
        <v>855705.68421414285</v>
      </c>
      <c r="M51" s="9">
        <f t="shared" ca="1" si="7"/>
        <v>875679.59517686476</v>
      </c>
    </row>
    <row r="52" spans="2:13" x14ac:dyDescent="0.3">
      <c r="J52" s="71"/>
    </row>
    <row r="53" spans="2:13" x14ac:dyDescent="0.3">
      <c r="B53" s="2" t="s">
        <v>46</v>
      </c>
      <c r="C53" s="3">
        <f t="shared" ref="C53:M53" si="8">+C51+C43+C34</f>
        <v>4564572</v>
      </c>
      <c r="D53" s="3">
        <f t="shared" si="8"/>
        <v>4755658</v>
      </c>
      <c r="E53" s="3">
        <f t="shared" si="8"/>
        <v>4072556</v>
      </c>
      <c r="F53" s="3">
        <f t="shared" si="8"/>
        <v>4212859</v>
      </c>
      <c r="G53" s="3">
        <f t="shared" si="8"/>
        <v>4348550</v>
      </c>
      <c r="H53" s="3">
        <f t="shared" si="8"/>
        <v>4435145</v>
      </c>
      <c r="I53" s="3">
        <f t="shared" si="8"/>
        <v>4581787</v>
      </c>
      <c r="J53" s="93">
        <f t="shared" ca="1" si="8"/>
        <v>4593743.5245078877</v>
      </c>
      <c r="K53" s="3">
        <f t="shared" ca="1" si="8"/>
        <v>4649238.9577941876</v>
      </c>
      <c r="L53" s="3">
        <f t="shared" ca="1" si="8"/>
        <v>4733310.6525259614</v>
      </c>
      <c r="M53" s="3">
        <f t="shared" ca="1" si="8"/>
        <v>4854113.511796372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2022-573B-4F26-8657-7349E7C9B517}">
  <sheetPr>
    <tabColor theme="6" tint="0.59999389629810485"/>
  </sheetPr>
  <dimension ref="B3:M55"/>
  <sheetViews>
    <sheetView showGridLines="0" workbookViewId="0">
      <selection activeCell="J23" sqref="J23"/>
    </sheetView>
  </sheetViews>
  <sheetFormatPr defaultRowHeight="14.4" outlineLevelCol="1" x14ac:dyDescent="0.3"/>
  <cols>
    <col min="2" max="2" width="70.5546875" bestFit="1" customWidth="1"/>
    <col min="3" max="8" width="8.88671875" customWidth="1" outlineLevel="1"/>
    <col min="16" max="16" width="47.88671875" bestFit="1" customWidth="1"/>
    <col min="17" max="17" width="8.88671875" bestFit="1" customWidth="1"/>
    <col min="18" max="18" width="8.77734375" bestFit="1" customWidth="1"/>
    <col min="19" max="19" width="7.88671875" bestFit="1" customWidth="1"/>
    <col min="20" max="20" width="7.77734375" bestFit="1" customWidth="1"/>
    <col min="21" max="21" width="8.88671875" bestFit="1" customWidth="1"/>
    <col min="23" max="27" width="7.88671875" bestFit="1" customWidth="1"/>
  </cols>
  <sheetData>
    <row r="3" spans="2:13" x14ac:dyDescent="0.3">
      <c r="B3" s="20" t="s">
        <v>80</v>
      </c>
      <c r="C3" s="21">
        <v>2018</v>
      </c>
      <c r="D3" s="21">
        <v>2019</v>
      </c>
      <c r="E3" s="21">
        <v>2020</v>
      </c>
      <c r="F3" s="21">
        <v>2021</v>
      </c>
      <c r="G3" s="21">
        <v>2022</v>
      </c>
      <c r="H3" s="21">
        <v>2023</v>
      </c>
      <c r="I3" s="49">
        <v>2024</v>
      </c>
      <c r="J3" s="51" t="s">
        <v>115</v>
      </c>
      <c r="K3" s="50" t="s">
        <v>116</v>
      </c>
      <c r="L3" s="26" t="s">
        <v>117</v>
      </c>
      <c r="M3" s="26" t="s">
        <v>118</v>
      </c>
    </row>
    <row r="4" spans="2:13" x14ac:dyDescent="0.3">
      <c r="B4" t="s">
        <v>68</v>
      </c>
      <c r="C4" s="7">
        <v>195202</v>
      </c>
      <c r="D4" s="7">
        <v>156312</v>
      </c>
      <c r="E4" s="7">
        <v>-663771</v>
      </c>
      <c r="F4" s="7">
        <v>-217391</v>
      </c>
      <c r="G4" s="7">
        <v>156312</v>
      </c>
      <c r="H4" s="7">
        <v>149317</v>
      </c>
      <c r="I4" s="7">
        <v>224424</v>
      </c>
      <c r="J4" s="12">
        <f ca="1">+'Income Statement'!J29</f>
        <v>266315.51158561942</v>
      </c>
      <c r="K4" s="12">
        <f ca="1">+'Income Statement'!K29</f>
        <v>301674.96384493809</v>
      </c>
      <c r="L4" s="12">
        <f ca="1">+'Income Statement'!L29</f>
        <v>324463.5873683602</v>
      </c>
      <c r="M4" s="12">
        <f ca="1">+'Income Statement'!M29</f>
        <v>352725.54481221829</v>
      </c>
    </row>
    <row r="5" spans="2:13" x14ac:dyDescent="0.3">
      <c r="B5" t="s">
        <v>58</v>
      </c>
      <c r="C5" s="12" cm="1">
        <f t="array" ref="C5">+SUM(ABS('Income Statement'!C17:C18))</f>
        <v>241648</v>
      </c>
      <c r="D5" s="12" cm="1">
        <f t="array" ref="D5">+SUM(ABS('Income Statement'!D17:D18))</f>
        <v>260042</v>
      </c>
      <c r="E5" s="12" cm="1">
        <f t="array" ref="E5">+SUM(ABS('Income Statement'!E17:E18))</f>
        <v>405817</v>
      </c>
      <c r="F5" s="12" cm="1">
        <f t="array" ref="F5">+SUM(ABS('Income Statement'!F17:F18))</f>
        <v>270875</v>
      </c>
      <c r="G5" s="12" cm="1">
        <f t="array" ref="G5">+SUM(ABS('Income Statement'!G17:G18))</f>
        <v>229660</v>
      </c>
      <c r="H5" s="12" cm="1">
        <f t="array" ref="H5">+SUM(ABS('Income Statement'!H17:H18))</f>
        <v>258763</v>
      </c>
      <c r="I5" s="12" cm="1">
        <f t="array" ref="I5">+SUM(ABS('Income Statement'!I17:I18))</f>
        <v>241892</v>
      </c>
      <c r="J5" s="12" cm="1">
        <f t="array" aca="1" ref="J5" ca="1">+SUM(ABS('Income Statement'!J17:J18))</f>
        <v>239875.08263985207</v>
      </c>
      <c r="K5" s="12" cm="1">
        <f t="array" aca="1" ref="K5" ca="1">+SUM(ABS('Income Statement'!K17:K18))</f>
        <v>225540.11821073468</v>
      </c>
      <c r="L5" s="12" cm="1">
        <f t="array" aca="1" ref="L5" ca="1">+SUM(ABS('Income Statement'!L17:L18))</f>
        <v>212738.9637244519</v>
      </c>
      <c r="M5" s="12" cm="1">
        <f t="array" aca="1" ref="M5" ca="1">+SUM(ABS('Income Statement'!M17:M18))</f>
        <v>201330.55228921663</v>
      </c>
    </row>
    <row r="6" spans="2:13" x14ac:dyDescent="0.3">
      <c r="B6" t="s">
        <v>67</v>
      </c>
      <c r="C6" s="12">
        <v>5320</v>
      </c>
      <c r="D6" s="12">
        <v>-6303</v>
      </c>
      <c r="E6" s="12">
        <v>-31859</v>
      </c>
      <c r="F6" s="12">
        <v>9198</v>
      </c>
      <c r="G6" s="12">
        <v>-16389</v>
      </c>
      <c r="H6" s="12">
        <v>12916</v>
      </c>
      <c r="I6" s="12">
        <v>10980</v>
      </c>
      <c r="J6" s="12">
        <f>+'Income Statement'!J28</f>
        <v>0</v>
      </c>
      <c r="K6" s="12">
        <f>+'Income Statement'!K28</f>
        <v>0</v>
      </c>
      <c r="L6" s="12">
        <f>+'Income Statement'!L28</f>
        <v>0</v>
      </c>
      <c r="M6" s="12">
        <f>+'Income Statement'!M28</f>
        <v>0</v>
      </c>
    </row>
    <row r="7" spans="2:13" x14ac:dyDescent="0.3">
      <c r="B7" t="s">
        <v>66</v>
      </c>
      <c r="C7" s="12">
        <v>68989</v>
      </c>
      <c r="D7" s="12">
        <v>72786</v>
      </c>
      <c r="E7" s="12">
        <v>74564</v>
      </c>
      <c r="F7" s="12">
        <v>62847</v>
      </c>
      <c r="G7" s="12">
        <v>61176</v>
      </c>
      <c r="H7" s="12">
        <v>94598</v>
      </c>
      <c r="I7" s="12">
        <v>98059</v>
      </c>
      <c r="J7" s="12">
        <f ca="1">+-'Income Statement'!J27</f>
        <v>92801.692144341199</v>
      </c>
      <c r="K7" s="12">
        <f ca="1">+-'Income Statement'!K27</f>
        <v>85665.238389857142</v>
      </c>
      <c r="L7" s="12">
        <f ca="1">+-'Income Statement'!L27</f>
        <v>79151.537103499883</v>
      </c>
      <c r="M7" s="12">
        <f ca="1">+-'Income Statement'!M27</f>
        <v>73206.244678500545</v>
      </c>
    </row>
    <row r="8" spans="2:13" x14ac:dyDescent="0.3">
      <c r="B8" s="4" t="s">
        <v>57</v>
      </c>
      <c r="C8" s="9">
        <v>500898</v>
      </c>
      <c r="D8" s="9">
        <v>477911</v>
      </c>
      <c r="E8" s="9">
        <v>-151531</v>
      </c>
      <c r="F8" s="9">
        <v>125529</v>
      </c>
      <c r="G8" s="9">
        <v>430759</v>
      </c>
      <c r="H8" s="9">
        <v>489762</v>
      </c>
      <c r="I8" s="9">
        <v>575355</v>
      </c>
      <c r="J8" s="9">
        <f ca="1">+SUM(J4:J7)</f>
        <v>598992.28636981267</v>
      </c>
      <c r="K8" s="9">
        <f ca="1">+SUM(K4:K7)</f>
        <v>612880.32044552988</v>
      </c>
      <c r="L8" s="9">
        <f ca="1">+SUM(L4:L7)</f>
        <v>616354.08819631196</v>
      </c>
      <c r="M8" s="9">
        <f ca="1">+SUM(M4:M7)</f>
        <v>627262.34177993552</v>
      </c>
    </row>
    <row r="9" spans="2:13" x14ac:dyDescent="0.3">
      <c r="B9" t="s">
        <v>81</v>
      </c>
      <c r="C9" s="12"/>
      <c r="D9" s="12"/>
      <c r="E9" s="12"/>
      <c r="F9" s="12">
        <v>-75226</v>
      </c>
      <c r="G9" s="12">
        <v>-12239</v>
      </c>
      <c r="H9" s="12">
        <v>-3395</v>
      </c>
      <c r="I9" s="12">
        <v>-41771</v>
      </c>
      <c r="J9" s="12">
        <f>-'Income Statement'!J6</f>
        <v>-43496</v>
      </c>
      <c r="K9" s="12">
        <f>-'Income Statement'!K6</f>
        <v>-43496</v>
      </c>
      <c r="L9" s="12">
        <f>-'Income Statement'!L6</f>
        <v>-43496</v>
      </c>
      <c r="M9" s="12">
        <f>-'Income Statement'!M6</f>
        <v>-43496</v>
      </c>
    </row>
    <row r="10" spans="2:13" x14ac:dyDescent="0.3">
      <c r="B10" t="s">
        <v>82</v>
      </c>
      <c r="C10" s="12">
        <v>24475</v>
      </c>
      <c r="D10" s="12">
        <v>-42600</v>
      </c>
      <c r="E10" s="12">
        <v>7686</v>
      </c>
      <c r="F10" s="12">
        <v>3785</v>
      </c>
      <c r="G10" s="12">
        <v>10235</v>
      </c>
      <c r="H10" s="12">
        <v>-27954</v>
      </c>
      <c r="I10" s="12">
        <v>300</v>
      </c>
      <c r="J10" s="12">
        <f>-'Income Statement'!J26</f>
        <v>-4023</v>
      </c>
      <c r="K10" s="12">
        <f>-'Income Statement'!K26</f>
        <v>-4023</v>
      </c>
      <c r="L10" s="12">
        <f>-'Income Statement'!L26</f>
        <v>-4023</v>
      </c>
      <c r="M10" s="12">
        <f>-'Income Statement'!M26</f>
        <v>-4023</v>
      </c>
    </row>
    <row r="11" spans="2:13" x14ac:dyDescent="0.3">
      <c r="B11" t="s">
        <v>16</v>
      </c>
      <c r="C11" s="12">
        <v>31429</v>
      </c>
      <c r="D11" s="12">
        <v>1248</v>
      </c>
      <c r="E11" s="12">
        <v>30676</v>
      </c>
      <c r="F11" s="12">
        <v>-13099</v>
      </c>
      <c r="G11" s="12">
        <v>-52388</v>
      </c>
      <c r="H11" s="12">
        <v>-39948</v>
      </c>
      <c r="I11" s="12">
        <v>-34614</v>
      </c>
      <c r="J11" s="12">
        <f ca="1">+Balance!I15-Balance!J15</f>
        <v>-10910.534935159551</v>
      </c>
      <c r="K11" s="12">
        <f ca="1">+Balance!J15-Balance!K15</f>
        <v>-11566.634877602512</v>
      </c>
      <c r="L11" s="12">
        <f ca="1">+Balance!K15-Balance!L15</f>
        <v>-9894.5423213252216</v>
      </c>
      <c r="M11" s="12">
        <f ca="1">+Balance!L15-Balance!M15</f>
        <v>-11201.656760769663</v>
      </c>
    </row>
    <row r="12" spans="2:13" x14ac:dyDescent="0.3">
      <c r="B12" t="s">
        <v>83</v>
      </c>
      <c r="C12" s="12">
        <v>-1222</v>
      </c>
      <c r="D12" s="12">
        <v>-2196</v>
      </c>
      <c r="E12" s="12">
        <v>4870</v>
      </c>
      <c r="F12" s="12">
        <v>-900</v>
      </c>
      <c r="G12" s="12">
        <v>-4896</v>
      </c>
      <c r="H12" s="12">
        <v>349</v>
      </c>
      <c r="I12" s="12">
        <v>-2151</v>
      </c>
      <c r="J12" s="12">
        <f ca="1">+Balance!I14-Balance!J14</f>
        <v>-1314.6232917955494</v>
      </c>
      <c r="K12" s="12">
        <f ca="1">+Balance!J14-Balance!K14</f>
        <v>-1393.6775518485447</v>
      </c>
      <c r="L12" s="12">
        <f ca="1">+Balance!K14-Balance!L14</f>
        <v>-1192.2051370142726</v>
      </c>
      <c r="M12" s="12">
        <f ca="1">+Balance!L14-Balance!M14</f>
        <v>-1349.7009057687974</v>
      </c>
    </row>
    <row r="13" spans="2:13" x14ac:dyDescent="0.3">
      <c r="B13" t="s">
        <v>42</v>
      </c>
      <c r="C13" s="12">
        <v>12960</v>
      </c>
      <c r="D13" s="12">
        <v>-23136</v>
      </c>
      <c r="E13" s="12">
        <v>-131138</v>
      </c>
      <c r="F13" s="12">
        <v>73322</v>
      </c>
      <c r="G13" s="12">
        <v>134108</v>
      </c>
      <c r="H13" s="12">
        <v>7403</v>
      </c>
      <c r="I13" s="12">
        <v>-27421</v>
      </c>
      <c r="J13" s="12">
        <f ca="1">+Balance!J48-Balance!I48</f>
        <v>19454.805481432239</v>
      </c>
      <c r="K13" s="12">
        <f ca="1">+Balance!K48-Balance!J48</f>
        <v>20624.711158144171</v>
      </c>
      <c r="L13" s="12">
        <f ca="1">+Balance!L48-Balance!K48</f>
        <v>17643.16757456644</v>
      </c>
      <c r="M13" s="12">
        <f ca="1">+Balance!M48-Balance!L48</f>
        <v>19973.910962721915</v>
      </c>
    </row>
    <row r="14" spans="2:13" x14ac:dyDescent="0.3">
      <c r="B14" t="s">
        <v>84</v>
      </c>
      <c r="C14" s="12">
        <v>18611</v>
      </c>
      <c r="D14" s="12"/>
      <c r="E14" s="12">
        <v>-9932</v>
      </c>
      <c r="F14" s="12">
        <v>-213</v>
      </c>
      <c r="G14" s="12"/>
      <c r="H14" s="12"/>
      <c r="I14" s="12">
        <v>-28085</v>
      </c>
      <c r="J14" s="12"/>
    </row>
    <row r="15" spans="2:13" x14ac:dyDescent="0.3">
      <c r="B15" t="s">
        <v>85</v>
      </c>
      <c r="C15" s="12">
        <v>-15784</v>
      </c>
      <c r="D15" s="12">
        <v>-28257</v>
      </c>
      <c r="E15" s="12">
        <v>-1032</v>
      </c>
      <c r="F15" s="12">
        <v>13653</v>
      </c>
      <c r="G15" s="12">
        <v>-12584</v>
      </c>
      <c r="H15" s="12">
        <v>-28993</v>
      </c>
      <c r="I15" s="12">
        <v>-24186</v>
      </c>
      <c r="J15" s="12">
        <f ca="1">-'Income Statement'!J29*'Ratios &amp; KPI''s'!J30</f>
        <v>-26631.551158561942</v>
      </c>
      <c r="K15" s="12">
        <f ca="1">-'Income Statement'!K29*'Ratios &amp; KPI''s'!K30</f>
        <v>-30167.49638449381</v>
      </c>
      <c r="L15" s="12">
        <f ca="1">-'Income Statement'!L29*'Ratios &amp; KPI''s'!L30</f>
        <v>-32446.35873683602</v>
      </c>
      <c r="M15" s="12">
        <f ca="1">-'Income Statement'!M29*'Ratios &amp; KPI''s'!M30</f>
        <v>-35272.554481221829</v>
      </c>
    </row>
    <row r="16" spans="2:13" x14ac:dyDescent="0.3">
      <c r="B16" s="2" t="s">
        <v>86</v>
      </c>
      <c r="C16" s="13">
        <f t="shared" ref="C16:M16" si="0">+SUM(C8:C15)</f>
        <v>571367</v>
      </c>
      <c r="D16" s="13">
        <f t="shared" si="0"/>
        <v>382970</v>
      </c>
      <c r="E16" s="13">
        <f t="shared" si="0"/>
        <v>-250401</v>
      </c>
      <c r="F16" s="13">
        <f t="shared" si="0"/>
        <v>126851</v>
      </c>
      <c r="G16" s="13">
        <f t="shared" si="0"/>
        <v>492995</v>
      </c>
      <c r="H16" s="13">
        <f t="shared" si="0"/>
        <v>397224</v>
      </c>
      <c r="I16" s="13">
        <f t="shared" si="0"/>
        <v>417427</v>
      </c>
      <c r="J16" s="13">
        <f t="shared" ca="1" si="0"/>
        <v>532071.38246572774</v>
      </c>
      <c r="K16" s="13">
        <f t="shared" ca="1" si="0"/>
        <v>542858.22278972913</v>
      </c>
      <c r="L16" s="13">
        <f t="shared" ca="1" si="0"/>
        <v>542945.14957570296</v>
      </c>
      <c r="M16" s="13">
        <f t="shared" ca="1" si="0"/>
        <v>551893.34059489716</v>
      </c>
    </row>
    <row r="18" spans="2:13" x14ac:dyDescent="0.3">
      <c r="B18" t="s">
        <v>87</v>
      </c>
      <c r="C18" s="12">
        <v>9393</v>
      </c>
      <c r="D18" s="12">
        <v>2388</v>
      </c>
      <c r="E18" s="12">
        <v>3475</v>
      </c>
      <c r="F18" s="12">
        <v>328</v>
      </c>
      <c r="G18" s="12"/>
      <c r="H18" s="12">
        <v>10646</v>
      </c>
      <c r="I18" s="12">
        <v>11202</v>
      </c>
      <c r="J18" s="12">
        <v>11202</v>
      </c>
      <c r="K18" s="12">
        <v>11202</v>
      </c>
      <c r="L18" s="12">
        <v>11202</v>
      </c>
      <c r="M18" s="12">
        <v>11202</v>
      </c>
    </row>
    <row r="19" spans="2:13" x14ac:dyDescent="0.3">
      <c r="B19" s="19" t="s">
        <v>88</v>
      </c>
      <c r="C19" s="12"/>
      <c r="D19" s="12"/>
      <c r="E19" s="12"/>
      <c r="F19" s="12"/>
      <c r="G19" s="12"/>
      <c r="H19" s="12"/>
      <c r="I19" s="12"/>
      <c r="K19" s="12"/>
    </row>
    <row r="20" spans="2:13" x14ac:dyDescent="0.3">
      <c r="B20" t="s">
        <v>89</v>
      </c>
      <c r="C20" s="12">
        <v>-67842</v>
      </c>
      <c r="D20" s="12"/>
      <c r="E20" s="12"/>
      <c r="F20" s="12"/>
      <c r="G20" s="12">
        <v>-6750</v>
      </c>
      <c r="H20" s="12">
        <v>-20687</v>
      </c>
      <c r="I20" s="12">
        <v>-2019</v>
      </c>
      <c r="J20" s="12">
        <v>-2019</v>
      </c>
      <c r="K20" s="12">
        <v>-2019</v>
      </c>
      <c r="L20" s="12">
        <v>-2019</v>
      </c>
      <c r="M20" s="12">
        <v>-2019</v>
      </c>
    </row>
    <row r="21" spans="2:13" x14ac:dyDescent="0.3">
      <c r="B21" t="s">
        <v>113</v>
      </c>
      <c r="C21" s="12">
        <v>-34160</v>
      </c>
      <c r="D21" s="12">
        <v>-29148</v>
      </c>
      <c r="E21" s="12"/>
      <c r="F21" s="12"/>
      <c r="G21" s="12"/>
      <c r="H21" s="12"/>
      <c r="I21" s="12"/>
      <c r="J21" s="12"/>
      <c r="K21" s="12"/>
      <c r="L21" s="12"/>
      <c r="M21" s="12"/>
    </row>
    <row r="22" spans="2:13" x14ac:dyDescent="0.3">
      <c r="B22" t="s">
        <v>90</v>
      </c>
      <c r="C22" s="12">
        <v>-1151</v>
      </c>
      <c r="D22" s="12">
        <v>-26132</v>
      </c>
      <c r="E22" s="12">
        <v>-24058</v>
      </c>
      <c r="F22" s="12">
        <v>-9791</v>
      </c>
      <c r="G22" s="12">
        <v>-4960</v>
      </c>
      <c r="H22" s="12">
        <v>-19600</v>
      </c>
      <c r="I22" s="12">
        <f>-11315</f>
        <v>-11315</v>
      </c>
      <c r="J22" s="12">
        <f>+I22*(1+Projections!J89)</f>
        <v>-11993.900000000001</v>
      </c>
      <c r="K22" s="12">
        <f>+J22*(1+Projections!K89)</f>
        <v>-12713.534000000001</v>
      </c>
      <c r="L22" s="12">
        <f>+K22*(1+Projections!L89)</f>
        <v>-13476.346040000002</v>
      </c>
      <c r="M22" s="12">
        <f>+L22*(1+Projections!M89)</f>
        <v>-14284.926802400003</v>
      </c>
    </row>
    <row r="23" spans="2:13" x14ac:dyDescent="0.3">
      <c r="B23" t="s">
        <v>91</v>
      </c>
      <c r="C23" s="12">
        <v>-230107</v>
      </c>
      <c r="D23" s="12">
        <v>-107966</v>
      </c>
      <c r="E23" s="12">
        <v>-51792</v>
      </c>
      <c r="F23" s="12">
        <v>-78475</v>
      </c>
      <c r="G23" s="12">
        <v>-112200</v>
      </c>
      <c r="H23" s="12">
        <v>-122229</v>
      </c>
      <c r="I23" s="12">
        <v>-79215</v>
      </c>
      <c r="J23" s="12">
        <f ca="1">+-'Income Statement'!J4*Projections!J88</f>
        <v>-83820.25</v>
      </c>
      <c r="K23" s="12">
        <f ca="1">+-'Income Statement'!K4*Projections!K88</f>
        <v>-87328.033750000017</v>
      </c>
      <c r="L23" s="12">
        <f ca="1">+-'Income Statement'!L4*Projections!L88</f>
        <v>-90328.726270833358</v>
      </c>
      <c r="M23" s="12">
        <f ca="1">+-'Income Statement'!M4*Projections!M88</f>
        <v>-93725.824041645843</v>
      </c>
    </row>
    <row r="24" spans="2:13" x14ac:dyDescent="0.3">
      <c r="B24" t="s">
        <v>92</v>
      </c>
      <c r="C24" s="12">
        <v>-15710</v>
      </c>
      <c r="D24" s="12">
        <v>-1600</v>
      </c>
      <c r="E24" s="12">
        <v>-7857</v>
      </c>
      <c r="F24" s="12">
        <v>-13096</v>
      </c>
      <c r="G24" s="12">
        <v>-11777</v>
      </c>
      <c r="H24" s="12">
        <v>-17261</v>
      </c>
      <c r="I24" s="12">
        <v>-1604</v>
      </c>
      <c r="J24" s="12">
        <v>-1604</v>
      </c>
      <c r="K24" s="12">
        <v>-1604</v>
      </c>
      <c r="L24" s="12">
        <v>-1604</v>
      </c>
      <c r="M24" s="12">
        <v>-1604</v>
      </c>
    </row>
    <row r="25" spans="2:13" x14ac:dyDescent="0.3">
      <c r="B25" t="s">
        <v>93</v>
      </c>
      <c r="C25" s="12"/>
      <c r="D25" s="12"/>
      <c r="E25" s="12"/>
      <c r="F25" s="12"/>
      <c r="G25" s="12"/>
      <c r="H25" s="12"/>
      <c r="I25" s="12">
        <v>-37937</v>
      </c>
    </row>
    <row r="26" spans="2:13" x14ac:dyDescent="0.3">
      <c r="B26" s="19" t="s">
        <v>94</v>
      </c>
      <c r="C26" s="12"/>
      <c r="D26" s="12"/>
      <c r="E26" s="12"/>
      <c r="F26" s="12"/>
      <c r="G26" s="12"/>
      <c r="H26" s="12"/>
      <c r="I26" s="12"/>
      <c r="K26" s="12"/>
    </row>
    <row r="27" spans="2:13" x14ac:dyDescent="0.3">
      <c r="B27" t="s">
        <v>113</v>
      </c>
      <c r="C27" s="12"/>
      <c r="D27" s="12">
        <v>514</v>
      </c>
      <c r="E27" s="12"/>
      <c r="F27" s="12"/>
      <c r="G27" s="12"/>
      <c r="H27" s="12"/>
      <c r="I27" s="12"/>
      <c r="J27" s="12"/>
      <c r="K27" s="12"/>
      <c r="L27" s="12"/>
      <c r="M27" s="12"/>
    </row>
    <row r="28" spans="2:13" x14ac:dyDescent="0.3">
      <c r="B28" t="s">
        <v>90</v>
      </c>
      <c r="C28" s="12"/>
      <c r="D28" s="12">
        <v>12294</v>
      </c>
      <c r="E28" s="12">
        <v>2190</v>
      </c>
      <c r="F28" s="12"/>
      <c r="G28" s="12"/>
      <c r="H28" s="12">
        <v>37344</v>
      </c>
      <c r="I28" s="12"/>
      <c r="J28" s="12"/>
      <c r="K28" s="12"/>
      <c r="L28" s="12"/>
      <c r="M28" s="12"/>
    </row>
    <row r="29" spans="2:13" x14ac:dyDescent="0.3">
      <c r="B29" t="s">
        <v>91</v>
      </c>
      <c r="C29" s="12">
        <v>76145</v>
      </c>
      <c r="D29" s="12">
        <v>25839</v>
      </c>
      <c r="E29" s="12">
        <v>4230</v>
      </c>
      <c r="F29" s="12">
        <v>188558</v>
      </c>
      <c r="G29" s="12">
        <v>2300</v>
      </c>
      <c r="H29" s="12">
        <v>1600</v>
      </c>
      <c r="I29" s="12">
        <v>1410</v>
      </c>
      <c r="J29" s="12">
        <v>1410</v>
      </c>
      <c r="K29" s="12">
        <v>1410</v>
      </c>
      <c r="L29" s="12">
        <v>1410</v>
      </c>
      <c r="M29" s="12">
        <v>1410</v>
      </c>
    </row>
    <row r="30" spans="2:13" x14ac:dyDescent="0.3">
      <c r="B30" t="s">
        <v>114</v>
      </c>
      <c r="C30" s="12"/>
      <c r="D30" s="12">
        <v>46409</v>
      </c>
      <c r="E30" s="12"/>
      <c r="F30" s="12"/>
      <c r="G30" s="12"/>
      <c r="H30" s="12"/>
      <c r="I30" s="12"/>
      <c r="J30" s="12"/>
      <c r="K30" s="12"/>
      <c r="L30" s="12"/>
      <c r="M30" s="12"/>
    </row>
    <row r="31" spans="2:13" x14ac:dyDescent="0.3">
      <c r="B31" t="s">
        <v>95</v>
      </c>
      <c r="C31" s="12">
        <v>12822</v>
      </c>
      <c r="D31" s="12">
        <v>18822</v>
      </c>
      <c r="E31" s="12">
        <v>5771</v>
      </c>
      <c r="F31" s="12"/>
      <c r="G31" s="12">
        <v>300</v>
      </c>
      <c r="H31" s="12">
        <v>11367</v>
      </c>
      <c r="I31" s="12">
        <v>52579</v>
      </c>
      <c r="J31" s="12">
        <v>52579</v>
      </c>
      <c r="K31" s="12">
        <v>52579</v>
      </c>
      <c r="L31" s="12">
        <v>52579</v>
      </c>
      <c r="M31" s="12">
        <v>52579</v>
      </c>
    </row>
    <row r="32" spans="2:13" x14ac:dyDescent="0.3">
      <c r="B32" s="2" t="s">
        <v>96</v>
      </c>
      <c r="C32" s="13">
        <f t="shared" ref="C32:M32" si="1">+SUM(C18:C31)</f>
        <v>-250610</v>
      </c>
      <c r="D32" s="13">
        <f t="shared" si="1"/>
        <v>-58580</v>
      </c>
      <c r="E32" s="13">
        <f t="shared" si="1"/>
        <v>-68041</v>
      </c>
      <c r="F32" s="13">
        <f t="shared" si="1"/>
        <v>87524</v>
      </c>
      <c r="G32" s="13">
        <f t="shared" si="1"/>
        <v>-133087</v>
      </c>
      <c r="H32" s="13">
        <f t="shared" si="1"/>
        <v>-118820</v>
      </c>
      <c r="I32" s="13">
        <f t="shared" si="1"/>
        <v>-66899</v>
      </c>
      <c r="J32" s="13">
        <f t="shared" ca="1" si="1"/>
        <v>-34246.149999999994</v>
      </c>
      <c r="K32" s="13">
        <f t="shared" ca="1" si="1"/>
        <v>-38473.567750000017</v>
      </c>
      <c r="L32" s="13">
        <f t="shared" ca="1" si="1"/>
        <v>-42237.072310833362</v>
      </c>
      <c r="M32" s="13">
        <f t="shared" ca="1" si="1"/>
        <v>-46442.750844045848</v>
      </c>
    </row>
    <row r="34" spans="2:13" x14ac:dyDescent="0.3">
      <c r="B34" t="s">
        <v>97</v>
      </c>
      <c r="C34" s="12">
        <v>-38324</v>
      </c>
      <c r="D34" s="12">
        <v>-43040</v>
      </c>
      <c r="E34" s="12">
        <v>-64</v>
      </c>
      <c r="F34" s="12"/>
      <c r="G34" s="12"/>
      <c r="H34" s="12"/>
      <c r="I34" s="12">
        <v>-25608</v>
      </c>
      <c r="J34" s="12">
        <v>-25608</v>
      </c>
      <c r="K34" s="12">
        <v>-25608</v>
      </c>
      <c r="L34" s="12">
        <v>-25608</v>
      </c>
      <c r="M34" s="12">
        <v>-25608</v>
      </c>
    </row>
    <row r="35" spans="2:13" x14ac:dyDescent="0.3">
      <c r="B35" t="s">
        <v>109</v>
      </c>
      <c r="C35" s="12"/>
      <c r="D35" s="12"/>
      <c r="F35" s="12"/>
      <c r="G35" s="12"/>
      <c r="H35" s="12"/>
      <c r="I35" s="12">
        <v>359982</v>
      </c>
    </row>
    <row r="36" spans="2:13" x14ac:dyDescent="0.3">
      <c r="B36" t="s">
        <v>110</v>
      </c>
      <c r="C36" s="12"/>
      <c r="D36" s="12"/>
      <c r="E36" s="12"/>
      <c r="F36" s="12"/>
      <c r="G36" s="12"/>
      <c r="H36" s="12"/>
      <c r="I36" s="12">
        <v>-27947</v>
      </c>
    </row>
    <row r="37" spans="2:13" x14ac:dyDescent="0.3">
      <c r="B37" t="s">
        <v>112</v>
      </c>
      <c r="C37" s="12"/>
      <c r="D37" s="12">
        <v>-1000</v>
      </c>
      <c r="E37" s="12"/>
      <c r="F37" s="12"/>
      <c r="G37" s="12"/>
      <c r="H37" s="12"/>
      <c r="I37" s="12"/>
    </row>
    <row r="38" spans="2:13" x14ac:dyDescent="0.3">
      <c r="B38" t="s">
        <v>98</v>
      </c>
      <c r="C38" s="12">
        <v>-1002</v>
      </c>
      <c r="D38" s="12">
        <v>-12166</v>
      </c>
      <c r="E38" s="12">
        <v>-33323</v>
      </c>
      <c r="F38" s="12">
        <v>-217</v>
      </c>
      <c r="G38" s="12">
        <v>-337</v>
      </c>
      <c r="H38" s="12">
        <v>438</v>
      </c>
      <c r="I38" s="12">
        <v>74</v>
      </c>
      <c r="J38" s="12">
        <f>+Balance!I27-Balance!J27</f>
        <v>0</v>
      </c>
      <c r="K38" s="12">
        <f>+Balance!J27-Balance!K27</f>
        <v>0</v>
      </c>
      <c r="L38" s="12">
        <f>+Balance!K27-Balance!L27</f>
        <v>0</v>
      </c>
      <c r="M38" s="12">
        <f>+Balance!L27-Balance!M27</f>
        <v>0</v>
      </c>
    </row>
    <row r="39" spans="2:13" x14ac:dyDescent="0.3">
      <c r="B39" t="s">
        <v>99</v>
      </c>
      <c r="C39" s="12">
        <v>-28805</v>
      </c>
      <c r="D39" s="12">
        <v>-30824</v>
      </c>
      <c r="E39" s="12">
        <v>-32204</v>
      </c>
      <c r="F39" s="12">
        <v>-39904</v>
      </c>
      <c r="G39" s="12">
        <v>-40985</v>
      </c>
      <c r="H39" s="12">
        <v>-67152</v>
      </c>
      <c r="I39" s="12">
        <v>-61010</v>
      </c>
      <c r="J39" s="12">
        <f ca="1">+-'Ratios &amp; KPI''s'!J15*(((Balance!J45+Balance!J46+Balance!J36+Balance!J37)+(Balance!I36+Balance!I37+Balance!I45+Balance!I46))/2)</f>
        <v>-41534.982499411781</v>
      </c>
      <c r="K39" s="12">
        <f ca="1">+-'Ratios &amp; KPI''s'!K15*(((Balance!K45+Balance!K46+Balance!K36+Balance!K37)+(Balance!J36+Balance!J37+Balance!J45+Balance!J46))/2)</f>
        <v>-38606.957558567483</v>
      </c>
      <c r="L39" s="12">
        <f ca="1">+-'Ratios &amp; KPI''s'!L15*(((Balance!L45+Balance!L46+Balance!L36+Balance!L37)+(Balance!K36+Balance!K37+Balance!K45+Balance!K46))/2)</f>
        <v>-35934.442542032848</v>
      </c>
      <c r="M39" s="12">
        <f ca="1">+-'Ratios &amp; KPI''s'!M15*(((Balance!M45+Balance!M46+Balance!M36+Balance!M37)+(Balance!L36+Balance!L37+Balance!L45+Balance!L46))/2)</f>
        <v>-33495.140740339993</v>
      </c>
    </row>
    <row r="40" spans="2:13" x14ac:dyDescent="0.3">
      <c r="B40" t="s">
        <v>100</v>
      </c>
      <c r="C40" s="12">
        <v>204804</v>
      </c>
      <c r="D40" s="12">
        <v>235155</v>
      </c>
      <c r="E40" s="12">
        <v>670120</v>
      </c>
      <c r="F40" s="12">
        <v>419966</v>
      </c>
      <c r="G40" s="12">
        <v>303712</v>
      </c>
      <c r="H40" s="12">
        <v>79146</v>
      </c>
      <c r="I40" s="12">
        <v>515010</v>
      </c>
      <c r="J40" s="12">
        <f ca="1">-J41*'Ratios &amp; KPI''s'!J20</f>
        <v>290448.14013960498</v>
      </c>
      <c r="K40" s="12">
        <f ca="1">-K41*'Ratios &amp; KPI''s'!K20</f>
        <v>244764.28658485826</v>
      </c>
      <c r="L40" s="12">
        <f ca="1">-L41*'Ratios &amp; KPI''s'!L20</f>
        <v>197503.72627705199</v>
      </c>
      <c r="M40" s="12">
        <f ca="1">-M41*'Ratios &amp; KPI''s'!M20</f>
        <v>147077.04035560775</v>
      </c>
    </row>
    <row r="41" spans="2:13" x14ac:dyDescent="0.3">
      <c r="B41" t="s">
        <v>101</v>
      </c>
      <c r="C41" s="12">
        <v>-287292</v>
      </c>
      <c r="D41" s="12">
        <v>-253796</v>
      </c>
      <c r="E41" s="12">
        <v>-200620</v>
      </c>
      <c r="F41" s="12">
        <v>-422764</v>
      </c>
      <c r="G41" s="12">
        <v>-346064</v>
      </c>
      <c r="H41" s="12">
        <v>-110969</v>
      </c>
      <c r="I41" s="12">
        <v>-908403</v>
      </c>
      <c r="J41" s="12">
        <f ca="1">+(('Ratios &amp; KPI''s'!J13+'Ratios &amp; KPI''s'!I13)/2)*-'Ratios &amp; KPI''s'!J18</f>
        <v>-414925.91448514996</v>
      </c>
      <c r="K41" s="12">
        <f ca="1">+(('Ratios &amp; KPI''s'!K13+'Ratios &amp; KPI''s'!J13)/2)*-'Ratios &amp; KPI''s'!K18</f>
        <v>-349663.26654979761</v>
      </c>
      <c r="L41" s="12">
        <f ca="1">+(('Ratios &amp; KPI''s'!L13+'Ratios &amp; KPI''s'!K13)/2)*-'Ratios &amp; KPI''s'!L18</f>
        <v>-282148.18039578863</v>
      </c>
      <c r="M41" s="12">
        <f ca="1">+(('Ratios &amp; KPI''s'!M13+'Ratios &amp; KPI''s'!L13)/2)*-'Ratios &amp; KPI''s'!M18</f>
        <v>-210110.05765086832</v>
      </c>
    </row>
    <row r="42" spans="2:13" x14ac:dyDescent="0.3">
      <c r="B42" t="s">
        <v>56</v>
      </c>
      <c r="C42" s="12">
        <v>-174372</v>
      </c>
      <c r="D42" s="12">
        <v>-190475</v>
      </c>
      <c r="E42" s="12">
        <v>-274206</v>
      </c>
      <c r="F42" s="12">
        <v>-187575</v>
      </c>
      <c r="G42" s="12">
        <v>-221240</v>
      </c>
      <c r="H42" s="12">
        <v>-184658</v>
      </c>
      <c r="I42" s="12">
        <v>-187850</v>
      </c>
      <c r="J42" s="12">
        <f ca="1">+(((Balance!J38+Balance!I38+Balance!J47+Balance!I47)/2)*-'Ratios &amp; KPI''s'!J21)+'Income Statement'!J25</f>
        <v>-182867.53513502941</v>
      </c>
      <c r="K42" s="12">
        <f ca="1">+(((Balance!K38+Balance!J38+Balance!K47+Balance!J47)/2)*-'Ratios &amp; KPI''s'!K21)+'Income Statement'!K25</f>
        <v>-168629.59406674717</v>
      </c>
      <c r="L42" s="12">
        <f ca="1">+(((Balance!L38+Balance!K38+Balance!L47+Balance!K47)/2)*-'Ratios &amp; KPI''s'!L21)+'Income Statement'!L25</f>
        <v>-155634.10663809589</v>
      </c>
      <c r="M42" s="12">
        <f ca="1">+(((Balance!M38+Balance!L38+Balance!M47+Balance!L47)/2)*-'Ratios &amp; KPI''s'!M21)+'Income Statement'!M25</f>
        <v>-143772.65190258977</v>
      </c>
    </row>
    <row r="43" spans="2:13" x14ac:dyDescent="0.3">
      <c r="B43" t="s">
        <v>102</v>
      </c>
      <c r="C43" s="12"/>
      <c r="D43" s="12">
        <v>-1317</v>
      </c>
      <c r="E43" s="12">
        <v>-31281</v>
      </c>
      <c r="F43" s="12">
        <v>-2480</v>
      </c>
      <c r="G43" s="12">
        <v>7521</v>
      </c>
      <c r="H43" s="12">
        <v>23033</v>
      </c>
      <c r="I43" s="12">
        <v>-7596</v>
      </c>
      <c r="J43" s="12">
        <v>-7596</v>
      </c>
      <c r="K43" s="12">
        <v>-7596</v>
      </c>
      <c r="L43" s="12">
        <v>-7596</v>
      </c>
      <c r="M43" s="12">
        <v>-7596</v>
      </c>
    </row>
    <row r="44" spans="2:13" x14ac:dyDescent="0.3">
      <c r="B44" s="2" t="s">
        <v>103</v>
      </c>
      <c r="C44" s="13">
        <f t="shared" ref="C44:M44" si="2">SUM(C34:C43)</f>
        <v>-324991</v>
      </c>
      <c r="D44" s="13">
        <f t="shared" si="2"/>
        <v>-297463</v>
      </c>
      <c r="E44" s="13">
        <f t="shared" si="2"/>
        <v>98422</v>
      </c>
      <c r="F44" s="13">
        <f t="shared" si="2"/>
        <v>-232974</v>
      </c>
      <c r="G44" s="13">
        <f t="shared" si="2"/>
        <v>-297393</v>
      </c>
      <c r="H44" s="13">
        <f t="shared" si="2"/>
        <v>-260162</v>
      </c>
      <c r="I44" s="13">
        <f t="shared" si="2"/>
        <v>-343348</v>
      </c>
      <c r="J44" s="13">
        <f t="shared" ca="1" si="2"/>
        <v>-382084.29197998618</v>
      </c>
      <c r="K44" s="13">
        <f t="shared" ca="1" si="2"/>
        <v>-345339.53159025405</v>
      </c>
      <c r="L44" s="13">
        <f t="shared" ca="1" si="2"/>
        <v>-309417.0032988654</v>
      </c>
      <c r="M44" s="13">
        <f t="shared" ca="1" si="2"/>
        <v>-273504.80993819033</v>
      </c>
    </row>
    <row r="45" spans="2:13" x14ac:dyDescent="0.3">
      <c r="B45" s="22" t="s">
        <v>104</v>
      </c>
      <c r="C45" s="23">
        <f t="shared" ref="C45:M45" si="3">+C16+C32+C44</f>
        <v>-4234</v>
      </c>
      <c r="D45" s="23">
        <f t="shared" si="3"/>
        <v>26927</v>
      </c>
      <c r="E45" s="23">
        <f t="shared" si="3"/>
        <v>-220020</v>
      </c>
      <c r="F45" s="23">
        <f t="shared" si="3"/>
        <v>-18599</v>
      </c>
      <c r="G45" s="23">
        <f t="shared" si="3"/>
        <v>62515</v>
      </c>
      <c r="H45" s="23">
        <f t="shared" si="3"/>
        <v>18242</v>
      </c>
      <c r="I45" s="23">
        <f t="shared" si="3"/>
        <v>7180</v>
      </c>
      <c r="J45" s="23">
        <f t="shared" ca="1" si="3"/>
        <v>115740.94048574154</v>
      </c>
      <c r="K45" s="23">
        <f t="shared" ca="1" si="3"/>
        <v>159045.12344947504</v>
      </c>
      <c r="L45" s="23">
        <f t="shared" ca="1" si="3"/>
        <v>191291.07396600419</v>
      </c>
      <c r="M45" s="23">
        <f t="shared" ca="1" si="3"/>
        <v>231945.779812661</v>
      </c>
    </row>
    <row r="46" spans="2:13" x14ac:dyDescent="0.3">
      <c r="B46" s="22" t="s">
        <v>105</v>
      </c>
      <c r="C46" s="23">
        <v>-14751</v>
      </c>
      <c r="D46" s="23">
        <v>-10679</v>
      </c>
      <c r="E46" s="23">
        <v>-4274</v>
      </c>
      <c r="F46" s="23">
        <v>11807</v>
      </c>
      <c r="G46" s="23">
        <v>-11693</v>
      </c>
      <c r="H46" s="23">
        <v>-6859</v>
      </c>
      <c r="I46" s="23">
        <v>3777</v>
      </c>
      <c r="J46" s="23">
        <v>3777</v>
      </c>
      <c r="K46" s="23">
        <v>3777</v>
      </c>
      <c r="L46" s="23">
        <v>3777</v>
      </c>
      <c r="M46" s="23">
        <v>3777</v>
      </c>
    </row>
    <row r="47" spans="2:13" x14ac:dyDescent="0.3">
      <c r="B47" s="22" t="s">
        <v>111</v>
      </c>
      <c r="C47" s="23">
        <v>0</v>
      </c>
      <c r="D47" s="23">
        <v>-206</v>
      </c>
      <c r="E47" s="23">
        <v>0</v>
      </c>
      <c r="F47" s="23">
        <v>0</v>
      </c>
      <c r="G47" s="23">
        <v>0</v>
      </c>
      <c r="H47" s="23">
        <v>166</v>
      </c>
      <c r="I47" s="23">
        <v>86</v>
      </c>
      <c r="J47" s="23">
        <v>86</v>
      </c>
      <c r="K47" s="23">
        <v>86</v>
      </c>
      <c r="L47" s="23">
        <v>86</v>
      </c>
      <c r="M47" s="23">
        <v>86</v>
      </c>
    </row>
    <row r="48" spans="2:13" x14ac:dyDescent="0.3">
      <c r="B48" s="24" t="s">
        <v>106</v>
      </c>
      <c r="C48" s="25">
        <f t="shared" ref="C48:M48" si="4">+C45+C46+C47</f>
        <v>-18985</v>
      </c>
      <c r="D48" s="25">
        <f t="shared" si="4"/>
        <v>16042</v>
      </c>
      <c r="E48" s="25">
        <f t="shared" si="4"/>
        <v>-224294</v>
      </c>
      <c r="F48" s="25">
        <f t="shared" si="4"/>
        <v>-6792</v>
      </c>
      <c r="G48" s="25">
        <f t="shared" si="4"/>
        <v>50822</v>
      </c>
      <c r="H48" s="25">
        <f t="shared" si="4"/>
        <v>11549</v>
      </c>
      <c r="I48" s="25">
        <f t="shared" si="4"/>
        <v>11043</v>
      </c>
      <c r="J48" s="25">
        <f t="shared" ca="1" si="4"/>
        <v>119603.94048574154</v>
      </c>
      <c r="K48" s="25">
        <f t="shared" ca="1" si="4"/>
        <v>162908.12344947504</v>
      </c>
      <c r="L48" s="25">
        <f t="shared" ca="1" si="4"/>
        <v>195154.07396600419</v>
      </c>
      <c r="M48" s="25">
        <f t="shared" ca="1" si="4"/>
        <v>235808.779812661</v>
      </c>
    </row>
    <row r="49" spans="2:13" x14ac:dyDescent="0.3">
      <c r="B49" s="22" t="s">
        <v>107</v>
      </c>
      <c r="C49" s="23">
        <v>331887</v>
      </c>
      <c r="D49" s="23">
        <v>312902</v>
      </c>
      <c r="E49" s="23">
        <v>328944</v>
      </c>
      <c r="F49" s="23">
        <v>104650</v>
      </c>
      <c r="G49" s="23">
        <v>97858</v>
      </c>
      <c r="H49" s="23">
        <v>148680</v>
      </c>
      <c r="I49" s="23">
        <v>160229</v>
      </c>
      <c r="J49" s="23">
        <v>171272</v>
      </c>
      <c r="K49" s="23">
        <f ca="1">+Balance!J18</f>
        <v>290875.94048574154</v>
      </c>
      <c r="L49" s="23">
        <f ca="1">+Balance!K18</f>
        <v>453784.06393521669</v>
      </c>
      <c r="M49" s="23">
        <f ca="1">+Balance!L18</f>
        <v>648938.13790122094</v>
      </c>
    </row>
    <row r="50" spans="2:13" x14ac:dyDescent="0.3">
      <c r="B50" s="22" t="s">
        <v>108</v>
      </c>
      <c r="C50" s="23">
        <f t="shared" ref="C50:M50" si="5">+C48+C49</f>
        <v>312902</v>
      </c>
      <c r="D50" s="23">
        <f t="shared" si="5"/>
        <v>328944</v>
      </c>
      <c r="E50" s="23">
        <f t="shared" si="5"/>
        <v>104650</v>
      </c>
      <c r="F50" s="23">
        <f t="shared" si="5"/>
        <v>97858</v>
      </c>
      <c r="G50" s="23">
        <f t="shared" si="5"/>
        <v>148680</v>
      </c>
      <c r="H50" s="23">
        <f t="shared" si="5"/>
        <v>160229</v>
      </c>
      <c r="I50" s="23">
        <f t="shared" si="5"/>
        <v>171272</v>
      </c>
      <c r="J50" s="23">
        <f t="shared" ca="1" si="5"/>
        <v>290875.94048574154</v>
      </c>
      <c r="K50" s="23">
        <f t="shared" ca="1" si="5"/>
        <v>453784.06393521657</v>
      </c>
      <c r="L50" s="23">
        <f t="shared" ca="1" si="5"/>
        <v>648938.13790122094</v>
      </c>
      <c r="M50" s="23">
        <f t="shared" ca="1" si="5"/>
        <v>884746.91771388194</v>
      </c>
    </row>
    <row r="51" spans="2:13" x14ac:dyDescent="0.3">
      <c r="C51" s="12">
        <f>+C50-Balance!C18</f>
        <v>0</v>
      </c>
      <c r="D51" s="12">
        <f>+D50-Balance!D18</f>
        <v>0</v>
      </c>
      <c r="E51" s="12">
        <f>+E50-Balance!E18</f>
        <v>0</v>
      </c>
      <c r="F51" s="12">
        <f>+F50-Balance!F18</f>
        <v>0</v>
      </c>
      <c r="G51" s="12">
        <f>+G50-Balance!G18</f>
        <v>0</v>
      </c>
      <c r="H51" s="12">
        <f>+H50-Balance!H18</f>
        <v>0</v>
      </c>
      <c r="I51" s="12">
        <f>+I50-Balance!I18</f>
        <v>0</v>
      </c>
      <c r="J51" s="12">
        <f ca="1">+J50-Balance!J18</f>
        <v>0</v>
      </c>
      <c r="K51" s="12">
        <f ca="1">+K50-Balance!K18</f>
        <v>0</v>
      </c>
      <c r="L51" s="12">
        <f ca="1">+L50-Balance!L18</f>
        <v>0</v>
      </c>
      <c r="M51" s="12">
        <f ca="1">+M50-Balance!M18</f>
        <v>0</v>
      </c>
    </row>
    <row r="55" spans="2:13" x14ac:dyDescent="0.3">
      <c r="B55" t="s">
        <v>197</v>
      </c>
      <c r="C55" s="18">
        <f>+C16/'Income Statement'!C14</f>
        <v>1.1406853291488486</v>
      </c>
      <c r="D55" s="18">
        <f>+D16/'Income Statement'!D14</f>
        <v>0.80134167240343912</v>
      </c>
      <c r="E55" s="18">
        <f>+E16/'Income Statement'!E14</f>
        <v>1.6524737512456198</v>
      </c>
      <c r="F55" s="18">
        <f>+F16/'Income Statement'!F14</f>
        <v>1.0105314309840754</v>
      </c>
      <c r="G55" s="18">
        <f>+G16/'Income Statement'!G14</f>
        <v>1.1444798599681028</v>
      </c>
      <c r="H55" s="18">
        <f>+H16/'Income Statement'!H14</f>
        <v>0.81105516557021573</v>
      </c>
      <c r="I55" s="18">
        <f>+I16/'Income Statement'!I14</f>
        <v>0.72551207515360083</v>
      </c>
      <c r="J55" s="18">
        <f ca="1">+J16/'Income Statement'!J14</f>
        <v>0.8882775197162246</v>
      </c>
      <c r="K55" s="18">
        <f ca="1">+K16/'Income Statement'!K14</f>
        <v>0.88574914984234021</v>
      </c>
      <c r="L55" s="18">
        <f ca="1">+L16/'Income Statement'!L14</f>
        <v>0.88089810706791671</v>
      </c>
      <c r="M55" s="18">
        <f ca="1">+M16/'Income Statement'!M14</f>
        <v>0.87984453048596956</v>
      </c>
    </row>
  </sheetData>
  <pageMargins left="0.7" right="0.7" top="0.75" bottom="0.75" header="0.3" footer="0.3"/>
  <ignoredErrors>
    <ignoredError sqref="C16:I16 C5:D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F15F-B69F-47AA-928B-11EA9FE811BC}">
  <sheetPr>
    <tabColor theme="0" tint="-0.14999847407452621"/>
  </sheetPr>
  <dimension ref="B3:M33"/>
  <sheetViews>
    <sheetView showGridLines="0" workbookViewId="0">
      <selection activeCell="R26" sqref="R26"/>
    </sheetView>
  </sheetViews>
  <sheetFormatPr defaultRowHeight="14.4" outlineLevelCol="1" x14ac:dyDescent="0.3"/>
  <cols>
    <col min="1" max="1" width="2.44140625" customWidth="1"/>
    <col min="2" max="2" width="27.88671875" bestFit="1" customWidth="1"/>
    <col min="3" max="8" width="10.44140625" hidden="1" customWidth="1" outlineLevel="1"/>
    <col min="9" max="9" width="10.44140625" bestFit="1" customWidth="1" collapsed="1"/>
    <col min="10" max="12" width="10.44140625" bestFit="1" customWidth="1"/>
  </cols>
  <sheetData>
    <row r="3" spans="2:13" x14ac:dyDescent="0.3">
      <c r="B3" s="32" t="s">
        <v>1</v>
      </c>
      <c r="C3" s="21">
        <v>2018</v>
      </c>
      <c r="D3" s="21">
        <v>2019</v>
      </c>
      <c r="E3" s="21">
        <v>2020</v>
      </c>
      <c r="F3" s="21">
        <v>2021</v>
      </c>
      <c r="G3" s="21">
        <v>2022</v>
      </c>
      <c r="H3" s="21">
        <v>2023</v>
      </c>
      <c r="I3" s="49">
        <v>2024</v>
      </c>
      <c r="J3" s="51" t="s">
        <v>115</v>
      </c>
      <c r="K3" s="50" t="s">
        <v>116</v>
      </c>
      <c r="L3" s="26" t="s">
        <v>117</v>
      </c>
      <c r="M3" s="26" t="s">
        <v>118</v>
      </c>
    </row>
    <row r="4" spans="2:13" x14ac:dyDescent="0.3">
      <c r="B4" t="s">
        <v>2</v>
      </c>
      <c r="C4" s="12">
        <f>+Balance!C14+Balance!C15-(Balance!C48+Balance!C50)</f>
        <v>-252801</v>
      </c>
      <c r="D4" s="12">
        <f>+Balance!D14+Balance!D15-(Balance!D48+Balance!D50)</f>
        <v>-266436</v>
      </c>
      <c r="E4" s="12">
        <f>+Balance!E14+Balance!E15-(Balance!E48+Balance!E50)</f>
        <v>-178802</v>
      </c>
      <c r="F4" s="12">
        <f>+Balance!F14+Balance!F15-(Balance!F48+Balance!F50)</f>
        <v>-246405</v>
      </c>
      <c r="G4" s="12">
        <f>+Balance!G14+Balance!G15-(Balance!G48+Balance!G50)</f>
        <v>-331243.89</v>
      </c>
      <c r="H4" s="12">
        <f>+Balance!H14+Balance!H15-(Balance!H48+Balance!H50)</f>
        <v>-294097</v>
      </c>
      <c r="I4" s="12">
        <f>+Balance!I14+Balance!I15-(Balance!I48+Balance!I50)</f>
        <v>-202278</v>
      </c>
      <c r="J4" s="12">
        <f ca="1">+Balance!J14+Balance!J15-(Balance!J48+Balance!J50)</f>
        <v>-209507.64725447714</v>
      </c>
      <c r="K4" s="12">
        <f ca="1">+Balance!K14+Balance!K15-(Balance!K48+Balance!K50)</f>
        <v>-217172.04598317028</v>
      </c>
      <c r="L4" s="12">
        <f ca="1">+Balance!L14+Balance!L15-(Balance!L48+Balance!L50)</f>
        <v>-223728.46609939722</v>
      </c>
      <c r="M4" s="12">
        <f ca="1">+Balance!M14+Balance!M15-(Balance!M48+Balance!M50)</f>
        <v>-231151.01939558063</v>
      </c>
    </row>
    <row r="5" spans="2:13" x14ac:dyDescent="0.3">
      <c r="B5" t="s">
        <v>3</v>
      </c>
      <c r="C5" s="27">
        <f>+C4/'Income Statement'!C4</f>
        <v>-0.13893943682485072</v>
      </c>
      <c r="D5" s="27">
        <f>+D4/'Income Statement'!D4</f>
        <v>-0.14888535476754336</v>
      </c>
      <c r="E5" s="27">
        <f>+E4/'Income Statement'!E4</f>
        <v>-0.3383850809427742</v>
      </c>
      <c r="F5" s="27">
        <f>+F4/'Income Statement'!F4</f>
        <v>-0.29787550410537617</v>
      </c>
      <c r="G5" s="27">
        <f>+G4/'Income Statement'!G4</f>
        <v>-0.19719550963403412</v>
      </c>
      <c r="H5" s="27">
        <f>+H4/'Income Statement'!H4</f>
        <v>-0.1524765903792045</v>
      </c>
      <c r="I5" s="27">
        <f>+I4/'Income Statement'!I4</f>
        <v>-0.10049652571112876</v>
      </c>
      <c r="J5" s="27">
        <f ca="1">+J4/'Income Statement'!J4</f>
        <v>-9.9979490519046241E-2</v>
      </c>
      <c r="K5" s="27">
        <f ca="1">+K4/'Income Statement'!K4</f>
        <v>-9.9474148979414173E-2</v>
      </c>
      <c r="L5" s="27">
        <f ca="1">+L4/'Income Statement'!L4</f>
        <v>-9.9073008260335854E-2</v>
      </c>
      <c r="M5" s="27">
        <f ca="1">+M4/'Income Statement'!M4</f>
        <v>-9.8649874464852585E-2</v>
      </c>
    </row>
    <row r="6" spans="2:13" x14ac:dyDescent="0.3">
      <c r="B6" t="s">
        <v>4</v>
      </c>
      <c r="C6" s="27">
        <f>+Balance!C14/'Income Statement'!C4</f>
        <v>1.4560003957120206E-2</v>
      </c>
      <c r="D6" s="27">
        <f>+Balance!D14/'Income Statement'!D4</f>
        <v>1.6350588811190375E-2</v>
      </c>
      <c r="E6" s="27">
        <f>+Balance!E14/'Income Statement'!E4</f>
        <v>4.6156495671823131E-2</v>
      </c>
      <c r="F6" s="27">
        <f>+Balance!F14/'Income Statement'!F4</f>
        <v>3.057272173383236E-2</v>
      </c>
      <c r="G6" s="27">
        <f>+Balance!G14/'Income Statement'!G4</f>
        <v>1.7969982866742788E-2</v>
      </c>
      <c r="H6" s="27">
        <f>+Balance!H14/'Income Statement'!H4</f>
        <v>1.5469195629823917E-2</v>
      </c>
      <c r="I6" s="27">
        <f>+Balance!I14/'Income Statement'!I4</f>
        <v>1.5892399887519091E-2</v>
      </c>
      <c r="J6" s="27">
        <v>1.5892399887519091E-2</v>
      </c>
      <c r="K6" s="27">
        <v>1.5892399887519091E-2</v>
      </c>
      <c r="L6" s="27">
        <v>1.5892399887519091E-2</v>
      </c>
      <c r="M6" s="27">
        <v>1.5892399887519091E-2</v>
      </c>
    </row>
    <row r="7" spans="2:13" x14ac:dyDescent="0.3">
      <c r="B7" t="s">
        <v>5</v>
      </c>
      <c r="C7" s="58">
        <f t="shared" ref="C7:M7" si="0">+C6*365</f>
        <v>5.3144014443488752</v>
      </c>
      <c r="D7" s="58">
        <f t="shared" si="0"/>
        <v>5.9679649160844868</v>
      </c>
      <c r="E7" s="58">
        <f t="shared" si="0"/>
        <v>16.847120920215442</v>
      </c>
      <c r="F7" s="58">
        <f t="shared" si="0"/>
        <v>11.159043432848812</v>
      </c>
      <c r="G7" s="58">
        <f t="shared" si="0"/>
        <v>6.5590437463611178</v>
      </c>
      <c r="H7" s="58">
        <f t="shared" si="0"/>
        <v>5.6462564048857296</v>
      </c>
      <c r="I7" s="58">
        <f t="shared" si="0"/>
        <v>5.8007259589444686</v>
      </c>
      <c r="J7" s="58">
        <f t="shared" si="0"/>
        <v>5.8007259589444686</v>
      </c>
      <c r="K7" s="58">
        <f t="shared" si="0"/>
        <v>5.8007259589444686</v>
      </c>
      <c r="L7" s="58">
        <f t="shared" si="0"/>
        <v>5.8007259589444686</v>
      </c>
      <c r="M7" s="58">
        <f t="shared" si="0"/>
        <v>5.8007259589444686</v>
      </c>
    </row>
    <row r="8" spans="2:13" x14ac:dyDescent="0.3">
      <c r="B8" t="s">
        <v>6</v>
      </c>
      <c r="C8" s="27">
        <f>+Balance!C48/'Income Statement'!C4</f>
        <v>0.24887153374131976</v>
      </c>
      <c r="D8" s="27">
        <f>+Balance!D48/'Income Statement'!D4</f>
        <v>0.23719641605822284</v>
      </c>
      <c r="E8" s="27">
        <f>+Balance!E48/'Income Statement'!E4</f>
        <v>0.5551383616137836</v>
      </c>
      <c r="F8" s="27">
        <f>+Balance!F48/'Income Statement'!F4</f>
        <v>0.44324522973665631</v>
      </c>
      <c r="G8" s="27">
        <f>+Balance!G48/'Income Statement'!G4</f>
        <v>0.29811331762487098</v>
      </c>
      <c r="H8" s="27">
        <f>+Balance!H48/'Income Statement'!H4</f>
        <v>0.26196377957083183</v>
      </c>
      <c r="I8" s="27">
        <f>+Balance!I48/'Income Statement'!I4</f>
        <v>0.23518794347734931</v>
      </c>
      <c r="J8" s="27">
        <v>0.23518794347734931</v>
      </c>
      <c r="K8" s="27">
        <v>0.23518794347734931</v>
      </c>
      <c r="L8" s="27">
        <v>0.23518794347734931</v>
      </c>
      <c r="M8" s="27">
        <v>0.23518794347734931</v>
      </c>
    </row>
    <row r="9" spans="2:13" x14ac:dyDescent="0.3">
      <c r="B9" t="s">
        <v>153</v>
      </c>
      <c r="C9" s="27">
        <f>+Balance!C15/'Income Statement'!C4</f>
        <v>0.13689217671839318</v>
      </c>
      <c r="D9" s="27">
        <f>+Balance!D15/'Income Statement'!D4</f>
        <v>0.10845089626484601</v>
      </c>
      <c r="E9" s="27">
        <f>+Balance!E15/'Income Statement'!E4</f>
        <v>0.25541542549366197</v>
      </c>
      <c r="F9" s="27">
        <f>+Balance!F15/'Income Statement'!F4</f>
        <v>0.16424647730679587</v>
      </c>
      <c r="G9" s="27">
        <f>+Balance!G15/'Income Statement'!G4</f>
        <v>0.10915492203117801</v>
      </c>
      <c r="H9" s="27">
        <f>+Balance!H15/'Income Statement'!H4</f>
        <v>0.11785300816413928</v>
      </c>
      <c r="I9" s="27">
        <f>+Balance!I15/'Income Statement'!I4</f>
        <v>0.13189678386077805</v>
      </c>
      <c r="J9" s="27">
        <v>0.13189678386077805</v>
      </c>
      <c r="K9" s="27">
        <v>0.13189678386077805</v>
      </c>
      <c r="L9" s="27">
        <v>0.13189678386077805</v>
      </c>
      <c r="M9" s="27">
        <v>0.13189678386077805</v>
      </c>
    </row>
    <row r="10" spans="2:13" x14ac:dyDescent="0.3">
      <c r="B10" t="s">
        <v>146</v>
      </c>
      <c r="C10" s="27">
        <f>+-'Income Statement'!C17/(Balance!C6+Balance!C5)</f>
        <v>6.0894429065546304E-2</v>
      </c>
      <c r="D10" s="27">
        <f>+-'Income Statement'!D17/(Balance!D6+Balance!D5)</f>
        <v>6.1266355315712374E-2</v>
      </c>
      <c r="E10" s="27">
        <f>+-'Income Statement'!E17/(Balance!E6+Balance!E5)</f>
        <v>0.10280045414314194</v>
      </c>
      <c r="F10" s="27">
        <f>+-'Income Statement'!F17/(Balance!F6+Balance!F5)</f>
        <v>7.6663748201090134E-2</v>
      </c>
      <c r="G10" s="27">
        <f>+-'Income Statement'!G17/(Balance!G6+Balance!G5)</f>
        <v>5.3780487745073442E-2</v>
      </c>
      <c r="H10" s="27">
        <f>+-'Income Statement'!H17/(Balance!H6+Balance!H5)</f>
        <v>6.9004964438019345E-2</v>
      </c>
      <c r="I10" s="27">
        <f>+-'Income Statement'!I17/(Balance!I6+Balance!I5)</f>
        <v>6.1074055418022438E-2</v>
      </c>
      <c r="J10" s="44">
        <v>0.06</v>
      </c>
      <c r="K10" s="44">
        <v>0.06</v>
      </c>
      <c r="L10" s="44">
        <v>0.06</v>
      </c>
      <c r="M10" s="44">
        <v>0.06</v>
      </c>
    </row>
    <row r="11" spans="2:13" x14ac:dyDescent="0.3">
      <c r="B11" t="s">
        <v>142</v>
      </c>
      <c r="C11" s="27">
        <f>+-'Income Statement'!C18/Balance!C7</f>
        <v>0.11678084444569742</v>
      </c>
      <c r="D11" s="27">
        <f>+-'Income Statement'!D18/Balance!D7</f>
        <v>0.11005989986054002</v>
      </c>
      <c r="E11" s="27">
        <f>+-'Income Statement'!E18/Balance!E7</f>
        <v>0.19032907075299221</v>
      </c>
      <c r="F11" s="27">
        <f>+-'Income Statement'!F18/Balance!F7</f>
        <v>0.10166818277237422</v>
      </c>
      <c r="G11" s="27">
        <f>+-'Income Statement'!G18/Balance!G7</f>
        <v>0.10193413850844268</v>
      </c>
      <c r="H11" s="27">
        <f>+-'Income Statement'!H18/Balance!H7</f>
        <v>0.10494936235966898</v>
      </c>
      <c r="I11" s="27">
        <f>+-'Income Statement'!I18/Balance!I7</f>
        <v>9.1944882745716813E-2</v>
      </c>
      <c r="J11" s="44">
        <v>0.1</v>
      </c>
      <c r="K11" s="44">
        <v>0.1</v>
      </c>
      <c r="L11" s="44">
        <v>0.1</v>
      </c>
      <c r="M11" s="44">
        <v>0.1</v>
      </c>
    </row>
    <row r="13" spans="2:13" x14ac:dyDescent="0.3">
      <c r="B13" t="s">
        <v>150</v>
      </c>
      <c r="C13" s="45">
        <v>1858700</v>
      </c>
      <c r="D13" s="45">
        <v>1991900</v>
      </c>
      <c r="E13" s="45">
        <v>2603000</v>
      </c>
      <c r="F13" s="45">
        <v>2853200</v>
      </c>
      <c r="G13" s="45">
        <v>2673000</v>
      </c>
      <c r="H13" s="45">
        <v>2631100</v>
      </c>
      <c r="I13" s="45">
        <v>2236600</v>
      </c>
      <c r="J13" s="45">
        <f ca="1">+Balance!J45+Balance!J46+Balance!J47+Balance!J36+Balance!J37+Balance!J38+Balance!J39-Balance!J18-Balance!J17</f>
        <v>1912659.1448514992</v>
      </c>
      <c r="K13" s="45">
        <f ca="1">+Balance!K45+Balance!K46+Balance!K47+Balance!K36+Balance!K37+Balance!K38+Balance!K39-Balance!K18-Balance!K17</f>
        <v>1583973.5206464764</v>
      </c>
      <c r="L13" s="45">
        <f ca="1">+Balance!L45+Balance!L46+Balance!L47+Balance!L36+Balance!L37+Balance!L38+Balance!L39-Balance!L18-Balance!L17</f>
        <v>1237508.2833114092</v>
      </c>
      <c r="M13" s="45">
        <f ca="1">+Balance!M45+Balance!M46+Balance!M47+Balance!M36+Balance!M37+Balance!M38+Balance!M39-Balance!M18-Balance!M17</f>
        <v>863592.29319727304</v>
      </c>
    </row>
    <row r="14" spans="2:13" x14ac:dyDescent="0.3">
      <c r="B14" t="s">
        <v>151</v>
      </c>
      <c r="C14" s="55">
        <f>+C13/'Income Statement'!C14</f>
        <v>3.7107355190078617</v>
      </c>
      <c r="D14" s="55">
        <f>+D13/'Income Statement'!D14</f>
        <v>4.1679308490493003</v>
      </c>
      <c r="E14" s="55">
        <f>+E13/'Income Statement'!E14</f>
        <v>-17.178003180867282</v>
      </c>
      <c r="F14" s="55">
        <f>+F13/'Income Statement'!F14</f>
        <v>22.72940914051733</v>
      </c>
      <c r="G14" s="55">
        <f>+G13/'Income Statement'!G14</f>
        <v>6.2053259479198344</v>
      </c>
      <c r="H14" s="55">
        <f>+H13/'Income Statement'!H14</f>
        <v>5.372201191599185</v>
      </c>
      <c r="I14" s="55">
        <f>+I13/'Income Statement'!I14</f>
        <v>3.8873391210643864</v>
      </c>
      <c r="J14" s="59">
        <f ca="1">+J13/'Income Statement'!J14</f>
        <v>3.1931281727234797</v>
      </c>
      <c r="K14" s="59">
        <f ca="1">+K13/'Income Statement'!K14</f>
        <v>2.5844744362080605</v>
      </c>
      <c r="L14" s="59">
        <f ca="1">+L13/'Income Statement'!L14</f>
        <v>2.0077879047299456</v>
      </c>
      <c r="M14" s="59">
        <f ca="1">+M13/'Income Statement'!M14</f>
        <v>1.3767641314903771</v>
      </c>
    </row>
    <row r="15" spans="2:13" x14ac:dyDescent="0.3">
      <c r="B15" t="s">
        <v>152</v>
      </c>
      <c r="C15" s="27">
        <f>ABS(('Income Statement'!C25+'Income Statement'!C24)/C13)</f>
        <v>4.0499811696346907E-2</v>
      </c>
      <c r="D15" s="27">
        <f>ABS(('Income Statement'!D25+'Income Statement'!D24)/D13)</f>
        <v>3.7376374315979718E-2</v>
      </c>
      <c r="E15" s="27">
        <f>ABS(('Income Statement'!E25+'Income Statement'!E24)/E13)</f>
        <v>2.5291970802919707E-2</v>
      </c>
      <c r="F15" s="27">
        <f>ABS(('Income Statement'!F25+'Income Statement'!F24)/F13)</f>
        <v>2.3334852095892332E-2</v>
      </c>
      <c r="G15" s="27">
        <f>ABS(('Income Statement'!G25+'Income Statement'!G24)/G13)</f>
        <v>2.8022072577628135E-2</v>
      </c>
      <c r="H15" s="27">
        <f>ABS(('Income Statement'!H25+'Income Statement'!H24)/H13)</f>
        <v>4.0777621527117933E-2</v>
      </c>
      <c r="I15" s="27">
        <f>ABS(('Income Statement'!I25+'Income Statement'!I24)/I13)</f>
        <v>4.5622373245104174E-2</v>
      </c>
      <c r="J15" s="27">
        <v>4.5622373245104174E-2</v>
      </c>
      <c r="K15" s="27">
        <v>4.5622373245104174E-2</v>
      </c>
      <c r="L15" s="27">
        <v>4.5622373245104174E-2</v>
      </c>
      <c r="M15" s="27">
        <v>4.5622373245104174E-2</v>
      </c>
    </row>
    <row r="16" spans="2:13" x14ac:dyDescent="0.3">
      <c r="B16" t="s">
        <v>157</v>
      </c>
      <c r="C16" s="28">
        <f>+-('Income Statement'!C24)/(Balance!C36+Balance!C37+Balance!C45+Balance!C46)</f>
        <v>3.4509809034568482E-2</v>
      </c>
      <c r="D16" s="28">
        <f>+-('Income Statement'!D24)/(Balance!D36+Balance!D37+Balance!D45+Balance!D46)</f>
        <v>3.5890378548039968E-2</v>
      </c>
      <c r="E16" s="28">
        <f>+-('Income Statement'!E24)/(Balance!E36+Balance!E37+Balance!E45+Balance!E46)</f>
        <v>2.4508747713887138E-2</v>
      </c>
      <c r="F16" s="28">
        <f>+-('Income Statement'!F24)/(Balance!F36+Balance!F37+Balance!F45+Balance!F46)</f>
        <v>2.8297925695632348E-2</v>
      </c>
      <c r="G16" s="28">
        <f>+-('Income Statement'!G24)/(Balance!G36+Balance!G37+Balance!G45+Balance!G46)</f>
        <v>3.3469404573053183E-2</v>
      </c>
      <c r="H16" s="28">
        <f>+-('Income Statement'!H24)/(Balance!H36+Balance!H37+Balance!H45+Balance!H46)</f>
        <v>5.5823955694338068E-2</v>
      </c>
      <c r="I16" s="28">
        <f>+-('Income Statement'!I24)/(Balance!I36+Balance!I37+Balance!I45+Balance!I46)</f>
        <v>6.735970303889352E-2</v>
      </c>
      <c r="J16" s="56">
        <v>0.06</v>
      </c>
      <c r="K16" s="56">
        <v>0.06</v>
      </c>
      <c r="L16" s="56">
        <v>0.06</v>
      </c>
      <c r="M16" s="56">
        <v>0.06</v>
      </c>
    </row>
    <row r="17" spans="2:13" x14ac:dyDescent="0.3">
      <c r="B17" t="s">
        <v>156</v>
      </c>
      <c r="C17" s="28">
        <f>+-('Income Statement'!C25)/(Balance!C38+Balance!C47)</f>
        <v>3.406486219054717E-2</v>
      </c>
      <c r="D17" s="28">
        <f>+-('Income Statement'!D25)/(Balance!D38+Balance!D47)</f>
        <v>2.8810953746238585E-2</v>
      </c>
      <c r="E17" s="28">
        <f>+-('Income Statement'!E25)/(Balance!E38+Balance!E47)</f>
        <v>2.4104989103183472E-2</v>
      </c>
      <c r="F17" s="28">
        <f>+-('Income Statement'!F25)/(Balance!F38+Balance!F47)</f>
        <v>1.749581777093252E-2</v>
      </c>
      <c r="G17" s="28">
        <f>+-('Income Statement'!G25)/(Balance!G38+Balance!G47)</f>
        <v>2.011191289828972E-2</v>
      </c>
      <c r="H17" s="28">
        <f>+-('Income Statement'!H25)/(Balance!H38+Balance!H47)</f>
        <v>2.3032826866410984E-2</v>
      </c>
      <c r="I17" s="28">
        <f>+-('Income Statement'!I25)/(Balance!I38+Balance!I47)</f>
        <v>2.6267595579852358E-2</v>
      </c>
      <c r="J17" s="56">
        <v>0.03</v>
      </c>
      <c r="K17" s="56">
        <v>0.03</v>
      </c>
      <c r="L17" s="56">
        <v>0.03</v>
      </c>
      <c r="M17" s="56">
        <v>0.03</v>
      </c>
    </row>
    <row r="18" spans="2:13" x14ac:dyDescent="0.3">
      <c r="B18" t="s">
        <v>164</v>
      </c>
      <c r="C18" s="18">
        <f>+'Cash Flow Statement'!C41/-C13</f>
        <v>0.15456609458223489</v>
      </c>
      <c r="D18" s="18">
        <f>+'Cash Flow Statement'!D41/-D13</f>
        <v>0.12741402680857472</v>
      </c>
      <c r="E18" s="18">
        <f>+'Cash Flow Statement'!E41/-E13</f>
        <v>7.7072608528620828E-2</v>
      </c>
      <c r="F18" s="18">
        <f>+'Cash Flow Statement'!F41/-F13</f>
        <v>0.14817187719052291</v>
      </c>
      <c r="G18" s="18">
        <f>+'Cash Flow Statement'!G41/-G13</f>
        <v>0.12946651702207257</v>
      </c>
      <c r="H18" s="18">
        <f>+'Cash Flow Statement'!H41/-H13</f>
        <v>4.2175896013074379E-2</v>
      </c>
      <c r="I18" s="18">
        <f>+'Cash Flow Statement'!I41/-I13</f>
        <v>0.40615353661808101</v>
      </c>
      <c r="J18" s="44">
        <v>0.2</v>
      </c>
      <c r="K18" s="44">
        <v>0.2</v>
      </c>
      <c r="L18" s="44">
        <v>0.2</v>
      </c>
      <c r="M18" s="44">
        <v>0.2</v>
      </c>
    </row>
    <row r="19" spans="2:13" x14ac:dyDescent="0.3">
      <c r="B19" t="s">
        <v>165</v>
      </c>
      <c r="C19" s="18">
        <f>+'Cash Flow Statement'!C41/-(Balance!C36+Balance!C37+Balance!C38+Balance!C45+Balance!C46+Balance!C47)</f>
        <v>0.13071846653368471</v>
      </c>
      <c r="D19" s="18">
        <f>+'Cash Flow Statement'!D41/-(Balance!D36+Balance!D37+Balance!D38+Balance!D45+Balance!D46+Balance!D47)</f>
        <v>0.10764636297585384</v>
      </c>
      <c r="E19" s="18">
        <f>+'Cash Flow Statement'!E41/-(Balance!E36+Balance!E37+Balance!E38+Balance!E45+Balance!E46+Balance!E47)</f>
        <v>7.4073253581450296E-2</v>
      </c>
      <c r="F19" s="18">
        <f>+'Cash Flow Statement'!F41/-(Balance!F36+Balance!F37+Balance!F38+Balance!F45+Balance!F46+Balance!F47)</f>
        <v>0.14325704392991465</v>
      </c>
      <c r="G19" s="18">
        <f>+'Cash Flow Statement'!G41/-(Balance!G36+Balance!G37+Balance!G38+Balance!G45+Balance!G46+Balance!G47)</f>
        <v>0.12264562182943503</v>
      </c>
      <c r="H19" s="18">
        <f>+'Cash Flow Statement'!H41/-(Balance!H36+Balance!H37+Balance!H38+Balance!H45+Balance!H46+Balance!H47)</f>
        <v>4.0012663399134694E-2</v>
      </c>
      <c r="I19" s="18">
        <f>+'Cash Flow Statement'!I41/-(Balance!I36+Balance!I37+Balance!I38+Balance!I45+Balance!I46+Balance!I47)</f>
        <v>0.37726022106445672</v>
      </c>
      <c r="J19" s="44"/>
      <c r="K19" s="44"/>
      <c r="L19" s="44"/>
      <c r="M19" s="44"/>
    </row>
    <row r="20" spans="2:13" x14ac:dyDescent="0.3">
      <c r="B20" t="s">
        <v>166</v>
      </c>
      <c r="J20" s="44">
        <v>0.7</v>
      </c>
      <c r="K20" s="44">
        <v>0.7</v>
      </c>
      <c r="L20" s="44">
        <v>0.7</v>
      </c>
      <c r="M20" s="44">
        <v>0.7</v>
      </c>
    </row>
    <row r="21" spans="2:13" x14ac:dyDescent="0.3">
      <c r="B21" t="s">
        <v>167</v>
      </c>
      <c r="J21" s="44">
        <v>0.1</v>
      </c>
      <c r="K21" s="44">
        <v>0.1</v>
      </c>
      <c r="L21" s="44">
        <v>0.1</v>
      </c>
      <c r="M21" s="44">
        <v>0.1</v>
      </c>
    </row>
    <row r="22" spans="2:13" x14ac:dyDescent="0.3">
      <c r="B22" t="s">
        <v>152</v>
      </c>
      <c r="C22" s="27">
        <f>+-('Income Statement'!C24+'Income Statement'!C25)/(Balance!C36+Balance!C37+Balance!C38+Balance!C45+Balance!C46+Balance!C47)</f>
        <v>3.4251193925539818E-2</v>
      </c>
      <c r="D22" s="27">
        <f>+-('Income Statement'!D24+'Income Statement'!D25)/(Balance!D36+Balance!D37+Balance!D38+Balance!D45+Balance!D46+Balance!D47)</f>
        <v>3.1577612427115945E-2</v>
      </c>
      <c r="E22" s="27">
        <f>+-('Income Statement'!E24+'Income Statement'!E25)/(Balance!E36+Balance!E37+Balance!E38+Balance!E45+Balance!E46+Balance!E47)</f>
        <v>2.4307709348692957E-2</v>
      </c>
      <c r="F22" s="27">
        <f>+-('Income Statement'!F24+'Income Statement'!F25)/(Balance!F36+Balance!F37+Balance!F38+Balance!F45+Balance!F46+Balance!F47)</f>
        <v>2.2560839446617468E-2</v>
      </c>
      <c r="G22" s="27">
        <f>+-('Income Statement'!G24+'Income Statement'!G25)/(Balance!G36+Balance!G37+Balance!G38+Balance!G45+Balance!G46+Balance!G47)</f>
        <v>2.654574012867612E-2</v>
      </c>
      <c r="H22" s="27">
        <f>+-('Income Statement'!H24+'Income Statement'!H25)/(Balance!H36+Balance!H37+Balance!H38+Balance!H45+Balance!H46+Balance!H47)</f>
        <v>3.8686107436249416E-2</v>
      </c>
      <c r="I22" s="27">
        <f>+-('Income Statement'!I24+'Income Statement'!I25)/(Balance!I36+Balance!I37+Balance!I38+Balance!I45+Balance!I46+Balance!I47)</f>
        <v>4.2376847827666903E-2</v>
      </c>
      <c r="J22" s="44"/>
      <c r="K22" s="44"/>
      <c r="L22" s="44"/>
      <c r="M22" s="44"/>
    </row>
    <row r="23" spans="2:13" x14ac:dyDescent="0.3">
      <c r="B23" t="s">
        <v>193</v>
      </c>
      <c r="C23" s="79">
        <f>+'Income Statement'!C20/-('Income Statement'!C24+'Income Statement'!C25)</f>
        <v>3.4389122839645574</v>
      </c>
      <c r="D23" s="79">
        <f>+'Income Statement'!D20/-('Income Statement'!D24+'Income Statement'!D25)</f>
        <v>2.9925453324378779</v>
      </c>
      <c r="E23" s="79">
        <f>+'Income Statement'!E20/-('Income Statement'!E24+'Income Statement'!E25)</f>
        <v>-8.465831244778613</v>
      </c>
      <c r="F23" s="79">
        <f>+'Income Statement'!F20/-('Income Statement'!F24+'Income Statement'!F25)</f>
        <v>-2.1830607248531821</v>
      </c>
      <c r="G23" s="79">
        <f>+'Income Statement'!G20/-('Income Statement'!G24+'Income Statement'!G25)</f>
        <v>2.6847923314152973</v>
      </c>
      <c r="H23" s="79">
        <f>+'Income Statement'!H20/-('Income Statement'!H24+'Income Statement'!H25)</f>
        <v>2.1530338335352783</v>
      </c>
      <c r="I23" s="79">
        <f>+'Income Statement'!I20/-('Income Statement'!I24+'Income Statement'!I25)</f>
        <v>3.2679955703211516</v>
      </c>
      <c r="J23" s="44"/>
      <c r="K23" s="44"/>
      <c r="L23" s="44"/>
      <c r="M23" s="44"/>
    </row>
    <row r="25" spans="2:13" x14ac:dyDescent="0.3">
      <c r="B25" t="s">
        <v>154</v>
      </c>
      <c r="C25" s="12">
        <v>-38324</v>
      </c>
      <c r="D25" s="12">
        <v>-43040</v>
      </c>
      <c r="E25" s="12">
        <v>-64</v>
      </c>
      <c r="F25" s="12"/>
      <c r="G25" s="12"/>
      <c r="H25" s="12"/>
      <c r="I25" s="12">
        <v>-25608</v>
      </c>
      <c r="J25" s="12">
        <v>-25608</v>
      </c>
      <c r="K25" s="12">
        <v>-25608</v>
      </c>
      <c r="L25" s="12">
        <v>-25608</v>
      </c>
      <c r="M25" s="12">
        <v>-25608</v>
      </c>
    </row>
    <row r="26" spans="2:13" x14ac:dyDescent="0.3">
      <c r="B26" t="s">
        <v>155</v>
      </c>
      <c r="C26" s="27">
        <f>+ABS(C25)/'Income Statement'!C32</f>
        <v>0.25269015718957694</v>
      </c>
      <c r="D26" s="27">
        <f>+ABS(D25)/'Income Statement'!D32</f>
        <v>0.35371466140696911</v>
      </c>
      <c r="E26" s="27">
        <f>+ABS(E25)/'Income Statement'!E32</f>
        <v>-1.044521078924992E-4</v>
      </c>
      <c r="F26" s="27">
        <f>+ABS(F25)/'Income Statement'!F32</f>
        <v>0</v>
      </c>
      <c r="G26" s="27">
        <f>+ABS(G25)/'Income Statement'!G32</f>
        <v>0</v>
      </c>
      <c r="H26" s="27">
        <f>+ABS(H25)/'Income Statement'!H32</f>
        <v>0</v>
      </c>
      <c r="I26" s="27">
        <f>+ABS(I25)/'Income Statement'!I32</f>
        <v>0.15803407779512593</v>
      </c>
      <c r="J26" s="27">
        <f ca="1">+ABS(J25)/'Income Statement'!J32</f>
        <v>0.12820882943208825</v>
      </c>
      <c r="K26" s="27">
        <f ca="1">+ABS(K25)/'Income Statement'!K32</f>
        <v>0.11318141739315871</v>
      </c>
      <c r="L26" s="27">
        <f ca="1">+ABS(L25)/'Income Statement'!L32</f>
        <v>0.10523214724010516</v>
      </c>
      <c r="M26" s="27">
        <f ca="1">+ABS(M25)/'Income Statement'!M32</f>
        <v>9.6800474199217293E-2</v>
      </c>
    </row>
    <row r="28" spans="2:13" x14ac:dyDescent="0.3">
      <c r="B28" t="s">
        <v>158</v>
      </c>
    </row>
    <row r="29" spans="2:13" x14ac:dyDescent="0.3">
      <c r="B29" t="s">
        <v>159</v>
      </c>
      <c r="C29" s="27">
        <f>+-'Cash Flow Statement'!C15/'Income Statement'!C4</f>
        <v>8.6748868510941168E-3</v>
      </c>
      <c r="D29" s="27">
        <f>+-'Cash Flow Statement'!D15/'Income Statement'!D4</f>
        <v>1.5790108955495777E-2</v>
      </c>
      <c r="E29" s="27">
        <f>+-'Cash Flow Statement'!E15/'Income Statement'!E4</f>
        <v>1.9530732516020121E-3</v>
      </c>
      <c r="F29" s="27">
        <f>+-'Cash Flow Statement'!F15/'Income Statement'!F4</f>
        <v>-1.6504917747410568E-2</v>
      </c>
      <c r="G29" s="27">
        <f>+-'Cash Flow Statement'!G15/'Income Statement'!G4</f>
        <v>7.4914839734392842E-3</v>
      </c>
      <c r="H29" s="27">
        <f>+-'Cash Flow Statement'!H15/'Income Statement'!H4</f>
        <v>1.5031618088128324E-2</v>
      </c>
      <c r="I29" s="27">
        <f>+-'Cash Flow Statement'!I15/'Income Statement'!I4</f>
        <v>1.2016180557694657E-2</v>
      </c>
    </row>
    <row r="30" spans="2:13" x14ac:dyDescent="0.3">
      <c r="B30" t="s">
        <v>160</v>
      </c>
      <c r="C30" s="27">
        <f>+-'Cash Flow Statement'!C15/'Income Statement'!C29</f>
        <v>8.085982725586828E-2</v>
      </c>
      <c r="D30" s="27">
        <f>+-'Cash Flow Statement'!D15/'Income Statement'!D29</f>
        <v>0.18077306924612313</v>
      </c>
      <c r="E30" s="27">
        <f>+-'Cash Flow Statement'!E15/'Income Statement'!E29</f>
        <v>-1.5547530699593685E-3</v>
      </c>
      <c r="F30" s="27">
        <f>+-'Cash Flow Statement'!F15/'Income Statement'!F29</f>
        <v>6.28038879254431E-2</v>
      </c>
      <c r="G30" s="27">
        <f>+-'Cash Flow Statement'!G15/'Income Statement'!G29</f>
        <v>8.0505655355954761E-2</v>
      </c>
      <c r="H30" s="27">
        <f>+-'Cash Flow Statement'!H15/'Income Statement'!H29</f>
        <v>0.19417079100169438</v>
      </c>
      <c r="I30" s="27">
        <f>+-'Cash Flow Statement'!I15/'Income Statement'!I29</f>
        <v>0.10776922254304352</v>
      </c>
      <c r="J30" s="44">
        <v>0.1</v>
      </c>
      <c r="K30" s="44">
        <v>0.1</v>
      </c>
      <c r="L30" s="44">
        <v>0.1</v>
      </c>
      <c r="M30" s="44">
        <v>0.1</v>
      </c>
    </row>
    <row r="32" spans="2:13" x14ac:dyDescent="0.3">
      <c r="B32" t="s">
        <v>161</v>
      </c>
    </row>
    <row r="33" spans="2:13" x14ac:dyDescent="0.3">
      <c r="B33" t="s">
        <v>162</v>
      </c>
      <c r="C33" s="27">
        <f>+'Income Statement'!C36/'Income Statement'!C32</f>
        <v>3.0132397932271338E-2</v>
      </c>
      <c r="D33" s="27">
        <f>+'Income Statement'!D36/'Income Statement'!D32</f>
        <v>7.2164694280078892E-2</v>
      </c>
      <c r="E33" s="27">
        <f>+'Income Statement'!E36/'Income Statement'!E32</f>
        <v>2.7405621808294478E-2</v>
      </c>
      <c r="F33" s="27">
        <f>+'Income Statement'!F36/'Income Statement'!F32</f>
        <v>2.5063175983018295E-2</v>
      </c>
      <c r="G33" s="27">
        <f>+'Income Statement'!G36/'Income Statement'!G32</f>
        <v>7.8502214378475571E-2</v>
      </c>
      <c r="H33" s="27">
        <f>+'Income Statement'!H36/'Income Statement'!H32</f>
        <v>9.5113290497125469E-2</v>
      </c>
      <c r="I33" s="27">
        <f>+'Income Statement'!I36/'Income Statement'!I32</f>
        <v>0.13215791065224233</v>
      </c>
      <c r="J33" s="27">
        <f ca="1">+'Income Statement'!J36/'Income Statement'!J32</f>
        <v>0.11162094390794519</v>
      </c>
      <c r="K33" s="27">
        <f ca="1">+'Income Statement'!K36/'Income Statement'!K32</f>
        <v>0.10082246953560561</v>
      </c>
      <c r="L33" s="27">
        <f ca="1">+'Income Statement'!L36/'Income Statement'!L32</f>
        <v>9.4272546647943573E-2</v>
      </c>
      <c r="M33" s="27">
        <f ca="1">+'Income Statement'!M36/'Income Statement'!M32</f>
        <v>8.8253761743680811E-2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DD4D-BD37-437B-876D-F5EF9D9B332C}">
  <sheetPr>
    <tabColor theme="8" tint="0.39997558519241921"/>
  </sheetPr>
  <dimension ref="B3:S93"/>
  <sheetViews>
    <sheetView showGridLines="0" topLeftCell="B1" zoomScale="90" zoomScaleNormal="90" workbookViewId="0">
      <selection activeCell="P8" sqref="P8"/>
    </sheetView>
  </sheetViews>
  <sheetFormatPr defaultRowHeight="14.4" x14ac:dyDescent="0.3"/>
  <cols>
    <col min="1" max="1" width="2.109375" customWidth="1"/>
    <col min="2" max="2" width="40.77734375" customWidth="1"/>
    <col min="3" max="13" width="12.88671875" bestFit="1" customWidth="1"/>
    <col min="14" max="14" width="3.21875" customWidth="1"/>
    <col min="17" max="17" width="2.109375" customWidth="1"/>
    <col min="19" max="19" width="11.77734375" customWidth="1"/>
  </cols>
  <sheetData>
    <row r="3" spans="2:19" x14ac:dyDescent="0.3">
      <c r="B3" s="20" t="s">
        <v>128</v>
      </c>
      <c r="C3" s="21">
        <v>2018</v>
      </c>
      <c r="D3" s="21">
        <v>2019</v>
      </c>
      <c r="E3" s="21">
        <v>2020</v>
      </c>
      <c r="F3" s="21">
        <v>2021</v>
      </c>
      <c r="G3" s="21">
        <v>2022</v>
      </c>
      <c r="H3" s="21">
        <v>2023</v>
      </c>
      <c r="I3" s="21">
        <v>2024</v>
      </c>
      <c r="J3" s="26" t="s">
        <v>115</v>
      </c>
      <c r="K3" s="26" t="s">
        <v>116</v>
      </c>
      <c r="L3" s="26" t="s">
        <v>117</v>
      </c>
      <c r="M3" s="26" t="s">
        <v>118</v>
      </c>
      <c r="O3" s="46" t="s">
        <v>144</v>
      </c>
      <c r="P3" s="46"/>
      <c r="R3" s="46" t="s">
        <v>145</v>
      </c>
      <c r="S3" s="46"/>
    </row>
    <row r="4" spans="2:19" x14ac:dyDescent="0.3">
      <c r="B4" t="s">
        <v>48</v>
      </c>
      <c r="C4" s="7">
        <v>1819505</v>
      </c>
      <c r="D4" s="7">
        <v>1789538</v>
      </c>
      <c r="E4" s="7">
        <v>528398</v>
      </c>
      <c r="F4" s="7">
        <v>827208</v>
      </c>
      <c r="G4" s="7">
        <v>1679774</v>
      </c>
      <c r="H4" s="7">
        <v>1928801</v>
      </c>
      <c r="I4" s="7">
        <v>2012786</v>
      </c>
      <c r="J4" s="1">
        <f ca="1">+J7+J9+J11+J13+J15+J17+J19+J21+J23+J25+J27</f>
        <v>2095506.25</v>
      </c>
      <c r="K4" s="1">
        <f t="shared" ref="K4:M4" ca="1" si="0">+K7+K9+K11+K13+K15+K17+K19+K21+K23+K25+K27</f>
        <v>2183200.8437500005</v>
      </c>
      <c r="L4" s="1">
        <f t="shared" ca="1" si="0"/>
        <v>2258218.1567708338</v>
      </c>
      <c r="M4" s="1">
        <f t="shared" ca="1" si="0"/>
        <v>2343145.6010411461</v>
      </c>
    </row>
    <row r="5" spans="2:19" x14ac:dyDescent="0.3">
      <c r="B5" t="s">
        <v>49</v>
      </c>
      <c r="C5" s="7">
        <v>11810</v>
      </c>
      <c r="D5" s="7">
        <v>11211</v>
      </c>
      <c r="E5" s="7"/>
      <c r="F5" s="7">
        <v>75226</v>
      </c>
      <c r="G5" s="7">
        <v>12239</v>
      </c>
      <c r="H5" s="7">
        <v>3395</v>
      </c>
      <c r="I5" s="7">
        <v>43496</v>
      </c>
      <c r="J5" s="7">
        <v>43496</v>
      </c>
      <c r="K5" s="7">
        <v>43496</v>
      </c>
      <c r="L5" s="7">
        <v>43496</v>
      </c>
      <c r="M5" s="7">
        <v>43496</v>
      </c>
    </row>
    <row r="6" spans="2:19" x14ac:dyDescent="0.3">
      <c r="B6" s="29" t="s">
        <v>119</v>
      </c>
      <c r="C6" s="30">
        <v>0</v>
      </c>
      <c r="D6" s="31">
        <f>+(D4/C4)-1</f>
        <v>-1.6469864056432915E-2</v>
      </c>
      <c r="E6" s="31">
        <f t="shared" ref="E6:I6" si="1">+(E4/D4)-1</f>
        <v>-0.70472937707944738</v>
      </c>
      <c r="F6" s="31">
        <f t="shared" si="1"/>
        <v>0.56550176192945467</v>
      </c>
      <c r="G6" s="31">
        <f t="shared" si="1"/>
        <v>1.0306549259678341</v>
      </c>
      <c r="H6" s="31">
        <f t="shared" si="1"/>
        <v>0.14825030033802156</v>
      </c>
      <c r="I6" s="31">
        <f t="shared" si="1"/>
        <v>4.354259459633214E-2</v>
      </c>
      <c r="J6" s="31">
        <f t="shared" ref="J6" ca="1" si="2">+(J4/I4)-1</f>
        <v>4.1097389389632033E-2</v>
      </c>
      <c r="K6" s="31">
        <f t="shared" ref="K6" ca="1" si="3">+(K4/J4)-1</f>
        <v>4.1848881982575969E-2</v>
      </c>
      <c r="L6" s="31">
        <f t="shared" ref="L6" ca="1" si="4">+(L4/K4)-1</f>
        <v>3.4361159778584005E-2</v>
      </c>
      <c r="M6" s="31">
        <f t="shared" ref="M6" ca="1" si="5">+(M4/L4)-1</f>
        <v>3.7608166427886447E-2</v>
      </c>
      <c r="O6" s="47">
        <f>+((I4/C4)^(1/6))-1</f>
        <v>1.696824357624771E-2</v>
      </c>
      <c r="P6" s="46"/>
      <c r="R6" s="47">
        <f ca="1">+((M4/I4)^(1/4))-1</f>
        <v>3.8724602827933996E-2</v>
      </c>
      <c r="S6" s="46"/>
    </row>
    <row r="7" spans="2:19" x14ac:dyDescent="0.3">
      <c r="B7" s="37" t="s">
        <v>126</v>
      </c>
      <c r="C7" s="38">
        <v>770700</v>
      </c>
      <c r="D7" s="38">
        <v>770800</v>
      </c>
      <c r="E7" s="38">
        <v>167600</v>
      </c>
      <c r="F7" s="38">
        <v>303600</v>
      </c>
      <c r="G7" s="38">
        <v>670100</v>
      </c>
      <c r="H7" s="38">
        <v>755500</v>
      </c>
      <c r="I7" s="38">
        <v>772600</v>
      </c>
      <c r="J7" s="45">
        <f>+I7*(1+J8)</f>
        <v>788052</v>
      </c>
      <c r="K7" s="45">
        <f t="shared" ref="K7:M7" si="6">+J7*(1+K8)</f>
        <v>803813.04</v>
      </c>
      <c r="L7" s="45">
        <f t="shared" si="6"/>
        <v>819889.30080000008</v>
      </c>
      <c r="M7" s="45">
        <f t="shared" si="6"/>
        <v>836287.08681600005</v>
      </c>
    </row>
    <row r="8" spans="2:19" x14ac:dyDescent="0.3">
      <c r="B8" s="40" t="s">
        <v>122</v>
      </c>
      <c r="C8" s="41"/>
      <c r="D8" s="42">
        <f>+(D7/C7)-1</f>
        <v>1.2975217334898481E-4</v>
      </c>
      <c r="E8" s="42">
        <f t="shared" ref="E8:I8" si="7">+(E7/D7)-1</f>
        <v>-0.78256357031655421</v>
      </c>
      <c r="F8" s="42">
        <f t="shared" si="7"/>
        <v>0.8114558472553699</v>
      </c>
      <c r="G8" s="42">
        <f t="shared" si="7"/>
        <v>1.2071805006587617</v>
      </c>
      <c r="H8" s="42">
        <f t="shared" si="7"/>
        <v>0.12744366512460825</v>
      </c>
      <c r="I8" s="42">
        <f t="shared" si="7"/>
        <v>2.2634017207147528E-2</v>
      </c>
      <c r="J8" s="35">
        <v>0.02</v>
      </c>
      <c r="K8" s="35">
        <v>0.02</v>
      </c>
      <c r="L8" s="35">
        <v>0.02</v>
      </c>
      <c r="M8" s="35">
        <v>0.02</v>
      </c>
    </row>
    <row r="9" spans="2:19" x14ac:dyDescent="0.3">
      <c r="B9" s="37" t="s">
        <v>127</v>
      </c>
      <c r="C9" s="38">
        <v>85600</v>
      </c>
      <c r="D9" s="38">
        <v>73600</v>
      </c>
      <c r="E9" s="38">
        <v>17700</v>
      </c>
      <c r="F9" s="38">
        <v>31100</v>
      </c>
      <c r="G9" s="38">
        <v>61500</v>
      </c>
      <c r="H9" s="38">
        <v>79600</v>
      </c>
      <c r="I9" s="38">
        <v>91900</v>
      </c>
      <c r="J9" s="45">
        <f>+I9*(1+J10)</f>
        <v>96495</v>
      </c>
      <c r="K9" s="45">
        <f t="shared" ref="K9:M9" si="8">+J9*(1+K10)</f>
        <v>101319.75</v>
      </c>
      <c r="L9" s="45">
        <f t="shared" si="8"/>
        <v>104359.3425</v>
      </c>
      <c r="M9" s="45">
        <f t="shared" si="8"/>
        <v>106968.3260625</v>
      </c>
    </row>
    <row r="10" spans="2:19" x14ac:dyDescent="0.3">
      <c r="B10" s="40" t="s">
        <v>122</v>
      </c>
      <c r="C10" s="41"/>
      <c r="D10" s="42">
        <f>+(D9/C9)-1</f>
        <v>-0.14018691588785048</v>
      </c>
      <c r="E10" s="42">
        <f t="shared" ref="E10" si="9">+(E9/D9)-1</f>
        <v>-0.75951086956521741</v>
      </c>
      <c r="F10" s="42">
        <f t="shared" ref="F10" si="10">+(F9/E9)-1</f>
        <v>0.75706214689265527</v>
      </c>
      <c r="G10" s="42">
        <f t="shared" ref="G10" si="11">+(G9/F9)-1</f>
        <v>0.977491961414791</v>
      </c>
      <c r="H10" s="42">
        <f t="shared" ref="H10" si="12">+(H9/G9)-1</f>
        <v>0.29430894308943079</v>
      </c>
      <c r="I10" s="42">
        <f t="shared" ref="I10" si="13">+(I9/H9)-1</f>
        <v>0.15452261306532655</v>
      </c>
      <c r="J10" s="35">
        <v>0.05</v>
      </c>
      <c r="K10" s="35">
        <v>0.05</v>
      </c>
      <c r="L10" s="35">
        <v>0.03</v>
      </c>
      <c r="M10" s="35">
        <v>2.5000000000000001E-2</v>
      </c>
    </row>
    <row r="11" spans="2:19" x14ac:dyDescent="0.3">
      <c r="B11" s="37" t="s">
        <v>129</v>
      </c>
      <c r="C11" s="38">
        <v>368600</v>
      </c>
      <c r="D11" s="38">
        <v>383100</v>
      </c>
      <c r="E11" s="38">
        <v>120300</v>
      </c>
      <c r="F11" s="38">
        <v>181400</v>
      </c>
      <c r="G11" s="38">
        <v>422900</v>
      </c>
      <c r="H11" s="38">
        <v>458300</v>
      </c>
      <c r="I11" s="38">
        <v>502400</v>
      </c>
      <c r="J11" s="45">
        <f>+I11*(1+J12)</f>
        <v>527520</v>
      </c>
      <c r="K11" s="45">
        <f t="shared" ref="K11:M11" si="14">+J11*(1+K12)</f>
        <v>553896</v>
      </c>
      <c r="L11" s="45">
        <f t="shared" si="14"/>
        <v>576051.84</v>
      </c>
      <c r="M11" s="45">
        <f t="shared" si="14"/>
        <v>596213.65439999988</v>
      </c>
    </row>
    <row r="12" spans="2:19" x14ac:dyDescent="0.3">
      <c r="B12" s="40" t="s">
        <v>122</v>
      </c>
      <c r="C12" s="41"/>
      <c r="D12" s="42">
        <f>+(D11/C11)-1</f>
        <v>3.9338035811177452E-2</v>
      </c>
      <c r="E12" s="42">
        <f t="shared" ref="E12" si="15">+(E11/D11)-1</f>
        <v>-0.6859827721221613</v>
      </c>
      <c r="F12" s="42">
        <f t="shared" ref="F12" si="16">+(F11/E11)-1</f>
        <v>0.50789692435577716</v>
      </c>
      <c r="G12" s="42">
        <f t="shared" ref="G12" si="17">+(G11/F11)-1</f>
        <v>1.3313120176405735</v>
      </c>
      <c r="H12" s="42">
        <f t="shared" ref="H12" si="18">+(H11/G11)-1</f>
        <v>8.3707732324426631E-2</v>
      </c>
      <c r="I12" s="42">
        <f t="shared" ref="I12" si="19">+(I11/H11)-1</f>
        <v>9.6225180013091771E-2</v>
      </c>
      <c r="J12" s="35">
        <v>0.05</v>
      </c>
      <c r="K12" s="35">
        <v>0.05</v>
      </c>
      <c r="L12" s="35">
        <v>0.04</v>
      </c>
      <c r="M12" s="35">
        <v>3.5000000000000003E-2</v>
      </c>
    </row>
    <row r="13" spans="2:19" x14ac:dyDescent="0.3">
      <c r="B13" s="37" t="s">
        <v>130</v>
      </c>
      <c r="C13" s="38">
        <v>31400</v>
      </c>
      <c r="D13" s="38">
        <v>29300</v>
      </c>
      <c r="E13" s="38">
        <v>6200</v>
      </c>
      <c r="F13" s="38">
        <v>10700</v>
      </c>
      <c r="G13" s="38">
        <v>33000</v>
      </c>
      <c r="H13" s="38">
        <v>32100</v>
      </c>
      <c r="I13" s="38">
        <v>34600</v>
      </c>
      <c r="J13" s="45">
        <f>+I13*(1+J14)</f>
        <v>37368</v>
      </c>
      <c r="K13" s="45">
        <f t="shared" ref="K13:M13" si="20">+J13*(1+K14)</f>
        <v>40731.120000000003</v>
      </c>
      <c r="L13" s="45">
        <f t="shared" si="20"/>
        <v>45211.543200000007</v>
      </c>
      <c r="M13" s="45">
        <f t="shared" si="20"/>
        <v>50184.812952000015</v>
      </c>
    </row>
    <row r="14" spans="2:19" x14ac:dyDescent="0.3">
      <c r="B14" s="40" t="s">
        <v>122</v>
      </c>
      <c r="C14" s="41"/>
      <c r="D14" s="42">
        <f>+(D13/C13)-1</f>
        <v>-6.687898089171973E-2</v>
      </c>
      <c r="E14" s="42">
        <f t="shared" ref="E14" si="21">+(E13/D13)-1</f>
        <v>-0.78839590443686003</v>
      </c>
      <c r="F14" s="42">
        <f t="shared" ref="F14" si="22">+(F13/E13)-1</f>
        <v>0.72580645161290325</v>
      </c>
      <c r="G14" s="42">
        <f t="shared" ref="G14" si="23">+(G13/F13)-1</f>
        <v>2.0841121495327104</v>
      </c>
      <c r="H14" s="42">
        <f t="shared" ref="H14" si="24">+(H13/G13)-1</f>
        <v>-2.7272727272727226E-2</v>
      </c>
      <c r="I14" s="42">
        <f t="shared" ref="I14" si="25">+(I13/H13)-1</f>
        <v>7.7881619937694602E-2</v>
      </c>
      <c r="J14" s="35">
        <v>0.08</v>
      </c>
      <c r="K14" s="35">
        <v>0.09</v>
      </c>
      <c r="L14" s="35">
        <v>0.11</v>
      </c>
      <c r="M14" s="35">
        <v>0.11</v>
      </c>
    </row>
    <row r="15" spans="2:19" x14ac:dyDescent="0.3">
      <c r="B15" s="37" t="s">
        <v>131</v>
      </c>
      <c r="C15" s="38">
        <v>414900</v>
      </c>
      <c r="D15" s="38">
        <v>391500</v>
      </c>
      <c r="E15" s="38">
        <v>125800</v>
      </c>
      <c r="F15" s="38">
        <v>219600</v>
      </c>
      <c r="G15" s="38">
        <v>407900</v>
      </c>
      <c r="H15" s="38">
        <v>457300</v>
      </c>
      <c r="I15" s="38">
        <v>476300</v>
      </c>
      <c r="J15" s="45">
        <f>+I15*(1+J16)</f>
        <v>495352</v>
      </c>
      <c r="K15" s="45">
        <f t="shared" ref="K15:M15" si="26">+J15*(1+K16)</f>
        <v>525073.12</v>
      </c>
      <c r="L15" s="45">
        <f t="shared" si="26"/>
        <v>546076.04480000003</v>
      </c>
      <c r="M15" s="45">
        <f t="shared" si="26"/>
        <v>578840.60748800007</v>
      </c>
    </row>
    <row r="16" spans="2:19" x14ac:dyDescent="0.3">
      <c r="B16" s="40" t="s">
        <v>122</v>
      </c>
      <c r="C16" s="41"/>
      <c r="D16" s="42">
        <f>+(D15/C15)-1</f>
        <v>-5.6399132321041212E-2</v>
      </c>
      <c r="E16" s="42">
        <f t="shared" ref="E16" si="27">+(E15/D15)-1</f>
        <v>-0.67867177522349942</v>
      </c>
      <c r="F16" s="42">
        <f t="shared" ref="F16" si="28">+(F15/E15)-1</f>
        <v>0.74562798092209848</v>
      </c>
      <c r="G16" s="42">
        <f t="shared" ref="G16" si="29">+(G15/F15)-1</f>
        <v>0.85746812386156646</v>
      </c>
      <c r="H16" s="42">
        <f t="shared" ref="H16" si="30">+(H15/G15)-1</f>
        <v>0.1211081147340034</v>
      </c>
      <c r="I16" s="42">
        <f t="shared" ref="I16" si="31">+(I15/H15)-1</f>
        <v>4.1548217800131182E-2</v>
      </c>
      <c r="J16" s="35">
        <v>0.04</v>
      </c>
      <c r="K16" s="35">
        <v>0.06</v>
      </c>
      <c r="L16" s="35">
        <v>0.04</v>
      </c>
      <c r="M16" s="35">
        <v>0.06</v>
      </c>
    </row>
    <row r="17" spans="2:13" x14ac:dyDescent="0.3">
      <c r="B17" s="37" t="s">
        <v>132</v>
      </c>
      <c r="C17" s="38">
        <v>51400</v>
      </c>
      <c r="D17" s="38">
        <v>43700</v>
      </c>
      <c r="E17" s="38">
        <v>16500</v>
      </c>
      <c r="F17" s="38">
        <v>16000</v>
      </c>
      <c r="G17" s="38">
        <v>63600</v>
      </c>
      <c r="H17" s="38">
        <v>42700</v>
      </c>
      <c r="I17" s="38">
        <v>40900</v>
      </c>
      <c r="J17" s="45">
        <f>+I17*(1+J18)</f>
        <v>42536</v>
      </c>
      <c r="K17" s="45">
        <f t="shared" ref="K17:M17" si="32">+J17*(1+K18)</f>
        <v>44875.479999999996</v>
      </c>
      <c r="L17" s="45">
        <f t="shared" si="32"/>
        <v>47792.386199999994</v>
      </c>
      <c r="M17" s="45">
        <f t="shared" si="32"/>
        <v>50420.967440999993</v>
      </c>
    </row>
    <row r="18" spans="2:13" x14ac:dyDescent="0.3">
      <c r="B18" s="40" t="s">
        <v>122</v>
      </c>
      <c r="C18" s="41"/>
      <c r="D18" s="42">
        <f>+(D17/C17)-1</f>
        <v>-0.14980544747081714</v>
      </c>
      <c r="E18" s="42">
        <f t="shared" ref="E18" si="33">+(E17/D17)-1</f>
        <v>-0.62242562929061784</v>
      </c>
      <c r="F18" s="42">
        <f t="shared" ref="F18" si="34">+(F17/E17)-1</f>
        <v>-3.0303030303030276E-2</v>
      </c>
      <c r="G18" s="42">
        <f t="shared" ref="G18" si="35">+(G17/F17)-1</f>
        <v>2.9750000000000001</v>
      </c>
      <c r="H18" s="42">
        <f t="shared" ref="H18" si="36">+(H17/G17)-1</f>
        <v>-0.32861635220125784</v>
      </c>
      <c r="I18" s="42">
        <f t="shared" ref="I18" si="37">+(I17/H17)-1</f>
        <v>-4.2154566744730726E-2</v>
      </c>
      <c r="J18" s="35">
        <v>0.04</v>
      </c>
      <c r="K18" s="35">
        <v>5.5E-2</v>
      </c>
      <c r="L18" s="35">
        <v>6.5000000000000002E-2</v>
      </c>
      <c r="M18" s="35">
        <v>5.5E-2</v>
      </c>
    </row>
    <row r="19" spans="2:13" x14ac:dyDescent="0.3">
      <c r="B19" s="37" t="s">
        <v>133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45">
        <f>+I19*(1+J20)</f>
        <v>0</v>
      </c>
      <c r="K19" s="45">
        <f t="shared" ref="K19:M19" si="38">+J19*(1+K20)</f>
        <v>0</v>
      </c>
      <c r="L19" s="45">
        <f t="shared" si="38"/>
        <v>0</v>
      </c>
      <c r="M19" s="45">
        <f t="shared" si="38"/>
        <v>0</v>
      </c>
    </row>
    <row r="20" spans="2:13" x14ac:dyDescent="0.3">
      <c r="B20" s="40" t="s">
        <v>122</v>
      </c>
      <c r="C20" s="41"/>
      <c r="D20" s="42">
        <f>IFERROR((D19/C19)-1,0)</f>
        <v>0</v>
      </c>
      <c r="E20" s="42">
        <f t="shared" ref="E20:I20" si="39">IFERROR((E19/D19)-1,0)</f>
        <v>0</v>
      </c>
      <c r="F20" s="42">
        <f t="shared" si="39"/>
        <v>0</v>
      </c>
      <c r="G20" s="42">
        <f t="shared" si="39"/>
        <v>0</v>
      </c>
      <c r="H20" s="42">
        <f t="shared" si="39"/>
        <v>0</v>
      </c>
      <c r="I20" s="42">
        <f t="shared" si="39"/>
        <v>0</v>
      </c>
      <c r="J20" s="35">
        <v>0</v>
      </c>
      <c r="K20" s="35">
        <v>0</v>
      </c>
      <c r="L20" s="35">
        <v>0</v>
      </c>
      <c r="M20" s="35">
        <v>0</v>
      </c>
    </row>
    <row r="21" spans="2:13" x14ac:dyDescent="0.3">
      <c r="B21" s="37" t="s">
        <v>134</v>
      </c>
      <c r="C21" s="38">
        <v>7600</v>
      </c>
      <c r="D21" s="38">
        <v>6900</v>
      </c>
      <c r="E21" s="38">
        <v>2300</v>
      </c>
      <c r="F21" s="38">
        <v>3100</v>
      </c>
      <c r="G21" s="38">
        <v>5700</v>
      </c>
      <c r="H21" s="38">
        <v>9300</v>
      </c>
      <c r="I21" s="38">
        <v>10700</v>
      </c>
      <c r="J21" s="45">
        <f>+I21*(1+J22)</f>
        <v>11663</v>
      </c>
      <c r="K21" s="45">
        <f t="shared" ref="K21:M21" si="40">+J21*(1+K22)</f>
        <v>12829.300000000001</v>
      </c>
      <c r="L21" s="45">
        <f t="shared" si="40"/>
        <v>14240.523000000003</v>
      </c>
      <c r="M21" s="45">
        <f t="shared" si="40"/>
        <v>15379.764840000003</v>
      </c>
    </row>
    <row r="22" spans="2:13" x14ac:dyDescent="0.3">
      <c r="B22" s="40" t="s">
        <v>122</v>
      </c>
      <c r="C22" s="41"/>
      <c r="D22" s="42">
        <f>+(D21/C21)-1</f>
        <v>-9.210526315789469E-2</v>
      </c>
      <c r="E22" s="42">
        <f t="shared" ref="E22" si="41">+(E21/D21)-1</f>
        <v>-0.66666666666666674</v>
      </c>
      <c r="F22" s="42">
        <f t="shared" ref="F22" si="42">+(F21/E21)-1</f>
        <v>0.34782608695652173</v>
      </c>
      <c r="G22" s="42">
        <f t="shared" ref="G22" si="43">+(G21/F21)-1</f>
        <v>0.83870967741935476</v>
      </c>
      <c r="H22" s="42">
        <f t="shared" ref="H22" si="44">+(H21/G21)-1</f>
        <v>0.63157894736842102</v>
      </c>
      <c r="I22" s="42">
        <f t="shared" ref="I22" si="45">+(I21/H21)-1</f>
        <v>0.15053763440860224</v>
      </c>
      <c r="J22" s="35">
        <v>0.09</v>
      </c>
      <c r="K22" s="35">
        <v>0.1</v>
      </c>
      <c r="L22" s="35">
        <v>0.11</v>
      </c>
      <c r="M22" s="35">
        <v>0.08</v>
      </c>
    </row>
    <row r="23" spans="2:13" x14ac:dyDescent="0.3">
      <c r="B23" s="37" t="s">
        <v>135</v>
      </c>
      <c r="C23" s="38">
        <v>0</v>
      </c>
      <c r="D23" s="38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45">
        <f>+I23*(1+J24)</f>
        <v>0</v>
      </c>
      <c r="K23" s="45">
        <f t="shared" ref="K23:M23" si="46">+J23*(1+K24)</f>
        <v>0</v>
      </c>
      <c r="L23" s="45">
        <f t="shared" si="46"/>
        <v>0</v>
      </c>
      <c r="M23" s="45">
        <f t="shared" si="46"/>
        <v>0</v>
      </c>
    </row>
    <row r="24" spans="2:13" x14ac:dyDescent="0.3">
      <c r="B24" s="40" t="s">
        <v>122</v>
      </c>
      <c r="C24" s="41"/>
      <c r="D24" s="42">
        <f>IFERROR((D23/C23)-1,0)</f>
        <v>0</v>
      </c>
      <c r="E24" s="42">
        <f t="shared" ref="E24:I24" si="47">IFERROR((E23/D23)-1,0)</f>
        <v>0</v>
      </c>
      <c r="F24" s="42">
        <f t="shared" si="47"/>
        <v>0</v>
      </c>
      <c r="G24" s="42">
        <f t="shared" si="47"/>
        <v>0</v>
      </c>
      <c r="H24" s="42">
        <f t="shared" si="47"/>
        <v>0</v>
      </c>
      <c r="I24" s="42">
        <f t="shared" si="47"/>
        <v>0</v>
      </c>
      <c r="J24" s="35">
        <v>0</v>
      </c>
      <c r="K24" s="35">
        <v>0</v>
      </c>
      <c r="L24" s="35">
        <v>0</v>
      </c>
      <c r="M24" s="35">
        <v>0</v>
      </c>
    </row>
    <row r="25" spans="2:13" x14ac:dyDescent="0.3">
      <c r="B25" s="37" t="s">
        <v>136</v>
      </c>
      <c r="C25" s="38">
        <v>14400</v>
      </c>
      <c r="D25" s="38">
        <v>12100</v>
      </c>
      <c r="E25" s="38">
        <v>1900</v>
      </c>
      <c r="F25" s="38">
        <v>2500</v>
      </c>
      <c r="G25" s="38">
        <v>20200</v>
      </c>
      <c r="H25" s="38">
        <v>15500</v>
      </c>
      <c r="I25" s="38">
        <v>12700</v>
      </c>
      <c r="J25" s="45">
        <f>+I25*(1+J26)</f>
        <v>12700</v>
      </c>
      <c r="K25" s="45">
        <f t="shared" ref="K25:M25" si="48">+J25*(1+K26)</f>
        <v>13335</v>
      </c>
      <c r="L25" s="45">
        <f t="shared" si="48"/>
        <v>14268.45</v>
      </c>
      <c r="M25" s="45">
        <f t="shared" si="48"/>
        <v>15124.557000000001</v>
      </c>
    </row>
    <row r="26" spans="2:13" x14ac:dyDescent="0.3">
      <c r="B26" s="40" t="s">
        <v>122</v>
      </c>
      <c r="C26" s="41"/>
      <c r="D26" s="42">
        <f>+(D25/C25)-1</f>
        <v>-0.15972222222222221</v>
      </c>
      <c r="E26" s="42">
        <f t="shared" ref="E26" si="49">+(E25/D25)-1</f>
        <v>-0.84297520661157022</v>
      </c>
      <c r="F26" s="42">
        <f t="shared" ref="F26" si="50">+(F25/E25)-1</f>
        <v>0.31578947368421062</v>
      </c>
      <c r="G26" s="42">
        <f t="shared" ref="G26" si="51">+(G25/F25)-1</f>
        <v>7.08</v>
      </c>
      <c r="H26" s="42">
        <f t="shared" ref="H26" si="52">+(H25/G25)-1</f>
        <v>-0.23267326732673266</v>
      </c>
      <c r="I26" s="42">
        <f t="shared" ref="I26" si="53">+(I25/H25)-1</f>
        <v>-0.1806451612903226</v>
      </c>
      <c r="J26" s="35">
        <v>0</v>
      </c>
      <c r="K26" s="35">
        <v>0.05</v>
      </c>
      <c r="L26" s="35">
        <v>7.0000000000000007E-2</v>
      </c>
      <c r="M26" s="35">
        <v>0.06</v>
      </c>
    </row>
    <row r="27" spans="2:13" x14ac:dyDescent="0.3">
      <c r="B27" s="37" t="s">
        <v>141</v>
      </c>
      <c r="C27" s="39">
        <f t="shared" ref="C27:I27" si="54">+C4-SUM(C7:C25)</f>
        <v>74905</v>
      </c>
      <c r="D27" s="39">
        <f t="shared" si="54"/>
        <v>78538.46590795205</v>
      </c>
      <c r="E27" s="39">
        <f t="shared" si="54"/>
        <v>70102.984217187623</v>
      </c>
      <c r="F27" s="39">
        <f t="shared" si="54"/>
        <v>59204.134627592284</v>
      </c>
      <c r="G27" s="39">
        <f t="shared" si="54"/>
        <v>-5136.2712744304445</v>
      </c>
      <c r="H27" s="39">
        <f t="shared" si="54"/>
        <v>78500.097741676727</v>
      </c>
      <c r="I27" s="39">
        <f t="shared" si="54"/>
        <v>70685.498805284267</v>
      </c>
      <c r="J27" s="1">
        <f ca="1">+J4*J75</f>
        <v>83820.25</v>
      </c>
      <c r="K27" s="1">
        <f ca="1">+K4*K75</f>
        <v>87328.033750000017</v>
      </c>
      <c r="L27" s="1">
        <f ca="1">+L4*L75</f>
        <v>90328.726270833358</v>
      </c>
      <c r="M27" s="1">
        <f ca="1">+M4*M75</f>
        <v>93725.824041645843</v>
      </c>
    </row>
    <row r="29" spans="2:13" x14ac:dyDescent="0.3">
      <c r="B29" t="s">
        <v>51</v>
      </c>
      <c r="C29" s="7">
        <v>-190785</v>
      </c>
      <c r="D29" s="7">
        <v>-199035</v>
      </c>
      <c r="E29" s="7">
        <v>-58871</v>
      </c>
      <c r="F29" s="7">
        <v>-91590</v>
      </c>
      <c r="G29" s="7">
        <v>-177947</v>
      </c>
      <c r="H29" s="7">
        <v>-209528</v>
      </c>
      <c r="I29" s="7">
        <v>-202389</v>
      </c>
      <c r="J29" s="7">
        <f ca="1">-J4*J72</f>
        <v>-220028.15625</v>
      </c>
      <c r="K29" s="7">
        <f t="shared" ref="K29:M29" ca="1" si="55">-K4*K72</f>
        <v>-224869.68690625005</v>
      </c>
      <c r="L29" s="7">
        <f t="shared" ca="1" si="55"/>
        <v>-230338.25199062502</v>
      </c>
      <c r="M29" s="7">
        <f t="shared" ca="1" si="55"/>
        <v>-236657.70570515576</v>
      </c>
    </row>
    <row r="30" spans="2:13" x14ac:dyDescent="0.3">
      <c r="B30" t="s">
        <v>52</v>
      </c>
      <c r="C30" s="7">
        <v>-526644</v>
      </c>
      <c r="D30" s="7">
        <v>-523918</v>
      </c>
      <c r="E30" s="7">
        <v>-282106</v>
      </c>
      <c r="F30" s="7">
        <v>-307364</v>
      </c>
      <c r="G30" s="7">
        <v>-473397</v>
      </c>
      <c r="H30" s="7">
        <v>-544741</v>
      </c>
      <c r="I30" s="7">
        <v>-570278</v>
      </c>
      <c r="J30" s="7">
        <f>+J63/1000</f>
        <v>-586554.61988018744</v>
      </c>
      <c r="K30" s="7">
        <f t="shared" ref="K30:M30" si="56">+K63/1000</f>
        <v>-624826.54108572041</v>
      </c>
      <c r="L30" s="7">
        <f t="shared" si="56"/>
        <v>-664645.46171410498</v>
      </c>
      <c r="M30" s="7">
        <f t="shared" si="56"/>
        <v>-702620.59319165372</v>
      </c>
    </row>
    <row r="31" spans="2:13" x14ac:dyDescent="0.3">
      <c r="B31" t="s">
        <v>53</v>
      </c>
      <c r="C31" s="7">
        <v>-592173</v>
      </c>
      <c r="D31" s="7">
        <v>-579301</v>
      </c>
      <c r="E31" s="7">
        <v>-338288</v>
      </c>
      <c r="F31" s="7">
        <v>-372603</v>
      </c>
      <c r="G31" s="7">
        <v>-591339</v>
      </c>
      <c r="H31" s="7">
        <v>-645325</v>
      </c>
      <c r="I31" s="7">
        <v>-669111</v>
      </c>
      <c r="J31" s="7">
        <f ca="1">-J4*J78</f>
        <v>-691517.0625</v>
      </c>
      <c r="K31" s="7">
        <f t="shared" ref="K31:M31" ca="1" si="57">-K4*K78</f>
        <v>-720456.27843750024</v>
      </c>
      <c r="L31" s="7">
        <f t="shared" ca="1" si="57"/>
        <v>-745211.99173437513</v>
      </c>
      <c r="M31" s="7">
        <f t="shared" ca="1" si="57"/>
        <v>-773238.04834357824</v>
      </c>
    </row>
    <row r="32" spans="2:13" x14ac:dyDescent="0.3">
      <c r="B32" s="4" t="s">
        <v>54</v>
      </c>
      <c r="C32" s="9">
        <v>-1309602</v>
      </c>
      <c r="D32" s="9">
        <v>-1302254</v>
      </c>
      <c r="E32" s="9">
        <v>-679265</v>
      </c>
      <c r="F32" s="9">
        <v>-771557</v>
      </c>
      <c r="G32" s="9">
        <v>-1242683</v>
      </c>
      <c r="H32" s="9">
        <v>-1399594</v>
      </c>
      <c r="I32" s="9">
        <v>-1441778</v>
      </c>
      <c r="J32" s="43">
        <f ca="1">+SUM(J29:J31)</f>
        <v>-1498099.8386301873</v>
      </c>
      <c r="K32" s="43">
        <f ca="1">+SUM(K29:K31)</f>
        <v>-1570152.5064294706</v>
      </c>
      <c r="L32" s="43">
        <f ca="1">+SUM(L29:L31)</f>
        <v>-1640195.7054391052</v>
      </c>
      <c r="M32" s="43">
        <f ca="1">+SUM(M29:M31)</f>
        <v>-1712516.3472403877</v>
      </c>
    </row>
    <row r="33" spans="2:13" x14ac:dyDescent="0.3">
      <c r="B33" s="4" t="s">
        <v>55</v>
      </c>
      <c r="C33" s="9">
        <v>521713</v>
      </c>
      <c r="D33" s="9">
        <v>498495</v>
      </c>
      <c r="E33" s="9">
        <v>-150867</v>
      </c>
      <c r="F33" s="9">
        <v>130877</v>
      </c>
      <c r="G33" s="9">
        <v>449330</v>
      </c>
      <c r="H33" s="9">
        <v>532602</v>
      </c>
      <c r="I33" s="9">
        <v>614504</v>
      </c>
      <c r="J33" s="43">
        <f ca="1">+J4+J5+J32</f>
        <v>640902.41136981267</v>
      </c>
      <c r="K33" s="43">
        <f ca="1">+K4+K5+K32</f>
        <v>656544.33732052986</v>
      </c>
      <c r="L33" s="43">
        <f ca="1">+L4+L5+L32</f>
        <v>661518.4513317286</v>
      </c>
      <c r="M33" s="43">
        <f ca="1">+M4+M5+M32</f>
        <v>674125.25380075839</v>
      </c>
    </row>
    <row r="34" spans="2:13" x14ac:dyDescent="0.3">
      <c r="B34" t="s">
        <v>56</v>
      </c>
      <c r="C34" s="7">
        <v>-20815</v>
      </c>
      <c r="D34" s="7">
        <v>-20584</v>
      </c>
      <c r="E34" s="7">
        <v>-664</v>
      </c>
      <c r="F34" s="7">
        <v>-5348</v>
      </c>
      <c r="G34" s="7">
        <v>-18571</v>
      </c>
      <c r="H34" s="7">
        <v>-42840</v>
      </c>
      <c r="I34" s="7">
        <v>-39149</v>
      </c>
      <c r="J34" s="7">
        <f ca="1">+-(J4*J81)</f>
        <v>-41910.125</v>
      </c>
      <c r="K34" s="7">
        <f t="shared" ref="K34:M34" ca="1" si="58">+-(K4*K81)</f>
        <v>-43664.016875000008</v>
      </c>
      <c r="L34" s="7">
        <f t="shared" ca="1" si="58"/>
        <v>-45164.363135416679</v>
      </c>
      <c r="M34" s="7">
        <f t="shared" ca="1" si="58"/>
        <v>-46862.912020822921</v>
      </c>
    </row>
    <row r="35" spans="2:13" x14ac:dyDescent="0.3">
      <c r="B35" s="4" t="s">
        <v>57</v>
      </c>
      <c r="C35" s="9">
        <v>500898</v>
      </c>
      <c r="D35" s="9">
        <v>477911</v>
      </c>
      <c r="E35" s="9">
        <v>-151531</v>
      </c>
      <c r="F35" s="9">
        <v>125529</v>
      </c>
      <c r="G35" s="9">
        <v>430759</v>
      </c>
      <c r="H35" s="9">
        <v>489762</v>
      </c>
      <c r="I35" s="9">
        <v>575355</v>
      </c>
      <c r="J35" s="43">
        <f ca="1">+J33+J34</f>
        <v>598992.28636981267</v>
      </c>
      <c r="K35" s="43">
        <f t="shared" ref="K35:M35" ca="1" si="59">+K33+K34</f>
        <v>612880.32044552988</v>
      </c>
      <c r="L35" s="43">
        <f t="shared" ca="1" si="59"/>
        <v>616354.08819631196</v>
      </c>
      <c r="M35" s="43">
        <f t="shared" ca="1" si="59"/>
        <v>627262.34177993552</v>
      </c>
    </row>
    <row r="36" spans="2:13" x14ac:dyDescent="0.3">
      <c r="B36" s="14" t="s">
        <v>76</v>
      </c>
      <c r="C36" s="15"/>
      <c r="D36" s="15">
        <v>-4.5891578724610596E-2</v>
      </c>
      <c r="E36" s="15">
        <v>-1.3170694962032681</v>
      </c>
      <c r="F36" s="15">
        <v>1.8284047488632689</v>
      </c>
      <c r="G36" s="15">
        <v>2.4315496817468474</v>
      </c>
      <c r="H36" s="15">
        <v>0.13697450314444967</v>
      </c>
      <c r="I36" s="15">
        <v>0.17476447744006274</v>
      </c>
      <c r="J36" s="18">
        <f ca="1">+J35/I35-1</f>
        <v>4.1082959859239487E-2</v>
      </c>
      <c r="K36" s="18">
        <f t="shared" ref="K36:M36" ca="1" si="60">+K35/J35-1</f>
        <v>2.3185664309444576E-2</v>
      </c>
      <c r="L36" s="18">
        <f t="shared" ca="1" si="60"/>
        <v>5.6679381518676131E-3</v>
      </c>
      <c r="M36" s="18">
        <f t="shared" ca="1" si="60"/>
        <v>1.7698030714041746E-2</v>
      </c>
    </row>
    <row r="37" spans="2:13" x14ac:dyDescent="0.3">
      <c r="B37" s="16" t="s">
        <v>73</v>
      </c>
      <c r="C37" s="17">
        <v>0.27351820959256051</v>
      </c>
      <c r="D37" s="17">
        <v>0.26539567702106182</v>
      </c>
      <c r="E37" s="17">
        <v>-0.28677436326405475</v>
      </c>
      <c r="F37" s="17">
        <v>0.13910047715400795</v>
      </c>
      <c r="G37" s="17">
        <v>0.2545837413778736</v>
      </c>
      <c r="H37" s="17">
        <v>0.2534742852174417</v>
      </c>
      <c r="I37" s="17">
        <v>0.27980354834599536</v>
      </c>
      <c r="J37" s="18">
        <f ca="1">+J35/J4</f>
        <v>0.28584609870278971</v>
      </c>
      <c r="K37" s="18">
        <f t="shared" ref="K37:M37" ca="1" si="61">+K35/K4</f>
        <v>0.28072557877579823</v>
      </c>
      <c r="L37" s="18">
        <f t="shared" ca="1" si="61"/>
        <v>0.27293823953557922</v>
      </c>
      <c r="M37" s="18">
        <f t="shared" ca="1" si="61"/>
        <v>0.26770096638519592</v>
      </c>
    </row>
    <row r="38" spans="2:13" x14ac:dyDescent="0.3">
      <c r="B38" t="s">
        <v>58</v>
      </c>
      <c r="C38" s="7">
        <v>-117378</v>
      </c>
      <c r="D38" s="7">
        <v>-122329</v>
      </c>
      <c r="E38" s="7">
        <v>-179912</v>
      </c>
      <c r="F38" s="7">
        <v>-125581</v>
      </c>
      <c r="G38" s="7">
        <v>-89927</v>
      </c>
      <c r="H38" s="7">
        <v>-114368</v>
      </c>
      <c r="I38" s="7">
        <v>-102333</v>
      </c>
    </row>
    <row r="39" spans="2:13" x14ac:dyDescent="0.3">
      <c r="B39" t="s">
        <v>59</v>
      </c>
      <c r="C39" s="7">
        <v>-124270</v>
      </c>
      <c r="D39" s="7">
        <v>-137713</v>
      </c>
      <c r="E39" s="7">
        <v>-225905</v>
      </c>
      <c r="F39" s="7">
        <v>-145294</v>
      </c>
      <c r="G39" s="7">
        <v>-139733</v>
      </c>
      <c r="H39" s="7">
        <v>-144395</v>
      </c>
      <c r="I39" s="7">
        <v>-139559</v>
      </c>
    </row>
    <row r="40" spans="2:13" x14ac:dyDescent="0.3">
      <c r="B40" t="s">
        <v>60</v>
      </c>
      <c r="C40" s="7">
        <v>-379</v>
      </c>
      <c r="D40" s="7">
        <v>4926</v>
      </c>
      <c r="E40" s="7"/>
      <c r="F40" s="7"/>
      <c r="G40" s="7"/>
      <c r="H40" s="7"/>
      <c r="I40" s="7"/>
      <c r="J40" s="1">
        <v>0</v>
      </c>
      <c r="K40" s="1">
        <v>0</v>
      </c>
      <c r="L40" s="1">
        <v>0</v>
      </c>
      <c r="M40" s="1">
        <v>0</v>
      </c>
    </row>
    <row r="41" spans="2:13" x14ac:dyDescent="0.3">
      <c r="B41" s="4" t="s">
        <v>61</v>
      </c>
      <c r="C41" s="9">
        <v>258871</v>
      </c>
      <c r="D41" s="9">
        <v>222795</v>
      </c>
      <c r="E41" s="9">
        <v>-557348</v>
      </c>
      <c r="F41" s="9">
        <v>-145346</v>
      </c>
      <c r="G41" s="9">
        <v>201099</v>
      </c>
      <c r="H41" s="9">
        <v>230999</v>
      </c>
      <c r="I41" s="9">
        <v>333463</v>
      </c>
    </row>
    <row r="42" spans="2:13" x14ac:dyDescent="0.3">
      <c r="B42" s="14" t="s">
        <v>77</v>
      </c>
      <c r="C42" s="15"/>
      <c r="D42" s="15">
        <v>-0.1393589857496591</v>
      </c>
      <c r="E42" s="15">
        <v>-3.5016180794003455</v>
      </c>
      <c r="F42" s="15">
        <v>0.73921858515684991</v>
      </c>
      <c r="G42" s="15">
        <v>2.3835881276402517</v>
      </c>
      <c r="H42" s="15">
        <v>0.14868298698650914</v>
      </c>
      <c r="I42" s="15">
        <v>0.44356901977930641</v>
      </c>
    </row>
    <row r="43" spans="2:13" x14ac:dyDescent="0.3">
      <c r="B43" s="16" t="s">
        <v>74</v>
      </c>
      <c r="C43" s="17">
        <v>0.14135798592814453</v>
      </c>
      <c r="D43" s="17">
        <v>0.1237235172697583</v>
      </c>
      <c r="E43" s="17">
        <v>-1.0547882467382541</v>
      </c>
      <c r="F43" s="17">
        <v>-0.16105997779338987</v>
      </c>
      <c r="G43" s="17">
        <v>0.11885192371453411</v>
      </c>
      <c r="H43" s="17">
        <v>0.11955257127123749</v>
      </c>
      <c r="I43" s="17">
        <v>0.16216793221941347</v>
      </c>
    </row>
    <row r="44" spans="2:13" x14ac:dyDescent="0.3">
      <c r="B44" t="s">
        <v>62</v>
      </c>
      <c r="C44" s="7">
        <v>-8935</v>
      </c>
      <c r="D44" s="7">
        <v>-12753</v>
      </c>
      <c r="E44" s="7">
        <v>-655</v>
      </c>
      <c r="F44" s="7">
        <v>-1549</v>
      </c>
      <c r="G44" s="7">
        <v>-13711</v>
      </c>
      <c r="H44" s="7">
        <v>1977</v>
      </c>
      <c r="I44" s="7">
        <v>-43</v>
      </c>
    </row>
    <row r="45" spans="2:13" x14ac:dyDescent="0.3">
      <c r="B45" t="s">
        <v>63</v>
      </c>
      <c r="C45" s="7">
        <v>-31762</v>
      </c>
      <c r="D45" s="7">
        <v>-33069</v>
      </c>
      <c r="E45" s="7">
        <v>-33328</v>
      </c>
      <c r="F45" s="7">
        <v>-39157</v>
      </c>
      <c r="G45" s="7">
        <v>-45488</v>
      </c>
      <c r="H45" s="7">
        <v>-73905</v>
      </c>
      <c r="I45" s="7">
        <v>-63585</v>
      </c>
    </row>
    <row r="46" spans="2:13" x14ac:dyDescent="0.3">
      <c r="B46" t="s">
        <v>64</v>
      </c>
      <c r="C46" s="7">
        <v>-43515</v>
      </c>
      <c r="D46" s="7">
        <v>-41381</v>
      </c>
      <c r="E46" s="7">
        <v>-32507</v>
      </c>
      <c r="F46" s="7">
        <v>-27422</v>
      </c>
      <c r="G46" s="7">
        <v>-29415</v>
      </c>
      <c r="H46" s="7">
        <v>-33385</v>
      </c>
      <c r="I46" s="7">
        <v>-38454</v>
      </c>
    </row>
    <row r="47" spans="2:13" x14ac:dyDescent="0.3">
      <c r="B47" t="s">
        <v>65</v>
      </c>
      <c r="C47" s="7">
        <v>15223</v>
      </c>
      <c r="D47" s="7">
        <v>14417</v>
      </c>
      <c r="E47" s="7">
        <v>-8074</v>
      </c>
      <c r="F47" s="7">
        <v>5281</v>
      </c>
      <c r="G47" s="7">
        <v>27438</v>
      </c>
      <c r="H47" s="7">
        <v>10715</v>
      </c>
      <c r="I47" s="7">
        <v>4023</v>
      </c>
    </row>
    <row r="48" spans="2:13" x14ac:dyDescent="0.3">
      <c r="B48" s="4" t="s">
        <v>66</v>
      </c>
      <c r="C48" s="9">
        <v>-68989</v>
      </c>
      <c r="D48" s="9">
        <v>-72786</v>
      </c>
      <c r="E48" s="9">
        <v>-74564</v>
      </c>
      <c r="F48" s="9">
        <v>-62847</v>
      </c>
      <c r="G48" s="9">
        <v>-61176</v>
      </c>
      <c r="H48" s="9">
        <v>-94598</v>
      </c>
      <c r="I48" s="9">
        <v>-98059</v>
      </c>
    </row>
    <row r="49" spans="2:13" x14ac:dyDescent="0.3">
      <c r="B49" s="6" t="s">
        <v>67</v>
      </c>
      <c r="C49" s="8">
        <v>5320</v>
      </c>
      <c r="D49" s="8">
        <v>6303</v>
      </c>
      <c r="E49" s="8">
        <v>-31859</v>
      </c>
      <c r="F49" s="8">
        <v>-9198</v>
      </c>
      <c r="G49" s="8">
        <v>16389</v>
      </c>
      <c r="H49" s="8">
        <v>12916</v>
      </c>
      <c r="I49" s="8">
        <v>-10980</v>
      </c>
    </row>
    <row r="50" spans="2:13" x14ac:dyDescent="0.3">
      <c r="B50" s="4" t="s">
        <v>68</v>
      </c>
      <c r="C50" s="9">
        <v>195202</v>
      </c>
      <c r="D50" s="9">
        <v>156312</v>
      </c>
      <c r="E50" s="9">
        <v>-663771</v>
      </c>
      <c r="F50" s="9">
        <v>-217391</v>
      </c>
      <c r="G50" s="9">
        <v>156312</v>
      </c>
      <c r="H50" s="9">
        <v>149317</v>
      </c>
      <c r="I50" s="9">
        <v>224424</v>
      </c>
    </row>
    <row r="51" spans="2:13" x14ac:dyDescent="0.3">
      <c r="B51" t="s">
        <v>69</v>
      </c>
      <c r="C51" s="7">
        <v>-43538</v>
      </c>
      <c r="D51" s="7">
        <v>-34632</v>
      </c>
      <c r="E51" s="7">
        <v>51050</v>
      </c>
      <c r="F51" s="7">
        <v>19531</v>
      </c>
      <c r="G51" s="7">
        <v>-36188</v>
      </c>
      <c r="H51" s="7">
        <v>-19209</v>
      </c>
      <c r="I51" s="7">
        <v>-62383</v>
      </c>
    </row>
    <row r="52" spans="2:13" x14ac:dyDescent="0.3">
      <c r="B52" t="s">
        <v>79</v>
      </c>
      <c r="C52" s="18">
        <v>0.22304074753332445</v>
      </c>
      <c r="D52" s="18">
        <v>0.22155688622754491</v>
      </c>
      <c r="E52" s="18">
        <v>7.6909054478125738E-2</v>
      </c>
      <c r="F52" s="18">
        <v>8.9842725779816085E-2</v>
      </c>
      <c r="G52" s="18">
        <v>0.23151133630175547</v>
      </c>
      <c r="H52" s="18">
        <v>0.12864576705934355</v>
      </c>
      <c r="I52" s="18">
        <v>0.27796937938901367</v>
      </c>
    </row>
    <row r="53" spans="2:13" x14ac:dyDescent="0.3">
      <c r="B53" s="2" t="s">
        <v>70</v>
      </c>
      <c r="C53" s="13">
        <v>151664</v>
      </c>
      <c r="D53" s="13">
        <v>121680</v>
      </c>
      <c r="E53" s="13">
        <v>-612721</v>
      </c>
      <c r="F53" s="13">
        <v>-197860</v>
      </c>
      <c r="G53" s="13">
        <v>120124</v>
      </c>
      <c r="H53" s="13">
        <v>130108</v>
      </c>
      <c r="I53" s="13">
        <v>162041</v>
      </c>
    </row>
    <row r="54" spans="2:13" x14ac:dyDescent="0.3">
      <c r="B54" s="14" t="s">
        <v>78</v>
      </c>
      <c r="C54" s="15"/>
      <c r="D54" s="15">
        <v>-0.19770017934381265</v>
      </c>
      <c r="E54" s="15">
        <v>-6.0355111768573311</v>
      </c>
      <c r="F54" s="15">
        <v>0.67707978019359549</v>
      </c>
      <c r="G54" s="15">
        <v>1.6071161427271807</v>
      </c>
      <c r="H54" s="15">
        <v>8.3114115414072126E-2</v>
      </c>
      <c r="I54" s="15">
        <v>0.24543456205613798</v>
      </c>
    </row>
    <row r="55" spans="2:13" x14ac:dyDescent="0.3">
      <c r="B55" s="16" t="s">
        <v>75</v>
      </c>
      <c r="C55" s="17">
        <v>8.2816992161370381E-2</v>
      </c>
      <c r="D55" s="17">
        <v>6.7571882588856075E-2</v>
      </c>
      <c r="E55" s="17">
        <v>-1.1595823602663144</v>
      </c>
      <c r="F55" s="17">
        <v>-0.21925149096776053</v>
      </c>
      <c r="G55" s="17">
        <v>7.0994726399856267E-2</v>
      </c>
      <c r="H55" s="17">
        <v>6.7336854025161014E-2</v>
      </c>
      <c r="I55" s="17">
        <v>7.8802907383325835E-2</v>
      </c>
    </row>
    <row r="56" spans="2:13" x14ac:dyDescent="0.3">
      <c r="B56" t="s">
        <v>71</v>
      </c>
      <c r="C56" s="7">
        <v>147094</v>
      </c>
      <c r="D56" s="7">
        <v>112898</v>
      </c>
      <c r="E56" s="7">
        <v>-595928</v>
      </c>
      <c r="F56" s="7">
        <v>-192901</v>
      </c>
      <c r="G56" s="7">
        <v>110693</v>
      </c>
      <c r="H56" s="7">
        <v>117733</v>
      </c>
      <c r="I56" s="7">
        <v>140626</v>
      </c>
    </row>
    <row r="57" spans="2:13" x14ac:dyDescent="0.3">
      <c r="B57" t="s">
        <v>72</v>
      </c>
      <c r="C57" s="7">
        <v>4570</v>
      </c>
      <c r="D57" s="7">
        <v>8781</v>
      </c>
      <c r="E57" s="7">
        <v>-16792</v>
      </c>
      <c r="F57" s="7">
        <v>-4959</v>
      </c>
      <c r="G57" s="7">
        <v>9430</v>
      </c>
      <c r="H57" s="7">
        <v>12375</v>
      </c>
      <c r="I57" s="7">
        <v>21415</v>
      </c>
    </row>
    <row r="60" spans="2:13" x14ac:dyDescent="0.3">
      <c r="B60" s="32" t="s">
        <v>120</v>
      </c>
      <c r="C60" s="29"/>
      <c r="D60" s="29"/>
      <c r="E60" s="29"/>
      <c r="F60" s="29"/>
      <c r="G60" s="29"/>
      <c r="H60" s="29"/>
      <c r="I60" s="29"/>
      <c r="J60" s="33"/>
      <c r="K60" s="33"/>
      <c r="L60" s="33"/>
      <c r="M60" s="33"/>
    </row>
    <row r="61" spans="2:13" x14ac:dyDescent="0.3">
      <c r="B61" t="s">
        <v>121</v>
      </c>
      <c r="C61" s="7">
        <v>21263</v>
      </c>
      <c r="D61" s="7">
        <v>20204</v>
      </c>
      <c r="E61" s="7">
        <v>8475</v>
      </c>
      <c r="F61" s="7">
        <v>10796</v>
      </c>
      <c r="G61" s="7">
        <v>16814</v>
      </c>
      <c r="H61" s="7">
        <v>18280</v>
      </c>
      <c r="I61" s="7">
        <v>18362</v>
      </c>
      <c r="J61" s="7">
        <f>+J67*J68</f>
        <v>18336</v>
      </c>
      <c r="K61" s="7">
        <f t="shared" ref="K61:M61" si="62">+K67*K68</f>
        <v>19056</v>
      </c>
      <c r="L61" s="7">
        <f t="shared" si="62"/>
        <v>19776</v>
      </c>
      <c r="M61" s="7">
        <f t="shared" si="62"/>
        <v>20496</v>
      </c>
    </row>
    <row r="62" spans="2:13" x14ac:dyDescent="0.3">
      <c r="B62" t="s">
        <v>122</v>
      </c>
      <c r="C62">
        <v>0</v>
      </c>
      <c r="D62" s="28">
        <f>+(D61/C61)-1</f>
        <v>-4.9804825283356058E-2</v>
      </c>
      <c r="E62" s="28">
        <f>+(E61/D61)-1</f>
        <v>-0.58052860819639673</v>
      </c>
      <c r="F62" s="28">
        <f t="shared" ref="F62:G62" si="63">+(F61/E61)-1</f>
        <v>0.27386430678466067</v>
      </c>
      <c r="G62" s="28">
        <f t="shared" si="63"/>
        <v>0.55742867728788448</v>
      </c>
      <c r="H62" s="28">
        <f>+(H61/G61)-1</f>
        <v>8.718924705602471E-2</v>
      </c>
      <c r="I62" s="28">
        <f t="shared" ref="I62" si="64">+(I61/H61)-1</f>
        <v>4.485776805251751E-3</v>
      </c>
      <c r="J62" s="28">
        <f>+(J61/I61)-1</f>
        <v>-1.4159677595033671E-3</v>
      </c>
      <c r="K62" s="28">
        <f>+(K61/J61)-1</f>
        <v>3.9267015706806241E-2</v>
      </c>
      <c r="L62" s="28">
        <f>+(L61/K61)-1</f>
        <v>3.7783375314861534E-2</v>
      </c>
      <c r="M62" s="28">
        <f>+(M61/L61)-1</f>
        <v>3.6407766990291357E-2</v>
      </c>
    </row>
    <row r="63" spans="2:13" x14ac:dyDescent="0.3">
      <c r="B63" t="s">
        <v>123</v>
      </c>
      <c r="C63" s="7">
        <v>-526644000</v>
      </c>
      <c r="D63" s="7">
        <v>-523918000</v>
      </c>
      <c r="E63" s="7">
        <v>-282106000</v>
      </c>
      <c r="F63" s="7">
        <v>-307364000</v>
      </c>
      <c r="G63" s="7">
        <v>-473397000</v>
      </c>
      <c r="H63" s="7">
        <v>-544741000</v>
      </c>
      <c r="I63" s="7">
        <v>-570278000</v>
      </c>
      <c r="J63" s="7">
        <f>+J65*J61</f>
        <v>-586554619.88018739</v>
      </c>
      <c r="K63" s="7">
        <f t="shared" ref="K63:M63" si="65">+K65*K61</f>
        <v>-624826541.08572042</v>
      </c>
      <c r="L63" s="7">
        <f t="shared" si="65"/>
        <v>-664645461.71410501</v>
      </c>
      <c r="M63" s="7">
        <f t="shared" si="65"/>
        <v>-702620593.19165373</v>
      </c>
    </row>
    <row r="64" spans="2:13" x14ac:dyDescent="0.3">
      <c r="B64" t="s">
        <v>122</v>
      </c>
      <c r="C64">
        <v>0</v>
      </c>
      <c r="D64" s="28">
        <f>+(D63/C63)-1</f>
        <v>-5.1761721390540805E-3</v>
      </c>
      <c r="E64" s="28">
        <f>+(E63/D63)-1</f>
        <v>-0.4615455090300391</v>
      </c>
      <c r="F64" s="28">
        <f t="shared" ref="F64" si="66">+(F63/E63)-1</f>
        <v>8.9533721367145658E-2</v>
      </c>
      <c r="G64" s="28">
        <f t="shared" ref="G64" si="67">+(G63/F63)-1</f>
        <v>0.54018362592886615</v>
      </c>
      <c r="H64" s="28">
        <f>+(H63/G63)-1</f>
        <v>0.15070648947923204</v>
      </c>
      <c r="I64" s="28">
        <f t="shared" ref="I64" si="68">+(I63/H63)-1</f>
        <v>4.6879159086611777E-2</v>
      </c>
      <c r="J64" s="28">
        <f t="shared" ref="J64" si="69">+(J63/I63)-1</f>
        <v>2.8541553207711567E-2</v>
      </c>
      <c r="K64" s="28">
        <f t="shared" ref="K64" si="70">+(K63/J63)-1</f>
        <v>6.5248691099476286E-2</v>
      </c>
      <c r="L64" s="28">
        <f t="shared" ref="L64" si="71">+(L63/K63)-1</f>
        <v>6.3727959697732928E-2</v>
      </c>
      <c r="M64" s="28">
        <f t="shared" ref="M64" si="72">+(M63/L63)-1</f>
        <v>5.7135922330097344E-2</v>
      </c>
    </row>
    <row r="65" spans="2:13" x14ac:dyDescent="0.3">
      <c r="B65" t="s">
        <v>124</v>
      </c>
      <c r="C65" s="7">
        <f>+C63/C61</f>
        <v>-24768.094812585241</v>
      </c>
      <c r="D65" s="7">
        <f t="shared" ref="D65:I65" si="73">+D63/D61</f>
        <v>-25931.399722827162</v>
      </c>
      <c r="E65" s="7">
        <f t="shared" si="73"/>
        <v>-33286.843657817109</v>
      </c>
      <c r="F65" s="7">
        <f t="shared" si="73"/>
        <v>-28470.174138569841</v>
      </c>
      <c r="G65" s="7">
        <f t="shared" si="73"/>
        <v>-28154.930415130249</v>
      </c>
      <c r="H65" s="7">
        <f t="shared" si="73"/>
        <v>-29799.835886214441</v>
      </c>
      <c r="I65" s="7">
        <f t="shared" si="73"/>
        <v>-31057.510075155213</v>
      </c>
      <c r="J65" s="7">
        <f>+I65*(1+J66)</f>
        <v>-31989.23537740987</v>
      </c>
      <c r="K65" s="7">
        <f t="shared" ref="K65:M65" si="74">+J65*(1+K66)</f>
        <v>-32788.966261845111</v>
      </c>
      <c r="L65" s="7">
        <f t="shared" si="74"/>
        <v>-33608.690418391234</v>
      </c>
      <c r="M65" s="7">
        <f t="shared" si="74"/>
        <v>-34280.864226759062</v>
      </c>
    </row>
    <row r="66" spans="2:13" x14ac:dyDescent="0.3">
      <c r="B66" t="s">
        <v>122</v>
      </c>
      <c r="C66">
        <v>0</v>
      </c>
      <c r="D66" s="28">
        <f>+(D65/C65)-1</f>
        <v>4.6967880212200219E-2</v>
      </c>
      <c r="E66" s="28">
        <f>+(E65/D65)-1</f>
        <v>0.28365009269110231</v>
      </c>
      <c r="F66" s="28">
        <f t="shared" ref="F66" si="75">+(F65/E65)-1</f>
        <v>-0.14470189990861804</v>
      </c>
      <c r="G66" s="28">
        <f t="shared" ref="G66" si="76">+(G65/F65)-1</f>
        <v>-1.1072771171164564E-2</v>
      </c>
      <c r="H66" s="28">
        <f>+(H65/G65)-1</f>
        <v>5.842335416322797E-2</v>
      </c>
      <c r="I66" s="28">
        <f t="shared" ref="I66" si="77">+(I65/H65)-1</f>
        <v>4.2204064268775987E-2</v>
      </c>
      <c r="J66" s="35">
        <v>0.03</v>
      </c>
      <c r="K66" s="35">
        <v>2.5000000000000001E-2</v>
      </c>
      <c r="L66" s="35">
        <v>2.5000000000000001E-2</v>
      </c>
      <c r="M66" s="35">
        <v>0.02</v>
      </c>
    </row>
    <row r="67" spans="2:13" x14ac:dyDescent="0.3">
      <c r="B67" t="s">
        <v>125</v>
      </c>
      <c r="D67">
        <v>326</v>
      </c>
      <c r="E67">
        <v>317</v>
      </c>
      <c r="F67">
        <v>316</v>
      </c>
      <c r="G67">
        <v>347</v>
      </c>
      <c r="H67">
        <v>350</v>
      </c>
      <c r="I67">
        <v>362</v>
      </c>
      <c r="J67" s="36">
        <f>+I67+20</f>
        <v>382</v>
      </c>
      <c r="K67" s="36">
        <f>+J67+15</f>
        <v>397</v>
      </c>
      <c r="L67" s="36">
        <f t="shared" ref="L67:M67" si="78">+K67+15</f>
        <v>412</v>
      </c>
      <c r="M67" s="36">
        <f t="shared" si="78"/>
        <v>427</v>
      </c>
    </row>
    <row r="68" spans="2:13" x14ac:dyDescent="0.3">
      <c r="B68" t="s">
        <v>137</v>
      </c>
      <c r="D68">
        <f t="shared" ref="D68:G68" si="79">+D61/D67</f>
        <v>61.975460122699388</v>
      </c>
      <c r="E68">
        <f t="shared" si="79"/>
        <v>26.735015772870664</v>
      </c>
      <c r="F68">
        <f t="shared" si="79"/>
        <v>34.164556962025316</v>
      </c>
      <c r="G68">
        <f t="shared" si="79"/>
        <v>48.455331412103746</v>
      </c>
      <c r="H68">
        <f>+H61/H67</f>
        <v>52.228571428571428</v>
      </c>
      <c r="I68">
        <f>+I61/I67</f>
        <v>50.723756906077348</v>
      </c>
      <c r="J68" s="36">
        <v>48</v>
      </c>
      <c r="K68" s="36">
        <v>48</v>
      </c>
      <c r="L68" s="36">
        <v>48</v>
      </c>
      <c r="M68" s="36">
        <v>48</v>
      </c>
    </row>
    <row r="69" spans="2:13" x14ac:dyDescent="0.3">
      <c r="B69" t="s">
        <v>140</v>
      </c>
      <c r="C69" s="27">
        <f t="shared" ref="C69:I69" si="80">+ABS(C30)/C4</f>
        <v>0.28944355745106498</v>
      </c>
      <c r="D69" s="27">
        <f t="shared" si="80"/>
        <v>0.29276718348534647</v>
      </c>
      <c r="E69" s="27">
        <f t="shared" si="80"/>
        <v>0.53388922743840816</v>
      </c>
      <c r="F69" s="27">
        <f t="shared" si="80"/>
        <v>0.371567973230433</v>
      </c>
      <c r="G69" s="27">
        <f t="shared" si="80"/>
        <v>0.28182184031899532</v>
      </c>
      <c r="H69" s="27">
        <f t="shared" si="80"/>
        <v>0.28242467729952442</v>
      </c>
      <c r="I69" s="27">
        <f t="shared" si="80"/>
        <v>0.28332768610274517</v>
      </c>
      <c r="J69" s="27">
        <f ca="1">IFERROR(ABS(J63)/1000/J4,0)</f>
        <v>0.27991069932632623</v>
      </c>
      <c r="K69" s="27">
        <f ca="1">IFERROR(ABS(K63)/1000/K4,0)</f>
        <v>0.28619746226026543</v>
      </c>
      <c r="L69" s="27">
        <f ca="1">IFERROR(ABS(L63)/1000/L4,0)</f>
        <v>0.2943229642013519</v>
      </c>
      <c r="M69" s="27">
        <f ca="1">IFERROR(ABS(M63)/1000/M4,0)</f>
        <v>0.29986211393754336</v>
      </c>
    </row>
    <row r="71" spans="2:13" x14ac:dyDescent="0.3">
      <c r="B71" s="32" t="s">
        <v>138</v>
      </c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</row>
    <row r="72" spans="2:13" x14ac:dyDescent="0.3">
      <c r="B72" t="s">
        <v>139</v>
      </c>
      <c r="C72" s="27">
        <f t="shared" ref="C72:I72" si="81">ABS(C29)/C4</f>
        <v>0.10485544145248296</v>
      </c>
      <c r="D72" s="27">
        <f t="shared" si="81"/>
        <v>0.11122144374693356</v>
      </c>
      <c r="E72" s="27">
        <f t="shared" si="81"/>
        <v>0.11141412344482757</v>
      </c>
      <c r="F72" s="27">
        <f t="shared" si="81"/>
        <v>0.11072184988539763</v>
      </c>
      <c r="G72" s="27">
        <f t="shared" si="81"/>
        <v>0.10593508412441198</v>
      </c>
      <c r="H72" s="27">
        <f t="shared" si="81"/>
        <v>0.10863121700994556</v>
      </c>
      <c r="I72" s="27">
        <f t="shared" si="81"/>
        <v>0.10055167315352949</v>
      </c>
      <c r="J72" s="35">
        <v>0.105</v>
      </c>
      <c r="K72" s="35">
        <v>0.10299999999999999</v>
      </c>
      <c r="L72" s="35">
        <v>0.10199999999999999</v>
      </c>
      <c r="M72" s="35">
        <v>0.10100000000000001</v>
      </c>
    </row>
    <row r="74" spans="2:13" x14ac:dyDescent="0.3">
      <c r="B74" s="32" t="s">
        <v>141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</row>
    <row r="75" spans="2:13" x14ac:dyDescent="0.3">
      <c r="B75" t="s">
        <v>139</v>
      </c>
      <c r="C75" s="27">
        <f t="shared" ref="C75:I75" si="82">+C27/C4</f>
        <v>4.1167790140725087E-2</v>
      </c>
      <c r="D75" s="27">
        <f t="shared" si="82"/>
        <v>4.3887565342536482E-2</v>
      </c>
      <c r="E75" s="27">
        <f t="shared" si="82"/>
        <v>0.13267079780239066</v>
      </c>
      <c r="F75" s="27">
        <f t="shared" si="82"/>
        <v>7.1571037305722729E-2</v>
      </c>
      <c r="G75" s="27">
        <f t="shared" si="82"/>
        <v>-3.0577156655778957E-3</v>
      </c>
      <c r="H75" s="27">
        <f t="shared" si="82"/>
        <v>4.0698909706950961E-2</v>
      </c>
      <c r="I75" s="27">
        <f t="shared" si="82"/>
        <v>3.5118238503886783E-2</v>
      </c>
      <c r="J75" s="34">
        <v>0.04</v>
      </c>
      <c r="K75" s="34">
        <v>0.04</v>
      </c>
      <c r="L75" s="34">
        <v>0.04</v>
      </c>
      <c r="M75" s="34">
        <v>0.04</v>
      </c>
    </row>
    <row r="77" spans="2:13" x14ac:dyDescent="0.3">
      <c r="B77" s="32" t="s">
        <v>53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</row>
    <row r="78" spans="2:13" x14ac:dyDescent="0.3">
      <c r="B78" t="s">
        <v>139</v>
      </c>
      <c r="C78" s="27">
        <f t="shared" ref="C78:I78" si="83">+ABS(C31)/C4</f>
        <v>0.3254582977238315</v>
      </c>
      <c r="D78" s="27">
        <f t="shared" si="83"/>
        <v>0.32371539469963756</v>
      </c>
      <c r="E78" s="27">
        <f t="shared" si="83"/>
        <v>0.6402143838545945</v>
      </c>
      <c r="F78" s="27">
        <f t="shared" si="83"/>
        <v>0.45043447355441435</v>
      </c>
      <c r="G78" s="27">
        <f t="shared" si="83"/>
        <v>0.35203485707005822</v>
      </c>
      <c r="H78" s="27">
        <f t="shared" si="83"/>
        <v>0.33457313636813751</v>
      </c>
      <c r="I78" s="27">
        <f t="shared" si="83"/>
        <v>0.33243027326302943</v>
      </c>
      <c r="J78" s="34">
        <v>0.33</v>
      </c>
      <c r="K78" s="34">
        <v>0.33</v>
      </c>
      <c r="L78" s="34">
        <v>0.33</v>
      </c>
      <c r="M78" s="34">
        <v>0.33</v>
      </c>
    </row>
    <row r="80" spans="2:13" x14ac:dyDescent="0.3">
      <c r="B80" s="32" t="s">
        <v>56</v>
      </c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</row>
    <row r="81" spans="2:13" x14ac:dyDescent="0.3">
      <c r="B81" t="s">
        <v>139</v>
      </c>
      <c r="C81" s="27">
        <f>ABS(C34)/C4</f>
        <v>1.143992459487608E-2</v>
      </c>
      <c r="D81" s="27">
        <f t="shared" ref="D81:I81" si="84">ABS(D34)/D4</f>
        <v>1.1502410119259831E-2</v>
      </c>
      <c r="E81" s="27">
        <f t="shared" si="84"/>
        <v>1.2566285262245503E-3</v>
      </c>
      <c r="F81" s="27">
        <f t="shared" si="84"/>
        <v>6.4651212270674368E-3</v>
      </c>
      <c r="G81" s="27">
        <f t="shared" si="84"/>
        <v>1.1055653915348136E-2</v>
      </c>
      <c r="H81" s="27">
        <f t="shared" si="84"/>
        <v>2.2210689438672004E-2</v>
      </c>
      <c r="I81" s="27">
        <f t="shared" si="84"/>
        <v>1.9450155158074429E-2</v>
      </c>
      <c r="J81" s="34">
        <v>0.02</v>
      </c>
      <c r="K81" s="34">
        <v>0.02</v>
      </c>
      <c r="L81" s="34">
        <v>0.02</v>
      </c>
      <c r="M81" s="34">
        <v>0.02</v>
      </c>
    </row>
    <row r="83" spans="2:13" x14ac:dyDescent="0.3">
      <c r="B83" s="32" t="s">
        <v>142</v>
      </c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</row>
    <row r="84" spans="2:13" x14ac:dyDescent="0.3">
      <c r="B84" t="s">
        <v>139</v>
      </c>
      <c r="C84" s="27">
        <f>+ABS(C39)/C4</f>
        <v>6.8298795551537367E-2</v>
      </c>
      <c r="D84" s="27">
        <f t="shared" ref="D84:I84" si="85">+ABS(D39)/D4</f>
        <v>7.6954498870658236E-2</v>
      </c>
      <c r="E84" s="27">
        <f t="shared" si="85"/>
        <v>0.42752811327824858</v>
      </c>
      <c r="F84" s="27">
        <f t="shared" si="85"/>
        <v>0.17564385257395962</v>
      </c>
      <c r="G84" s="27">
        <f t="shared" si="85"/>
        <v>8.3185595205069254E-2</v>
      </c>
      <c r="H84" s="27">
        <f t="shared" si="85"/>
        <v>7.4862570062956213E-2</v>
      </c>
      <c r="I84" s="27">
        <f t="shared" si="85"/>
        <v>6.9336233459493454E-2</v>
      </c>
      <c r="J84" s="34"/>
      <c r="K84" s="34"/>
      <c r="L84" s="34"/>
      <c r="M84" s="34"/>
    </row>
    <row r="85" spans="2:13" x14ac:dyDescent="0.3">
      <c r="B85" t="s">
        <v>143</v>
      </c>
      <c r="C85" s="27">
        <f>+ABS('Income Statement'!C18)/Balance!C7</f>
        <v>0.11678084444569742</v>
      </c>
      <c r="D85" s="27">
        <f>+ABS('Income Statement'!D18)/Balance!D7</f>
        <v>0.11005989986054002</v>
      </c>
      <c r="E85" s="27">
        <f>+ABS('Income Statement'!E18)/Balance!E7</f>
        <v>0.19032907075299221</v>
      </c>
      <c r="F85" s="27">
        <f>+ABS('Income Statement'!F18)/Balance!F7</f>
        <v>0.10166818277237422</v>
      </c>
      <c r="G85" s="27">
        <f>+ABS('Income Statement'!G18)/Balance!G7</f>
        <v>0.10193413850844268</v>
      </c>
      <c r="H85" s="27">
        <f>+ABS('Income Statement'!H18)/Balance!H7</f>
        <v>0.10494936235966898</v>
      </c>
      <c r="I85" s="27">
        <f>+ABS('Income Statement'!I18)/Balance!I7</f>
        <v>9.1944882745716813E-2</v>
      </c>
      <c r="J85" s="35">
        <v>9.1944882745716813E-2</v>
      </c>
      <c r="K85" s="35">
        <v>9.1944882745716813E-2</v>
      </c>
      <c r="L85" s="35">
        <v>9.1944882745716813E-2</v>
      </c>
      <c r="M85" s="35">
        <v>9.1944882745716813E-2</v>
      </c>
    </row>
    <row r="87" spans="2:13" x14ac:dyDescent="0.3">
      <c r="B87" s="32" t="s">
        <v>147</v>
      </c>
      <c r="C87" s="29"/>
      <c r="D87" s="29"/>
      <c r="E87" s="29"/>
      <c r="F87" s="29"/>
      <c r="G87" s="29"/>
      <c r="H87" s="29"/>
      <c r="I87" s="29"/>
      <c r="J87" s="33">
        <f ca="1">-$J$4*J88</f>
        <v>-83820.25</v>
      </c>
      <c r="K87" s="33">
        <f t="shared" ref="K87:M87" ca="1" si="86">-K4*K88</f>
        <v>-87328.033750000017</v>
      </c>
      <c r="L87" s="33">
        <f t="shared" ca="1" si="86"/>
        <v>-90328.726270833358</v>
      </c>
      <c r="M87" s="33">
        <f t="shared" ca="1" si="86"/>
        <v>-93725.824041645843</v>
      </c>
    </row>
    <row r="88" spans="2:13" x14ac:dyDescent="0.3">
      <c r="B88" t="s">
        <v>195</v>
      </c>
      <c r="C88" s="27">
        <f>+SUM(ABS('Cash Flow Statement'!C23))/'Income Statement'!C4</f>
        <v>0.12646681377627431</v>
      </c>
      <c r="D88" s="27">
        <f>+SUM(ABS('Cash Flow Statement'!D23))/'Income Statement'!D4</f>
        <v>6.0331772781578259E-2</v>
      </c>
      <c r="E88" s="27">
        <f>+SUM(ABS('Cash Flow Statement'!E23))/'Income Statement'!E4</f>
        <v>9.8017025045514933E-2</v>
      </c>
      <c r="F88" s="27">
        <f>+SUM(ABS('Cash Flow Statement'!F23))/'Income Statement'!F4</f>
        <v>9.4867312695235059E-2</v>
      </c>
      <c r="G88" s="27">
        <f>+SUM(ABS('Cash Flow Statement'!G23))/'Income Statement'!G4</f>
        <v>6.6794699763182433E-2</v>
      </c>
      <c r="H88" s="27">
        <f>+SUM(ABS('Cash Flow Statement'!H23))/'Income Statement'!H4</f>
        <v>6.3370456568614383E-2</v>
      </c>
      <c r="I88" s="27">
        <f>+SUM(ABS('Cash Flow Statement'!I23))/'Income Statement'!I4</f>
        <v>3.9355897745711667E-2</v>
      </c>
      <c r="J88" s="35">
        <v>0.04</v>
      </c>
      <c r="K88" s="35">
        <v>0.04</v>
      </c>
      <c r="L88" s="35">
        <v>0.04</v>
      </c>
      <c r="M88" s="35">
        <v>0.04</v>
      </c>
    </row>
    <row r="89" spans="2:13" x14ac:dyDescent="0.3">
      <c r="B89" t="s">
        <v>163</v>
      </c>
      <c r="C89" s="27">
        <f>+ABS(SUM('Cash Flow Statement'!C20:C25)/'Income Statement'!C4)</f>
        <v>0.19179392197328393</v>
      </c>
      <c r="D89" s="27">
        <f>+ABS(SUM('Cash Flow Statement'!D20:D25)/'Income Statement'!D4)</f>
        <v>9.2116512753571037E-2</v>
      </c>
      <c r="E89" s="27">
        <f>+ABS(SUM('Cash Flow Statement'!E20:E25)/'Income Statement'!E4)</f>
        <v>0.15841657235644344</v>
      </c>
      <c r="F89" s="27">
        <f>+ABS(SUM('Cash Flow Statement'!F20:F25)/'Income Statement'!F4)</f>
        <v>0.12253508186574598</v>
      </c>
      <c r="G89" s="27">
        <f>+ABS(SUM('Cash Flow Statement'!G20:G25)/'Income Statement'!G4)</f>
        <v>8.0776937849972669E-2</v>
      </c>
      <c r="H89" s="27">
        <f>+ABS(SUM('Cash Flow Statement'!H20:H25)/'Income Statement'!H4)</f>
        <v>9.3206608665175925E-2</v>
      </c>
      <c r="I89" s="27">
        <f>+ABS(SUM('Cash Flow Statement'!I20:I25)/'Income Statement'!I4)</f>
        <v>6.562545645687122E-2</v>
      </c>
      <c r="J89" s="35">
        <v>0.06</v>
      </c>
      <c r="K89" s="35">
        <v>0.06</v>
      </c>
      <c r="L89" s="35">
        <v>0.06</v>
      </c>
      <c r="M89" s="35">
        <v>0.06</v>
      </c>
    </row>
    <row r="90" spans="2:13" x14ac:dyDescent="0.3">
      <c r="C90" s="27"/>
      <c r="D90" s="27"/>
      <c r="E90" s="27"/>
      <c r="F90" s="27"/>
      <c r="G90" s="27"/>
      <c r="H90" s="27"/>
      <c r="I90" s="27"/>
      <c r="J90" s="33">
        <f ca="1">-J$4*J89</f>
        <v>-125730.375</v>
      </c>
      <c r="K90" s="33">
        <f t="shared" ref="K90:M90" ca="1" si="87">-K$4*K89</f>
        <v>-130992.05062500002</v>
      </c>
      <c r="L90" s="33">
        <f t="shared" ca="1" si="87"/>
        <v>-135493.08940625002</v>
      </c>
      <c r="M90" s="33">
        <f t="shared" ca="1" si="87"/>
        <v>-140588.73606246876</v>
      </c>
    </row>
    <row r="91" spans="2:13" x14ac:dyDescent="0.3">
      <c r="B91" s="32" t="s">
        <v>148</v>
      </c>
      <c r="C91" s="29"/>
      <c r="D91" s="29"/>
      <c r="E91" s="29"/>
      <c r="F91" s="29"/>
      <c r="G91" s="29"/>
      <c r="H91" s="29"/>
      <c r="I91" s="29"/>
      <c r="J91" s="33"/>
      <c r="K91" s="33"/>
      <c r="L91" s="33"/>
      <c r="M91" s="33"/>
    </row>
    <row r="92" spans="2:13" x14ac:dyDescent="0.3">
      <c r="B92" t="s">
        <v>149</v>
      </c>
      <c r="C92" s="18">
        <f>+ABS('Income Statement'!C28/'Income Statement'!C29)</f>
        <v>2.7253819120705732E-2</v>
      </c>
      <c r="D92" s="18">
        <f>+ABS('Income Statement'!D28/'Income Statement'!D29)</f>
        <v>4.0323199754337478E-2</v>
      </c>
      <c r="E92" s="18">
        <f>+ABS('Income Statement'!E28/'Income Statement'!E29)</f>
        <v>4.7996974860305741E-2</v>
      </c>
      <c r="F92" s="18">
        <f>+ABS('Income Statement'!F28/'Income Statement'!F29)</f>
        <v>4.2310859235202926E-2</v>
      </c>
      <c r="G92" s="18">
        <f>+ABS('Income Statement'!G28/'Income Statement'!G29)</f>
        <v>0.10484799631506218</v>
      </c>
      <c r="H92" s="18">
        <f>+ABS('Income Statement'!H28/'Income Statement'!H29)</f>
        <v>8.6500532424305332E-2</v>
      </c>
      <c r="I92" s="18">
        <f>+ABS('Income Statement'!I28/'Income Statement'!I29)</f>
        <v>4.8925248636509461E-2</v>
      </c>
      <c r="J92" s="35"/>
      <c r="K92" s="35"/>
      <c r="L92" s="35"/>
      <c r="M92" s="35"/>
    </row>
    <row r="93" spans="2:13" x14ac:dyDescent="0.3">
      <c r="B93" t="s">
        <v>140</v>
      </c>
      <c r="C93" s="18">
        <f>+ABS('Income Statement'!C28)/'Income Statement'!C4</f>
        <v>2.9238721520413518E-3</v>
      </c>
      <c r="D93" s="18">
        <f>+ABS('Income Statement'!D28)/'Income Statement'!D4</f>
        <v>3.5221381160947685E-3</v>
      </c>
      <c r="E93" s="18">
        <f>+ABS('Income Statement'!E28)/'Income Statement'!E4</f>
        <v>6.0293566591849326E-2</v>
      </c>
      <c r="F93" s="18">
        <f>+ABS('Income Statement'!F28)/'Income Statement'!F4</f>
        <v>1.1119331534511272E-2</v>
      </c>
      <c r="G93" s="18">
        <f>+ABS('Income Statement'!G28)/'Income Statement'!G4</f>
        <v>9.7566696472263532E-3</v>
      </c>
      <c r="H93" s="18">
        <f>+ABS('Income Statement'!H28)/'Income Statement'!H4</f>
        <v>6.6963880669908401E-3</v>
      </c>
      <c r="I93" s="18">
        <f>+ABS('Income Statement'!I28)/'Income Statement'!I4</f>
        <v>5.4551253834237718E-3</v>
      </c>
    </row>
  </sheetData>
  <pageMargins left="0.7" right="0.7" top="0.75" bottom="0.75" header="0.3" footer="0.3"/>
  <ignoredErrors>
    <ignoredError sqref="J63 K63:M63" formula="1"/>
  </ignoredErrors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8BBB-2093-43E0-9DF8-F85E0B3C2615}">
  <sheetPr>
    <tabColor theme="8" tint="0.59999389629810485"/>
  </sheetPr>
  <dimension ref="B2:J36"/>
  <sheetViews>
    <sheetView showGridLines="0" workbookViewId="0">
      <selection activeCell="C16" sqref="C16"/>
    </sheetView>
  </sheetViews>
  <sheetFormatPr defaultRowHeight="14.4" x14ac:dyDescent="0.3"/>
  <cols>
    <col min="1" max="1" width="3.33203125" customWidth="1"/>
    <col min="2" max="2" width="33.77734375" customWidth="1"/>
    <col min="3" max="3" width="10.109375" bestFit="1" customWidth="1"/>
    <col min="4" max="4" width="8.88671875" bestFit="1" customWidth="1"/>
    <col min="5" max="5" width="30.109375" bestFit="1" customWidth="1"/>
    <col min="6" max="6" width="12.44140625" bestFit="1" customWidth="1"/>
    <col min="7" max="7" width="8.88671875" bestFit="1" customWidth="1"/>
    <col min="8" max="8" width="14" bestFit="1" customWidth="1"/>
    <col min="10" max="10" width="13.77734375" bestFit="1" customWidth="1"/>
  </cols>
  <sheetData>
    <row r="2" spans="2:10" x14ac:dyDescent="0.3">
      <c r="C2" s="49">
        <v>2024</v>
      </c>
      <c r="D2" s="26" t="s">
        <v>115</v>
      </c>
      <c r="E2" s="26" t="s">
        <v>116</v>
      </c>
      <c r="F2" s="26" t="s">
        <v>117</v>
      </c>
      <c r="G2" s="26" t="s">
        <v>118</v>
      </c>
      <c r="H2" s="51" t="s">
        <v>185</v>
      </c>
    </row>
    <row r="3" spans="2:10" x14ac:dyDescent="0.3">
      <c r="B3" s="2" t="s">
        <v>86</v>
      </c>
      <c r="C3" s="69">
        <f>+'Cash Flow Statement'!I16</f>
        <v>417427</v>
      </c>
      <c r="D3" s="69">
        <f ca="1">+'Cash Flow Statement'!J16</f>
        <v>532071.38246572774</v>
      </c>
      <c r="E3" s="69">
        <f ca="1">+'Cash Flow Statement'!K16</f>
        <v>542858.22278972913</v>
      </c>
      <c r="F3" s="69">
        <f ca="1">+'Cash Flow Statement'!L16</f>
        <v>542945.14957570296</v>
      </c>
      <c r="G3" s="69">
        <f ca="1">+'Cash Flow Statement'!M16</f>
        <v>551893.34059489716</v>
      </c>
    </row>
    <row r="4" spans="2:10" x14ac:dyDescent="0.3">
      <c r="B4" s="2" t="s">
        <v>96</v>
      </c>
      <c r="C4" s="94">
        <f>+'Cash Flow Statement'!I32</f>
        <v>-66899</v>
      </c>
      <c r="D4" s="94">
        <f ca="1">+'Cash Flow Statement'!J32</f>
        <v>-34246.149999999994</v>
      </c>
      <c r="E4" s="94">
        <f ca="1">+'Cash Flow Statement'!K32</f>
        <v>-38473.567750000017</v>
      </c>
      <c r="F4" s="94">
        <f ca="1">+'Cash Flow Statement'!L32</f>
        <v>-42237.072310833362</v>
      </c>
      <c r="G4" s="94">
        <f ca="1">+'Cash Flow Statement'!M32</f>
        <v>-46442.750844045848</v>
      </c>
      <c r="H4" s="29"/>
    </row>
    <row r="5" spans="2:10" ht="9" customHeight="1" x14ac:dyDescent="0.3"/>
    <row r="6" spans="2:10" x14ac:dyDescent="0.3">
      <c r="B6" s="2" t="s">
        <v>170</v>
      </c>
      <c r="C6" s="96">
        <f>+C3+C4</f>
        <v>350528</v>
      </c>
      <c r="D6" s="96">
        <f t="shared" ref="D6:G6" ca="1" si="0">+D3+D4</f>
        <v>497825.23246572772</v>
      </c>
      <c r="E6" s="96">
        <f t="shared" ca="1" si="0"/>
        <v>504384.65503972908</v>
      </c>
      <c r="F6" s="96">
        <f t="shared" ca="1" si="0"/>
        <v>500708.07726486959</v>
      </c>
      <c r="G6" s="96">
        <f t="shared" ca="1" si="0"/>
        <v>505450.58975085133</v>
      </c>
      <c r="H6" s="96">
        <f ca="1">+G6*(1+C36)/(C16-C36)</f>
        <v>11782687.521477437</v>
      </c>
    </row>
    <row r="7" spans="2:10" ht="9" customHeight="1" x14ac:dyDescent="0.3"/>
    <row r="8" spans="2:10" x14ac:dyDescent="0.3">
      <c r="B8" s="2" t="s">
        <v>171</v>
      </c>
      <c r="C8" s="96">
        <f>+(C6/(1+$C$16)^0)</f>
        <v>350528</v>
      </c>
      <c r="D8" s="96">
        <f ca="1">+(D6/(1+$C$16)^1)</f>
        <v>470293.67650290061</v>
      </c>
      <c r="E8" s="96">
        <f ca="1">+(E6/(1+$C$16)^2)</f>
        <v>450138.6806889794</v>
      </c>
      <c r="F8" s="96">
        <f ca="1">+(F6/(1+$C$16)^3)</f>
        <v>422144.65974955645</v>
      </c>
      <c r="G8" s="96">
        <f ca="1">(G6/(1+$C$16)^4)</f>
        <v>402575.7809257257</v>
      </c>
      <c r="H8" s="96">
        <f ca="1">(H6/(1+$C$16)^5)</f>
        <v>8865546.8840804193</v>
      </c>
      <c r="J8" s="68"/>
    </row>
    <row r="9" spans="2:10" x14ac:dyDescent="0.3">
      <c r="D9" s="58"/>
      <c r="E9" s="58"/>
      <c r="F9" s="58"/>
      <c r="G9" s="58"/>
      <c r="H9" s="58"/>
    </row>
    <row r="10" spans="2:10" ht="9" customHeight="1" x14ac:dyDescent="0.3"/>
    <row r="11" spans="2:10" x14ac:dyDescent="0.3">
      <c r="B11" s="70" t="s">
        <v>191</v>
      </c>
      <c r="C11" s="97">
        <f ca="1">+SUM(C8:H8)</f>
        <v>10961227.681947581</v>
      </c>
      <c r="D11" s="68"/>
    </row>
    <row r="12" spans="2:10" x14ac:dyDescent="0.3">
      <c r="B12" s="71" t="s">
        <v>187</v>
      </c>
      <c r="C12" s="95">
        <f ca="1">+C11-F27</f>
        <v>8724627.6819475815</v>
      </c>
      <c r="D12" s="68"/>
    </row>
    <row r="13" spans="2:10" x14ac:dyDescent="0.3">
      <c r="B13" s="71" t="s">
        <v>190</v>
      </c>
      <c r="C13" s="98">
        <f ca="1">+(C12*1000)/F32</f>
        <v>39.585425054208628</v>
      </c>
    </row>
    <row r="14" spans="2:10" x14ac:dyDescent="0.3">
      <c r="B14" s="72" t="s">
        <v>198</v>
      </c>
      <c r="C14" s="99">
        <f ca="1">+C12/'Income Statement'!I32</f>
        <v>53.84209972752317</v>
      </c>
      <c r="E14" t="s">
        <v>199</v>
      </c>
      <c r="F14" s="48">
        <f ca="1">+$C$12/'Income Statement'!J32</f>
        <v>43.680658479119529</v>
      </c>
      <c r="G14" s="48">
        <f ca="1">+$C$12/'Income Statement'!K32</f>
        <v>38.560829712215558</v>
      </c>
      <c r="H14" s="48">
        <f ca="1">+$C$12/'Income Statement'!L32</f>
        <v>35.852518933216388</v>
      </c>
      <c r="I14" s="48">
        <f ca="1">+$C$12/'Income Statement'!M32</f>
        <v>32.979853827871906</v>
      </c>
    </row>
    <row r="15" spans="2:10" ht="9" customHeight="1" x14ac:dyDescent="0.3"/>
    <row r="16" spans="2:10" x14ac:dyDescent="0.3">
      <c r="B16" s="32" t="s">
        <v>172</v>
      </c>
      <c r="C16" s="67">
        <f>+(C22*(1-C27)*C24)+(C18*C20)</f>
        <v>5.8541199549080859E-2</v>
      </c>
    </row>
    <row r="17" spans="2:6" ht="9" customHeight="1" x14ac:dyDescent="0.3">
      <c r="B17" s="70"/>
      <c r="C17" s="73"/>
    </row>
    <row r="18" spans="2:6" x14ac:dyDescent="0.3">
      <c r="B18" s="71" t="s">
        <v>173</v>
      </c>
      <c r="C18" s="74">
        <f>+C32+C30*C34</f>
        <v>0.130298</v>
      </c>
      <c r="D18" s="18"/>
    </row>
    <row r="19" spans="2:6" ht="9" customHeight="1" x14ac:dyDescent="0.3">
      <c r="B19" s="71"/>
      <c r="C19" s="75"/>
    </row>
    <row r="20" spans="2:6" x14ac:dyDescent="0.3">
      <c r="B20" s="71" t="s">
        <v>178</v>
      </c>
      <c r="C20" s="76">
        <f>+F28/F29</f>
        <v>0.25316518252474646</v>
      </c>
    </row>
    <row r="21" spans="2:6" ht="9" customHeight="1" x14ac:dyDescent="0.3">
      <c r="B21" s="71"/>
      <c r="C21" s="75"/>
    </row>
    <row r="22" spans="2:6" x14ac:dyDescent="0.3">
      <c r="B22" s="71" t="s">
        <v>174</v>
      </c>
      <c r="C22" s="74">
        <v>4.5622373245104174E-2</v>
      </c>
      <c r="D22" s="18"/>
    </row>
    <row r="23" spans="2:6" ht="9" customHeight="1" x14ac:dyDescent="0.3">
      <c r="B23" s="71"/>
      <c r="C23" s="75"/>
    </row>
    <row r="24" spans="2:6" x14ac:dyDescent="0.3">
      <c r="B24" s="72" t="s">
        <v>175</v>
      </c>
      <c r="C24" s="77">
        <f>+F27/F29</f>
        <v>0.74683481747525349</v>
      </c>
    </row>
    <row r="25" spans="2:6" ht="9" customHeight="1" x14ac:dyDescent="0.3"/>
    <row r="26" spans="2:6" x14ac:dyDescent="0.3">
      <c r="B26" t="s">
        <v>181</v>
      </c>
      <c r="C26">
        <v>1.02</v>
      </c>
      <c r="E26" t="s">
        <v>182</v>
      </c>
      <c r="F26" s="1">
        <v>1321000</v>
      </c>
    </row>
    <row r="27" spans="2:6" x14ac:dyDescent="0.3">
      <c r="B27" t="s">
        <v>180</v>
      </c>
      <c r="C27" s="44">
        <v>0.25</v>
      </c>
      <c r="E27" t="s">
        <v>150</v>
      </c>
      <c r="F27" s="45">
        <v>2236600</v>
      </c>
    </row>
    <row r="28" spans="2:6" x14ac:dyDescent="0.3">
      <c r="B28" s="29" t="s">
        <v>179</v>
      </c>
      <c r="C28" s="65">
        <f>+F27/F26</f>
        <v>1.6931112793338381</v>
      </c>
      <c r="E28" s="29" t="s">
        <v>176</v>
      </c>
      <c r="F28" s="33">
        <f>+Balance!I32</f>
        <v>758172</v>
      </c>
    </row>
    <row r="29" spans="2:6" x14ac:dyDescent="0.3">
      <c r="B29" t="s">
        <v>188</v>
      </c>
      <c r="C29" s="48">
        <f>+C26*(1+(1-0.25) * C28)</f>
        <v>2.315230128690386</v>
      </c>
      <c r="E29" s="54" t="s">
        <v>177</v>
      </c>
      <c r="F29" s="64">
        <f>+F27+F28</f>
        <v>2994772</v>
      </c>
    </row>
    <row r="30" spans="2:6" x14ac:dyDescent="0.3">
      <c r="B30" t="s">
        <v>189</v>
      </c>
      <c r="C30" s="48">
        <v>1.63</v>
      </c>
    </row>
    <row r="31" spans="2:6" ht="9" customHeight="1" x14ac:dyDescent="0.3"/>
    <row r="32" spans="2:6" x14ac:dyDescent="0.3">
      <c r="B32" t="s">
        <v>183</v>
      </c>
      <c r="C32" s="66">
        <v>2.5000000000000001E-2</v>
      </c>
      <c r="E32" s="32" t="s">
        <v>192</v>
      </c>
      <c r="F32" s="33">
        <v>220400000</v>
      </c>
    </row>
    <row r="33" spans="2:3" ht="9" customHeight="1" x14ac:dyDescent="0.3"/>
    <row r="34" spans="2:3" x14ac:dyDescent="0.3">
      <c r="B34" t="s">
        <v>184</v>
      </c>
      <c r="C34" s="66">
        <v>6.4600000000000005E-2</v>
      </c>
    </row>
    <row r="35" spans="2:3" ht="9" customHeight="1" x14ac:dyDescent="0.3"/>
    <row r="36" spans="2:3" x14ac:dyDescent="0.3">
      <c r="B36" t="s">
        <v>186</v>
      </c>
      <c r="C36" s="78">
        <v>1.4999999999999999E-2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3BA7-2554-4081-8380-675D80BEBA71}">
  <dimension ref="A1"/>
  <sheetViews>
    <sheetView showGridLines="0" workbookViewId="0">
      <selection activeCell="O36" sqref="O36"/>
    </sheetView>
  </sheetViews>
  <sheetFormatPr defaultRowHeight="14.4" x14ac:dyDescent="0.3"/>
  <sheetData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 Statement</vt:lpstr>
      <vt:lpstr>Balance</vt:lpstr>
      <vt:lpstr>Cash Flow Statement</vt:lpstr>
      <vt:lpstr>Ratios &amp; KPI's</vt:lpstr>
      <vt:lpstr>Projections</vt:lpstr>
      <vt:lpstr>DCF</vt:lpstr>
      <vt:lpstr>Graphics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Requena Gonzalez</dc:creator>
  <cp:lastModifiedBy>Asier Requena Gonzalez</cp:lastModifiedBy>
  <dcterms:created xsi:type="dcterms:W3CDTF">2025-06-16T16:58:41Z</dcterms:created>
  <dcterms:modified xsi:type="dcterms:W3CDTF">2025-06-29T18:40:30Z</dcterms:modified>
</cp:coreProperties>
</file>