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mgov-my.sharepoint.com/personal/asif_rasool_tax_nm_gov/Documents/Documents/Project Oil Price/"/>
    </mc:Choice>
  </mc:AlternateContent>
  <xr:revisionPtr revIDLastSave="0" documentId="8_{A7FA978C-88F6-4898-B99A-A8889145B0C7}" xr6:coauthVersionLast="47" xr6:coauthVersionMax="47" xr10:uidLastSave="{00000000-0000-0000-0000-000000000000}"/>
  <bookViews>
    <workbookView xWindow="28680" yWindow="-135" windowWidth="29040" windowHeight="15720" tabRatio="828" activeTab="11" xr2:uid="{00000000-000D-0000-FFFF-FFFF00000000}"/>
  </bookViews>
  <sheets>
    <sheet name="Dec 12" sheetId="1" r:id="rId1"/>
    <sheet name="Jan 13" sheetId="4" r:id="rId2"/>
    <sheet name="Aug 13" sheetId="3" r:id="rId3"/>
    <sheet name="Dec 13" sheetId="5" r:id="rId4"/>
    <sheet name="Jul 14" sheetId="7" r:id="rId5"/>
    <sheet name="Dec 14" sheetId="6" r:id="rId6"/>
    <sheet name="Jan 15" sheetId="8" r:id="rId7"/>
    <sheet name="Aug15" sheetId="10" r:id="rId8"/>
    <sheet name="Dec15" sheetId="11" r:id="rId9"/>
    <sheet name="Jan16" sheetId="12" r:id="rId10"/>
    <sheet name="Aug16 Oil" sheetId="13" r:id="rId11"/>
    <sheet name="Aug16 NG" sheetId="14" r:id="rId12"/>
    <sheet name="Dec16" sheetId="15" r:id="rId13"/>
    <sheet name="Aug17" sheetId="16" r:id="rId14"/>
    <sheet name="Dec17" sheetId="17" r:id="rId15"/>
    <sheet name="Aug18" sheetId="18" r:id="rId16"/>
    <sheet name="Dec18" sheetId="19" r:id="rId17"/>
  </sheets>
  <definedNames>
    <definedName name="_xlnm.Print_Area" localSheetId="7">'Aug15'!$A$1:$L$62</definedName>
    <definedName name="_xlnm.Print_Area" localSheetId="13">'Aug17'!$A$1:$N$63</definedName>
    <definedName name="_xlnm.Print_Area" localSheetId="15">'Aug18'!$A$1:$N$63</definedName>
    <definedName name="_xlnm.Print_Area" localSheetId="8">'Dec15'!$A$1:$L$62</definedName>
    <definedName name="_xlnm.Print_Area" localSheetId="12">'Dec16'!$A$1:$L$62</definedName>
    <definedName name="_xlnm.Print_Area" localSheetId="14">'Dec17'!$A$1:$N$63</definedName>
    <definedName name="_xlnm.Print_Area" localSheetId="16">'Dec18'!$A$1:$O$63</definedName>
    <definedName name="_xlnm.Print_Area" localSheetId="9">'Jan16'!$A$1:$L$62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9" l="1"/>
  <c r="L50" i="19" s="1"/>
  <c r="K49" i="19"/>
  <c r="L49" i="19" s="1"/>
  <c r="K19" i="19"/>
  <c r="L19" i="19" s="1"/>
  <c r="K18" i="19"/>
  <c r="L18" i="19" s="1"/>
  <c r="K20" i="19"/>
  <c r="L20" i="19" s="1"/>
  <c r="M49" i="19" l="1"/>
  <c r="N49" i="19" s="1"/>
  <c r="O49" i="19" s="1"/>
  <c r="M50" i="19"/>
  <c r="N50" i="19" s="1"/>
  <c r="O50" i="19" s="1"/>
  <c r="M18" i="19"/>
  <c r="N18" i="19" s="1"/>
  <c r="O18" i="19" s="1"/>
  <c r="M20" i="19" l="1"/>
  <c r="N20" i="19" s="1"/>
  <c r="O20" i="19" s="1"/>
  <c r="J52" i="19" l="1"/>
  <c r="J37" i="19"/>
  <c r="E53" i="19"/>
  <c r="F53" i="19"/>
  <c r="G53" i="19"/>
  <c r="G60" i="19" s="1"/>
  <c r="H53" i="19"/>
  <c r="J53" i="19"/>
  <c r="D53" i="19"/>
  <c r="E60" i="19" s="1"/>
  <c r="E38" i="19"/>
  <c r="F38" i="19"/>
  <c r="G38" i="19"/>
  <c r="G45" i="19" s="1"/>
  <c r="H38" i="19"/>
  <c r="J38" i="19"/>
  <c r="L38" i="19"/>
  <c r="M38" i="19"/>
  <c r="N38" i="19"/>
  <c r="O38" i="19"/>
  <c r="D38" i="19"/>
  <c r="E22" i="19"/>
  <c r="F22" i="19"/>
  <c r="G22" i="19"/>
  <c r="G29" i="19" s="1"/>
  <c r="H22" i="19"/>
  <c r="I22" i="19"/>
  <c r="K22" i="19"/>
  <c r="L22" i="19"/>
  <c r="M22" i="19"/>
  <c r="N22" i="19"/>
  <c r="O22" i="19"/>
  <c r="O29" i="19" s="1"/>
  <c r="D22" i="19"/>
  <c r="E29" i="19" s="1"/>
  <c r="E7" i="19"/>
  <c r="F7" i="19"/>
  <c r="G7" i="19"/>
  <c r="G14" i="19" s="1"/>
  <c r="H7" i="19"/>
  <c r="K7" i="19"/>
  <c r="L7" i="19"/>
  <c r="M7" i="19"/>
  <c r="N7" i="19"/>
  <c r="O7" i="19"/>
  <c r="D7" i="19"/>
  <c r="I52" i="19"/>
  <c r="M37" i="19"/>
  <c r="J62" i="19"/>
  <c r="I62" i="19"/>
  <c r="H62" i="19"/>
  <c r="G62" i="19"/>
  <c r="F62" i="19"/>
  <c r="E62" i="19"/>
  <c r="M61" i="19"/>
  <c r="L61" i="19"/>
  <c r="K61" i="19"/>
  <c r="J61" i="19"/>
  <c r="I61" i="19"/>
  <c r="H61" i="19"/>
  <c r="G61" i="19"/>
  <c r="F61" i="19"/>
  <c r="E61" i="19"/>
  <c r="F60" i="19"/>
  <c r="H59" i="19"/>
  <c r="G59" i="19"/>
  <c r="F59" i="19"/>
  <c r="E59" i="19"/>
  <c r="B49" i="19"/>
  <c r="B59" i="19" s="1"/>
  <c r="J47" i="19"/>
  <c r="I47" i="19"/>
  <c r="H47" i="19"/>
  <c r="G47" i="19"/>
  <c r="F47" i="19"/>
  <c r="E47" i="19"/>
  <c r="M46" i="19"/>
  <c r="L46" i="19"/>
  <c r="K46" i="19"/>
  <c r="J46" i="19"/>
  <c r="I46" i="19"/>
  <c r="H46" i="19"/>
  <c r="G46" i="19"/>
  <c r="F46" i="19"/>
  <c r="E46" i="19"/>
  <c r="F45" i="19"/>
  <c r="E45" i="19"/>
  <c r="H44" i="19"/>
  <c r="G44" i="19"/>
  <c r="F44" i="19"/>
  <c r="E44" i="19"/>
  <c r="B38" i="19"/>
  <c r="B53" i="19" s="1"/>
  <c r="I37" i="19"/>
  <c r="I44" i="19" s="1"/>
  <c r="B33" i="19"/>
  <c r="J31" i="19"/>
  <c r="I31" i="19"/>
  <c r="H31" i="19"/>
  <c r="G31" i="19"/>
  <c r="F31" i="19"/>
  <c r="E31" i="19"/>
  <c r="O30" i="19"/>
  <c r="N30" i="19"/>
  <c r="M30" i="19"/>
  <c r="L30" i="19"/>
  <c r="K30" i="19"/>
  <c r="J30" i="19"/>
  <c r="I30" i="19"/>
  <c r="H30" i="19"/>
  <c r="G30" i="19"/>
  <c r="F30" i="19"/>
  <c r="E30" i="19"/>
  <c r="N29" i="19"/>
  <c r="F29" i="19"/>
  <c r="B29" i="19"/>
  <c r="B45" i="19" s="1"/>
  <c r="B60" i="19" s="1"/>
  <c r="I28" i="19"/>
  <c r="H28" i="19"/>
  <c r="G28" i="19"/>
  <c r="F28" i="19"/>
  <c r="E28" i="19"/>
  <c r="B22" i="19"/>
  <c r="J21" i="19"/>
  <c r="J28" i="19" s="1"/>
  <c r="B18" i="19"/>
  <c r="B28" i="19" s="1"/>
  <c r="J16" i="19"/>
  <c r="I16" i="19"/>
  <c r="H16" i="19"/>
  <c r="G16" i="19"/>
  <c r="F16" i="19"/>
  <c r="E16" i="19"/>
  <c r="J15" i="19"/>
  <c r="I15" i="19"/>
  <c r="H15" i="19"/>
  <c r="G15" i="19"/>
  <c r="F15" i="19"/>
  <c r="E15" i="19"/>
  <c r="F14" i="19"/>
  <c r="E14" i="19"/>
  <c r="H13" i="19"/>
  <c r="G13" i="19"/>
  <c r="F13" i="19"/>
  <c r="E13" i="19"/>
  <c r="I6" i="19"/>
  <c r="I13" i="19" s="1"/>
  <c r="I29" i="19" l="1"/>
  <c r="M29" i="19"/>
  <c r="K51" i="19"/>
  <c r="L51" i="19" s="1"/>
  <c r="M51" i="19" s="1"/>
  <c r="N51" i="19" s="1"/>
  <c r="O51" i="19" s="1"/>
  <c r="M19" i="19"/>
  <c r="N19" i="19" s="1"/>
  <c r="O19" i="19" s="1"/>
  <c r="K59" i="19"/>
  <c r="L44" i="19"/>
  <c r="M13" i="19"/>
  <c r="L13" i="19"/>
  <c r="K13" i="19"/>
  <c r="J13" i="19"/>
  <c r="H60" i="19"/>
  <c r="H45" i="19"/>
  <c r="H29" i="19"/>
  <c r="L29" i="19"/>
  <c r="H14" i="19"/>
  <c r="J59" i="19"/>
  <c r="J44" i="19"/>
  <c r="M44" i="19"/>
  <c r="L28" i="19"/>
  <c r="K28" i="19"/>
  <c r="K44" i="19"/>
  <c r="I59" i="19"/>
  <c r="L19" i="18"/>
  <c r="M28" i="19" l="1"/>
  <c r="L59" i="19"/>
  <c r="K52" i="18"/>
  <c r="K53" i="19" s="1"/>
  <c r="K60" i="19" s="1"/>
  <c r="L52" i="18" l="1"/>
  <c r="N28" i="19"/>
  <c r="M59" i="19"/>
  <c r="J51" i="18"/>
  <c r="L53" i="19" l="1"/>
  <c r="M52" i="18"/>
  <c r="O28" i="19"/>
  <c r="N59" i="19"/>
  <c r="O59" i="19"/>
  <c r="K51" i="18"/>
  <c r="K50" i="18"/>
  <c r="L50" i="18" s="1"/>
  <c r="M50" i="18" s="1"/>
  <c r="N50" i="18" s="1"/>
  <c r="O50" i="18" s="1"/>
  <c r="N52" i="18" l="1"/>
  <c r="M53" i="19"/>
  <c r="M60" i="19"/>
  <c r="L60" i="19"/>
  <c r="L51" i="18"/>
  <c r="O52" i="18" l="1"/>
  <c r="O53" i="19" s="1"/>
  <c r="N53" i="19"/>
  <c r="N60" i="19" s="1"/>
  <c r="M51" i="18"/>
  <c r="O60" i="19" l="1"/>
  <c r="N51" i="18"/>
  <c r="O51" i="18" l="1"/>
  <c r="I52" i="18" l="1"/>
  <c r="I53" i="19" s="1"/>
  <c r="M19" i="18"/>
  <c r="I37" i="18"/>
  <c r="I38" i="19" s="1"/>
  <c r="I6" i="18"/>
  <c r="I7" i="19" s="1"/>
  <c r="I14" i="19" s="1"/>
  <c r="O60" i="18"/>
  <c r="O30" i="18"/>
  <c r="O29" i="18"/>
  <c r="J21" i="18"/>
  <c r="J22" i="19" s="1"/>
  <c r="J6" i="18"/>
  <c r="J44" i="18"/>
  <c r="J62" i="18"/>
  <c r="I62" i="18"/>
  <c r="H62" i="18"/>
  <c r="G62" i="18"/>
  <c r="F62" i="18"/>
  <c r="E62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I59" i="18"/>
  <c r="H59" i="18"/>
  <c r="G59" i="18"/>
  <c r="F59" i="18"/>
  <c r="E59" i="18"/>
  <c r="B49" i="18"/>
  <c r="B59" i="18" s="1"/>
  <c r="J47" i="18"/>
  <c r="I47" i="18"/>
  <c r="H47" i="18"/>
  <c r="G47" i="18"/>
  <c r="F47" i="18"/>
  <c r="E47" i="18"/>
  <c r="M46" i="18"/>
  <c r="L46" i="18"/>
  <c r="K46" i="18"/>
  <c r="J46" i="18"/>
  <c r="I46" i="18"/>
  <c r="H46" i="18"/>
  <c r="G46" i="18"/>
  <c r="F46" i="18"/>
  <c r="E46" i="18"/>
  <c r="K45" i="18"/>
  <c r="J45" i="18"/>
  <c r="I45" i="18"/>
  <c r="H45" i="18"/>
  <c r="G45" i="18"/>
  <c r="F45" i="18"/>
  <c r="E45" i="18"/>
  <c r="I44" i="18"/>
  <c r="H44" i="18"/>
  <c r="G44" i="18"/>
  <c r="F44" i="18"/>
  <c r="E44" i="18"/>
  <c r="B38" i="18"/>
  <c r="B53" i="18" s="1"/>
  <c r="K37" i="18"/>
  <c r="K38" i="19" s="1"/>
  <c r="K45" i="19" s="1"/>
  <c r="B33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B29" i="18"/>
  <c r="B45" i="18" s="1"/>
  <c r="B60" i="18" s="1"/>
  <c r="I28" i="18"/>
  <c r="H28" i="18"/>
  <c r="G28" i="18"/>
  <c r="F28" i="18"/>
  <c r="E28" i="18"/>
  <c r="B22" i="18"/>
  <c r="B18" i="18"/>
  <c r="B28" i="18" s="1"/>
  <c r="J16" i="18"/>
  <c r="I16" i="18"/>
  <c r="H16" i="18"/>
  <c r="G16" i="18"/>
  <c r="F16" i="18"/>
  <c r="E16" i="18"/>
  <c r="J15" i="18"/>
  <c r="I15" i="18"/>
  <c r="H15" i="18"/>
  <c r="G15" i="18"/>
  <c r="F15" i="18"/>
  <c r="E15" i="18"/>
  <c r="K14" i="18"/>
  <c r="J14" i="18"/>
  <c r="I14" i="18"/>
  <c r="H14" i="18"/>
  <c r="G14" i="18"/>
  <c r="F14" i="18"/>
  <c r="E14" i="18"/>
  <c r="I13" i="18"/>
  <c r="H13" i="18"/>
  <c r="G13" i="18"/>
  <c r="F13" i="18"/>
  <c r="E13" i="18"/>
  <c r="R7" i="18"/>
  <c r="Q7" i="18"/>
  <c r="R4" i="18"/>
  <c r="Q4" i="18"/>
  <c r="R17" i="18" l="1"/>
  <c r="I45" i="19"/>
  <c r="J45" i="19"/>
  <c r="J29" i="19"/>
  <c r="K29" i="19"/>
  <c r="J13" i="18"/>
  <c r="J7" i="19"/>
  <c r="J60" i="19"/>
  <c r="I60" i="19"/>
  <c r="N19" i="18"/>
  <c r="M28" i="18"/>
  <c r="O59" i="18"/>
  <c r="K28" i="18"/>
  <c r="J28" i="18"/>
  <c r="L28" i="18"/>
  <c r="K44" i="18"/>
  <c r="L13" i="18"/>
  <c r="M13" i="18"/>
  <c r="K13" i="18"/>
  <c r="S7" i="18"/>
  <c r="T4" i="18"/>
  <c r="T7" i="18"/>
  <c r="S4" i="18"/>
  <c r="U4" i="18"/>
  <c r="L44" i="18"/>
  <c r="J59" i="18"/>
  <c r="M44" i="18"/>
  <c r="K59" i="18"/>
  <c r="J50" i="17"/>
  <c r="K50" i="17" s="1"/>
  <c r="L50" i="17" s="1"/>
  <c r="M50" i="17" s="1"/>
  <c r="N50" i="17" s="1"/>
  <c r="J19" i="17"/>
  <c r="K19" i="17" s="1"/>
  <c r="L19" i="17" s="1"/>
  <c r="M19" i="17" s="1"/>
  <c r="N19" i="17" s="1"/>
  <c r="J14" i="19" l="1"/>
  <c r="K14" i="19"/>
  <c r="V4" i="18"/>
  <c r="O19" i="18"/>
  <c r="O28" i="18" s="1"/>
  <c r="V7" i="18"/>
  <c r="V17" i="18" s="1"/>
  <c r="N59" i="18"/>
  <c r="T17" i="18"/>
  <c r="S17" i="18"/>
  <c r="L59" i="18"/>
  <c r="M59" i="18"/>
  <c r="U7" i="18"/>
  <c r="U17" i="18" s="1"/>
  <c r="L52" i="17"/>
  <c r="J52" i="17"/>
  <c r="J59" i="17" s="1"/>
  <c r="I29" i="17"/>
  <c r="K29" i="17"/>
  <c r="K37" i="17"/>
  <c r="L37" i="17"/>
  <c r="L44" i="17" s="1"/>
  <c r="M44" i="17"/>
  <c r="J44" i="17"/>
  <c r="I28" i="17"/>
  <c r="J28" i="17"/>
  <c r="J62" i="17"/>
  <c r="I62" i="17"/>
  <c r="H62" i="17"/>
  <c r="G62" i="17"/>
  <c r="F62" i="17"/>
  <c r="E62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H59" i="17"/>
  <c r="G59" i="17"/>
  <c r="F59" i="17"/>
  <c r="E59" i="17"/>
  <c r="B49" i="17"/>
  <c r="B59" i="17" s="1"/>
  <c r="J47" i="17"/>
  <c r="I47" i="17"/>
  <c r="H47" i="17"/>
  <c r="G47" i="17"/>
  <c r="F47" i="17"/>
  <c r="E47" i="17"/>
  <c r="M46" i="17"/>
  <c r="L46" i="17"/>
  <c r="K46" i="17"/>
  <c r="J46" i="17"/>
  <c r="I46" i="17"/>
  <c r="H46" i="17"/>
  <c r="G46" i="17"/>
  <c r="F46" i="17"/>
  <c r="E46" i="17"/>
  <c r="K45" i="17"/>
  <c r="J45" i="17"/>
  <c r="I45" i="17"/>
  <c r="H45" i="17"/>
  <c r="G45" i="17"/>
  <c r="F45" i="17"/>
  <c r="E45" i="17"/>
  <c r="H44" i="17"/>
  <c r="G44" i="17"/>
  <c r="F44" i="17"/>
  <c r="E44" i="17"/>
  <c r="B38" i="17"/>
  <c r="B53" i="17" s="1"/>
  <c r="B33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J29" i="17"/>
  <c r="H29" i="17"/>
  <c r="G29" i="17"/>
  <c r="F29" i="17"/>
  <c r="E29" i="17"/>
  <c r="B29" i="17"/>
  <c r="B45" i="17" s="1"/>
  <c r="B60" i="17" s="1"/>
  <c r="H28" i="17"/>
  <c r="G28" i="17"/>
  <c r="F28" i="17"/>
  <c r="E28" i="17"/>
  <c r="B22" i="17"/>
  <c r="B18" i="17"/>
  <c r="B28" i="17" s="1"/>
  <c r="J16" i="17"/>
  <c r="I16" i="17"/>
  <c r="H16" i="17"/>
  <c r="G16" i="17"/>
  <c r="F16" i="17"/>
  <c r="E16" i="17"/>
  <c r="J15" i="17"/>
  <c r="I15" i="17"/>
  <c r="H15" i="17"/>
  <c r="G15" i="17"/>
  <c r="F15" i="17"/>
  <c r="E15" i="17"/>
  <c r="K14" i="17"/>
  <c r="J14" i="17"/>
  <c r="I14" i="17"/>
  <c r="H14" i="17"/>
  <c r="G14" i="17"/>
  <c r="F14" i="17"/>
  <c r="E14" i="17"/>
  <c r="I13" i="17"/>
  <c r="H13" i="17"/>
  <c r="G13" i="17"/>
  <c r="F13" i="17"/>
  <c r="E13" i="17"/>
  <c r="P7" i="17"/>
  <c r="P4" i="17"/>
  <c r="W7" i="18" l="1"/>
  <c r="W4" i="18"/>
  <c r="N28" i="18"/>
  <c r="K59" i="17"/>
  <c r="L13" i="17"/>
  <c r="M13" i="17"/>
  <c r="K44" i="17"/>
  <c r="N28" i="17"/>
  <c r="M28" i="17"/>
  <c r="S4" i="17"/>
  <c r="L28" i="17"/>
  <c r="K28" i="17"/>
  <c r="R7" i="17"/>
  <c r="S7" i="17"/>
  <c r="R4" i="17"/>
  <c r="J13" i="17"/>
  <c r="K13" i="17"/>
  <c r="Q4" i="17"/>
  <c r="I59" i="17"/>
  <c r="Q7" i="17"/>
  <c r="I44" i="17"/>
  <c r="K52" i="16"/>
  <c r="L52" i="16" s="1"/>
  <c r="M52" i="16" s="1"/>
  <c r="N52" i="16" s="1"/>
  <c r="S17" i="17" l="1"/>
  <c r="R17" i="17"/>
  <c r="L59" i="17"/>
  <c r="T4" i="17"/>
  <c r="T7" i="17"/>
  <c r="Q17" i="17"/>
  <c r="J50" i="16"/>
  <c r="K50" i="16" s="1"/>
  <c r="L50" i="16" s="1"/>
  <c r="M50" i="16" s="1"/>
  <c r="N50" i="16" s="1"/>
  <c r="J19" i="16"/>
  <c r="K19" i="16" s="1"/>
  <c r="L19" i="16" s="1"/>
  <c r="M19" i="16" s="1"/>
  <c r="N19" i="16" s="1"/>
  <c r="J35" i="16"/>
  <c r="I37" i="16"/>
  <c r="N60" i="16"/>
  <c r="N29" i="16"/>
  <c r="N30" i="16"/>
  <c r="K3" i="16"/>
  <c r="I5" i="16"/>
  <c r="M59" i="17" l="1"/>
  <c r="U4" i="17"/>
  <c r="U7" i="17"/>
  <c r="T17" i="17"/>
  <c r="N28" i="16"/>
  <c r="I21" i="16"/>
  <c r="N59" i="17" l="1"/>
  <c r="V7" i="17"/>
  <c r="V4" i="17"/>
  <c r="U17" i="17"/>
  <c r="N59" i="16"/>
  <c r="I52" i="16"/>
  <c r="J28" i="16"/>
  <c r="O4" i="16" l="1"/>
  <c r="J62" i="16"/>
  <c r="I62" i="16"/>
  <c r="H62" i="16"/>
  <c r="G62" i="16"/>
  <c r="F62" i="16"/>
  <c r="E62" i="16"/>
  <c r="M61" i="16"/>
  <c r="L61" i="16"/>
  <c r="K61" i="16"/>
  <c r="J61" i="16"/>
  <c r="I61" i="16"/>
  <c r="H61" i="16"/>
  <c r="G61" i="16"/>
  <c r="F61" i="16"/>
  <c r="E61" i="16"/>
  <c r="M60" i="16"/>
  <c r="L60" i="16"/>
  <c r="K60" i="16"/>
  <c r="J60" i="16"/>
  <c r="I60" i="16"/>
  <c r="H60" i="16"/>
  <c r="G60" i="16"/>
  <c r="F60" i="16"/>
  <c r="E60" i="16"/>
  <c r="H59" i="16"/>
  <c r="G59" i="16"/>
  <c r="F59" i="16"/>
  <c r="E59" i="16"/>
  <c r="I59" i="16"/>
  <c r="B49" i="16"/>
  <c r="B59" i="16" s="1"/>
  <c r="J47" i="16"/>
  <c r="I47" i="16"/>
  <c r="H47" i="16"/>
  <c r="G47" i="16"/>
  <c r="F47" i="16"/>
  <c r="E47" i="16"/>
  <c r="M46" i="16"/>
  <c r="L46" i="16"/>
  <c r="K46" i="16"/>
  <c r="J46" i="16"/>
  <c r="I46" i="16"/>
  <c r="H46" i="16"/>
  <c r="G46" i="16"/>
  <c r="F46" i="16"/>
  <c r="E46" i="16"/>
  <c r="K45" i="16"/>
  <c r="J45" i="16"/>
  <c r="I45" i="16"/>
  <c r="H45" i="16"/>
  <c r="G45" i="16"/>
  <c r="F45" i="16"/>
  <c r="E45" i="16"/>
  <c r="I44" i="16"/>
  <c r="H44" i="16"/>
  <c r="G44" i="16"/>
  <c r="F44" i="16"/>
  <c r="E44" i="16"/>
  <c r="B38" i="16"/>
  <c r="B53" i="16" s="1"/>
  <c r="R7" i="16"/>
  <c r="Q7" i="16"/>
  <c r="B34" i="16"/>
  <c r="J31" i="16"/>
  <c r="I31" i="16"/>
  <c r="H31" i="16"/>
  <c r="G31" i="16"/>
  <c r="F31" i="16"/>
  <c r="E31" i="16"/>
  <c r="M30" i="16"/>
  <c r="L30" i="16"/>
  <c r="K30" i="16"/>
  <c r="J30" i="16"/>
  <c r="I30" i="16"/>
  <c r="H30" i="16"/>
  <c r="G30" i="16"/>
  <c r="F30" i="16"/>
  <c r="E30" i="16"/>
  <c r="M29" i="16"/>
  <c r="L29" i="16"/>
  <c r="K29" i="16"/>
  <c r="J29" i="16"/>
  <c r="I29" i="16"/>
  <c r="H29" i="16"/>
  <c r="G29" i="16"/>
  <c r="F29" i="16"/>
  <c r="E29" i="16"/>
  <c r="B29" i="16"/>
  <c r="B45" i="16" s="1"/>
  <c r="B60" i="16" s="1"/>
  <c r="M28" i="16"/>
  <c r="L28" i="16"/>
  <c r="K28" i="16"/>
  <c r="I28" i="16"/>
  <c r="H28" i="16"/>
  <c r="G28" i="16"/>
  <c r="F28" i="16"/>
  <c r="E28" i="16"/>
  <c r="B22" i="16"/>
  <c r="B18" i="16"/>
  <c r="B28" i="16" s="1"/>
  <c r="J16" i="16"/>
  <c r="I16" i="16"/>
  <c r="H16" i="16"/>
  <c r="G16" i="16"/>
  <c r="F16" i="16"/>
  <c r="E16" i="16"/>
  <c r="J15" i="16"/>
  <c r="I15" i="16"/>
  <c r="H15" i="16"/>
  <c r="G15" i="16"/>
  <c r="F15" i="16"/>
  <c r="E15" i="16"/>
  <c r="K14" i="16"/>
  <c r="J14" i="16"/>
  <c r="I14" i="16"/>
  <c r="H14" i="16"/>
  <c r="G14" i="16"/>
  <c r="F14" i="16"/>
  <c r="E14" i="16"/>
  <c r="M13" i="16"/>
  <c r="L13" i="16"/>
  <c r="K13" i="16"/>
  <c r="J13" i="16"/>
  <c r="I13" i="16"/>
  <c r="H13" i="16"/>
  <c r="G13" i="16"/>
  <c r="F13" i="16"/>
  <c r="E13" i="16"/>
  <c r="O7" i="16"/>
  <c r="P4" i="16"/>
  <c r="M44" i="16" l="1"/>
  <c r="M59" i="16"/>
  <c r="J59" i="16"/>
  <c r="S4" i="16"/>
  <c r="J44" i="16"/>
  <c r="T4" i="16"/>
  <c r="K44" i="16"/>
  <c r="Q4" i="16"/>
  <c r="Q17" i="16" s="1"/>
  <c r="R4" i="16"/>
  <c r="R17" i="16" s="1"/>
  <c r="P7" i="16"/>
  <c r="P17" i="16" s="1"/>
  <c r="K59" i="16"/>
  <c r="S7" i="16"/>
  <c r="S17" i="16" s="1"/>
  <c r="L44" i="16"/>
  <c r="L59" i="16"/>
  <c r="T7" i="16"/>
  <c r="M51" i="15"/>
  <c r="L51" i="15"/>
  <c r="K51" i="15"/>
  <c r="J51" i="15"/>
  <c r="I51" i="15"/>
  <c r="M36" i="15"/>
  <c r="L36" i="15"/>
  <c r="K36" i="15"/>
  <c r="J36" i="15"/>
  <c r="T17" i="16" l="1"/>
  <c r="P4" i="15"/>
  <c r="Q4" i="15"/>
  <c r="R4" i="15"/>
  <c r="S4" i="15"/>
  <c r="T4" i="15"/>
  <c r="O4" i="15"/>
  <c r="O7" i="15"/>
  <c r="T7" i="15"/>
  <c r="R7" i="15"/>
  <c r="S7" i="15"/>
  <c r="Q7" i="15"/>
  <c r="L59" i="15"/>
  <c r="M59" i="15"/>
  <c r="L29" i="15"/>
  <c r="M29" i="15"/>
  <c r="M60" i="15"/>
  <c r="M58" i="15"/>
  <c r="M45" i="15"/>
  <c r="M43" i="15"/>
  <c r="M30" i="15"/>
  <c r="M28" i="15"/>
  <c r="M13" i="15"/>
  <c r="J61" i="15"/>
  <c r="I61" i="15"/>
  <c r="H61" i="15"/>
  <c r="G61" i="15"/>
  <c r="F61" i="15"/>
  <c r="E61" i="15"/>
  <c r="L60" i="15"/>
  <c r="K60" i="15"/>
  <c r="J60" i="15"/>
  <c r="I60" i="15"/>
  <c r="H60" i="15"/>
  <c r="G60" i="15"/>
  <c r="F60" i="15"/>
  <c r="E60" i="15"/>
  <c r="K59" i="15"/>
  <c r="J59" i="15"/>
  <c r="I59" i="15"/>
  <c r="H59" i="15"/>
  <c r="G59" i="15"/>
  <c r="F59" i="15"/>
  <c r="E59" i="15"/>
  <c r="L58" i="15"/>
  <c r="K58" i="15"/>
  <c r="J58" i="15"/>
  <c r="I58" i="15"/>
  <c r="H58" i="15"/>
  <c r="G58" i="15"/>
  <c r="F58" i="15"/>
  <c r="E58" i="15"/>
  <c r="B48" i="15"/>
  <c r="B58" i="15" s="1"/>
  <c r="J46" i="15"/>
  <c r="I46" i="15"/>
  <c r="H46" i="15"/>
  <c r="G46" i="15"/>
  <c r="F46" i="15"/>
  <c r="E46" i="15"/>
  <c r="L45" i="15"/>
  <c r="K45" i="15"/>
  <c r="J45" i="15"/>
  <c r="I45" i="15"/>
  <c r="H45" i="15"/>
  <c r="G45" i="15"/>
  <c r="F45" i="15"/>
  <c r="E45" i="15"/>
  <c r="K44" i="15"/>
  <c r="J44" i="15"/>
  <c r="I44" i="15"/>
  <c r="H44" i="15"/>
  <c r="G44" i="15"/>
  <c r="F44" i="15"/>
  <c r="E44" i="15"/>
  <c r="L43" i="15"/>
  <c r="I43" i="15"/>
  <c r="H43" i="15"/>
  <c r="G43" i="15"/>
  <c r="F43" i="15"/>
  <c r="E43" i="15"/>
  <c r="B37" i="15"/>
  <c r="B52" i="15" s="1"/>
  <c r="K43" i="15"/>
  <c r="B33" i="15"/>
  <c r="J31" i="15"/>
  <c r="I31" i="15"/>
  <c r="H31" i="15"/>
  <c r="G31" i="15"/>
  <c r="F31" i="15"/>
  <c r="E31" i="15"/>
  <c r="L30" i="15"/>
  <c r="K30" i="15"/>
  <c r="J30" i="15"/>
  <c r="I30" i="15"/>
  <c r="H30" i="15"/>
  <c r="G30" i="15"/>
  <c r="F30" i="15"/>
  <c r="E30" i="15"/>
  <c r="K29" i="15"/>
  <c r="J29" i="15"/>
  <c r="I29" i="15"/>
  <c r="H29" i="15"/>
  <c r="G29" i="15"/>
  <c r="F29" i="15"/>
  <c r="E29" i="15"/>
  <c r="B29" i="15"/>
  <c r="B44" i="15" s="1"/>
  <c r="B59" i="15" s="1"/>
  <c r="L28" i="15"/>
  <c r="K28" i="15"/>
  <c r="J28" i="15"/>
  <c r="I28" i="15"/>
  <c r="H28" i="15"/>
  <c r="G28" i="15"/>
  <c r="F28" i="15"/>
  <c r="E28" i="15"/>
  <c r="B22" i="15"/>
  <c r="B18" i="15"/>
  <c r="B28" i="15" s="1"/>
  <c r="J16" i="15"/>
  <c r="I16" i="15"/>
  <c r="H16" i="15"/>
  <c r="G16" i="15"/>
  <c r="F16" i="15"/>
  <c r="E16" i="15"/>
  <c r="J15" i="15"/>
  <c r="I15" i="15"/>
  <c r="H15" i="15"/>
  <c r="G15" i="15"/>
  <c r="F15" i="15"/>
  <c r="E15" i="15"/>
  <c r="K14" i="15"/>
  <c r="J14" i="15"/>
  <c r="I14" i="15"/>
  <c r="H14" i="15"/>
  <c r="G14" i="15"/>
  <c r="F14" i="15"/>
  <c r="E14" i="15"/>
  <c r="L13" i="15"/>
  <c r="K13" i="15"/>
  <c r="J13" i="15"/>
  <c r="I13" i="15"/>
  <c r="H13" i="15"/>
  <c r="G13" i="15"/>
  <c r="F13" i="15"/>
  <c r="E13" i="15"/>
  <c r="P7" i="15"/>
  <c r="J43" i="15" l="1"/>
  <c r="G34" i="14"/>
  <c r="F34" i="14"/>
  <c r="E34" i="14"/>
  <c r="B33" i="14"/>
  <c r="M31" i="14"/>
  <c r="L31" i="14"/>
  <c r="K31" i="14"/>
  <c r="L34" i="14" s="1"/>
  <c r="J31" i="14"/>
  <c r="I31" i="14"/>
  <c r="H31" i="14"/>
  <c r="H34" i="14" s="1"/>
  <c r="B27" i="14"/>
  <c r="B34" i="14" s="1"/>
  <c r="M24" i="14"/>
  <c r="L24" i="14"/>
  <c r="K24" i="14"/>
  <c r="J24" i="14"/>
  <c r="I24" i="14"/>
  <c r="H24" i="14"/>
  <c r="G24" i="14"/>
  <c r="F24" i="14"/>
  <c r="E24" i="14"/>
  <c r="D24" i="14"/>
  <c r="B20" i="14"/>
  <c r="M17" i="14"/>
  <c r="L17" i="14"/>
  <c r="K17" i="14"/>
  <c r="J17" i="14"/>
  <c r="I17" i="14"/>
  <c r="H17" i="14"/>
  <c r="G17" i="14"/>
  <c r="F17" i="14"/>
  <c r="E17" i="14"/>
  <c r="D17" i="14"/>
  <c r="B13" i="14"/>
  <c r="G10" i="14"/>
  <c r="F10" i="14"/>
  <c r="E10" i="14"/>
  <c r="H7" i="14"/>
  <c r="H10" i="14" s="1"/>
  <c r="M6" i="14"/>
  <c r="L6" i="14"/>
  <c r="K6" i="14"/>
  <c r="J6" i="14"/>
  <c r="I6" i="14"/>
  <c r="M5" i="14"/>
  <c r="L5" i="14"/>
  <c r="K5" i="14"/>
  <c r="J5" i="14"/>
  <c r="I5" i="14"/>
  <c r="M4" i="14"/>
  <c r="L4" i="14"/>
  <c r="K4" i="14"/>
  <c r="J4" i="14"/>
  <c r="I4" i="14"/>
  <c r="M3" i="14"/>
  <c r="M7" i="14" s="1"/>
  <c r="L3" i="14"/>
  <c r="L7" i="14" s="1"/>
  <c r="K3" i="14"/>
  <c r="K7" i="14" s="1"/>
  <c r="J3" i="14"/>
  <c r="J7" i="14" s="1"/>
  <c r="I3" i="14"/>
  <c r="I7" i="14" s="1"/>
  <c r="M24" i="13"/>
  <c r="L24" i="13"/>
  <c r="K24" i="13"/>
  <c r="J24" i="13"/>
  <c r="I24" i="13"/>
  <c r="H24" i="13"/>
  <c r="G24" i="13"/>
  <c r="F24" i="13"/>
  <c r="E24" i="13"/>
  <c r="D24" i="13"/>
  <c r="E17" i="13"/>
  <c r="F17" i="13"/>
  <c r="G17" i="13"/>
  <c r="H17" i="13"/>
  <c r="I17" i="13"/>
  <c r="J17" i="13"/>
  <c r="K17" i="13"/>
  <c r="L17" i="13"/>
  <c r="M17" i="13"/>
  <c r="D17" i="13"/>
  <c r="B20" i="13"/>
  <c r="M6" i="13"/>
  <c r="L6" i="13"/>
  <c r="K6" i="13"/>
  <c r="J6" i="13"/>
  <c r="I6" i="13"/>
  <c r="M5" i="13"/>
  <c r="L5" i="13"/>
  <c r="K5" i="13"/>
  <c r="J5" i="13"/>
  <c r="I5" i="13"/>
  <c r="M4" i="13"/>
  <c r="L4" i="13"/>
  <c r="K4" i="13"/>
  <c r="J4" i="13"/>
  <c r="I4" i="13"/>
  <c r="M3" i="13"/>
  <c r="M7" i="13" s="1"/>
  <c r="L3" i="13"/>
  <c r="L7" i="13" s="1"/>
  <c r="K3" i="13"/>
  <c r="K7" i="13" s="1"/>
  <c r="J3" i="13"/>
  <c r="J7" i="13" s="1"/>
  <c r="I3" i="13"/>
  <c r="I7" i="13" s="1"/>
  <c r="B13" i="13"/>
  <c r="I31" i="13"/>
  <c r="J31" i="13"/>
  <c r="K31" i="13"/>
  <c r="L31" i="13"/>
  <c r="L34" i="13" s="1"/>
  <c r="M31" i="13"/>
  <c r="H31" i="13"/>
  <c r="H7" i="13"/>
  <c r="G34" i="13"/>
  <c r="F34" i="13"/>
  <c r="E34" i="13"/>
  <c r="B33" i="13"/>
  <c r="B27" i="13"/>
  <c r="B34" i="13" s="1"/>
  <c r="G10" i="13"/>
  <c r="F10" i="13"/>
  <c r="E10" i="13"/>
  <c r="I10" i="14" l="1"/>
  <c r="M34" i="13"/>
  <c r="J10" i="14"/>
  <c r="I34" i="14"/>
  <c r="M34" i="14"/>
  <c r="K34" i="13"/>
  <c r="J34" i="14"/>
  <c r="L10" i="14"/>
  <c r="M10" i="14"/>
  <c r="K10" i="14"/>
  <c r="K34" i="14"/>
  <c r="M10" i="13"/>
  <c r="J34" i="13"/>
  <c r="I34" i="13"/>
  <c r="H34" i="13"/>
  <c r="L10" i="13"/>
  <c r="J10" i="13"/>
  <c r="K10" i="13"/>
  <c r="I10" i="13"/>
  <c r="H10" i="13"/>
  <c r="Q7" i="12"/>
  <c r="Q18" i="12" s="1"/>
  <c r="Q28" i="12"/>
  <c r="H58" i="12"/>
  <c r="J36" i="12"/>
  <c r="L28" i="12"/>
  <c r="J28" i="12"/>
  <c r="H28" i="12"/>
  <c r="K13" i="12"/>
  <c r="J13" i="12"/>
  <c r="J61" i="12"/>
  <c r="I61" i="12"/>
  <c r="H61" i="12"/>
  <c r="G61" i="12"/>
  <c r="F61" i="12"/>
  <c r="E61" i="12"/>
  <c r="L60" i="12"/>
  <c r="K60" i="12"/>
  <c r="J60" i="12"/>
  <c r="I60" i="12"/>
  <c r="H60" i="12"/>
  <c r="G60" i="12"/>
  <c r="F60" i="12"/>
  <c r="E60" i="12"/>
  <c r="K59" i="12"/>
  <c r="J59" i="12"/>
  <c r="I59" i="12"/>
  <c r="H59" i="12"/>
  <c r="G59" i="12"/>
  <c r="F59" i="12"/>
  <c r="E59" i="12"/>
  <c r="G58" i="12"/>
  <c r="F58" i="12"/>
  <c r="E58" i="12"/>
  <c r="B48" i="12"/>
  <c r="B58" i="12" s="1"/>
  <c r="J46" i="12"/>
  <c r="I46" i="12"/>
  <c r="H46" i="12"/>
  <c r="G46" i="12"/>
  <c r="F46" i="12"/>
  <c r="E46" i="12"/>
  <c r="L45" i="12"/>
  <c r="K45" i="12"/>
  <c r="J45" i="12"/>
  <c r="I45" i="12"/>
  <c r="H45" i="12"/>
  <c r="G45" i="12"/>
  <c r="F45" i="12"/>
  <c r="E45" i="12"/>
  <c r="K44" i="12"/>
  <c r="J44" i="12"/>
  <c r="I44" i="12"/>
  <c r="H44" i="12"/>
  <c r="G44" i="12"/>
  <c r="F44" i="12"/>
  <c r="E44" i="12"/>
  <c r="G43" i="12"/>
  <c r="F43" i="12"/>
  <c r="E43" i="12"/>
  <c r="B37" i="12"/>
  <c r="B52" i="12" s="1"/>
  <c r="B33" i="12"/>
  <c r="J31" i="12"/>
  <c r="I31" i="12"/>
  <c r="H31" i="12"/>
  <c r="G31" i="12"/>
  <c r="F31" i="12"/>
  <c r="E31" i="12"/>
  <c r="L30" i="12"/>
  <c r="K30" i="12"/>
  <c r="J30" i="12"/>
  <c r="I30" i="12"/>
  <c r="H30" i="12"/>
  <c r="G30" i="12"/>
  <c r="F30" i="12"/>
  <c r="E30" i="12"/>
  <c r="K29" i="12"/>
  <c r="J29" i="12"/>
  <c r="I29" i="12"/>
  <c r="H29" i="12"/>
  <c r="G29" i="12"/>
  <c r="F29" i="12"/>
  <c r="E29" i="12"/>
  <c r="B29" i="12"/>
  <c r="B44" i="12" s="1"/>
  <c r="B59" i="12" s="1"/>
  <c r="G28" i="12"/>
  <c r="F28" i="12"/>
  <c r="E28" i="12"/>
  <c r="B22" i="12"/>
  <c r="B18" i="12"/>
  <c r="B28" i="12" s="1"/>
  <c r="J16" i="12"/>
  <c r="I16" i="12"/>
  <c r="H16" i="12"/>
  <c r="G16" i="12"/>
  <c r="F16" i="12"/>
  <c r="E16" i="12"/>
  <c r="J15" i="12"/>
  <c r="I15" i="12"/>
  <c r="H15" i="12"/>
  <c r="G15" i="12"/>
  <c r="F15" i="12"/>
  <c r="E15" i="12"/>
  <c r="K14" i="12"/>
  <c r="J14" i="12"/>
  <c r="I14" i="12"/>
  <c r="H14" i="12"/>
  <c r="G14" i="12"/>
  <c r="F14" i="12"/>
  <c r="E14" i="12"/>
  <c r="G13" i="12"/>
  <c r="F13" i="12"/>
  <c r="E13" i="12"/>
  <c r="L58" i="12" l="1"/>
  <c r="K58" i="12"/>
  <c r="J58" i="12"/>
  <c r="I58" i="12"/>
  <c r="K28" i="12"/>
  <c r="I28" i="12"/>
  <c r="L13" i="12"/>
  <c r="J43" i="12"/>
  <c r="I43" i="12"/>
  <c r="L43" i="12"/>
  <c r="K43" i="12"/>
  <c r="O6" i="12"/>
  <c r="H43" i="12"/>
  <c r="N6" i="12"/>
  <c r="H13" i="12"/>
  <c r="I13" i="12"/>
  <c r="I6" i="11"/>
  <c r="H6" i="11"/>
  <c r="G59" i="11" l="1"/>
  <c r="G58" i="11"/>
  <c r="H58" i="11"/>
  <c r="B48" i="11"/>
  <c r="B58" i="11" s="1"/>
  <c r="B37" i="11"/>
  <c r="B33" i="11"/>
  <c r="B18" i="11"/>
  <c r="B28" i="11" s="1"/>
  <c r="J61" i="11"/>
  <c r="I61" i="11"/>
  <c r="H61" i="11"/>
  <c r="G61" i="11"/>
  <c r="F61" i="11"/>
  <c r="E61" i="11"/>
  <c r="L60" i="11"/>
  <c r="K60" i="11"/>
  <c r="J60" i="11"/>
  <c r="I60" i="11"/>
  <c r="H60" i="11"/>
  <c r="G60" i="11"/>
  <c r="F60" i="11"/>
  <c r="E60" i="11"/>
  <c r="K59" i="11"/>
  <c r="J59" i="11"/>
  <c r="I59" i="11"/>
  <c r="H59" i="11"/>
  <c r="F59" i="11"/>
  <c r="E59" i="11"/>
  <c r="F58" i="11"/>
  <c r="E58" i="11"/>
  <c r="J46" i="11"/>
  <c r="I46" i="11"/>
  <c r="H46" i="11"/>
  <c r="G46" i="11"/>
  <c r="F46" i="11"/>
  <c r="E46" i="11"/>
  <c r="L45" i="11"/>
  <c r="K45" i="11"/>
  <c r="J45" i="11"/>
  <c r="I45" i="11"/>
  <c r="H45" i="11"/>
  <c r="G45" i="11"/>
  <c r="F45" i="11"/>
  <c r="E45" i="11"/>
  <c r="K44" i="11"/>
  <c r="J44" i="11"/>
  <c r="I44" i="11"/>
  <c r="H44" i="11"/>
  <c r="G44" i="11"/>
  <c r="F44" i="11"/>
  <c r="E44" i="11"/>
  <c r="G43" i="11"/>
  <c r="F43" i="11"/>
  <c r="E43" i="11"/>
  <c r="H43" i="11"/>
  <c r="J31" i="11"/>
  <c r="I31" i="11"/>
  <c r="H31" i="11"/>
  <c r="G31" i="11"/>
  <c r="F31" i="11"/>
  <c r="E31" i="11"/>
  <c r="L30" i="11"/>
  <c r="K30" i="11"/>
  <c r="J30" i="11"/>
  <c r="I30" i="11"/>
  <c r="H30" i="11"/>
  <c r="G30" i="11"/>
  <c r="F30" i="11"/>
  <c r="E30" i="11"/>
  <c r="K29" i="11"/>
  <c r="J29" i="11"/>
  <c r="I29" i="11"/>
  <c r="H29" i="11"/>
  <c r="G29" i="11"/>
  <c r="F29" i="11"/>
  <c r="E29" i="11"/>
  <c r="B29" i="11"/>
  <c r="B44" i="11" s="1"/>
  <c r="B59" i="11" s="1"/>
  <c r="F28" i="11"/>
  <c r="E28" i="11"/>
  <c r="B22" i="11"/>
  <c r="B52" i="11" s="1"/>
  <c r="G28" i="11"/>
  <c r="J16" i="11"/>
  <c r="I16" i="11"/>
  <c r="H16" i="11"/>
  <c r="G16" i="11"/>
  <c r="F16" i="11"/>
  <c r="E16" i="11"/>
  <c r="J15" i="11"/>
  <c r="I15" i="11"/>
  <c r="H15" i="11"/>
  <c r="G15" i="11"/>
  <c r="F15" i="11"/>
  <c r="E15" i="11"/>
  <c r="K14" i="11"/>
  <c r="J14" i="11"/>
  <c r="I14" i="11"/>
  <c r="H14" i="11"/>
  <c r="G14" i="11"/>
  <c r="F14" i="11"/>
  <c r="E14" i="11"/>
  <c r="F13" i="11"/>
  <c r="E13" i="11"/>
  <c r="G13" i="11"/>
  <c r="L43" i="11" l="1"/>
  <c r="K43" i="11"/>
  <c r="J43" i="11"/>
  <c r="L28" i="11"/>
  <c r="J13" i="11"/>
  <c r="I13" i="11"/>
  <c r="K28" i="11"/>
  <c r="I28" i="11"/>
  <c r="I43" i="11"/>
  <c r="J28" i="11"/>
  <c r="L13" i="11"/>
  <c r="K13" i="11"/>
  <c r="H13" i="11"/>
  <c r="H28" i="11"/>
  <c r="N6" i="11"/>
  <c r="H51" i="10"/>
  <c r="I51" i="10" s="1"/>
  <c r="J51" i="10" s="1"/>
  <c r="K51" i="10" s="1"/>
  <c r="L51" i="10" s="1"/>
  <c r="I58" i="11" l="1"/>
  <c r="O6" i="11"/>
  <c r="G29" i="10"/>
  <c r="B22" i="10"/>
  <c r="B37" i="10" s="1"/>
  <c r="B52" i="10" s="1"/>
  <c r="B29" i="10"/>
  <c r="B44" i="10" s="1"/>
  <c r="B59" i="10" s="1"/>
  <c r="F28" i="10"/>
  <c r="F13" i="10"/>
  <c r="J58" i="11" l="1"/>
  <c r="I36" i="10"/>
  <c r="H36" i="10"/>
  <c r="G43" i="10"/>
  <c r="I21" i="10"/>
  <c r="I28" i="10" s="1"/>
  <c r="L28" i="10"/>
  <c r="G21" i="10"/>
  <c r="H6" i="10"/>
  <c r="I6" i="10"/>
  <c r="J6" i="10"/>
  <c r="K6" i="10"/>
  <c r="L6" i="10"/>
  <c r="G6" i="10"/>
  <c r="G13" i="10" s="1"/>
  <c r="L60" i="10"/>
  <c r="L45" i="10"/>
  <c r="L30" i="10"/>
  <c r="K59" i="10"/>
  <c r="J59" i="10"/>
  <c r="I59" i="10"/>
  <c r="H59" i="10"/>
  <c r="G59" i="10"/>
  <c r="F59" i="10"/>
  <c r="E59" i="10"/>
  <c r="E44" i="10"/>
  <c r="F44" i="10"/>
  <c r="G44" i="10"/>
  <c r="H44" i="10"/>
  <c r="I44" i="10"/>
  <c r="J44" i="10"/>
  <c r="K44" i="10"/>
  <c r="E29" i="10"/>
  <c r="F29" i="10"/>
  <c r="H29" i="10"/>
  <c r="I29" i="10"/>
  <c r="J29" i="10"/>
  <c r="K29" i="10"/>
  <c r="K14" i="10"/>
  <c r="E14" i="10"/>
  <c r="F14" i="10"/>
  <c r="G14" i="10"/>
  <c r="H14" i="10"/>
  <c r="I14" i="10"/>
  <c r="J14" i="10"/>
  <c r="J61" i="10"/>
  <c r="I61" i="10"/>
  <c r="H61" i="10"/>
  <c r="G61" i="10"/>
  <c r="F61" i="10"/>
  <c r="E61" i="10"/>
  <c r="K60" i="10"/>
  <c r="J60" i="10"/>
  <c r="I60" i="10"/>
  <c r="H60" i="10"/>
  <c r="G60" i="10"/>
  <c r="F60" i="10"/>
  <c r="E60" i="10"/>
  <c r="F58" i="10"/>
  <c r="E58" i="10"/>
  <c r="J46" i="10"/>
  <c r="I46" i="10"/>
  <c r="H46" i="10"/>
  <c r="G46" i="10"/>
  <c r="F46" i="10"/>
  <c r="E46" i="10"/>
  <c r="K45" i="10"/>
  <c r="J45" i="10"/>
  <c r="I45" i="10"/>
  <c r="H45" i="10"/>
  <c r="G45" i="10"/>
  <c r="F45" i="10"/>
  <c r="E45" i="10"/>
  <c r="F43" i="10"/>
  <c r="E43" i="10"/>
  <c r="J31" i="10"/>
  <c r="I31" i="10"/>
  <c r="H31" i="10"/>
  <c r="G31" i="10"/>
  <c r="F31" i="10"/>
  <c r="E31" i="10"/>
  <c r="K30" i="10"/>
  <c r="J30" i="10"/>
  <c r="I30" i="10"/>
  <c r="H30" i="10"/>
  <c r="G30" i="10"/>
  <c r="F30" i="10"/>
  <c r="E30" i="10"/>
  <c r="E28" i="10"/>
  <c r="J16" i="10"/>
  <c r="I16" i="10"/>
  <c r="H16" i="10"/>
  <c r="G16" i="10"/>
  <c r="F16" i="10"/>
  <c r="E16" i="10"/>
  <c r="J15" i="10"/>
  <c r="I15" i="10"/>
  <c r="H15" i="10"/>
  <c r="G15" i="10"/>
  <c r="F15" i="10"/>
  <c r="E15" i="10"/>
  <c r="E13" i="10"/>
  <c r="K58" i="11" l="1"/>
  <c r="L58" i="11"/>
  <c r="J58" i="10"/>
  <c r="N6" i="10"/>
  <c r="I13" i="10"/>
  <c r="O6" i="10"/>
  <c r="J13" i="10"/>
  <c r="J43" i="10"/>
  <c r="J28" i="10"/>
  <c r="K43" i="10"/>
  <c r="L58" i="10"/>
  <c r="G58" i="10"/>
  <c r="H58" i="10"/>
  <c r="K58" i="10"/>
  <c r="I58" i="10"/>
  <c r="L43" i="10"/>
  <c r="I43" i="10"/>
  <c r="H43" i="10"/>
  <c r="K28" i="10"/>
  <c r="H28" i="10"/>
  <c r="G28" i="10"/>
  <c r="H13" i="10"/>
  <c r="R32" i="8"/>
  <c r="R34" i="8" s="1"/>
  <c r="S32" i="8"/>
  <c r="T32" i="8"/>
  <c r="R6" i="8"/>
  <c r="S6" i="8"/>
  <c r="Q6" i="8"/>
  <c r="Q32" i="8"/>
  <c r="Q34" i="8" l="1"/>
  <c r="S34" i="8"/>
  <c r="K13" i="10"/>
  <c r="L13" i="10"/>
  <c r="K52" i="8"/>
  <c r="J6" i="8"/>
  <c r="T6" i="8" s="1"/>
  <c r="T34" i="8" s="1"/>
  <c r="K6" i="8" l="1"/>
  <c r="M46" i="8"/>
  <c r="N46" i="8"/>
  <c r="G38" i="8"/>
  <c r="M20" i="8"/>
  <c r="M7" i="8"/>
  <c r="N7" i="8"/>
  <c r="J53" i="8"/>
  <c r="I53" i="8"/>
  <c r="H53" i="8"/>
  <c r="G53" i="8"/>
  <c r="F53" i="8"/>
  <c r="E53" i="8"/>
  <c r="J52" i="8"/>
  <c r="I52" i="8"/>
  <c r="H52" i="8"/>
  <c r="G52" i="8"/>
  <c r="F52" i="8"/>
  <c r="E52" i="8"/>
  <c r="E51" i="8"/>
  <c r="F51" i="8"/>
  <c r="J40" i="8"/>
  <c r="I40" i="8"/>
  <c r="H40" i="8"/>
  <c r="G40" i="8"/>
  <c r="F40" i="8"/>
  <c r="E40" i="8"/>
  <c r="K39" i="8"/>
  <c r="J39" i="8"/>
  <c r="I39" i="8"/>
  <c r="H39" i="8"/>
  <c r="G39" i="8"/>
  <c r="F39" i="8"/>
  <c r="E39" i="8"/>
  <c r="E38" i="8"/>
  <c r="J27" i="8"/>
  <c r="I27" i="8"/>
  <c r="H27" i="8"/>
  <c r="G27" i="8"/>
  <c r="F27" i="8"/>
  <c r="E27" i="8"/>
  <c r="K26" i="8"/>
  <c r="J26" i="8"/>
  <c r="I26" i="8"/>
  <c r="H26" i="8"/>
  <c r="G26" i="8"/>
  <c r="F26" i="8"/>
  <c r="E26" i="8"/>
  <c r="E25" i="8"/>
  <c r="J14" i="8"/>
  <c r="I14" i="8"/>
  <c r="H14" i="8"/>
  <c r="G14" i="8"/>
  <c r="F14" i="8"/>
  <c r="E14" i="8"/>
  <c r="J13" i="8"/>
  <c r="I13" i="8"/>
  <c r="H13" i="8"/>
  <c r="G13" i="8"/>
  <c r="F13" i="8"/>
  <c r="E13" i="8"/>
  <c r="E12" i="8"/>
  <c r="K6" i="6"/>
  <c r="J6" i="6"/>
  <c r="I6" i="6"/>
  <c r="H6" i="6"/>
  <c r="G6" i="6"/>
  <c r="K51" i="8" l="1"/>
  <c r="J51" i="8"/>
  <c r="K38" i="8"/>
  <c r="J38" i="8"/>
  <c r="I38" i="8"/>
  <c r="N33" i="8"/>
  <c r="H38" i="8"/>
  <c r="K25" i="8"/>
  <c r="J25" i="8"/>
  <c r="I25" i="8"/>
  <c r="N20" i="8"/>
  <c r="K12" i="8"/>
  <c r="J12" i="8"/>
  <c r="I12" i="8"/>
  <c r="G51" i="8"/>
  <c r="H51" i="8"/>
  <c r="I51" i="8"/>
  <c r="M33" i="8"/>
  <c r="F38" i="8"/>
  <c r="G25" i="8"/>
  <c r="H25" i="8"/>
  <c r="F25" i="8"/>
  <c r="H12" i="8"/>
  <c r="G12" i="8"/>
  <c r="F12" i="8"/>
  <c r="N47" i="6"/>
  <c r="M47" i="6"/>
  <c r="N34" i="6"/>
  <c r="M34" i="6"/>
  <c r="N21" i="6"/>
  <c r="M21" i="6"/>
  <c r="N8" i="6"/>
  <c r="M8" i="6"/>
  <c r="K40" i="6" l="1"/>
  <c r="K27" i="6"/>
  <c r="F7" i="6" l="1"/>
  <c r="F46" i="6" l="1"/>
  <c r="J49" i="7"/>
  <c r="I49" i="7"/>
  <c r="H49" i="7"/>
  <c r="G49" i="7"/>
  <c r="F49" i="7"/>
  <c r="E49" i="7"/>
  <c r="J48" i="7"/>
  <c r="I48" i="7"/>
  <c r="H48" i="7"/>
  <c r="G48" i="7"/>
  <c r="F48" i="7"/>
  <c r="E48" i="7"/>
  <c r="G42" i="7"/>
  <c r="G47" i="7" s="1"/>
  <c r="E42" i="7"/>
  <c r="F47" i="7" s="1"/>
  <c r="J37" i="7"/>
  <c r="I37" i="7"/>
  <c r="H37" i="7"/>
  <c r="G37" i="7"/>
  <c r="F37" i="7"/>
  <c r="E37" i="7"/>
  <c r="J36" i="7"/>
  <c r="I36" i="7"/>
  <c r="H36" i="7"/>
  <c r="G36" i="7"/>
  <c r="F36" i="7"/>
  <c r="E36" i="7"/>
  <c r="K35" i="7"/>
  <c r="J35" i="7"/>
  <c r="I35" i="7"/>
  <c r="G30" i="7"/>
  <c r="H35" i="7" s="1"/>
  <c r="F30" i="7"/>
  <c r="E30" i="7"/>
  <c r="G28" i="7"/>
  <c r="J25" i="7"/>
  <c r="I25" i="7"/>
  <c r="H25" i="7"/>
  <c r="G25" i="7"/>
  <c r="F25" i="7"/>
  <c r="E25" i="7"/>
  <c r="J24" i="7"/>
  <c r="I24" i="7"/>
  <c r="H24" i="7"/>
  <c r="G24" i="7"/>
  <c r="F24" i="7"/>
  <c r="E24" i="7"/>
  <c r="K23" i="7"/>
  <c r="J23" i="7"/>
  <c r="I23" i="7"/>
  <c r="H23" i="7"/>
  <c r="G23" i="7"/>
  <c r="E18" i="7"/>
  <c r="F23" i="7" s="1"/>
  <c r="J13" i="7"/>
  <c r="I13" i="7"/>
  <c r="H13" i="7"/>
  <c r="G13" i="7"/>
  <c r="F13" i="7"/>
  <c r="E13" i="7"/>
  <c r="J12" i="7"/>
  <c r="I12" i="7"/>
  <c r="H12" i="7"/>
  <c r="G12" i="7"/>
  <c r="F12" i="7"/>
  <c r="E12" i="7"/>
  <c r="K11" i="7"/>
  <c r="H11" i="7"/>
  <c r="G11" i="7"/>
  <c r="F11" i="7"/>
  <c r="E11" i="7"/>
  <c r="I6" i="7"/>
  <c r="J11" i="7" s="1"/>
  <c r="F35" i="7" l="1"/>
  <c r="E35" i="7"/>
  <c r="I11" i="7"/>
  <c r="E23" i="7"/>
  <c r="H42" i="7"/>
  <c r="E47" i="7"/>
  <c r="G35" i="7"/>
  <c r="I42" i="7" l="1"/>
  <c r="H47" i="7"/>
  <c r="J42" i="7" l="1"/>
  <c r="I47" i="7"/>
  <c r="J47" i="7" l="1"/>
  <c r="K42" i="7"/>
  <c r="K47" i="7" s="1"/>
  <c r="E53" i="6" l="1"/>
  <c r="E52" i="6"/>
  <c r="F40" i="6"/>
  <c r="E40" i="6"/>
  <c r="F13" i="6"/>
  <c r="E13" i="6"/>
  <c r="E14" i="6"/>
  <c r="J14" i="6"/>
  <c r="I14" i="6"/>
  <c r="H14" i="6"/>
  <c r="G14" i="6"/>
  <c r="F14" i="6"/>
  <c r="E26" i="6" l="1"/>
  <c r="K26" i="6" l="1"/>
  <c r="J26" i="6"/>
  <c r="I26" i="6"/>
  <c r="H26" i="6"/>
  <c r="G26" i="6"/>
  <c r="F26" i="6"/>
  <c r="K52" i="6"/>
  <c r="J52" i="6"/>
  <c r="I52" i="6"/>
  <c r="H52" i="6"/>
  <c r="G52" i="6"/>
  <c r="F52" i="6"/>
  <c r="K39" i="6"/>
  <c r="J39" i="6"/>
  <c r="I39" i="6"/>
  <c r="H39" i="6"/>
  <c r="G39" i="6"/>
  <c r="F39" i="6"/>
  <c r="E39" i="6"/>
  <c r="J40" i="6"/>
  <c r="I40" i="6"/>
  <c r="H40" i="6"/>
  <c r="G40" i="6"/>
  <c r="E27" i="6"/>
  <c r="J27" i="6"/>
  <c r="I27" i="6"/>
  <c r="H27" i="6"/>
  <c r="G27" i="6"/>
  <c r="F27" i="6"/>
  <c r="J13" i="6" l="1"/>
  <c r="G13" i="6"/>
  <c r="H13" i="6"/>
  <c r="K13" i="6"/>
  <c r="I13" i="6"/>
  <c r="J53" i="6" l="1"/>
  <c r="I53" i="6"/>
  <c r="H53" i="6"/>
  <c r="G53" i="6"/>
  <c r="F53" i="6"/>
  <c r="J54" i="6"/>
  <c r="I54" i="6"/>
  <c r="H54" i="6"/>
  <c r="G54" i="6"/>
  <c r="F54" i="6"/>
  <c r="E54" i="6"/>
  <c r="J41" i="6"/>
  <c r="I41" i="6"/>
  <c r="H41" i="6"/>
  <c r="G41" i="6"/>
  <c r="F41" i="6"/>
  <c r="E41" i="6"/>
  <c r="J28" i="6"/>
  <c r="I28" i="6"/>
  <c r="H28" i="6"/>
  <c r="G28" i="6"/>
  <c r="F28" i="6"/>
  <c r="E28" i="6"/>
  <c r="J15" i="6"/>
  <c r="I15" i="6"/>
  <c r="H15" i="6"/>
  <c r="G15" i="6"/>
  <c r="F15" i="6"/>
  <c r="E15" i="6"/>
  <c r="I26" i="5" l="1"/>
  <c r="G5" i="5"/>
  <c r="E27" i="5" l="1"/>
  <c r="E17" i="5"/>
  <c r="F21" i="5" l="1"/>
  <c r="G11" i="5"/>
  <c r="H11" i="5"/>
  <c r="I11" i="5"/>
  <c r="J11" i="5"/>
  <c r="K11" i="5"/>
  <c r="F11" i="5"/>
  <c r="G42" i="5"/>
  <c r="H42" i="5"/>
  <c r="I42" i="5"/>
  <c r="J42" i="5"/>
  <c r="K42" i="5"/>
  <c r="F42" i="5"/>
  <c r="G32" i="5"/>
  <c r="H32" i="5"/>
  <c r="I32" i="5"/>
  <c r="J32" i="5"/>
  <c r="K32" i="5"/>
  <c r="F32" i="5"/>
  <c r="G12" i="5"/>
  <c r="H12" i="5"/>
  <c r="I12" i="5"/>
  <c r="J12" i="5"/>
  <c r="K12" i="5"/>
  <c r="F12" i="5"/>
  <c r="G22" i="5"/>
  <c r="H22" i="5"/>
  <c r="I22" i="5"/>
  <c r="J22" i="5"/>
  <c r="K22" i="5"/>
  <c r="F22" i="5"/>
  <c r="K41" i="5"/>
  <c r="J41" i="5"/>
  <c r="I41" i="5"/>
  <c r="H41" i="5"/>
  <c r="G41" i="5"/>
  <c r="F41" i="5"/>
  <c r="K31" i="5"/>
  <c r="J31" i="5"/>
  <c r="I31" i="5"/>
  <c r="H31" i="5"/>
  <c r="G31" i="5"/>
  <c r="F31" i="5"/>
  <c r="K21" i="5"/>
  <c r="J21" i="5"/>
  <c r="I21" i="5"/>
  <c r="H21" i="5"/>
  <c r="G21" i="5"/>
  <c r="I33" i="4"/>
  <c r="H33" i="4"/>
  <c r="G33" i="4"/>
  <c r="F33" i="4"/>
  <c r="E33" i="4"/>
  <c r="I25" i="4"/>
  <c r="H25" i="4"/>
  <c r="G25" i="4"/>
  <c r="F25" i="4"/>
  <c r="E25" i="4"/>
  <c r="H23" i="4"/>
  <c r="E17" i="4"/>
  <c r="F15" i="4"/>
  <c r="F17" i="4" s="1"/>
  <c r="F14" i="4"/>
  <c r="G14" i="4" s="1"/>
  <c r="H14" i="4" s="1"/>
  <c r="I14" i="4" s="1"/>
  <c r="F9" i="4"/>
  <c r="E9" i="4"/>
  <c r="G7" i="4"/>
  <c r="G9" i="4" s="1"/>
  <c r="G15" i="4" l="1"/>
  <c r="G17" i="4" s="1"/>
  <c r="H7" i="4"/>
  <c r="H9" i="4" s="1"/>
  <c r="H15" i="4" l="1"/>
  <c r="H17" i="4" s="1"/>
  <c r="I7" i="4"/>
  <c r="I9" i="4" s="1"/>
  <c r="I15" i="4" l="1"/>
  <c r="I17" i="4" s="1"/>
  <c r="F10" i="1"/>
  <c r="G10" i="1"/>
  <c r="H10" i="1"/>
  <c r="I10" i="1"/>
  <c r="E10" i="1"/>
  <c r="F24" i="1"/>
  <c r="G24" i="1"/>
  <c r="H24" i="1"/>
  <c r="I24" i="1"/>
  <c r="E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Bianchini</author>
  </authors>
  <commentList>
    <comment ref="I5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Laura Bianchini:</t>
        </r>
        <r>
          <rPr>
            <sz val="9"/>
            <color indexed="81"/>
            <rFont val="Tahoma"/>
            <family val="2"/>
          </rPr>
          <t xml:space="preserve">
adjustment for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50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Clark</author>
  </authors>
  <commentList>
    <comment ref="J50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Jon Clark:</t>
        </r>
        <r>
          <rPr>
            <sz val="9"/>
            <color indexed="81"/>
            <rFont val="Tahoma"/>
            <family val="2"/>
          </rPr>
          <t xml:space="preserve">
last year's volume with this year's OCD growth</t>
        </r>
      </text>
    </comment>
  </commentList>
</comments>
</file>

<file path=xl/sharedStrings.xml><?xml version="1.0" encoding="utf-8"?>
<sst xmlns="http://schemas.openxmlformats.org/spreadsheetml/2006/main" count="1113" uniqueCount="81">
  <si>
    <t>DFA</t>
  </si>
  <si>
    <t>CREG</t>
  </si>
  <si>
    <t>TRD</t>
  </si>
  <si>
    <t>LFC</t>
  </si>
  <si>
    <t>DOT</t>
  </si>
  <si>
    <t>FY2013</t>
  </si>
  <si>
    <t>FY2014</t>
  </si>
  <si>
    <t>FY2015</t>
  </si>
  <si>
    <t>FY2016</t>
  </si>
  <si>
    <t>FY2017</t>
  </si>
  <si>
    <t>Oil Price ($/barrel)</t>
  </si>
  <si>
    <t>Jan-13</t>
  </si>
  <si>
    <t>Oil Volumes (million barrels)</t>
  </si>
  <si>
    <t>Gas Price ($ /mcf)</t>
  </si>
  <si>
    <t>Gas Volumes (bcf)</t>
  </si>
  <si>
    <t>Dec-12</t>
  </si>
  <si>
    <t>Growth Rate</t>
  </si>
  <si>
    <t>FY2012 act</t>
  </si>
  <si>
    <t>Natural Gas Price ($ /mcf)</t>
  </si>
  <si>
    <t>Natural Gas Volumes (bcf)</t>
  </si>
  <si>
    <t>Leave the same from Dec 2013</t>
  </si>
  <si>
    <t>FY2018</t>
  </si>
  <si>
    <t>Updated:</t>
  </si>
  <si>
    <t>FY2013act</t>
  </si>
  <si>
    <t>FY2019</t>
  </si>
  <si>
    <t>FY2013 act</t>
  </si>
  <si>
    <t>12/1/2014 (December 1 Revision)</t>
  </si>
  <si>
    <t>FY2020</t>
  </si>
  <si>
    <t>FY16</t>
  </si>
  <si>
    <t>FY17</t>
  </si>
  <si>
    <t>Change in Taxable Value</t>
  </si>
  <si>
    <t xml:space="preserve"> </t>
  </si>
  <si>
    <t>No economist at DOT</t>
  </si>
  <si>
    <t xml:space="preserve">NGL premium is close to zero.  </t>
  </si>
  <si>
    <t>stick with December 2015 numbers</t>
  </si>
  <si>
    <t>FY17 Q1</t>
  </si>
  <si>
    <t>FY17 Q2</t>
  </si>
  <si>
    <t>FY17 Q3</t>
  </si>
  <si>
    <t>FY17 Q4</t>
  </si>
  <si>
    <t>FY18 Q1</t>
  </si>
  <si>
    <t>FY18 Q2</t>
  </si>
  <si>
    <t>FY18 Q3</t>
  </si>
  <si>
    <t>FY18 Q4</t>
  </si>
  <si>
    <t>FY19 Q1</t>
  </si>
  <si>
    <t>FY19 Q2</t>
  </si>
  <si>
    <t>FY19 Q3</t>
  </si>
  <si>
    <t>FY19 Q4</t>
  </si>
  <si>
    <t>FY20 Q1</t>
  </si>
  <si>
    <t>FY20 Q2</t>
  </si>
  <si>
    <t>FY20 Q3</t>
  </si>
  <si>
    <t>FY20 Q4</t>
  </si>
  <si>
    <t>FY21 Q1</t>
  </si>
  <si>
    <t>FY21 Q2</t>
  </si>
  <si>
    <t>FY21 Q3</t>
  </si>
  <si>
    <t>FY21 Q4</t>
  </si>
  <si>
    <t>Annual Oil Price ($/barrel)</t>
  </si>
  <si>
    <t>Quarterly Oil Price ($/barrel)</t>
  </si>
  <si>
    <t>FY2021</t>
  </si>
  <si>
    <t>FY2012 actual</t>
  </si>
  <si>
    <t>FY2013 actual</t>
  </si>
  <si>
    <t>FY2014 actual</t>
  </si>
  <si>
    <t>FY2015 actual</t>
  </si>
  <si>
    <t>Annual Oil Volumes (million barrels)</t>
  </si>
  <si>
    <t>Annual Natural Gas Price ($/barrel)</t>
  </si>
  <si>
    <t>Quarterly Natural Gas Price ($/barrel)</t>
  </si>
  <si>
    <t>Annual Natural Gas Volumes (million barrels)</t>
  </si>
  <si>
    <t>NATURAL GAS CREG FORECAST</t>
  </si>
  <si>
    <t>OIL CREG FORECAST</t>
  </si>
  <si>
    <t>FY18</t>
  </si>
  <si>
    <t>FY19</t>
  </si>
  <si>
    <t>FY20</t>
  </si>
  <si>
    <t>FY21</t>
  </si>
  <si>
    <t>Taxable Value</t>
  </si>
  <si>
    <t>FY2014  act</t>
  </si>
  <si>
    <t>FY2015 act</t>
  </si>
  <si>
    <t>FY2016 act</t>
  </si>
  <si>
    <t>FY2022</t>
  </si>
  <si>
    <t>FY2017 act</t>
  </si>
  <si>
    <t>FY22</t>
  </si>
  <si>
    <t>FY2018 prelim</t>
  </si>
  <si>
    <t>FY2023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</si>
</sst>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.0"/>
    <numFmt numFmtId="166" formatCode="_(* #,##0.0_);_(* \(#,##0.0\);_(* &quot;-&quot;??_);_(@_)"/>
    <numFmt numFmtId="167" formatCode="0.0%"/>
    <numFmt numFmtId="168" formatCode="&quot;$&quot;#,##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Thorndale AMT"/>
      <family val="1"/>
    </font>
    <font>
      <b/>
      <sz val="10"/>
      <color indexed="8"/>
      <name val="Thorndale AMT"/>
      <family val="1"/>
    </font>
    <font>
      <sz val="10"/>
      <name val="Thorndale AMT"/>
      <family val="1"/>
    </font>
    <font>
      <b/>
      <sz val="10"/>
      <name val="Thorndale AMT"/>
      <family val="1"/>
    </font>
    <font>
      <i/>
      <sz val="10"/>
      <name val="Arial"/>
      <family val="2"/>
    </font>
    <font>
      <b/>
      <i/>
      <sz val="10"/>
      <name val="Thorndale AMT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Thorndale AMT"/>
      <family val="1"/>
    </font>
    <font>
      <sz val="10"/>
      <color rgb="FF000000"/>
      <name val="Thorndale AMT"/>
      <family val="1"/>
    </font>
    <font>
      <b/>
      <u/>
      <sz val="10"/>
      <name val="Arial"/>
      <family val="2"/>
    </font>
    <font>
      <b/>
      <u/>
      <sz val="10"/>
      <name val="Thorndale AMT"/>
      <family val="1"/>
    </font>
    <font>
      <b/>
      <sz val="11"/>
      <name val="Arial"/>
      <family val="2"/>
    </font>
    <font>
      <i/>
      <sz val="10"/>
      <color indexed="8"/>
      <name val="Thorndale AMT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2">
    <xf numFmtId="0" fontId="0" fillId="0" borderId="0" xfId="0"/>
    <xf numFmtId="0" fontId="19" fillId="0" borderId="12" xfId="43" applyFont="1" applyBorder="1"/>
    <xf numFmtId="16" fontId="20" fillId="0" borderId="12" xfId="43" applyNumberFormat="1" applyFont="1" applyBorder="1" applyAlignment="1">
      <alignment horizontal="center" wrapText="1"/>
    </xf>
    <xf numFmtId="0" fontId="19" fillId="33" borderId="12" xfId="43" applyFont="1" applyFill="1" applyBorder="1"/>
    <xf numFmtId="0" fontId="19" fillId="34" borderId="12" xfId="43" applyFont="1" applyFill="1" applyBorder="1"/>
    <xf numFmtId="0" fontId="19" fillId="35" borderId="12" xfId="43" applyFont="1" applyFill="1" applyBorder="1"/>
    <xf numFmtId="0" fontId="18" fillId="0" borderId="12" xfId="43" applyBorder="1"/>
    <xf numFmtId="0" fontId="19" fillId="36" borderId="12" xfId="43" applyFont="1" applyFill="1" applyBorder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49" fontId="20" fillId="0" borderId="12" xfId="43" applyNumberFormat="1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49" fontId="20" fillId="0" borderId="12" xfId="4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23" fillId="0" borderId="12" xfId="44" applyNumberFormat="1" applyFont="1" applyFill="1" applyBorder="1" applyAlignment="1">
      <alignment horizontal="right"/>
    </xf>
    <xf numFmtId="164" fontId="23" fillId="33" borderId="12" xfId="44" applyNumberFormat="1" applyFont="1" applyFill="1" applyBorder="1" applyAlignment="1">
      <alignment horizontal="right"/>
    </xf>
    <xf numFmtId="164" fontId="23" fillId="34" borderId="12" xfId="44" applyNumberFormat="1" applyFont="1" applyFill="1" applyBorder="1" applyAlignment="1">
      <alignment horizontal="right"/>
    </xf>
    <xf numFmtId="164" fontId="23" fillId="36" borderId="12" xfId="44" applyNumberFormat="1" applyFont="1" applyFill="1" applyBorder="1" applyAlignment="1">
      <alignment horizontal="right"/>
    </xf>
    <xf numFmtId="164" fontId="24" fillId="35" borderId="12" xfId="44" applyNumberFormat="1" applyFont="1" applyFill="1" applyBorder="1" applyAlignment="1">
      <alignment horizontal="right"/>
    </xf>
    <xf numFmtId="165" fontId="23" fillId="0" borderId="12" xfId="43" applyNumberFormat="1" applyFont="1" applyBorder="1" applyAlignment="1">
      <alignment horizontal="right"/>
    </xf>
    <xf numFmtId="165" fontId="23" fillId="33" borderId="12" xfId="47" applyNumberFormat="1" applyFont="1" applyFill="1" applyBorder="1" applyAlignment="1">
      <alignment horizontal="right"/>
    </xf>
    <xf numFmtId="165" fontId="23" fillId="34" borderId="12" xfId="47" applyNumberFormat="1" applyFont="1" applyFill="1" applyBorder="1" applyAlignment="1">
      <alignment horizontal="right"/>
    </xf>
    <xf numFmtId="165" fontId="24" fillId="35" borderId="12" xfId="47" applyNumberFormat="1" applyFont="1" applyFill="1" applyBorder="1" applyAlignment="1">
      <alignment horizontal="right"/>
    </xf>
    <xf numFmtId="3" fontId="23" fillId="0" borderId="12" xfId="44" applyNumberFormat="1" applyFont="1" applyFill="1" applyBorder="1" applyAlignment="1">
      <alignment horizontal="right"/>
    </xf>
    <xf numFmtId="3" fontId="23" fillId="33" borderId="12" xfId="44" applyNumberFormat="1" applyFont="1" applyFill="1" applyBorder="1" applyAlignment="1">
      <alignment horizontal="right"/>
    </xf>
    <xf numFmtId="3" fontId="23" fillId="34" borderId="12" xfId="44" applyNumberFormat="1" applyFont="1" applyFill="1" applyBorder="1" applyAlignment="1">
      <alignment horizontal="right"/>
    </xf>
    <xf numFmtId="3" fontId="24" fillId="35" borderId="12" xfId="44" applyNumberFormat="1" applyFont="1" applyFill="1" applyBorder="1" applyAlignment="1">
      <alignment horizontal="right"/>
    </xf>
    <xf numFmtId="165" fontId="22" fillId="0" borderId="12" xfId="0" applyNumberFormat="1" applyFont="1" applyBorder="1" applyAlignment="1">
      <alignment horizontal="right" wrapText="1"/>
    </xf>
    <xf numFmtId="8" fontId="22" fillId="0" borderId="12" xfId="0" applyNumberFormat="1" applyFont="1" applyBorder="1" applyAlignment="1">
      <alignment horizontal="right" wrapText="1"/>
    </xf>
    <xf numFmtId="8" fontId="21" fillId="0" borderId="12" xfId="0" applyNumberFormat="1" applyFont="1" applyBorder="1" applyAlignment="1">
      <alignment horizontal="right" wrapText="1"/>
    </xf>
    <xf numFmtId="10" fontId="22" fillId="0" borderId="12" xfId="1" applyNumberFormat="1" applyFont="1" applyFill="1" applyBorder="1" applyAlignment="1" applyProtection="1">
      <alignment horizontal="right" wrapText="1"/>
    </xf>
    <xf numFmtId="8" fontId="22" fillId="0" borderId="15" xfId="0" applyNumberFormat="1" applyFont="1" applyBorder="1" applyAlignment="1">
      <alignment horizontal="right" wrapText="1"/>
    </xf>
    <xf numFmtId="0" fontId="16" fillId="0" borderId="12" xfId="0" applyFont="1" applyBorder="1" applyAlignment="1">
      <alignment horizontal="center" vertical="center" wrapText="1"/>
    </xf>
    <xf numFmtId="17" fontId="16" fillId="0" borderId="12" xfId="0" applyNumberFormat="1" applyFont="1" applyBorder="1" applyAlignment="1">
      <alignment horizontal="center" vertical="center" wrapText="1"/>
    </xf>
    <xf numFmtId="49" fontId="20" fillId="0" borderId="13" xfId="43" applyNumberFormat="1" applyFont="1" applyBorder="1" applyAlignment="1">
      <alignment horizontal="center" vertical="center"/>
    </xf>
    <xf numFmtId="0" fontId="25" fillId="35" borderId="12" xfId="43" applyFont="1" applyFill="1" applyBorder="1"/>
    <xf numFmtId="0" fontId="27" fillId="0" borderId="12" xfId="0" applyFont="1" applyBorder="1" applyAlignment="1">
      <alignment horizontal="center" vertical="center" wrapText="1"/>
    </xf>
    <xf numFmtId="0" fontId="28" fillId="0" borderId="0" xfId="0" applyFont="1"/>
    <xf numFmtId="8" fontId="29" fillId="0" borderId="15" xfId="0" applyNumberFormat="1" applyFont="1" applyBorder="1" applyAlignment="1">
      <alignment horizontal="right" wrapText="1"/>
    </xf>
    <xf numFmtId="165" fontId="29" fillId="0" borderId="12" xfId="0" applyNumberFormat="1" applyFont="1" applyBorder="1" applyAlignment="1">
      <alignment horizontal="right" wrapText="1"/>
    </xf>
    <xf numFmtId="17" fontId="27" fillId="0" borderId="12" xfId="0" applyNumberFormat="1" applyFont="1" applyBorder="1" applyAlignment="1">
      <alignment horizontal="center" vertical="center" wrapText="1"/>
    </xf>
    <xf numFmtId="164" fontId="23" fillId="0" borderId="12" xfId="56" applyNumberFormat="1" applyFont="1" applyFill="1" applyBorder="1" applyAlignment="1">
      <alignment horizontal="right"/>
    </xf>
    <xf numFmtId="0" fontId="18" fillId="33" borderId="12" xfId="43" applyFill="1" applyBorder="1"/>
    <xf numFmtId="164" fontId="23" fillId="33" borderId="12" xfId="56" applyNumberFormat="1" applyFont="1" applyFill="1" applyBorder="1" applyAlignment="1">
      <alignment horizontal="right"/>
    </xf>
    <xf numFmtId="0" fontId="18" fillId="34" borderId="12" xfId="43" applyFill="1" applyBorder="1"/>
    <xf numFmtId="164" fontId="23" fillId="34" borderId="12" xfId="56" applyNumberFormat="1" applyFont="1" applyFill="1" applyBorder="1" applyAlignment="1">
      <alignment horizontal="right"/>
    </xf>
    <xf numFmtId="0" fontId="18" fillId="36" borderId="12" xfId="43" applyFill="1" applyBorder="1"/>
    <xf numFmtId="164" fontId="23" fillId="36" borderId="12" xfId="56" applyNumberFormat="1" applyFont="1" applyFill="1" applyBorder="1" applyAlignment="1">
      <alignment horizontal="right"/>
    </xf>
    <xf numFmtId="0" fontId="18" fillId="35" borderId="12" xfId="43" applyFill="1" applyBorder="1"/>
    <xf numFmtId="164" fontId="24" fillId="35" borderId="12" xfId="56" applyNumberFormat="1" applyFont="1" applyFill="1" applyBorder="1" applyAlignment="1">
      <alignment horizontal="right"/>
    </xf>
    <xf numFmtId="164" fontId="26" fillId="35" borderId="12" xfId="56" applyNumberFormat="1" applyFont="1" applyFill="1" applyBorder="1" applyAlignment="1">
      <alignment horizontal="right"/>
    </xf>
    <xf numFmtId="165" fontId="23" fillId="33" borderId="12" xfId="57" applyNumberFormat="1" applyFont="1" applyFill="1" applyBorder="1" applyAlignment="1">
      <alignment horizontal="right"/>
    </xf>
    <xf numFmtId="165" fontId="23" fillId="34" borderId="12" xfId="57" applyNumberFormat="1" applyFont="1" applyFill="1" applyBorder="1" applyAlignment="1">
      <alignment horizontal="right"/>
    </xf>
    <xf numFmtId="165" fontId="24" fillId="35" borderId="12" xfId="57" applyNumberFormat="1" applyFont="1" applyFill="1" applyBorder="1" applyAlignment="1">
      <alignment horizontal="right"/>
    </xf>
    <xf numFmtId="165" fontId="26" fillId="35" borderId="12" xfId="57" applyNumberFormat="1" applyFont="1" applyFill="1" applyBorder="1" applyAlignment="1">
      <alignment horizontal="right"/>
    </xf>
    <xf numFmtId="3" fontId="23" fillId="0" borderId="12" xfId="56" applyNumberFormat="1" applyFont="1" applyFill="1" applyBorder="1" applyAlignment="1">
      <alignment horizontal="right"/>
    </xf>
    <xf numFmtId="3" fontId="23" fillId="33" borderId="12" xfId="56" applyNumberFormat="1" applyFont="1" applyFill="1" applyBorder="1" applyAlignment="1">
      <alignment horizontal="right"/>
    </xf>
    <xf numFmtId="3" fontId="23" fillId="34" borderId="12" xfId="56" applyNumberFormat="1" applyFont="1" applyFill="1" applyBorder="1" applyAlignment="1">
      <alignment horizontal="right"/>
    </xf>
    <xf numFmtId="3" fontId="24" fillId="35" borderId="12" xfId="56" applyNumberFormat="1" applyFont="1" applyFill="1" applyBorder="1" applyAlignment="1">
      <alignment horizontal="right"/>
    </xf>
    <xf numFmtId="3" fontId="26" fillId="35" borderId="12" xfId="56" applyNumberFormat="1" applyFont="1" applyFill="1" applyBorder="1" applyAlignment="1">
      <alignment horizontal="right"/>
    </xf>
    <xf numFmtId="0" fontId="25" fillId="0" borderId="12" xfId="43" applyFont="1" applyBorder="1"/>
    <xf numFmtId="164" fontId="26" fillId="0" borderId="12" xfId="44" applyNumberFormat="1" applyFont="1" applyFill="1" applyBorder="1" applyAlignment="1">
      <alignment horizontal="right"/>
    </xf>
    <xf numFmtId="165" fontId="26" fillId="0" borderId="12" xfId="47" applyNumberFormat="1" applyFont="1" applyBorder="1" applyAlignment="1">
      <alignment horizontal="right"/>
    </xf>
    <xf numFmtId="3" fontId="26" fillId="0" borderId="12" xfId="44" applyNumberFormat="1" applyFont="1" applyFill="1" applyBorder="1" applyAlignment="1">
      <alignment horizontal="right"/>
    </xf>
    <xf numFmtId="14" fontId="0" fillId="0" borderId="0" xfId="0" applyNumberFormat="1" applyAlignment="1">
      <alignment wrapText="1"/>
    </xf>
    <xf numFmtId="0" fontId="16" fillId="0" borderId="17" xfId="0" applyFont="1" applyBorder="1" applyAlignment="1">
      <alignment horizontal="center" vertical="center" wrapText="1"/>
    </xf>
    <xf numFmtId="17" fontId="27" fillId="0" borderId="18" xfId="0" applyNumberFormat="1" applyFont="1" applyBorder="1" applyAlignment="1">
      <alignment horizontal="center" vertical="center" wrapText="1"/>
    </xf>
    <xf numFmtId="0" fontId="20" fillId="0" borderId="18" xfId="43" applyFont="1" applyBorder="1" applyAlignment="1">
      <alignment horizontal="center"/>
    </xf>
    <xf numFmtId="10" fontId="22" fillId="0" borderId="18" xfId="1" applyNumberFormat="1" applyFont="1" applyFill="1" applyBorder="1" applyAlignment="1" applyProtection="1">
      <alignment horizontal="right" wrapText="1"/>
    </xf>
    <xf numFmtId="8" fontId="29" fillId="0" borderId="19" xfId="0" applyNumberFormat="1" applyFont="1" applyBorder="1" applyAlignment="1">
      <alignment horizontal="right" wrapText="1"/>
    </xf>
    <xf numFmtId="8" fontId="29" fillId="0" borderId="20" xfId="0" applyNumberFormat="1" applyFont="1" applyBorder="1" applyAlignment="1">
      <alignment horizontal="right" wrapText="1"/>
    </xf>
    <xf numFmtId="164" fontId="24" fillId="0" borderId="12" xfId="44" applyNumberFormat="1" applyFont="1" applyFill="1" applyBorder="1" applyAlignment="1">
      <alignment horizontal="right"/>
    </xf>
    <xf numFmtId="3" fontId="24" fillId="0" borderId="12" xfId="44" applyNumberFormat="1" applyFont="1" applyFill="1" applyBorder="1" applyAlignment="1">
      <alignment horizontal="right"/>
    </xf>
    <xf numFmtId="164" fontId="23" fillId="0" borderId="0" xfId="44" applyNumberFormat="1" applyFont="1" applyFill="1" applyBorder="1" applyAlignment="1">
      <alignment horizontal="right"/>
    </xf>
    <xf numFmtId="0" fontId="0" fillId="0" borderId="21" xfId="0" applyBorder="1"/>
    <xf numFmtId="165" fontId="23" fillId="33" borderId="14" xfId="47" applyNumberFormat="1" applyFont="1" applyFill="1" applyBorder="1" applyAlignment="1">
      <alignment horizontal="right"/>
    </xf>
    <xf numFmtId="0" fontId="16" fillId="0" borderId="21" xfId="0" applyFont="1" applyBorder="1" applyAlignment="1">
      <alignment horizontal="center" vertical="center" wrapText="1"/>
    </xf>
    <xf numFmtId="3" fontId="23" fillId="33" borderId="14" xfId="44" applyNumberFormat="1" applyFont="1" applyFill="1" applyBorder="1" applyAlignment="1">
      <alignment horizontal="right"/>
    </xf>
    <xf numFmtId="3" fontId="30" fillId="0" borderId="12" xfId="0" applyNumberFormat="1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165" fontId="21" fillId="0" borderId="12" xfId="0" applyNumberFormat="1" applyFont="1" applyBorder="1" applyAlignment="1">
      <alignment horizontal="right" wrapText="1"/>
    </xf>
    <xf numFmtId="164" fontId="26" fillId="0" borderId="12" xfId="56" applyNumberFormat="1" applyFont="1" applyFill="1" applyBorder="1" applyAlignment="1">
      <alignment horizontal="right"/>
    </xf>
    <xf numFmtId="165" fontId="26" fillId="0" borderId="12" xfId="57" applyNumberFormat="1" applyFont="1" applyBorder="1" applyAlignment="1">
      <alignment horizontal="right"/>
    </xf>
    <xf numFmtId="3" fontId="26" fillId="0" borderId="12" xfId="56" applyNumberFormat="1" applyFont="1" applyFill="1" applyBorder="1" applyAlignment="1">
      <alignment horizontal="right"/>
    </xf>
    <xf numFmtId="14" fontId="0" fillId="0" borderId="0" xfId="0" applyNumberFormat="1" applyAlignment="1">
      <alignment horizontal="center" vertical="center" wrapText="1"/>
    </xf>
    <xf numFmtId="0" fontId="0" fillId="0" borderId="17" xfId="0" applyBorder="1"/>
    <xf numFmtId="8" fontId="21" fillId="0" borderId="19" xfId="0" applyNumberFormat="1" applyFont="1" applyBorder="1" applyAlignment="1">
      <alignment horizontal="right" wrapText="1"/>
    </xf>
    <xf numFmtId="8" fontId="21" fillId="0" borderId="20" xfId="0" applyNumberFormat="1" applyFont="1" applyBorder="1" applyAlignment="1">
      <alignment horizontal="right" wrapText="1"/>
    </xf>
    <xf numFmtId="165" fontId="24" fillId="0" borderId="12" xfId="47" applyNumberFormat="1" applyFont="1" applyBorder="1" applyAlignment="1">
      <alignment horizontal="right"/>
    </xf>
    <xf numFmtId="14" fontId="0" fillId="0" borderId="0" xfId="0" applyNumberFormat="1" applyAlignment="1">
      <alignment horizontal="center" vertical="center"/>
    </xf>
    <xf numFmtId="166" fontId="29" fillId="0" borderId="12" xfId="64" applyNumberFormat="1" applyFont="1" applyFill="1" applyBorder="1" applyAlignment="1" applyProtection="1">
      <alignment horizontal="right" wrapText="1"/>
    </xf>
    <xf numFmtId="166" fontId="23" fillId="0" borderId="12" xfId="64" applyNumberFormat="1" applyFont="1" applyFill="1" applyBorder="1" applyAlignment="1">
      <alignment horizontal="right"/>
    </xf>
    <xf numFmtId="166" fontId="23" fillId="0" borderId="11" xfId="64" applyNumberFormat="1" applyFont="1" applyFill="1" applyBorder="1" applyAlignment="1">
      <alignment horizontal="right"/>
    </xf>
    <xf numFmtId="164" fontId="0" fillId="0" borderId="0" xfId="0" applyNumberFormat="1"/>
    <xf numFmtId="3" fontId="0" fillId="0" borderId="0" xfId="0" applyNumberFormat="1"/>
    <xf numFmtId="3" fontId="32" fillId="35" borderId="12" xfId="44" applyNumberFormat="1" applyFont="1" applyFill="1" applyBorder="1" applyAlignment="1">
      <alignment horizontal="right"/>
    </xf>
    <xf numFmtId="16" fontId="33" fillId="0" borderId="12" xfId="43" applyNumberFormat="1" applyFont="1" applyBorder="1" applyAlignment="1">
      <alignment horizontal="center" wrapText="1"/>
    </xf>
    <xf numFmtId="165" fontId="32" fillId="35" borderId="12" xfId="47" applyNumberFormat="1" applyFont="1" applyFill="1" applyBorder="1" applyAlignment="1">
      <alignment horizontal="right"/>
    </xf>
    <xf numFmtId="0" fontId="31" fillId="35" borderId="12" xfId="43" applyFont="1" applyFill="1" applyBorder="1"/>
    <xf numFmtId="164" fontId="32" fillId="35" borderId="12" xfId="44" applyNumberFormat="1" applyFont="1" applyFill="1" applyBorder="1" applyAlignment="1">
      <alignment horizontal="right"/>
    </xf>
    <xf numFmtId="0" fontId="18" fillId="36" borderId="12" xfId="43" applyFill="1" applyBorder="1" applyAlignment="1">
      <alignment horizontal="right"/>
    </xf>
    <xf numFmtId="0" fontId="18" fillId="0" borderId="12" xfId="43" applyBorder="1" applyAlignment="1">
      <alignment horizontal="right"/>
    </xf>
    <xf numFmtId="0" fontId="18" fillId="33" borderId="12" xfId="43" applyFill="1" applyBorder="1" applyAlignment="1">
      <alignment horizontal="right"/>
    </xf>
    <xf numFmtId="0" fontId="18" fillId="34" borderId="12" xfId="43" applyFill="1" applyBorder="1" applyAlignment="1">
      <alignment horizontal="right"/>
    </xf>
    <xf numFmtId="166" fontId="21" fillId="0" borderId="12" xfId="64" applyNumberFormat="1" applyFont="1" applyFill="1" applyBorder="1" applyAlignment="1" applyProtection="1">
      <alignment horizontal="right" wrapText="1"/>
    </xf>
    <xf numFmtId="10" fontId="21" fillId="0" borderId="12" xfId="1" applyNumberFormat="1" applyFont="1" applyFill="1" applyBorder="1" applyAlignment="1" applyProtection="1">
      <alignment horizontal="right" wrapText="1"/>
    </xf>
    <xf numFmtId="0" fontId="0" fillId="0" borderId="17" xfId="0" applyBorder="1" applyAlignment="1">
      <alignment wrapText="1"/>
    </xf>
    <xf numFmtId="17" fontId="16" fillId="0" borderId="18" xfId="0" applyNumberFormat="1" applyFont="1" applyBorder="1" applyAlignment="1">
      <alignment horizontal="center" vertical="center" wrapText="1"/>
    </xf>
    <xf numFmtId="14" fontId="0" fillId="0" borderId="21" xfId="0" applyNumberFormat="1" applyBorder="1" applyAlignment="1">
      <alignment wrapText="1"/>
    </xf>
    <xf numFmtId="165" fontId="23" fillId="0" borderId="12" xfId="47" applyNumberFormat="1" applyFont="1" applyBorder="1" applyAlignment="1">
      <alignment horizontal="right"/>
    </xf>
    <xf numFmtId="167" fontId="22" fillId="0" borderId="18" xfId="1" applyNumberFormat="1" applyFont="1" applyFill="1" applyBorder="1" applyAlignment="1" applyProtection="1">
      <alignment horizontal="right" wrapText="1"/>
    </xf>
    <xf numFmtId="3" fontId="30" fillId="0" borderId="12" xfId="0" applyNumberFormat="1" applyFont="1" applyBorder="1" applyAlignment="1">
      <alignment horizontal="right" vertical="center" wrapText="1"/>
    </xf>
    <xf numFmtId="167" fontId="0" fillId="0" borderId="0" xfId="1" applyNumberFormat="1" applyFont="1"/>
    <xf numFmtId="164" fontId="32" fillId="35" borderId="12" xfId="56" applyNumberFormat="1" applyFont="1" applyFill="1" applyBorder="1" applyAlignment="1">
      <alignment horizontal="right"/>
    </xf>
    <xf numFmtId="164" fontId="24" fillId="0" borderId="12" xfId="56" applyNumberFormat="1" applyFont="1" applyFill="1" applyBorder="1" applyAlignment="1">
      <alignment horizontal="right"/>
    </xf>
    <xf numFmtId="165" fontId="23" fillId="33" borderId="12" xfId="58" applyNumberFormat="1" applyFont="1" applyFill="1" applyBorder="1" applyAlignment="1">
      <alignment horizontal="right"/>
    </xf>
    <xf numFmtId="165" fontId="23" fillId="33" borderId="14" xfId="58" applyNumberFormat="1" applyFont="1" applyFill="1" applyBorder="1" applyAlignment="1">
      <alignment horizontal="right"/>
    </xf>
    <xf numFmtId="165" fontId="23" fillId="34" borderId="12" xfId="58" applyNumberFormat="1" applyFont="1" applyFill="1" applyBorder="1" applyAlignment="1">
      <alignment horizontal="right"/>
    </xf>
    <xf numFmtId="165" fontId="32" fillId="35" borderId="12" xfId="58" applyNumberFormat="1" applyFont="1" applyFill="1" applyBorder="1" applyAlignment="1">
      <alignment horizontal="right"/>
    </xf>
    <xf numFmtId="165" fontId="23" fillId="0" borderId="12" xfId="58" applyNumberFormat="1" applyFont="1" applyBorder="1" applyAlignment="1">
      <alignment horizontal="right"/>
    </xf>
    <xf numFmtId="165" fontId="24" fillId="0" borderId="12" xfId="58" applyNumberFormat="1" applyFont="1" applyBorder="1" applyAlignment="1">
      <alignment horizontal="right"/>
    </xf>
    <xf numFmtId="3" fontId="23" fillId="33" borderId="14" xfId="56" applyNumberFormat="1" applyFont="1" applyFill="1" applyBorder="1" applyAlignment="1">
      <alignment horizontal="right"/>
    </xf>
    <xf numFmtId="3" fontId="32" fillId="35" borderId="12" xfId="56" applyNumberFormat="1" applyFont="1" applyFill="1" applyBorder="1" applyAlignment="1">
      <alignment horizontal="right"/>
    </xf>
    <xf numFmtId="3" fontId="24" fillId="0" borderId="12" xfId="56" applyNumberFormat="1" applyFont="1" applyFill="1" applyBorder="1" applyAlignment="1">
      <alignment horizontal="right"/>
    </xf>
    <xf numFmtId="166" fontId="32" fillId="35" borderId="12" xfId="44" applyNumberFormat="1" applyFont="1" applyFill="1" applyBorder="1" applyAlignment="1">
      <alignment horizontal="right"/>
    </xf>
    <xf numFmtId="166" fontId="22" fillId="0" borderId="18" xfId="64" applyNumberFormat="1" applyFont="1" applyFill="1" applyBorder="1" applyAlignment="1" applyProtection="1">
      <alignment horizontal="right" wrapText="1"/>
    </xf>
    <xf numFmtId="167" fontId="16" fillId="0" borderId="17" xfId="1" applyNumberFormat="1" applyFont="1" applyBorder="1" applyAlignment="1">
      <alignment horizontal="center" vertical="center" wrapText="1"/>
    </xf>
    <xf numFmtId="43" fontId="0" fillId="0" borderId="0" xfId="0" applyNumberFormat="1"/>
    <xf numFmtId="166" fontId="28" fillId="0" borderId="17" xfId="64" applyNumberFormat="1" applyFont="1" applyBorder="1" applyAlignment="1">
      <alignment horizontal="center" vertical="center" wrapText="1"/>
    </xf>
    <xf numFmtId="8" fontId="34" fillId="0" borderId="19" xfId="0" applyNumberFormat="1" applyFont="1" applyBorder="1" applyAlignment="1">
      <alignment horizontal="right" wrapText="1"/>
    </xf>
    <xf numFmtId="3" fontId="0" fillId="0" borderId="21" xfId="0" applyNumberFormat="1" applyBorder="1" applyAlignment="1">
      <alignment horizontal="center" vertical="center" wrapText="1"/>
    </xf>
    <xf numFmtId="0" fontId="0" fillId="0" borderId="0" xfId="1" applyNumberFormat="1" applyFont="1"/>
    <xf numFmtId="16" fontId="35" fillId="0" borderId="12" xfId="43" applyNumberFormat="1" applyFont="1" applyBorder="1" applyAlignment="1">
      <alignment horizontal="center" wrapText="1"/>
    </xf>
    <xf numFmtId="0" fontId="36" fillId="0" borderId="12" xfId="43" applyFont="1" applyBorder="1"/>
    <xf numFmtId="0" fontId="36" fillId="36" borderId="12" xfId="43" applyFont="1" applyFill="1" applyBorder="1" applyAlignment="1">
      <alignment horizontal="right"/>
    </xf>
    <xf numFmtId="164" fontId="36" fillId="36" borderId="12" xfId="44" applyNumberFormat="1" applyFont="1" applyFill="1" applyBorder="1" applyAlignment="1">
      <alignment horizontal="right"/>
    </xf>
    <xf numFmtId="0" fontId="36" fillId="0" borderId="12" xfId="43" applyFont="1" applyBorder="1" applyAlignment="1">
      <alignment horizontal="right"/>
    </xf>
    <xf numFmtId="8" fontId="37" fillId="0" borderId="12" xfId="0" applyNumberFormat="1" applyFont="1" applyBorder="1" applyAlignment="1">
      <alignment horizontal="right" wrapText="1"/>
    </xf>
    <xf numFmtId="164" fontId="36" fillId="0" borderId="12" xfId="44" applyNumberFormat="1" applyFont="1" applyFill="1" applyBorder="1" applyAlignment="1">
      <alignment horizontal="right"/>
    </xf>
    <xf numFmtId="0" fontId="36" fillId="33" borderId="12" xfId="43" applyFont="1" applyFill="1" applyBorder="1" applyAlignment="1">
      <alignment horizontal="right"/>
    </xf>
    <xf numFmtId="164" fontId="36" fillId="33" borderId="12" xfId="44" applyNumberFormat="1" applyFont="1" applyFill="1" applyBorder="1" applyAlignment="1">
      <alignment horizontal="right"/>
    </xf>
    <xf numFmtId="0" fontId="36" fillId="34" borderId="12" xfId="43" applyFont="1" applyFill="1" applyBorder="1" applyAlignment="1">
      <alignment horizontal="right"/>
    </xf>
    <xf numFmtId="164" fontId="36" fillId="34" borderId="12" xfId="44" applyNumberFormat="1" applyFont="1" applyFill="1" applyBorder="1" applyAlignment="1">
      <alignment horizontal="right"/>
    </xf>
    <xf numFmtId="0" fontId="38" fillId="35" borderId="12" xfId="43" applyFont="1" applyFill="1" applyBorder="1"/>
    <xf numFmtId="164" fontId="38" fillId="35" borderId="12" xfId="44" applyNumberFormat="1" applyFont="1" applyFill="1" applyBorder="1" applyAlignment="1">
      <alignment horizontal="right"/>
    </xf>
    <xf numFmtId="164" fontId="35" fillId="0" borderId="12" xfId="44" applyNumberFormat="1" applyFont="1" applyFill="1" applyBorder="1" applyAlignment="1">
      <alignment horizontal="right"/>
    </xf>
    <xf numFmtId="10" fontId="39" fillId="0" borderId="12" xfId="1" applyNumberFormat="1" applyFont="1" applyFill="1" applyBorder="1" applyAlignment="1" applyProtection="1">
      <alignment horizontal="right" wrapText="1"/>
    </xf>
    <xf numFmtId="10" fontId="37" fillId="0" borderId="12" xfId="1" applyNumberFormat="1" applyFont="1" applyFill="1" applyBorder="1" applyAlignment="1" applyProtection="1">
      <alignment horizontal="right" wrapText="1"/>
    </xf>
    <xf numFmtId="166" fontId="37" fillId="0" borderId="12" xfId="64" applyNumberFormat="1" applyFont="1" applyFill="1" applyBorder="1" applyAlignment="1" applyProtection="1">
      <alignment horizontal="right" wrapText="1"/>
    </xf>
    <xf numFmtId="165" fontId="36" fillId="33" borderId="12" xfId="47" applyNumberFormat="1" applyFont="1" applyFill="1" applyBorder="1" applyAlignment="1">
      <alignment horizontal="right"/>
    </xf>
    <xf numFmtId="165" fontId="36" fillId="33" borderId="14" xfId="47" applyNumberFormat="1" applyFont="1" applyFill="1" applyBorder="1" applyAlignment="1">
      <alignment horizontal="right"/>
    </xf>
    <xf numFmtId="165" fontId="36" fillId="34" borderId="12" xfId="47" applyNumberFormat="1" applyFont="1" applyFill="1" applyBorder="1" applyAlignment="1">
      <alignment horizontal="right"/>
    </xf>
    <xf numFmtId="165" fontId="38" fillId="35" borderId="12" xfId="47" applyNumberFormat="1" applyFont="1" applyFill="1" applyBorder="1" applyAlignment="1">
      <alignment horizontal="right"/>
    </xf>
    <xf numFmtId="166" fontId="38" fillId="35" borderId="12" xfId="44" applyNumberFormat="1" applyFont="1" applyFill="1" applyBorder="1" applyAlignment="1">
      <alignment horizontal="right"/>
    </xf>
    <xf numFmtId="165" fontId="36" fillId="0" borderId="12" xfId="47" applyNumberFormat="1" applyFont="1" applyBorder="1" applyAlignment="1">
      <alignment horizontal="right"/>
    </xf>
    <xf numFmtId="165" fontId="35" fillId="0" borderId="12" xfId="47" applyNumberFormat="1" applyFont="1" applyBorder="1" applyAlignment="1">
      <alignment horizontal="right"/>
    </xf>
    <xf numFmtId="0" fontId="35" fillId="0" borderId="18" xfId="43" applyFont="1" applyBorder="1" applyAlignment="1">
      <alignment horizontal="center"/>
    </xf>
    <xf numFmtId="10" fontId="39" fillId="0" borderId="18" xfId="1" applyNumberFormat="1" applyFont="1" applyFill="1" applyBorder="1" applyAlignment="1" applyProtection="1">
      <alignment horizontal="right" wrapText="1"/>
    </xf>
    <xf numFmtId="8" fontId="40" fillId="0" borderId="19" xfId="0" applyNumberFormat="1" applyFont="1" applyBorder="1" applyAlignment="1">
      <alignment horizontal="right" wrapText="1"/>
    </xf>
    <xf numFmtId="8" fontId="37" fillId="0" borderId="19" xfId="0" applyNumberFormat="1" applyFont="1" applyBorder="1" applyAlignment="1">
      <alignment horizontal="right" wrapText="1"/>
    </xf>
    <xf numFmtId="3" fontId="36" fillId="0" borderId="12" xfId="44" applyNumberFormat="1" applyFont="1" applyFill="1" applyBorder="1" applyAlignment="1">
      <alignment horizontal="right"/>
    </xf>
    <xf numFmtId="3" fontId="41" fillId="0" borderId="12" xfId="0" applyNumberFormat="1" applyFont="1" applyBorder="1" applyAlignment="1">
      <alignment horizontal="right" vertical="center" wrapText="1"/>
    </xf>
    <xf numFmtId="3" fontId="36" fillId="33" borderId="14" xfId="44" applyNumberFormat="1" applyFont="1" applyFill="1" applyBorder="1" applyAlignment="1">
      <alignment horizontal="right"/>
    </xf>
    <xf numFmtId="3" fontId="36" fillId="34" borderId="12" xfId="44" applyNumberFormat="1" applyFont="1" applyFill="1" applyBorder="1" applyAlignment="1">
      <alignment horizontal="right"/>
    </xf>
    <xf numFmtId="3" fontId="38" fillId="35" borderId="12" xfId="44" applyNumberFormat="1" applyFont="1" applyFill="1" applyBorder="1" applyAlignment="1">
      <alignment horizontal="right"/>
    </xf>
    <xf numFmtId="3" fontId="35" fillId="0" borderId="12" xfId="44" applyNumberFormat="1" applyFont="1" applyFill="1" applyBorder="1" applyAlignment="1">
      <alignment horizontal="right"/>
    </xf>
    <xf numFmtId="0" fontId="39" fillId="0" borderId="12" xfId="1" applyNumberFormat="1" applyFont="1" applyFill="1" applyBorder="1" applyAlignment="1" applyProtection="1">
      <alignment horizontal="right" wrapText="1"/>
    </xf>
    <xf numFmtId="167" fontId="39" fillId="0" borderId="12" xfId="1" applyNumberFormat="1" applyFont="1" applyFill="1" applyBorder="1" applyAlignment="1" applyProtection="1">
      <alignment horizontal="right" wrapText="1"/>
    </xf>
    <xf numFmtId="167" fontId="37" fillId="0" borderId="12" xfId="1" applyNumberFormat="1" applyFont="1" applyFill="1" applyBorder="1" applyAlignment="1" applyProtection="1">
      <alignment horizontal="right" wrapText="1"/>
    </xf>
    <xf numFmtId="164" fontId="38" fillId="35" borderId="22" xfId="44" applyNumberFormat="1" applyFont="1" applyFill="1" applyBorder="1" applyAlignment="1">
      <alignment horizontal="right"/>
    </xf>
    <xf numFmtId="164" fontId="36" fillId="39" borderId="12" xfId="44" applyNumberFormat="1" applyFont="1" applyFill="1" applyBorder="1" applyAlignment="1">
      <alignment horizontal="right"/>
    </xf>
    <xf numFmtId="44" fontId="0" fillId="0" borderId="0" xfId="65" applyFont="1"/>
    <xf numFmtId="17" fontId="16" fillId="0" borderId="0" xfId="0" applyNumberFormat="1" applyFont="1" applyAlignment="1">
      <alignment horizontal="center" vertical="center" wrapText="1"/>
    </xf>
    <xf numFmtId="0" fontId="35" fillId="0" borderId="0" xfId="43" applyFont="1" applyAlignment="1">
      <alignment horizontal="center"/>
    </xf>
    <xf numFmtId="10" fontId="39" fillId="0" borderId="0" xfId="1" applyNumberFormat="1" applyFont="1" applyFill="1" applyBorder="1" applyAlignment="1" applyProtection="1">
      <alignment horizontal="right" wrapText="1"/>
    </xf>
    <xf numFmtId="17" fontId="16" fillId="0" borderId="12" xfId="0" applyNumberFormat="1" applyFont="1" applyBorder="1" applyAlignment="1">
      <alignment vertical="center" wrapText="1"/>
    </xf>
    <xf numFmtId="17" fontId="0" fillId="0" borderId="12" xfId="0" applyNumberFormat="1" applyBorder="1" applyAlignment="1">
      <alignment vertical="center" wrapText="1"/>
    </xf>
    <xf numFmtId="166" fontId="37" fillId="36" borderId="12" xfId="64" applyNumberFormat="1" applyFont="1" applyFill="1" applyBorder="1" applyAlignment="1" applyProtection="1">
      <alignment horizontal="right" wrapText="1"/>
    </xf>
    <xf numFmtId="0" fontId="35" fillId="35" borderId="12" xfId="43" applyFont="1" applyFill="1" applyBorder="1"/>
    <xf numFmtId="165" fontId="35" fillId="35" borderId="12" xfId="47" applyNumberFormat="1" applyFont="1" applyFill="1" applyBorder="1" applyAlignment="1">
      <alignment horizontal="right"/>
    </xf>
    <xf numFmtId="166" fontId="35" fillId="35" borderId="12" xfId="44" applyNumberFormat="1" applyFont="1" applyFill="1" applyBorder="1" applyAlignment="1">
      <alignment horizontal="right"/>
    </xf>
    <xf numFmtId="164" fontId="35" fillId="35" borderId="12" xfId="44" applyNumberFormat="1" applyFont="1" applyFill="1" applyBorder="1" applyAlignment="1">
      <alignment horizontal="right"/>
    </xf>
    <xf numFmtId="0" fontId="0" fillId="0" borderId="21" xfId="0" applyBorder="1" applyAlignment="1">
      <alignment wrapText="1"/>
    </xf>
    <xf numFmtId="8" fontId="40" fillId="0" borderId="23" xfId="0" applyNumberFormat="1" applyFont="1" applyBorder="1" applyAlignment="1">
      <alignment horizontal="right" wrapText="1"/>
    </xf>
    <xf numFmtId="0" fontId="16" fillId="0" borderId="0" xfId="0" applyFont="1"/>
    <xf numFmtId="168" fontId="38" fillId="35" borderId="22" xfId="44" applyNumberFormat="1" applyFont="1" applyFill="1" applyBorder="1" applyAlignment="1">
      <alignment horizontal="right"/>
    </xf>
    <xf numFmtId="164" fontId="38" fillId="39" borderId="12" xfId="44" applyNumberFormat="1" applyFont="1" applyFill="1" applyBorder="1" applyAlignment="1">
      <alignment horizontal="right"/>
    </xf>
    <xf numFmtId="16" fontId="35" fillId="0" borderId="0" xfId="43" applyNumberFormat="1" applyFont="1" applyAlignment="1">
      <alignment horizontal="center" wrapText="1"/>
    </xf>
    <xf numFmtId="164" fontId="36" fillId="0" borderId="0" xfId="44" applyNumberFormat="1" applyFont="1" applyFill="1" applyBorder="1" applyAlignment="1">
      <alignment horizontal="right"/>
    </xf>
    <xf numFmtId="164" fontId="36" fillId="0" borderId="22" xfId="44" applyNumberFormat="1" applyFont="1" applyFill="1" applyBorder="1" applyAlignment="1">
      <alignment horizontal="right"/>
    </xf>
    <xf numFmtId="166" fontId="37" fillId="0" borderId="0" xfId="64" applyNumberFormat="1" applyFont="1" applyFill="1" applyBorder="1" applyAlignment="1" applyProtection="1">
      <alignment horizontal="right" wrapText="1"/>
    </xf>
    <xf numFmtId="165" fontId="36" fillId="0" borderId="0" xfId="47" applyNumberFormat="1" applyFont="1" applyAlignment="1">
      <alignment horizontal="right"/>
    </xf>
    <xf numFmtId="165" fontId="35" fillId="0" borderId="0" xfId="47" applyNumberFormat="1" applyFont="1" applyAlignment="1">
      <alignment horizontal="right"/>
    </xf>
    <xf numFmtId="167" fontId="39" fillId="0" borderId="0" xfId="1" applyNumberFormat="1" applyFont="1" applyFill="1" applyBorder="1" applyAlignment="1" applyProtection="1">
      <alignment horizontal="right" wrapText="1"/>
    </xf>
    <xf numFmtId="167" fontId="37" fillId="0" borderId="0" xfId="1" applyNumberFormat="1" applyFont="1" applyFill="1" applyBorder="1" applyAlignment="1" applyProtection="1">
      <alignment horizontal="right" wrapText="1"/>
    </xf>
    <xf numFmtId="10" fontId="37" fillId="0" borderId="0" xfId="1" applyNumberFormat="1" applyFont="1" applyFill="1" applyBorder="1" applyAlignment="1" applyProtection="1">
      <alignment horizontal="right" wrapText="1"/>
    </xf>
    <xf numFmtId="8" fontId="40" fillId="0" borderId="0" xfId="0" applyNumberFormat="1" applyFont="1" applyAlignment="1">
      <alignment horizontal="right" wrapText="1"/>
    </xf>
    <xf numFmtId="8" fontId="37" fillId="0" borderId="0" xfId="0" applyNumberFormat="1" applyFont="1" applyAlignment="1">
      <alignment horizontal="right" wrapText="1"/>
    </xf>
    <xf numFmtId="3" fontId="36" fillId="0" borderId="0" xfId="44" applyNumberFormat="1" applyFont="1" applyFill="1" applyBorder="1" applyAlignment="1">
      <alignment horizontal="right"/>
    </xf>
    <xf numFmtId="3" fontId="35" fillId="0" borderId="0" xfId="44" applyNumberFormat="1" applyFont="1" applyFill="1" applyBorder="1" applyAlignment="1">
      <alignment horizontal="right"/>
    </xf>
    <xf numFmtId="164" fontId="38" fillId="0" borderId="0" xfId="44" applyNumberFormat="1" applyFont="1" applyFill="1" applyBorder="1" applyAlignment="1">
      <alignment horizontal="right"/>
    </xf>
    <xf numFmtId="166" fontId="38" fillId="0" borderId="0" xfId="44" applyNumberFormat="1" applyFont="1" applyFill="1" applyBorder="1" applyAlignment="1">
      <alignment horizontal="right"/>
    </xf>
    <xf numFmtId="3" fontId="41" fillId="0" borderId="0" xfId="0" applyNumberFormat="1" applyFont="1" applyAlignment="1">
      <alignment horizontal="right" vertical="center" wrapText="1"/>
    </xf>
    <xf numFmtId="3" fontId="38" fillId="0" borderId="0" xfId="44" applyNumberFormat="1" applyFont="1" applyFill="1" applyBorder="1" applyAlignment="1">
      <alignment horizontal="right"/>
    </xf>
    <xf numFmtId="0" fontId="16" fillId="37" borderId="16" xfId="0" applyFont="1" applyFill="1" applyBorder="1" applyAlignment="1">
      <alignment vertical="center" wrapText="1"/>
    </xf>
    <xf numFmtId="0" fontId="16" fillId="37" borderId="14" xfId="0" applyFont="1" applyFill="1" applyBorder="1" applyAlignment="1">
      <alignment vertical="center" wrapText="1"/>
    </xf>
    <xf numFmtId="165" fontId="38" fillId="35" borderId="12" xfId="44" applyNumberFormat="1" applyFont="1" applyFill="1" applyBorder="1" applyAlignment="1">
      <alignment horizontal="right"/>
    </xf>
    <xf numFmtId="43" fontId="39" fillId="0" borderId="0" xfId="64" applyFont="1" applyFill="1" applyBorder="1" applyAlignment="1" applyProtection="1">
      <alignment horizontal="right" wrapText="1"/>
    </xf>
    <xf numFmtId="4" fontId="36" fillId="0" borderId="0" xfId="47" applyNumberFormat="1" applyFont="1" applyAlignment="1">
      <alignment horizontal="right"/>
    </xf>
    <xf numFmtId="166" fontId="38" fillId="35" borderId="12" xfId="64" applyNumberFormat="1" applyFont="1" applyFill="1" applyBorder="1" applyAlignment="1">
      <alignment horizontal="right"/>
    </xf>
    <xf numFmtId="164" fontId="36" fillId="40" borderId="12" xfId="44" applyNumberFormat="1" applyFont="1" applyFill="1" applyBorder="1" applyAlignment="1">
      <alignment horizontal="right"/>
    </xf>
    <xf numFmtId="0" fontId="16" fillId="0" borderId="12" xfId="0" applyFont="1" applyBorder="1" applyAlignment="1">
      <alignment horizontal="center" vertical="center" wrapText="1"/>
    </xf>
    <xf numFmtId="17" fontId="16" fillId="0" borderId="12" xfId="0" applyNumberFormat="1" applyFont="1" applyBorder="1" applyAlignment="1">
      <alignment horizontal="center" vertical="center" wrapText="1"/>
    </xf>
    <xf numFmtId="49" fontId="20" fillId="0" borderId="13" xfId="43" applyNumberFormat="1" applyFont="1" applyBorder="1" applyAlignment="1">
      <alignment horizontal="center" vertical="center"/>
    </xf>
    <xf numFmtId="49" fontId="20" fillId="0" borderId="14" xfId="43" applyNumberFormat="1" applyFont="1" applyBorder="1" applyAlignment="1">
      <alignment horizontal="center" vertical="center"/>
    </xf>
    <xf numFmtId="0" fontId="20" fillId="0" borderId="11" xfId="43" applyFont="1" applyBorder="1" applyAlignment="1">
      <alignment horizontal="center"/>
    </xf>
    <xf numFmtId="0" fontId="20" fillId="0" borderId="10" xfId="43" applyFont="1" applyBorder="1" applyAlignment="1">
      <alignment horizont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7" borderId="16" xfId="0" applyFont="1" applyFill="1" applyBorder="1" applyAlignment="1">
      <alignment horizontal="center" vertical="center" wrapText="1"/>
    </xf>
    <xf numFmtId="0" fontId="16" fillId="37" borderId="14" xfId="0" applyFont="1" applyFill="1" applyBorder="1" applyAlignment="1">
      <alignment horizontal="center" vertical="center" wrapText="1"/>
    </xf>
    <xf numFmtId="0" fontId="18" fillId="0" borderId="11" xfId="43" applyBorder="1" applyAlignment="1">
      <alignment horizontal="center"/>
    </xf>
    <xf numFmtId="0" fontId="18" fillId="0" borderId="10" xfId="43" applyBorder="1" applyAlignment="1">
      <alignment horizontal="center"/>
    </xf>
    <xf numFmtId="0" fontId="16" fillId="38" borderId="13" xfId="0" applyFont="1" applyFill="1" applyBorder="1" applyAlignment="1">
      <alignment horizontal="center" vertical="center" wrapText="1"/>
    </xf>
    <xf numFmtId="0" fontId="16" fillId="38" borderId="16" xfId="0" applyFont="1" applyFill="1" applyBorder="1" applyAlignment="1">
      <alignment horizontal="center" vertical="center" wrapText="1"/>
    </xf>
    <xf numFmtId="0" fontId="16" fillId="38" borderId="14" xfId="0" applyFont="1" applyFill="1" applyBorder="1" applyAlignment="1">
      <alignment horizontal="center" vertical="center" wrapText="1"/>
    </xf>
    <xf numFmtId="0" fontId="16" fillId="38" borderId="12" xfId="0" applyFont="1" applyFill="1" applyBorder="1" applyAlignment="1">
      <alignment horizontal="center" vertical="center" wrapText="1"/>
    </xf>
    <xf numFmtId="0" fontId="35" fillId="0" borderId="11" xfId="43" applyFont="1" applyBorder="1" applyAlignment="1">
      <alignment horizontal="center"/>
    </xf>
    <xf numFmtId="0" fontId="35" fillId="0" borderId="10" xfId="43" applyFont="1" applyBorder="1" applyAlignment="1">
      <alignment horizontal="center"/>
    </xf>
    <xf numFmtId="0" fontId="36" fillId="0" borderId="11" xfId="43" applyFont="1" applyBorder="1" applyAlignment="1">
      <alignment horizontal="center"/>
    </xf>
    <xf numFmtId="0" fontId="36" fillId="0" borderId="10" xfId="43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7" fontId="16" fillId="35" borderId="12" xfId="0" applyNumberFormat="1" applyFont="1" applyFill="1" applyBorder="1" applyAlignment="1">
      <alignment horizontal="center" vertical="center" wrapText="1"/>
    </xf>
    <xf numFmtId="0" fontId="16" fillId="35" borderId="12" xfId="0" applyFont="1" applyFill="1" applyBorder="1" applyAlignment="1">
      <alignment horizontal="center" vertical="center" wrapText="1"/>
    </xf>
    <xf numFmtId="0" fontId="35" fillId="0" borderId="12" xfId="43" applyFont="1" applyBorder="1" applyAlignment="1">
      <alignment horizontal="center"/>
    </xf>
    <xf numFmtId="0" fontId="16" fillId="37" borderId="21" xfId="0" applyFont="1" applyFill="1" applyBorder="1" applyAlignment="1">
      <alignment horizontal="center" vertical="center" wrapText="1"/>
    </xf>
    <xf numFmtId="0" fontId="16" fillId="37" borderId="0" xfId="0" applyFont="1" applyFill="1" applyAlignment="1">
      <alignment horizontal="center" vertical="center" wrapText="1"/>
    </xf>
    <xf numFmtId="17" fontId="16" fillId="0" borderId="24" xfId="0" applyNumberFormat="1" applyFont="1" applyBorder="1" applyAlignment="1">
      <alignment horizontal="center" vertical="center" wrapText="1"/>
    </xf>
    <xf numFmtId="17" fontId="16" fillId="0" borderId="25" xfId="0" applyNumberFormat="1" applyFont="1" applyBorder="1" applyAlignment="1">
      <alignment horizontal="center" vertical="center" wrapText="1"/>
    </xf>
    <xf numFmtId="17" fontId="16" fillId="0" borderId="26" xfId="0" applyNumberFormat="1" applyFont="1" applyBorder="1" applyAlignment="1">
      <alignment horizontal="center" vertical="center" wrapText="1"/>
    </xf>
  </cellXfs>
  <cellStyles count="6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64" builtinId="3"/>
    <cellStyle name="Comma 2" xfId="44" xr:uid="{00000000-0005-0000-0000-00001C000000}"/>
    <cellStyle name="Comma 2 2" xfId="56" xr:uid="{00000000-0005-0000-0000-00001D000000}"/>
    <cellStyle name="Currency" xfId="65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7" xr:uid="{00000000-0005-0000-0000-000029000000}"/>
    <cellStyle name="Normal 2 2" xfId="45" xr:uid="{00000000-0005-0000-0000-00002A000000}"/>
    <cellStyle name="Normal 2 2 2" xfId="58" xr:uid="{00000000-0005-0000-0000-00002B000000}"/>
    <cellStyle name="Normal 2 3" xfId="57" xr:uid="{00000000-0005-0000-0000-00002C000000}"/>
    <cellStyle name="Normal 3" xfId="46" xr:uid="{00000000-0005-0000-0000-00002D000000}"/>
    <cellStyle name="Normal 3 2" xfId="59" xr:uid="{00000000-0005-0000-0000-00002E000000}"/>
    <cellStyle name="Normal 4" xfId="48" xr:uid="{00000000-0005-0000-0000-00002F000000}"/>
    <cellStyle name="Normal 4 2" xfId="53" xr:uid="{00000000-0005-0000-0000-000030000000}"/>
    <cellStyle name="Normal 4 3" xfId="54" xr:uid="{00000000-0005-0000-0000-000031000000}"/>
    <cellStyle name="Normal 4 4" xfId="55" xr:uid="{00000000-0005-0000-0000-000032000000}"/>
    <cellStyle name="Normal 5" xfId="43" xr:uid="{00000000-0005-0000-0000-000033000000}"/>
    <cellStyle name="Note" xfId="16" builtinId="10" customBuiltin="1"/>
    <cellStyle name="Output" xfId="11" builtinId="21" customBuiltin="1"/>
    <cellStyle name="Percent" xfId="1" builtinId="5"/>
    <cellStyle name="Percent 2" xfId="49" xr:uid="{00000000-0005-0000-0000-000037000000}"/>
    <cellStyle name="Percent 2 2" xfId="50" xr:uid="{00000000-0005-0000-0000-000038000000}"/>
    <cellStyle name="Percent 2 2 2" xfId="61" xr:uid="{00000000-0005-0000-0000-000039000000}"/>
    <cellStyle name="Percent 2 3" xfId="60" xr:uid="{00000000-0005-0000-0000-00003A000000}"/>
    <cellStyle name="Percent 3" xfId="51" xr:uid="{00000000-0005-0000-0000-00003B000000}"/>
    <cellStyle name="Percent 3 2" xfId="62" xr:uid="{00000000-0005-0000-0000-00003C000000}"/>
    <cellStyle name="Percent 4" xfId="52" xr:uid="{00000000-0005-0000-0000-00003D000000}"/>
    <cellStyle name="Percent 4 2" xfId="63" xr:uid="{00000000-0005-0000-0000-00003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"/>
  <sheetViews>
    <sheetView workbookViewId="0"/>
  </sheetViews>
  <sheetFormatPr defaultRowHeight="15"/>
  <cols>
    <col min="1" max="1" width="9.5703125" style="9" customWidth="1"/>
    <col min="2" max="2" width="9.42578125" style="13" customWidth="1"/>
    <col min="3" max="3" width="7.5703125" customWidth="1"/>
    <col min="4" max="9" width="12.42578125" customWidth="1"/>
  </cols>
  <sheetData>
    <row r="1" spans="1:9">
      <c r="A1" s="8"/>
      <c r="B1" s="11"/>
      <c r="C1" s="1"/>
      <c r="D1" s="2" t="s">
        <v>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>
      <c r="A2" s="211" t="s">
        <v>10</v>
      </c>
      <c r="B2" s="10" t="s">
        <v>11</v>
      </c>
      <c r="C2" s="10"/>
      <c r="D2" s="28">
        <v>89.67</v>
      </c>
      <c r="E2" s="28">
        <v>88.25</v>
      </c>
      <c r="F2" s="28">
        <v>91.55</v>
      </c>
      <c r="G2" s="28">
        <v>87.82</v>
      </c>
      <c r="H2" s="28">
        <v>84.87</v>
      </c>
      <c r="I2" s="28">
        <v>82.61</v>
      </c>
    </row>
    <row r="3" spans="1:9" ht="15" customHeight="1">
      <c r="A3" s="211"/>
      <c r="B3" s="212">
        <v>41244</v>
      </c>
      <c r="C3" s="1" t="s">
        <v>2</v>
      </c>
      <c r="D3" s="29">
        <v>89.68</v>
      </c>
      <c r="E3" s="14">
        <v>84.37</v>
      </c>
      <c r="F3" s="14">
        <v>84.53</v>
      </c>
      <c r="G3" s="14">
        <v>83.29</v>
      </c>
      <c r="H3" s="14">
        <v>82.09</v>
      </c>
      <c r="I3" s="14">
        <v>81.56</v>
      </c>
    </row>
    <row r="4" spans="1:9">
      <c r="A4" s="211"/>
      <c r="B4" s="211"/>
      <c r="C4" s="3" t="s">
        <v>0</v>
      </c>
      <c r="D4" s="15">
        <v>89.640506965377526</v>
      </c>
      <c r="E4" s="15">
        <v>87.25</v>
      </c>
      <c r="F4" s="15">
        <v>86.75</v>
      </c>
      <c r="G4" s="15">
        <v>87</v>
      </c>
      <c r="H4" s="15">
        <v>86.5</v>
      </c>
      <c r="I4" s="15">
        <v>87.5</v>
      </c>
    </row>
    <row r="5" spans="1:9">
      <c r="A5" s="211"/>
      <c r="B5" s="211"/>
      <c r="C5" s="4" t="s">
        <v>3</v>
      </c>
      <c r="D5" s="16">
        <v>90.03</v>
      </c>
      <c r="E5" s="16">
        <v>84.63</v>
      </c>
      <c r="F5" s="16">
        <v>85.43</v>
      </c>
      <c r="G5" s="16">
        <v>83.44</v>
      </c>
      <c r="H5" s="16">
        <v>82.47</v>
      </c>
      <c r="I5" s="16">
        <v>84.05</v>
      </c>
    </row>
    <row r="6" spans="1:9">
      <c r="A6" s="211"/>
      <c r="B6" s="211"/>
      <c r="C6" s="7" t="s">
        <v>4</v>
      </c>
      <c r="D6" s="17">
        <v>89.64</v>
      </c>
      <c r="E6" s="17">
        <v>84.02</v>
      </c>
      <c r="F6" s="17">
        <v>84.38</v>
      </c>
      <c r="G6" s="17">
        <v>80.94</v>
      </c>
      <c r="H6" s="17">
        <v>79.55</v>
      </c>
      <c r="I6" s="17">
        <v>82.47</v>
      </c>
    </row>
    <row r="7" spans="1:9">
      <c r="A7" s="211"/>
      <c r="B7" s="211"/>
      <c r="C7" s="5" t="s">
        <v>1</v>
      </c>
      <c r="D7" s="18">
        <v>89.640506965377526</v>
      </c>
      <c r="E7" s="18">
        <v>85</v>
      </c>
      <c r="F7" s="18">
        <v>84.75</v>
      </c>
      <c r="G7" s="18">
        <v>83.5</v>
      </c>
      <c r="H7" s="18">
        <v>82.5</v>
      </c>
      <c r="I7" s="18">
        <v>83</v>
      </c>
    </row>
    <row r="8" spans="1:9">
      <c r="A8" s="211"/>
      <c r="B8" s="211"/>
      <c r="C8" s="211"/>
      <c r="D8" s="211"/>
      <c r="E8" s="211"/>
      <c r="F8" s="211"/>
      <c r="G8" s="211"/>
      <c r="H8" s="211"/>
      <c r="I8" s="211"/>
    </row>
    <row r="9" spans="1:9">
      <c r="A9" s="211" t="s">
        <v>12</v>
      </c>
      <c r="B9" s="213" t="s">
        <v>11</v>
      </c>
      <c r="C9" s="1"/>
      <c r="D9" s="27">
        <v>80.099999999999994</v>
      </c>
      <c r="E9" s="27">
        <v>88.716505999999995</v>
      </c>
      <c r="F9" s="27">
        <v>94.713673999999997</v>
      </c>
      <c r="G9" s="27">
        <v>100.61603599999999</v>
      </c>
      <c r="H9" s="27">
        <v>106.51839699999999</v>
      </c>
      <c r="I9" s="27">
        <v>112.420759</v>
      </c>
    </row>
    <row r="10" spans="1:9">
      <c r="A10" s="211"/>
      <c r="B10" s="214"/>
      <c r="C10" s="215" t="s">
        <v>16</v>
      </c>
      <c r="D10" s="216"/>
      <c r="E10" s="30">
        <f>(E9-D9)/D9</f>
        <v>0.10757186017478154</v>
      </c>
      <c r="F10" s="30">
        <f>(F9-E9)/E9</f>
        <v>6.7599235704796604E-2</v>
      </c>
      <c r="G10" s="30">
        <f>(G9-F9)/F9</f>
        <v>6.2317949993155125E-2</v>
      </c>
      <c r="H10" s="30">
        <f>(H9-G9)/G9</f>
        <v>5.8662229547584238E-2</v>
      </c>
      <c r="I10" s="30">
        <f>(I9-H9)/H9</f>
        <v>5.541166752631483E-2</v>
      </c>
    </row>
    <row r="11" spans="1:9" ht="15" customHeight="1">
      <c r="A11" s="211"/>
      <c r="B11" s="212">
        <v>41244</v>
      </c>
      <c r="C11" s="1" t="s">
        <v>2</v>
      </c>
      <c r="D11" s="19">
        <v>79.7</v>
      </c>
      <c r="E11" s="19">
        <v>82.3</v>
      </c>
      <c r="F11" s="19">
        <v>84.9</v>
      </c>
      <c r="G11" s="19">
        <v>87</v>
      </c>
      <c r="H11" s="19">
        <v>88.6</v>
      </c>
      <c r="I11" s="19">
        <v>89.7</v>
      </c>
    </row>
    <row r="12" spans="1:9">
      <c r="A12" s="211"/>
      <c r="B12" s="211"/>
      <c r="C12" s="1" t="s">
        <v>2</v>
      </c>
      <c r="D12" s="19">
        <v>79.7</v>
      </c>
      <c r="E12" s="19">
        <v>86.3</v>
      </c>
      <c r="F12" s="19">
        <v>92.2</v>
      </c>
      <c r="G12" s="19">
        <v>98</v>
      </c>
      <c r="H12" s="19">
        <v>103.7</v>
      </c>
      <c r="I12" s="19">
        <v>109.5</v>
      </c>
    </row>
    <row r="13" spans="1:9">
      <c r="A13" s="211"/>
      <c r="B13" s="211"/>
      <c r="C13" s="3" t="s">
        <v>0</v>
      </c>
      <c r="D13" s="20">
        <v>79.694266000000013</v>
      </c>
      <c r="E13" s="20">
        <v>83.678979300000023</v>
      </c>
      <c r="F13" s="20">
        <v>87.026138472000028</v>
      </c>
      <c r="G13" s="20">
        <v>89.636922626160029</v>
      </c>
      <c r="H13" s="20">
        <v>91.429661078683225</v>
      </c>
      <c r="I13" s="20">
        <v>92.343957689470059</v>
      </c>
    </row>
    <row r="14" spans="1:9">
      <c r="A14" s="211"/>
      <c r="B14" s="211"/>
      <c r="C14" s="4" t="s">
        <v>3</v>
      </c>
      <c r="D14" s="21">
        <v>79.7</v>
      </c>
      <c r="E14" s="21">
        <v>84.2</v>
      </c>
      <c r="F14" s="21">
        <v>89.5</v>
      </c>
      <c r="G14" s="21">
        <v>95.1</v>
      </c>
      <c r="H14" s="21">
        <v>100.8</v>
      </c>
      <c r="I14" s="21">
        <v>100.8</v>
      </c>
    </row>
    <row r="15" spans="1:9">
      <c r="A15" s="211"/>
      <c r="B15" s="211"/>
      <c r="C15" s="5" t="s">
        <v>1</v>
      </c>
      <c r="D15" s="22">
        <v>79.7</v>
      </c>
      <c r="E15" s="22">
        <v>84.119744824999998</v>
      </c>
      <c r="F15" s="22">
        <v>88.406534618000009</v>
      </c>
      <c r="G15" s="22">
        <v>92.434230656539995</v>
      </c>
      <c r="H15" s="22">
        <v>96.132415269670815</v>
      </c>
      <c r="I15" s="22">
        <v>97.6</v>
      </c>
    </row>
    <row r="16" spans="1:9">
      <c r="A16" s="211"/>
      <c r="B16" s="211"/>
      <c r="C16" s="211"/>
      <c r="D16" s="211"/>
      <c r="E16" s="211"/>
      <c r="F16" s="211"/>
      <c r="G16" s="211"/>
      <c r="H16" s="211"/>
      <c r="I16" s="211"/>
    </row>
    <row r="17" spans="1:9">
      <c r="A17" s="211" t="s">
        <v>13</v>
      </c>
      <c r="B17" s="12" t="s">
        <v>11</v>
      </c>
      <c r="C17" s="1"/>
      <c r="D17" s="31">
        <v>5</v>
      </c>
      <c r="E17" s="31">
        <v>4.8</v>
      </c>
      <c r="F17" s="31">
        <v>5.5</v>
      </c>
      <c r="G17" s="31">
        <v>5.6</v>
      </c>
      <c r="H17" s="31">
        <v>5.62</v>
      </c>
      <c r="I17" s="31">
        <v>5.67</v>
      </c>
    </row>
    <row r="18" spans="1:9">
      <c r="A18" s="211"/>
      <c r="B18" s="212" t="s">
        <v>15</v>
      </c>
      <c r="C18" s="1" t="s">
        <v>2</v>
      </c>
      <c r="D18" s="14">
        <v>5.0199999999999996</v>
      </c>
      <c r="E18" s="14">
        <v>4.91</v>
      </c>
      <c r="F18" s="14">
        <v>5.58</v>
      </c>
      <c r="G18" s="14">
        <v>5.78</v>
      </c>
      <c r="H18" s="14">
        <v>5.95</v>
      </c>
      <c r="I18" s="14">
        <v>6.16</v>
      </c>
    </row>
    <row r="19" spans="1:9">
      <c r="A19" s="211"/>
      <c r="B19" s="211"/>
      <c r="C19" s="3" t="s">
        <v>0</v>
      </c>
      <c r="D19" s="15">
        <v>4.9952570521130459</v>
      </c>
      <c r="E19" s="15">
        <v>4.3</v>
      </c>
      <c r="F19" s="15">
        <v>4.95</v>
      </c>
      <c r="G19" s="15">
        <v>5.6000000000000005</v>
      </c>
      <c r="H19" s="15">
        <v>5.8</v>
      </c>
      <c r="I19" s="15">
        <v>5.95</v>
      </c>
    </row>
    <row r="20" spans="1:9">
      <c r="A20" s="211"/>
      <c r="B20" s="211"/>
      <c r="C20" s="4" t="s">
        <v>3</v>
      </c>
      <c r="D20" s="16">
        <v>5</v>
      </c>
      <c r="E20" s="16">
        <v>4.71</v>
      </c>
      <c r="F20" s="16">
        <v>5.08</v>
      </c>
      <c r="G20" s="16">
        <v>6.08</v>
      </c>
      <c r="H20" s="16">
        <v>5.87</v>
      </c>
      <c r="I20" s="16">
        <v>4.53</v>
      </c>
    </row>
    <row r="21" spans="1:9">
      <c r="A21" s="211"/>
      <c r="B21" s="211"/>
      <c r="C21" s="5" t="s">
        <v>1</v>
      </c>
      <c r="D21" s="18">
        <v>5</v>
      </c>
      <c r="E21" s="18">
        <v>4.5</v>
      </c>
      <c r="F21" s="18">
        <v>5</v>
      </c>
      <c r="G21" s="18">
        <v>5.4</v>
      </c>
      <c r="H21" s="18">
        <v>5.6</v>
      </c>
      <c r="I21" s="18">
        <v>5.5</v>
      </c>
    </row>
    <row r="22" spans="1:9">
      <c r="A22" s="211"/>
      <c r="B22" s="211"/>
      <c r="C22" s="211"/>
      <c r="D22" s="211"/>
      <c r="E22" s="211"/>
      <c r="F22" s="211"/>
      <c r="G22" s="211"/>
      <c r="H22" s="211"/>
      <c r="I22" s="211"/>
    </row>
    <row r="23" spans="1:9" ht="15" customHeight="1">
      <c r="A23" s="211" t="s">
        <v>14</v>
      </c>
      <c r="B23" s="213" t="s">
        <v>11</v>
      </c>
      <c r="C23" s="6"/>
      <c r="D23" s="27">
        <v>1225.9000000000001</v>
      </c>
      <c r="E23" s="27">
        <v>1165.638412</v>
      </c>
      <c r="F23" s="27">
        <v>1124.439312</v>
      </c>
      <c r="G23" s="27">
        <v>1086.932761</v>
      </c>
      <c r="H23" s="27">
        <v>1050.841846</v>
      </c>
      <c r="I23" s="27">
        <v>1016.131819</v>
      </c>
    </row>
    <row r="24" spans="1:9" ht="15" customHeight="1">
      <c r="A24" s="211"/>
      <c r="B24" s="214"/>
      <c r="C24" s="215" t="s">
        <v>16</v>
      </c>
      <c r="D24" s="216"/>
      <c r="E24" s="30">
        <f>(E23-D23)/D23</f>
        <v>-4.9157017701280746E-2</v>
      </c>
      <c r="F24" s="30">
        <f>(F23-E23)/E23</f>
        <v>-3.5344665700670172E-2</v>
      </c>
      <c r="G24" s="30">
        <f>(G23-F23)/F23</f>
        <v>-3.3355780609705281E-2</v>
      </c>
      <c r="H24" s="30">
        <f>(H23-G23)/G23</f>
        <v>-3.3204367643492161E-2</v>
      </c>
      <c r="I24" s="30">
        <f>(I23-H23)/H23</f>
        <v>-3.3030685951575704E-2</v>
      </c>
    </row>
    <row r="25" spans="1:9">
      <c r="A25" s="211"/>
      <c r="B25" s="212">
        <v>41244</v>
      </c>
      <c r="C25" s="1" t="s">
        <v>2</v>
      </c>
      <c r="D25" s="23">
        <v>1228.8</v>
      </c>
      <c r="E25" s="23">
        <v>1164.3</v>
      </c>
      <c r="F25" s="23">
        <v>1117.5999999999999</v>
      </c>
      <c r="G25" s="23">
        <v>1071.4000000000001</v>
      </c>
      <c r="H25" s="23">
        <v>1025.2</v>
      </c>
      <c r="I25" s="23">
        <v>979.1</v>
      </c>
    </row>
    <row r="26" spans="1:9">
      <c r="A26" s="211"/>
      <c r="B26" s="212"/>
      <c r="C26" s="3" t="s">
        <v>0</v>
      </c>
      <c r="D26" s="24">
        <v>1228.4135259999998</v>
      </c>
      <c r="E26" s="24">
        <v>1193.5610863622715</v>
      </c>
      <c r="F26" s="24">
        <v>1164.2334880391215</v>
      </c>
      <c r="G26" s="24">
        <v>1139.4998379849305</v>
      </c>
      <c r="H26" s="24">
        <v>1110.6221702632126</v>
      </c>
      <c r="I26" s="24">
        <v>1079.7259206467804</v>
      </c>
    </row>
    <row r="27" spans="1:9">
      <c r="A27" s="211"/>
      <c r="B27" s="212"/>
      <c r="C27" s="4" t="s">
        <v>3</v>
      </c>
      <c r="D27" s="25">
        <v>1228.4135259999998</v>
      </c>
      <c r="E27" s="25">
        <v>1135.9000000000001</v>
      </c>
      <c r="F27" s="25">
        <v>1112.3</v>
      </c>
      <c r="G27" s="25">
        <v>1092.2</v>
      </c>
      <c r="H27" s="25">
        <v>1074.5999999999999</v>
      </c>
      <c r="I27" s="25"/>
    </row>
    <row r="28" spans="1:9">
      <c r="A28" s="211"/>
      <c r="B28" s="212"/>
      <c r="C28" s="5" t="s">
        <v>1</v>
      </c>
      <c r="D28" s="26">
        <v>1228.5423506666664</v>
      </c>
      <c r="E28" s="26">
        <v>1184.5870287874238</v>
      </c>
      <c r="F28" s="26">
        <v>1151.3778293463738</v>
      </c>
      <c r="G28" s="26">
        <v>1121.0332793283103</v>
      </c>
      <c r="H28" s="26">
        <v>1090.1407234210708</v>
      </c>
      <c r="I28" s="26">
        <v>1048</v>
      </c>
    </row>
  </sheetData>
  <mergeCells count="15">
    <mergeCell ref="A2:A7"/>
    <mergeCell ref="B3:B7"/>
    <mergeCell ref="A8:I8"/>
    <mergeCell ref="A23:A28"/>
    <mergeCell ref="B18:B21"/>
    <mergeCell ref="B25:B28"/>
    <mergeCell ref="B23:B24"/>
    <mergeCell ref="C24:D24"/>
    <mergeCell ref="A16:I16"/>
    <mergeCell ref="A22:I22"/>
    <mergeCell ref="A17:A21"/>
    <mergeCell ref="A9:A15"/>
    <mergeCell ref="C10:D10"/>
    <mergeCell ref="B9:B10"/>
    <mergeCell ref="B11:B15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V72"/>
  <sheetViews>
    <sheetView zoomScale="137" zoomScaleNormal="137" workbookViewId="0">
      <pane ySplit="1" topLeftCell="A2" activePane="bottomLeft" state="frozen"/>
      <selection pane="bottomLeft" activeCell="I6" sqref="I6"/>
    </sheetView>
  </sheetViews>
  <sheetFormatPr defaultColWidth="9.140625" defaultRowHeight="15"/>
  <cols>
    <col min="1" max="1" width="9.42578125" customWidth="1"/>
    <col min="2" max="2" width="7.140625" bestFit="1" customWidth="1"/>
    <col min="3" max="3" width="8" customWidth="1"/>
    <col min="4" max="12" width="7.5703125" customWidth="1"/>
    <col min="14" max="15" width="9.42578125" bestFit="1" customWidth="1"/>
  </cols>
  <sheetData>
    <row r="1" spans="1:22" ht="34.5" customHeight="1">
      <c r="A1" s="8"/>
      <c r="B1" s="11"/>
      <c r="C1" s="133"/>
      <c r="D1" s="132" t="s">
        <v>17</v>
      </c>
      <c r="E1" s="132" t="s">
        <v>25</v>
      </c>
      <c r="F1" s="132" t="s">
        <v>6</v>
      </c>
      <c r="G1" s="132" t="s">
        <v>7</v>
      </c>
      <c r="H1" s="132" t="s">
        <v>8</v>
      </c>
      <c r="I1" s="132" t="s">
        <v>9</v>
      </c>
      <c r="J1" s="132" t="s">
        <v>21</v>
      </c>
      <c r="K1" s="132" t="s">
        <v>24</v>
      </c>
      <c r="L1" s="132" t="s">
        <v>27</v>
      </c>
    </row>
    <row r="2" spans="1:22">
      <c r="A2" s="225" t="s">
        <v>10</v>
      </c>
      <c r="B2" s="212">
        <v>42389</v>
      </c>
      <c r="C2" s="134" t="s">
        <v>4</v>
      </c>
      <c r="D2" s="135"/>
      <c r="E2" s="135"/>
      <c r="F2" s="135"/>
      <c r="G2" s="135"/>
      <c r="H2" s="135"/>
      <c r="I2" s="135"/>
      <c r="J2" s="135"/>
      <c r="K2" s="135"/>
      <c r="L2" s="135"/>
    </row>
    <row r="3" spans="1:22">
      <c r="A3" s="226"/>
      <c r="B3" s="211"/>
      <c r="C3" s="136" t="s">
        <v>2</v>
      </c>
      <c r="D3" s="137"/>
      <c r="E3" s="138"/>
      <c r="F3" s="138"/>
      <c r="G3" s="138"/>
      <c r="H3" s="138">
        <v>36.930958333333329</v>
      </c>
      <c r="I3" s="138">
        <v>38.156816666666664</v>
      </c>
      <c r="J3" s="138">
        <v>39.94</v>
      </c>
      <c r="K3" s="138">
        <v>42.783816666666667</v>
      </c>
      <c r="L3" s="138">
        <v>45.483974999999994</v>
      </c>
    </row>
    <row r="4" spans="1:22">
      <c r="A4" s="226"/>
      <c r="B4" s="211"/>
      <c r="C4" s="139" t="s">
        <v>0</v>
      </c>
      <c r="D4" s="140"/>
      <c r="E4" s="140"/>
      <c r="F4" s="140"/>
      <c r="G4" s="140"/>
      <c r="H4" s="140">
        <v>36.21</v>
      </c>
      <c r="I4" s="140">
        <v>37.79</v>
      </c>
      <c r="J4" s="140">
        <v>43.13</v>
      </c>
      <c r="K4" s="140">
        <v>46.57</v>
      </c>
      <c r="L4" s="140">
        <v>48.87</v>
      </c>
      <c r="N4" t="s">
        <v>30</v>
      </c>
    </row>
    <row r="5" spans="1:22">
      <c r="A5" s="226"/>
      <c r="B5" s="211"/>
      <c r="C5" s="141" t="s">
        <v>3</v>
      </c>
      <c r="D5" s="142"/>
      <c r="E5" s="142"/>
      <c r="F5" s="142"/>
      <c r="G5" s="142">
        <v>62.12</v>
      </c>
      <c r="H5" s="142">
        <v>35.909999999999997</v>
      </c>
      <c r="I5" s="142">
        <v>36.71</v>
      </c>
      <c r="J5" s="142">
        <v>44.11</v>
      </c>
      <c r="K5" s="142">
        <v>48.94</v>
      </c>
      <c r="L5" s="142">
        <v>52.51</v>
      </c>
      <c r="N5" t="s">
        <v>28</v>
      </c>
      <c r="O5" t="s">
        <v>29</v>
      </c>
      <c r="Q5" t="s">
        <v>28</v>
      </c>
    </row>
    <row r="6" spans="1:22">
      <c r="A6" s="226"/>
      <c r="B6" s="211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</v>
      </c>
      <c r="I6" s="144">
        <v>38</v>
      </c>
      <c r="J6" s="144">
        <v>45</v>
      </c>
      <c r="K6" s="144">
        <v>50</v>
      </c>
      <c r="L6" s="144">
        <v>53</v>
      </c>
      <c r="N6" s="169">
        <f>(H6-H7)*(H21-H22)*(1-0.11)+(H36-H37*(H51-H52)*(1-0.24))</f>
        <v>2.5499999999999998</v>
      </c>
      <c r="O6" s="169">
        <f>(I6-I7)*(I21-I22)*(1-0.11)+(I36-I37*(I51-I52)*(1-0.24))</f>
        <v>2.9</v>
      </c>
      <c r="Q6">
        <v>43.59</v>
      </c>
      <c r="V6" s="93"/>
    </row>
    <row r="7" spans="1:22">
      <c r="A7" s="226"/>
      <c r="B7" s="212">
        <v>42339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60.67</v>
      </c>
      <c r="H7" s="138">
        <v>44</v>
      </c>
      <c r="I7" s="138">
        <v>49.5</v>
      </c>
      <c r="J7" s="138">
        <v>56</v>
      </c>
      <c r="K7" s="138">
        <v>59</v>
      </c>
      <c r="L7" s="138">
        <v>60</v>
      </c>
      <c r="N7" s="171"/>
      <c r="O7" s="171"/>
      <c r="Q7">
        <f>40-4</f>
        <v>36</v>
      </c>
      <c r="V7" s="93"/>
    </row>
    <row r="8" spans="1:22" hidden="1">
      <c r="A8" s="226"/>
      <c r="B8" s="21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</row>
    <row r="9" spans="1:22" hidden="1">
      <c r="A9" s="226"/>
      <c r="B9" s="21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</row>
    <row r="10" spans="1:22" hidden="1">
      <c r="A10" s="226"/>
      <c r="B10" s="21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</row>
    <row r="11" spans="1:22" hidden="1">
      <c r="A11" s="226"/>
      <c r="B11" s="211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</row>
    <row r="12" spans="1:22" hidden="1">
      <c r="A12" s="226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</row>
    <row r="13" spans="1:22" hidden="1">
      <c r="A13" s="226"/>
      <c r="B13" s="33">
        <v>42217</v>
      </c>
      <c r="C13" s="229" t="s">
        <v>16</v>
      </c>
      <c r="D13" s="230"/>
      <c r="E13" s="146">
        <f t="shared" ref="E13:L13" si="0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0"/>
        <v>-0.39014339871435633</v>
      </c>
      <c r="I13" s="146">
        <f t="shared" si="0"/>
        <v>2.7027027027026973E-2</v>
      </c>
      <c r="J13" s="146">
        <f t="shared" si="0"/>
        <v>0.18421052631578938</v>
      </c>
      <c r="K13" s="146">
        <f t="shared" si="0"/>
        <v>0.11111111111111116</v>
      </c>
      <c r="L13" s="146">
        <f t="shared" si="0"/>
        <v>6.0000000000000053E-2</v>
      </c>
    </row>
    <row r="14" spans="1:22" hidden="1">
      <c r="A14" s="226"/>
      <c r="B14" s="33">
        <v>42031</v>
      </c>
      <c r="C14" s="231" t="s">
        <v>16</v>
      </c>
      <c r="D14" s="232"/>
      <c r="E14" s="147">
        <f t="shared" ref="E14:K15" si="1">(E7-D7)/D7</f>
        <v>-4.2721695482431814E-2</v>
      </c>
      <c r="F14" s="147">
        <f t="shared" si="1"/>
        <v>0.10848287112561178</v>
      </c>
      <c r="G14" s="147">
        <f t="shared" si="1"/>
        <v>-0.36224114369809729</v>
      </c>
      <c r="H14" s="147">
        <f t="shared" si="1"/>
        <v>-0.27476512279545084</v>
      </c>
      <c r="I14" s="147">
        <f t="shared" si="1"/>
        <v>0.125</v>
      </c>
      <c r="J14" s="147">
        <f t="shared" si="1"/>
        <v>0.13131313131313133</v>
      </c>
      <c r="K14" s="147">
        <f t="shared" si="1"/>
        <v>5.3571428571428568E-2</v>
      </c>
      <c r="L14" s="147"/>
    </row>
    <row r="15" spans="1:22" hidden="1">
      <c r="A15" s="226"/>
      <c r="B15" s="33">
        <v>41974</v>
      </c>
      <c r="C15" s="231" t="s">
        <v>16</v>
      </c>
      <c r="D15" s="232"/>
      <c r="E15" s="147">
        <f t="shared" si="1"/>
        <v>-4.2721695482431814E-2</v>
      </c>
      <c r="F15" s="147">
        <f t="shared" si="1"/>
        <v>0.10859939408063397</v>
      </c>
      <c r="G15" s="147">
        <f t="shared" si="1"/>
        <v>-0.2537313432835821</v>
      </c>
      <c r="H15" s="147">
        <f t="shared" si="1"/>
        <v>-7.0422535211267609E-2</v>
      </c>
      <c r="I15" s="147">
        <f t="shared" si="1"/>
        <v>9.0909090909090912E-2</v>
      </c>
      <c r="J15" s="147">
        <f t="shared" si="1"/>
        <v>5.5555555555555552E-2</v>
      </c>
      <c r="K15" s="147"/>
      <c r="L15" s="147"/>
    </row>
    <row r="16" spans="1:22" hidden="1">
      <c r="A16" s="227"/>
      <c r="B16" s="33">
        <v>41499</v>
      </c>
      <c r="C16" s="229" t="s">
        <v>16</v>
      </c>
      <c r="D16" s="230"/>
      <c r="E16" s="146">
        <f t="shared" ref="E16:J16" si="2">(E10-D10)/D10</f>
        <v>-3.3333333333333333E-2</v>
      </c>
      <c r="F16" s="146">
        <f t="shared" si="2"/>
        <v>8.0459770114942528E-2</v>
      </c>
      <c r="G16" s="146">
        <f t="shared" si="2"/>
        <v>-6.9148936170212769E-2</v>
      </c>
      <c r="H16" s="146">
        <f t="shared" si="2"/>
        <v>-2.8571428571428571E-2</v>
      </c>
      <c r="I16" s="146">
        <f t="shared" si="2"/>
        <v>-1.1764705882352941E-2</v>
      </c>
      <c r="J16" s="146">
        <f t="shared" si="2"/>
        <v>0</v>
      </c>
      <c r="K16" s="146"/>
      <c r="L16" s="146"/>
    </row>
    <row r="17" spans="1:17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Q17">
        <v>33</v>
      </c>
    </row>
    <row r="18" spans="1:17">
      <c r="A18" s="228" t="s">
        <v>12</v>
      </c>
      <c r="B18" s="212">
        <f>B2</f>
        <v>42389</v>
      </c>
      <c r="C18" s="136" t="s">
        <v>2</v>
      </c>
      <c r="D18" s="148"/>
      <c r="E18" s="148"/>
      <c r="F18" s="148"/>
      <c r="G18" s="148"/>
      <c r="H18" s="148">
        <v>145</v>
      </c>
      <c r="I18" s="148">
        <v>152</v>
      </c>
      <c r="J18" s="148">
        <v>158</v>
      </c>
      <c r="K18" s="148">
        <v>160</v>
      </c>
      <c r="L18" s="148">
        <v>161</v>
      </c>
      <c r="N18" s="127"/>
      <c r="Q18">
        <f>(Q6*4+Q7*2+Q17*6)/12</f>
        <v>37.03</v>
      </c>
    </row>
    <row r="19" spans="1:17">
      <c r="A19" s="228"/>
      <c r="B19" s="211"/>
      <c r="C19" s="139" t="s">
        <v>0</v>
      </c>
      <c r="D19" s="149"/>
      <c r="E19" s="149"/>
      <c r="F19" s="149"/>
      <c r="G19" s="149"/>
      <c r="H19" s="149">
        <v>149</v>
      </c>
      <c r="I19" s="149">
        <v>152</v>
      </c>
      <c r="J19" s="149">
        <v>158</v>
      </c>
      <c r="K19" s="150">
        <v>160</v>
      </c>
      <c r="L19" s="150">
        <v>161</v>
      </c>
      <c r="M19" s="127"/>
    </row>
    <row r="20" spans="1:17">
      <c r="A20" s="228"/>
      <c r="B20" s="211"/>
      <c r="C20" s="141" t="s">
        <v>3</v>
      </c>
      <c r="D20" s="151"/>
      <c r="E20" s="151"/>
      <c r="F20" s="151"/>
      <c r="G20" s="151"/>
      <c r="H20" s="151">
        <v>142</v>
      </c>
      <c r="I20" s="151">
        <v>130.6</v>
      </c>
      <c r="J20" s="151">
        <v>136.5</v>
      </c>
      <c r="K20" s="151">
        <v>137.69999999999999</v>
      </c>
      <c r="L20" s="151">
        <v>126.7</v>
      </c>
    </row>
    <row r="21" spans="1:17">
      <c r="A21" s="228"/>
      <c r="B21" s="211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150</v>
      </c>
      <c r="I21" s="153">
        <v>155</v>
      </c>
      <c r="J21" s="153">
        <v>158</v>
      </c>
      <c r="K21" s="153">
        <v>160</v>
      </c>
      <c r="L21" s="153">
        <v>161</v>
      </c>
      <c r="M21" s="93" t="s">
        <v>34</v>
      </c>
      <c r="Q21">
        <v>2.81</v>
      </c>
    </row>
    <row r="22" spans="1:17">
      <c r="A22" s="228"/>
      <c r="B22" s="33">
        <f>B7</f>
        <v>42339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141.4</v>
      </c>
      <c r="H22" s="154">
        <v>150</v>
      </c>
      <c r="I22" s="154">
        <v>155</v>
      </c>
      <c r="J22" s="154">
        <v>158</v>
      </c>
      <c r="K22" s="154">
        <v>160</v>
      </c>
      <c r="L22" s="154">
        <v>161</v>
      </c>
      <c r="M22" s="93"/>
      <c r="N22" s="131"/>
      <c r="Q22" s="131">
        <v>2.4300000000000002</v>
      </c>
    </row>
    <row r="23" spans="1:17" hidden="1">
      <c r="A23" s="228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</row>
    <row r="24" spans="1:17" hidden="1">
      <c r="A24" s="228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</row>
    <row r="25" spans="1:17" hidden="1">
      <c r="A25" s="228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</row>
    <row r="26" spans="1:17" hidden="1">
      <c r="A26" s="228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</row>
    <row r="27" spans="1:17" hidden="1">
      <c r="A27" s="228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</row>
    <row r="28" spans="1:17">
      <c r="A28" s="228"/>
      <c r="B28" s="33">
        <f>B18</f>
        <v>42389</v>
      </c>
      <c r="C28" s="229" t="s">
        <v>16</v>
      </c>
      <c r="D28" s="230"/>
      <c r="E28" s="167">
        <f t="shared" ref="E28:K29" si="3">(E21-D21)/D21</f>
        <v>0.20049813200498143</v>
      </c>
      <c r="F28" s="167">
        <f>(F21-E21)/E21</f>
        <v>0.18153526970954356</v>
      </c>
      <c r="G28" s="167">
        <f t="shared" si="3"/>
        <v>0.24143985952589991</v>
      </c>
      <c r="H28" s="167">
        <f t="shared" si="3"/>
        <v>6.0820367751060776E-2</v>
      </c>
      <c r="I28" s="167">
        <f t="shared" si="3"/>
        <v>3.3333333333333333E-2</v>
      </c>
      <c r="J28" s="167">
        <f t="shared" si="3"/>
        <v>1.935483870967742E-2</v>
      </c>
      <c r="K28" s="167">
        <f t="shared" si="3"/>
        <v>1.2658227848101266E-2</v>
      </c>
      <c r="L28" s="167">
        <f>(L21-K21)/K21</f>
        <v>6.2500000000000003E-3</v>
      </c>
      <c r="Q28">
        <f>(Q21*4+Q22*8)/12</f>
        <v>2.5566666666666666</v>
      </c>
    </row>
    <row r="29" spans="1:17">
      <c r="A29" s="228"/>
      <c r="B29" s="33">
        <f>B7</f>
        <v>42339</v>
      </c>
      <c r="C29" s="231" t="s">
        <v>16</v>
      </c>
      <c r="D29" s="232"/>
      <c r="E29" s="168">
        <f>(E22-D22)/D22</f>
        <v>0.20049813200498143</v>
      </c>
      <c r="F29" s="168">
        <f t="shared" ref="F29:L30" si="4">(F22-E22)/E22</f>
        <v>0.18153526970954356</v>
      </c>
      <c r="G29" s="168">
        <f>(G22-F22)/F22</f>
        <v>0.24143985952589991</v>
      </c>
      <c r="H29" s="168">
        <f t="shared" si="3"/>
        <v>6.0820367751060776E-2</v>
      </c>
      <c r="I29" s="168">
        <f t="shared" si="3"/>
        <v>3.3333333333333333E-2</v>
      </c>
      <c r="J29" s="168">
        <f t="shared" si="3"/>
        <v>1.935483870967742E-2</v>
      </c>
      <c r="K29" s="168">
        <f t="shared" si="3"/>
        <v>1.2658227848101266E-2</v>
      </c>
      <c r="L29" s="168"/>
    </row>
    <row r="30" spans="1:17" hidden="1">
      <c r="A30" s="228"/>
      <c r="B30" s="33">
        <v>41974</v>
      </c>
      <c r="C30" s="231" t="s">
        <v>16</v>
      </c>
      <c r="D30" s="232"/>
      <c r="E30" s="147">
        <f>(E23-D23)/D23</f>
        <v>0.20049813200498143</v>
      </c>
      <c r="F30" s="147">
        <f t="shared" si="4"/>
        <v>0.17634854771784231</v>
      </c>
      <c r="G30" s="147">
        <f t="shared" si="4"/>
        <v>7.5837742504409111E-2</v>
      </c>
      <c r="H30" s="147">
        <f t="shared" si="4"/>
        <v>4.0983606557377046E-2</v>
      </c>
      <c r="I30" s="147">
        <f t="shared" si="4"/>
        <v>3.1496062992125984E-2</v>
      </c>
      <c r="J30" s="147">
        <f t="shared" si="4"/>
        <v>1.5267175572519083E-2</v>
      </c>
      <c r="K30" s="147">
        <f t="shared" si="4"/>
        <v>1.5037593984962405E-2</v>
      </c>
      <c r="L30" s="147">
        <f t="shared" si="4"/>
        <v>-1</v>
      </c>
    </row>
    <row r="31" spans="1:17" hidden="1">
      <c r="A31" s="228"/>
      <c r="B31" s="33">
        <v>41499</v>
      </c>
      <c r="C31" s="229" t="s">
        <v>16</v>
      </c>
      <c r="D31" s="230"/>
      <c r="E31" s="146">
        <f t="shared" ref="E31:J31" si="5">(E25-D25)/D25</f>
        <v>0.12401648557512186</v>
      </c>
      <c r="F31" s="146">
        <f t="shared" si="5"/>
        <v>3.3333333333333333E-2</v>
      </c>
      <c r="G31" s="146">
        <f t="shared" si="5"/>
        <v>4.3010752688172046E-2</v>
      </c>
      <c r="H31" s="146">
        <f t="shared" si="5"/>
        <v>3.0927835051546393E-2</v>
      </c>
      <c r="I31" s="146">
        <f t="shared" si="5"/>
        <v>0.01</v>
      </c>
      <c r="J31" s="146">
        <f t="shared" si="5"/>
        <v>9.9009900990099011E-3</v>
      </c>
      <c r="K31" s="146"/>
      <c r="L31" s="146"/>
    </row>
    <row r="32" spans="1:17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</row>
    <row r="33" spans="1:15">
      <c r="A33" s="220" t="s">
        <v>18</v>
      </c>
      <c r="B33" s="212">
        <f>B2</f>
        <v>42389</v>
      </c>
      <c r="C33" s="136" t="s">
        <v>2</v>
      </c>
      <c r="D33" s="159"/>
      <c r="E33" s="159"/>
      <c r="F33" s="159"/>
      <c r="G33" s="159"/>
      <c r="H33" s="159">
        <v>2.7</v>
      </c>
      <c r="I33" s="159">
        <v>3.2</v>
      </c>
      <c r="J33" s="159">
        <v>3.4</v>
      </c>
      <c r="K33" s="159">
        <v>3.45</v>
      </c>
      <c r="L33" s="159">
        <v>3.55</v>
      </c>
      <c r="N33" t="s">
        <v>33</v>
      </c>
    </row>
    <row r="34" spans="1:15">
      <c r="A34" s="221"/>
      <c r="B34" s="211"/>
      <c r="C34" s="139" t="s">
        <v>0</v>
      </c>
      <c r="D34" s="140"/>
      <c r="E34" s="140"/>
      <c r="F34" s="140"/>
      <c r="G34" s="140"/>
      <c r="H34" s="140">
        <v>2.4900000000000002</v>
      </c>
      <c r="I34" s="140">
        <v>2.91</v>
      </c>
      <c r="J34" s="140">
        <v>3.13</v>
      </c>
      <c r="K34" s="140">
        <v>3.41</v>
      </c>
      <c r="L34" s="140">
        <v>3.58</v>
      </c>
    </row>
    <row r="35" spans="1:15">
      <c r="A35" s="221"/>
      <c r="B35" s="211"/>
      <c r="C35" s="141" t="s">
        <v>3</v>
      </c>
      <c r="D35" s="142"/>
      <c r="E35" s="142"/>
      <c r="F35" s="142"/>
      <c r="G35" s="142"/>
      <c r="H35" s="142">
        <v>2.4900000000000002</v>
      </c>
      <c r="I35" s="142">
        <v>2.88</v>
      </c>
      <c r="J35" s="142">
        <v>3.07</v>
      </c>
      <c r="K35" s="142">
        <v>3.1</v>
      </c>
      <c r="L35" s="142">
        <v>3.29</v>
      </c>
    </row>
    <row r="36" spans="1:15">
      <c r="A36" s="221"/>
      <c r="B36" s="211"/>
      <c r="C36" s="143" t="s">
        <v>1</v>
      </c>
      <c r="D36" s="144">
        <v>5.01</v>
      </c>
      <c r="E36" s="144">
        <v>4.38</v>
      </c>
      <c r="F36" s="144">
        <v>5.14</v>
      </c>
      <c r="G36" s="144">
        <v>3.78</v>
      </c>
      <c r="H36" s="144">
        <v>2.5499999999999998</v>
      </c>
      <c r="I36" s="144">
        <v>2.9</v>
      </c>
      <c r="J36" s="144">
        <f>AVERAGE(J33:J35)</f>
        <v>3.1999999999999997</v>
      </c>
      <c r="K36" s="144">
        <v>3.3</v>
      </c>
      <c r="L36" s="144">
        <v>3.5</v>
      </c>
    </row>
    <row r="37" spans="1:15">
      <c r="A37" s="221"/>
      <c r="B37" s="33">
        <f>B7</f>
        <v>42339</v>
      </c>
      <c r="C37" s="133" t="s">
        <v>1</v>
      </c>
      <c r="D37" s="138">
        <v>5.01</v>
      </c>
      <c r="E37" s="138">
        <v>4.38</v>
      </c>
      <c r="F37" s="138">
        <v>5.14</v>
      </c>
      <c r="G37" s="138">
        <v>3.78</v>
      </c>
      <c r="H37" s="138">
        <v>2.9</v>
      </c>
      <c r="I37" s="138">
        <v>3.2</v>
      </c>
      <c r="J37" s="138">
        <v>3.4</v>
      </c>
      <c r="K37" s="138">
        <v>3.45</v>
      </c>
      <c r="L37" s="138">
        <v>3.5</v>
      </c>
      <c r="N37" s="112"/>
      <c r="O37" s="112"/>
    </row>
    <row r="38" spans="1:15" hidden="1">
      <c r="A38" s="221"/>
      <c r="B38" s="33">
        <v>41974</v>
      </c>
      <c r="C38" s="133" t="s">
        <v>1</v>
      </c>
      <c r="D38" s="138">
        <v>5.01</v>
      </c>
      <c r="E38" s="138">
        <v>4.38</v>
      </c>
      <c r="F38" s="138">
        <v>5.13</v>
      </c>
      <c r="G38" s="138">
        <v>4.9000000000000004</v>
      </c>
      <c r="H38" s="138">
        <v>4.9000000000000004</v>
      </c>
      <c r="I38" s="138">
        <v>4.95</v>
      </c>
      <c r="J38" s="138">
        <v>5.0999999999999996</v>
      </c>
      <c r="K38" s="138">
        <v>5.2</v>
      </c>
      <c r="L38" s="138"/>
    </row>
    <row r="39" spans="1:15" hidden="1">
      <c r="A39" s="221"/>
      <c r="B39" s="33">
        <v>41852</v>
      </c>
      <c r="C39" s="133" t="s">
        <v>1</v>
      </c>
      <c r="D39" s="138">
        <v>5.01</v>
      </c>
      <c r="E39" s="138">
        <v>4.38</v>
      </c>
      <c r="F39" s="138">
        <v>5.15</v>
      </c>
      <c r="G39" s="138">
        <v>5.2</v>
      </c>
      <c r="H39" s="138">
        <v>5.25</v>
      </c>
      <c r="I39" s="138">
        <v>5.3</v>
      </c>
      <c r="J39" s="138">
        <v>5.35</v>
      </c>
      <c r="K39" s="138">
        <v>5.4</v>
      </c>
      <c r="L39" s="138"/>
    </row>
    <row r="40" spans="1:15" hidden="1">
      <c r="A40" s="221"/>
      <c r="B40" s="33">
        <v>41499</v>
      </c>
      <c r="C40" s="133" t="s">
        <v>1</v>
      </c>
      <c r="D40" s="138">
        <v>5</v>
      </c>
      <c r="E40" s="138">
        <v>4.5</v>
      </c>
      <c r="F40" s="138">
        <v>5</v>
      </c>
      <c r="G40" s="138">
        <v>5.4</v>
      </c>
      <c r="H40" s="138">
        <v>5.5</v>
      </c>
      <c r="I40" s="138">
        <v>5.5</v>
      </c>
      <c r="J40" s="138">
        <v>5.5</v>
      </c>
      <c r="K40" s="138"/>
      <c r="L40" s="138"/>
    </row>
    <row r="41" spans="1:15" hidden="1">
      <c r="A41" s="221"/>
      <c r="B41" s="33">
        <v>41317</v>
      </c>
      <c r="C41" s="133" t="s">
        <v>1</v>
      </c>
      <c r="D41" s="145">
        <v>5</v>
      </c>
      <c r="E41" s="145">
        <v>4.5</v>
      </c>
      <c r="F41" s="145">
        <v>5.0999999999999996</v>
      </c>
      <c r="G41" s="145">
        <v>5.25</v>
      </c>
      <c r="H41" s="145">
        <v>5.5</v>
      </c>
      <c r="I41" s="145">
        <v>5.5</v>
      </c>
      <c r="J41" s="145"/>
      <c r="K41" s="145"/>
      <c r="L41" s="145"/>
    </row>
    <row r="42" spans="1:15" hidden="1">
      <c r="A42" s="221"/>
      <c r="B42" s="33">
        <v>41244</v>
      </c>
      <c r="C42" s="133" t="s">
        <v>1</v>
      </c>
      <c r="D42" s="145">
        <v>5</v>
      </c>
      <c r="E42" s="145">
        <v>4.5</v>
      </c>
      <c r="F42" s="145">
        <v>5</v>
      </c>
      <c r="G42" s="145">
        <v>5.4</v>
      </c>
      <c r="H42" s="145">
        <v>5.6</v>
      </c>
      <c r="I42" s="145">
        <v>5.5</v>
      </c>
      <c r="J42" s="145">
        <v>5.5</v>
      </c>
      <c r="K42" s="145"/>
      <c r="L42" s="145"/>
    </row>
    <row r="43" spans="1:15" hidden="1">
      <c r="A43" s="221"/>
      <c r="B43" s="33">
        <v>42217</v>
      </c>
      <c r="C43" s="229" t="s">
        <v>16</v>
      </c>
      <c r="D43" s="230"/>
      <c r="E43" s="146">
        <f t="shared" ref="E43:L45" si="6">(E36-D36)/D36</f>
        <v>-0.12574850299401197</v>
      </c>
      <c r="F43" s="146">
        <f t="shared" si="6"/>
        <v>0.17351598173515978</v>
      </c>
      <c r="G43" s="146">
        <f t="shared" si="6"/>
        <v>-0.26459143968871596</v>
      </c>
      <c r="H43" s="146">
        <f t="shared" si="6"/>
        <v>-0.32539682539682541</v>
      </c>
      <c r="I43" s="146">
        <f t="shared" si="6"/>
        <v>0.13725490196078435</v>
      </c>
      <c r="J43" s="146">
        <f t="shared" si="6"/>
        <v>0.10344827586206891</v>
      </c>
      <c r="K43" s="146">
        <f t="shared" si="6"/>
        <v>3.1250000000000028E-2</v>
      </c>
      <c r="L43" s="146">
        <f t="shared" si="6"/>
        <v>6.0606060606060663E-2</v>
      </c>
    </row>
    <row r="44" spans="1:15" hidden="1">
      <c r="A44" s="221"/>
      <c r="B44" s="33">
        <f>B29</f>
        <v>42339</v>
      </c>
      <c r="C44" s="231" t="s">
        <v>16</v>
      </c>
      <c r="D44" s="232"/>
      <c r="E44" s="147">
        <f t="shared" si="6"/>
        <v>-0.12574850299401197</v>
      </c>
      <c r="F44" s="147">
        <f t="shared" si="6"/>
        <v>0.17351598173515978</v>
      </c>
      <c r="G44" s="147">
        <f t="shared" si="6"/>
        <v>-0.26459143968871596</v>
      </c>
      <c r="H44" s="147">
        <f t="shared" si="6"/>
        <v>-0.23280423280423279</v>
      </c>
      <c r="I44" s="147">
        <f t="shared" si="6"/>
        <v>0.10344827586206906</v>
      </c>
      <c r="J44" s="147">
        <f t="shared" si="6"/>
        <v>6.2499999999999917E-2</v>
      </c>
      <c r="K44" s="147">
        <f t="shared" si="6"/>
        <v>1.4705882352941256E-2</v>
      </c>
      <c r="L44" s="147"/>
    </row>
    <row r="45" spans="1:15" hidden="1">
      <c r="A45" s="221"/>
      <c r="B45" s="33">
        <v>41974</v>
      </c>
      <c r="C45" s="231" t="s">
        <v>16</v>
      </c>
      <c r="D45" s="232"/>
      <c r="E45" s="147">
        <f t="shared" si="6"/>
        <v>-0.12574850299401197</v>
      </c>
      <c r="F45" s="147">
        <f t="shared" si="6"/>
        <v>0.17123287671232876</v>
      </c>
      <c r="G45" s="147">
        <f t="shared" si="6"/>
        <v>-4.4834307992202643E-2</v>
      </c>
      <c r="H45" s="147">
        <f t="shared" si="6"/>
        <v>0</v>
      </c>
      <c r="I45" s="147">
        <f t="shared" si="6"/>
        <v>1.0204081632653024E-2</v>
      </c>
      <c r="J45" s="147">
        <f t="shared" si="6"/>
        <v>3.0303030303030193E-2</v>
      </c>
      <c r="K45" s="147">
        <f t="shared" si="6"/>
        <v>1.9607843137255009E-2</v>
      </c>
      <c r="L45" s="147">
        <f t="shared" si="6"/>
        <v>-1</v>
      </c>
    </row>
    <row r="46" spans="1:15" hidden="1">
      <c r="A46" s="222"/>
      <c r="B46" s="33">
        <v>41499</v>
      </c>
      <c r="C46" s="229" t="s">
        <v>16</v>
      </c>
      <c r="D46" s="230"/>
      <c r="E46" s="146">
        <f t="shared" ref="E46:J46" si="7">(E40-D40)/D40</f>
        <v>-0.1</v>
      </c>
      <c r="F46" s="146">
        <f t="shared" si="7"/>
        <v>0.1111111111111111</v>
      </c>
      <c r="G46" s="146">
        <f t="shared" si="7"/>
        <v>8.0000000000000071E-2</v>
      </c>
      <c r="H46" s="146">
        <f t="shared" si="7"/>
        <v>1.8518518518518452E-2</v>
      </c>
      <c r="I46" s="146">
        <f t="shared" si="7"/>
        <v>0</v>
      </c>
      <c r="J46" s="146">
        <f t="shared" si="7"/>
        <v>0</v>
      </c>
      <c r="K46" s="146"/>
      <c r="L46" s="146"/>
    </row>
    <row r="47" spans="1:15">
      <c r="A47" s="65"/>
      <c r="B47" s="65"/>
      <c r="C47" s="65"/>
      <c r="D47" s="76"/>
      <c r="E47" s="76"/>
      <c r="F47" s="76"/>
      <c r="G47" s="130"/>
      <c r="H47" s="130"/>
      <c r="I47" s="130"/>
      <c r="J47" s="130"/>
      <c r="K47" s="130"/>
      <c r="L47" s="130"/>
    </row>
    <row r="48" spans="1:15">
      <c r="A48" s="220" t="s">
        <v>19</v>
      </c>
      <c r="B48" s="212">
        <f>B2</f>
        <v>42389</v>
      </c>
      <c r="C48" s="136" t="s">
        <v>2</v>
      </c>
      <c r="D48" s="160"/>
      <c r="E48" s="161"/>
      <c r="F48" s="161"/>
      <c r="G48" s="161"/>
      <c r="H48" s="161">
        <v>1100</v>
      </c>
      <c r="I48" s="161">
        <v>1150</v>
      </c>
      <c r="J48" s="161">
        <v>1150</v>
      </c>
      <c r="K48" s="161">
        <v>1120</v>
      </c>
      <c r="L48" s="161">
        <v>1100</v>
      </c>
    </row>
    <row r="49" spans="1:15">
      <c r="A49" s="221"/>
      <c r="B49" s="211"/>
      <c r="C49" s="139" t="s">
        <v>0</v>
      </c>
      <c r="D49" s="162"/>
      <c r="E49" s="162"/>
      <c r="F49" s="162"/>
      <c r="G49" s="162"/>
      <c r="H49" s="162">
        <v>1180</v>
      </c>
      <c r="I49" s="162">
        <v>1170</v>
      </c>
      <c r="J49" s="162">
        <v>1140</v>
      </c>
      <c r="K49" s="162">
        <v>1120</v>
      </c>
      <c r="L49" s="162">
        <v>1100</v>
      </c>
    </row>
    <row r="50" spans="1:15">
      <c r="A50" s="221"/>
      <c r="B50" s="211"/>
      <c r="C50" s="141" t="s">
        <v>3</v>
      </c>
      <c r="D50" s="163"/>
      <c r="E50" s="163"/>
      <c r="F50" s="163"/>
      <c r="G50" s="163">
        <v>1186</v>
      </c>
      <c r="H50" s="163">
        <v>1227</v>
      </c>
      <c r="I50" s="163">
        <v>1237</v>
      </c>
      <c r="J50" s="163">
        <v>1265</v>
      </c>
      <c r="K50" s="163">
        <v>1293</v>
      </c>
      <c r="L50" s="163">
        <v>1321</v>
      </c>
    </row>
    <row r="51" spans="1:15">
      <c r="A51" s="221"/>
      <c r="B51" s="211"/>
      <c r="C51" s="143" t="s">
        <v>1</v>
      </c>
      <c r="D51" s="164">
        <v>1227</v>
      </c>
      <c r="E51" s="164">
        <v>1177.5</v>
      </c>
      <c r="F51" s="164">
        <v>1184.7</v>
      </c>
      <c r="G51" s="164">
        <v>1184.8</v>
      </c>
      <c r="H51" s="164">
        <v>1200</v>
      </c>
      <c r="I51" s="164">
        <v>1170</v>
      </c>
      <c r="J51" s="164">
        <v>1140</v>
      </c>
      <c r="K51" s="164">
        <v>1120</v>
      </c>
      <c r="L51" s="164">
        <v>1100</v>
      </c>
    </row>
    <row r="52" spans="1:15">
      <c r="A52" s="221"/>
      <c r="B52" s="33">
        <f>B37</f>
        <v>42339</v>
      </c>
      <c r="C52" s="133" t="s">
        <v>1</v>
      </c>
      <c r="D52" s="160">
        <v>1227</v>
      </c>
      <c r="E52" s="160">
        <v>1177.5</v>
      </c>
      <c r="F52" s="160">
        <v>1184.7</v>
      </c>
      <c r="G52" s="160">
        <v>1184.8</v>
      </c>
      <c r="H52" s="160">
        <v>1200</v>
      </c>
      <c r="I52" s="160">
        <v>1170</v>
      </c>
      <c r="J52" s="160">
        <v>1140</v>
      </c>
      <c r="K52" s="160">
        <v>1120</v>
      </c>
      <c r="L52" s="160">
        <v>1100</v>
      </c>
      <c r="N52" s="112"/>
      <c r="O52" s="112"/>
    </row>
    <row r="53" spans="1:15" hidden="1">
      <c r="A53" s="221"/>
      <c r="B53" s="33">
        <v>41974</v>
      </c>
      <c r="C53" s="133" t="s">
        <v>1</v>
      </c>
      <c r="D53" s="160">
        <v>1227</v>
      </c>
      <c r="E53" s="160">
        <v>1177.5</v>
      </c>
      <c r="F53" s="160">
        <v>1187.3</v>
      </c>
      <c r="G53" s="160">
        <v>1181</v>
      </c>
      <c r="H53" s="160">
        <v>1150</v>
      </c>
      <c r="I53" s="160">
        <v>1118</v>
      </c>
      <c r="J53" s="160">
        <v>1088</v>
      </c>
      <c r="K53" s="160">
        <v>1052</v>
      </c>
      <c r="L53" s="160"/>
    </row>
    <row r="54" spans="1:15" hidden="1">
      <c r="A54" s="221"/>
      <c r="B54" s="33">
        <v>41852</v>
      </c>
      <c r="C54" s="133" t="s">
        <v>1</v>
      </c>
      <c r="D54" s="160">
        <v>1227</v>
      </c>
      <c r="E54" s="160">
        <v>1177.5</v>
      </c>
      <c r="F54" s="160">
        <v>1170</v>
      </c>
      <c r="G54" s="160">
        <v>1158.3</v>
      </c>
      <c r="H54" s="160">
        <v>1123.5509999999999</v>
      </c>
      <c r="I54" s="160">
        <v>1089.84447</v>
      </c>
      <c r="J54" s="160">
        <v>1057.1491358999999</v>
      </c>
      <c r="K54" s="160">
        <v>1025.4346618229999</v>
      </c>
      <c r="L54" s="160"/>
    </row>
    <row r="55" spans="1:15" hidden="1">
      <c r="A55" s="221"/>
      <c r="B55" s="33">
        <v>41499</v>
      </c>
      <c r="C55" s="133" t="s">
        <v>1</v>
      </c>
      <c r="D55" s="160">
        <v>1225.8499999999999</v>
      </c>
      <c r="E55" s="160">
        <v>1165</v>
      </c>
      <c r="F55" s="160">
        <v>1110</v>
      </c>
      <c r="G55" s="160">
        <v>1070</v>
      </c>
      <c r="H55" s="160">
        <v>1030</v>
      </c>
      <c r="I55" s="160">
        <v>1000</v>
      </c>
      <c r="J55" s="160">
        <v>960</v>
      </c>
      <c r="K55" s="165"/>
      <c r="L55" s="165"/>
    </row>
    <row r="56" spans="1:15" hidden="1">
      <c r="A56" s="221"/>
      <c r="B56" s="33">
        <v>41317</v>
      </c>
      <c r="C56" s="133" t="s">
        <v>1</v>
      </c>
      <c r="D56" s="165">
        <v>1226</v>
      </c>
      <c r="E56" s="165">
        <v>1185</v>
      </c>
      <c r="F56" s="165">
        <v>1151</v>
      </c>
      <c r="G56" s="165">
        <v>1121</v>
      </c>
      <c r="H56" s="165">
        <v>1090.1407234210708</v>
      </c>
      <c r="I56" s="165">
        <v>1048</v>
      </c>
      <c r="J56" s="165"/>
      <c r="K56" s="165"/>
      <c r="L56" s="165"/>
    </row>
    <row r="57" spans="1:15" hidden="1">
      <c r="A57" s="221"/>
      <c r="B57" s="33">
        <v>41244</v>
      </c>
      <c r="C57" s="133" t="s">
        <v>1</v>
      </c>
      <c r="D57" s="165">
        <v>1228.5423506666664</v>
      </c>
      <c r="E57" s="165">
        <v>1184.5870287874238</v>
      </c>
      <c r="F57" s="165">
        <v>1151.3778293463738</v>
      </c>
      <c r="G57" s="165">
        <v>1121.0332793283103</v>
      </c>
      <c r="H57" s="165">
        <v>1090.1407234210708</v>
      </c>
      <c r="I57" s="165">
        <v>1048</v>
      </c>
      <c r="J57" s="165">
        <v>1048</v>
      </c>
      <c r="K57" s="165"/>
      <c r="L57" s="165"/>
    </row>
    <row r="58" spans="1:15">
      <c r="A58" s="221"/>
      <c r="B58" s="33">
        <f>B48</f>
        <v>42389</v>
      </c>
      <c r="C58" s="229" t="s">
        <v>16</v>
      </c>
      <c r="D58" s="230"/>
      <c r="E58" s="167">
        <f t="shared" ref="E58:L60" si="8">(E51-D51)/D51</f>
        <v>-4.0342298288508556E-2</v>
      </c>
      <c r="F58" s="167">
        <f t="shared" si="8"/>
        <v>6.1146496815287013E-3</v>
      </c>
      <c r="G58" s="167">
        <f>(G51-F51)/F51</f>
        <v>8.4409555161567526E-5</v>
      </c>
      <c r="H58" s="167">
        <f t="shared" si="8"/>
        <v>1.2829169480081065E-2</v>
      </c>
      <c r="I58" s="167">
        <f t="shared" si="8"/>
        <v>-2.5000000000000001E-2</v>
      </c>
      <c r="J58" s="167">
        <f t="shared" si="8"/>
        <v>-2.564102564102564E-2</v>
      </c>
      <c r="K58" s="167">
        <f t="shared" si="8"/>
        <v>-1.7543859649122806E-2</v>
      </c>
      <c r="L58" s="167">
        <f t="shared" si="8"/>
        <v>-1.7857142857142856E-2</v>
      </c>
    </row>
    <row r="59" spans="1:15">
      <c r="A59" s="221"/>
      <c r="B59" s="33">
        <f>B44</f>
        <v>42339</v>
      </c>
      <c r="C59" s="231" t="s">
        <v>16</v>
      </c>
      <c r="D59" s="232"/>
      <c r="E59" s="168">
        <f>(E52-D52)/D52</f>
        <v>-4.0342298288508556E-2</v>
      </c>
      <c r="F59" s="168">
        <f t="shared" si="8"/>
        <v>6.1146496815287013E-3</v>
      </c>
      <c r="G59" s="168">
        <f>(G52-F52)/F52</f>
        <v>8.4409555161567526E-5</v>
      </c>
      <c r="H59" s="168">
        <f t="shared" si="8"/>
        <v>1.2829169480081065E-2</v>
      </c>
      <c r="I59" s="168">
        <f t="shared" si="8"/>
        <v>-2.5000000000000001E-2</v>
      </c>
      <c r="J59" s="168">
        <f t="shared" si="8"/>
        <v>-2.564102564102564E-2</v>
      </c>
      <c r="K59" s="168">
        <f t="shared" si="8"/>
        <v>-1.7543859649122806E-2</v>
      </c>
      <c r="L59" s="168"/>
    </row>
    <row r="60" spans="1:15" hidden="1">
      <c r="A60" s="221"/>
      <c r="B60" s="33">
        <v>41974</v>
      </c>
      <c r="C60" s="231" t="s">
        <v>16</v>
      </c>
      <c r="D60" s="232"/>
      <c r="E60" s="147">
        <f>(E53-D53)/D53</f>
        <v>-4.0342298288508556E-2</v>
      </c>
      <c r="F60" s="147">
        <f t="shared" si="8"/>
        <v>8.3227176220806408E-3</v>
      </c>
      <c r="G60" s="147">
        <f t="shared" si="8"/>
        <v>-5.3061568264128316E-3</v>
      </c>
      <c r="H60" s="147">
        <f t="shared" si="8"/>
        <v>-2.6248941574936496E-2</v>
      </c>
      <c r="I60" s="147">
        <f t="shared" si="8"/>
        <v>-2.782608695652174E-2</v>
      </c>
      <c r="J60" s="147">
        <f t="shared" si="8"/>
        <v>-2.6833631484794274E-2</v>
      </c>
      <c r="K60" s="147">
        <f t="shared" si="8"/>
        <v>-3.3088235294117647E-2</v>
      </c>
      <c r="L60" s="147">
        <f t="shared" si="8"/>
        <v>-1</v>
      </c>
    </row>
    <row r="61" spans="1:15" hidden="1">
      <c r="A61" s="222"/>
      <c r="B61" s="33">
        <v>41499</v>
      </c>
      <c r="C61" s="229" t="s">
        <v>16</v>
      </c>
      <c r="D61" s="230"/>
      <c r="E61" s="146">
        <f t="shared" ref="E61:J61" si="9">(E55-D55)/D55</f>
        <v>-4.9639025981971625E-2</v>
      </c>
      <c r="F61" s="146">
        <f t="shared" si="9"/>
        <v>-4.7210300429184553E-2</v>
      </c>
      <c r="G61" s="146">
        <f t="shared" si="9"/>
        <v>-3.6036036036036036E-2</v>
      </c>
      <c r="H61" s="146">
        <f t="shared" si="9"/>
        <v>-3.7383177570093455E-2</v>
      </c>
      <c r="I61" s="146">
        <f t="shared" si="9"/>
        <v>-2.9126213592233011E-2</v>
      </c>
      <c r="J61" s="146">
        <f t="shared" si="9"/>
        <v>-0.04</v>
      </c>
      <c r="K61" s="146"/>
      <c r="L61" s="146"/>
    </row>
    <row r="62" spans="1:15">
      <c r="A62" s="108"/>
      <c r="B62" s="13"/>
      <c r="F62" s="112"/>
      <c r="G62" s="112"/>
      <c r="H62" s="112"/>
      <c r="I62" s="112"/>
      <c r="J62" s="112"/>
      <c r="K62" s="112"/>
      <c r="L62" s="112"/>
    </row>
    <row r="63" spans="1:15">
      <c r="A63" s="9"/>
      <c r="B63" s="13"/>
      <c r="E63" s="94"/>
      <c r="F63" s="94"/>
      <c r="G63" s="112"/>
      <c r="H63" s="112"/>
      <c r="I63" s="112"/>
      <c r="J63" s="112"/>
      <c r="K63" s="112"/>
      <c r="L63" s="112"/>
    </row>
    <row r="64" spans="1:15">
      <c r="A64" s="9"/>
      <c r="B64" s="13"/>
      <c r="E64" s="94"/>
      <c r="F64" s="94"/>
      <c r="G64" s="94"/>
      <c r="H64" s="112"/>
      <c r="I64" s="112"/>
      <c r="J64" s="112"/>
      <c r="K64" s="112"/>
      <c r="L64" s="112"/>
    </row>
    <row r="65" spans="1:2">
      <c r="A65" s="9"/>
      <c r="B65" s="13"/>
    </row>
    <row r="66" spans="1:2">
      <c r="A66" s="9"/>
      <c r="B66" s="13"/>
    </row>
    <row r="67" spans="1:2">
      <c r="A67" s="9"/>
      <c r="B67" s="13"/>
    </row>
    <row r="68" spans="1:2">
      <c r="A68" s="9"/>
      <c r="B68" s="13"/>
    </row>
    <row r="69" spans="1:2">
      <c r="A69" s="9"/>
      <c r="B69" s="13"/>
    </row>
    <row r="70" spans="1:2">
      <c r="A70" s="9"/>
      <c r="B70" s="13"/>
    </row>
    <row r="71" spans="1:2">
      <c r="A71" s="9"/>
      <c r="B71" s="13"/>
    </row>
    <row r="72" spans="1:2">
      <c r="A72" s="9"/>
      <c r="B72" s="13"/>
    </row>
  </sheetData>
  <mergeCells count="25">
    <mergeCell ref="A48:A61"/>
    <mergeCell ref="B48:B51"/>
    <mergeCell ref="C58:D58"/>
    <mergeCell ref="C59:D59"/>
    <mergeCell ref="C60:D60"/>
    <mergeCell ref="C61:D61"/>
    <mergeCell ref="A33:A46"/>
    <mergeCell ref="B33:B36"/>
    <mergeCell ref="C43:D43"/>
    <mergeCell ref="C44:D44"/>
    <mergeCell ref="C45:D45"/>
    <mergeCell ref="C46:D46"/>
    <mergeCell ref="A18:A31"/>
    <mergeCell ref="B18:B21"/>
    <mergeCell ref="C28:D28"/>
    <mergeCell ref="C29:D29"/>
    <mergeCell ref="C30:D30"/>
    <mergeCell ref="C31:D31"/>
    <mergeCell ref="A2:A16"/>
    <mergeCell ref="B2:B6"/>
    <mergeCell ref="C13:D13"/>
    <mergeCell ref="C14:D14"/>
    <mergeCell ref="C15:D15"/>
    <mergeCell ref="C16:D16"/>
    <mergeCell ref="B7:B11"/>
  </mergeCells>
  <pageMargins left="0.5" right="0.17" top="0.63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V34"/>
  <sheetViews>
    <sheetView zoomScale="137" zoomScaleNormal="137" workbookViewId="0">
      <pane ySplit="2" topLeftCell="A3" activePane="bottomLeft" state="frozen"/>
      <selection activeCell="D3" sqref="D3"/>
      <selection pane="bottomLeft" activeCell="D3" sqref="D3"/>
    </sheetView>
  </sheetViews>
  <sheetFormatPr defaultColWidth="9.140625" defaultRowHeight="15"/>
  <cols>
    <col min="1" max="1" width="9.42578125" customWidth="1"/>
    <col min="2" max="2" width="10.140625" bestFit="1" customWidth="1"/>
    <col min="3" max="3" width="8" customWidth="1"/>
    <col min="4" max="13" width="8.5703125" customWidth="1"/>
    <col min="14" max="23" width="7.5703125" customWidth="1"/>
  </cols>
  <sheetData>
    <row r="1" spans="1:22">
      <c r="A1" s="184" t="s">
        <v>67</v>
      </c>
      <c r="L1" s="233">
        <v>42584</v>
      </c>
      <c r="M1" s="233"/>
    </row>
    <row r="2" spans="1:22" ht="30">
      <c r="A2" s="235" t="s">
        <v>55</v>
      </c>
      <c r="B2" s="11"/>
      <c r="C2" s="133"/>
      <c r="D2" s="132" t="s">
        <v>58</v>
      </c>
      <c r="E2" s="132" t="s">
        <v>59</v>
      </c>
      <c r="F2" s="132" t="s">
        <v>60</v>
      </c>
      <c r="G2" s="132" t="s">
        <v>61</v>
      </c>
      <c r="H2" s="132" t="s">
        <v>8</v>
      </c>
      <c r="I2" s="132" t="s">
        <v>9</v>
      </c>
      <c r="J2" s="132" t="s">
        <v>21</v>
      </c>
      <c r="K2" s="132" t="s">
        <v>24</v>
      </c>
      <c r="L2" s="132" t="s">
        <v>27</v>
      </c>
      <c r="M2" s="132" t="s">
        <v>57</v>
      </c>
    </row>
    <row r="3" spans="1:22" ht="15" customHeight="1">
      <c r="A3" s="235"/>
      <c r="B3" s="234">
        <v>42584</v>
      </c>
      <c r="C3" s="134" t="s">
        <v>4</v>
      </c>
      <c r="D3" s="135"/>
      <c r="E3" s="135"/>
      <c r="F3" s="135"/>
      <c r="G3" s="135"/>
      <c r="H3" s="135"/>
      <c r="I3" s="135" t="e">
        <f>AVERAGE(D13:G13)</f>
        <v>#DIV/0!</v>
      </c>
      <c r="J3" s="135" t="e">
        <f>AVERAGE(H13:K13)</f>
        <v>#DIV/0!</v>
      </c>
      <c r="K3" s="135" t="e">
        <f>AVERAGE(L13:M13,D20:E20)</f>
        <v>#DIV/0!</v>
      </c>
      <c r="L3" s="135" t="e">
        <f>AVERAGE(F20:I20)</f>
        <v>#DIV/0!</v>
      </c>
      <c r="M3" s="135" t="e">
        <f>AVERAGE(J20:M20)</f>
        <v>#DIV/0!</v>
      </c>
    </row>
    <row r="4" spans="1:22">
      <c r="A4" s="235"/>
      <c r="B4" s="235"/>
      <c r="C4" s="136" t="s">
        <v>2</v>
      </c>
      <c r="D4" s="137"/>
      <c r="E4" s="138"/>
      <c r="F4" s="138"/>
      <c r="G4" s="138"/>
      <c r="H4" s="138"/>
      <c r="I4" s="138" t="e">
        <f>AVERAGE(D14:G14)</f>
        <v>#DIV/0!</v>
      </c>
      <c r="J4" s="138" t="e">
        <f>AVERAGE(H14:K14)</f>
        <v>#DIV/0!</v>
      </c>
      <c r="K4" s="138" t="e">
        <f>AVERAGE(L14:M14,D21:E21)</f>
        <v>#DIV/0!</v>
      </c>
      <c r="L4" s="138" t="e">
        <f>AVERAGE(F21:I21)</f>
        <v>#DIV/0!</v>
      </c>
      <c r="M4" s="138" t="e">
        <f>AVERAGE(J21:M21)</f>
        <v>#DIV/0!</v>
      </c>
    </row>
    <row r="5" spans="1:22">
      <c r="A5" s="235"/>
      <c r="B5" s="235"/>
      <c r="C5" s="139" t="s">
        <v>0</v>
      </c>
      <c r="D5" s="140"/>
      <c r="E5" s="140"/>
      <c r="F5" s="140"/>
      <c r="G5" s="140"/>
      <c r="H5" s="140"/>
      <c r="I5" s="140" t="e">
        <f>AVERAGE(D15:G15)</f>
        <v>#DIV/0!</v>
      </c>
      <c r="J5" s="140" t="e">
        <f>AVERAGE(H15:K15)</f>
        <v>#DIV/0!</v>
      </c>
      <c r="K5" s="140" t="e">
        <f>AVERAGE(L15:M15,D22:E22)</f>
        <v>#DIV/0!</v>
      </c>
      <c r="L5" s="140" t="e">
        <f>AVERAGE(F22:I22)</f>
        <v>#DIV/0!</v>
      </c>
      <c r="M5" s="140" t="e">
        <f>AVERAGE(J22:M22)</f>
        <v>#DIV/0!</v>
      </c>
    </row>
    <row r="6" spans="1:22">
      <c r="A6" s="235"/>
      <c r="B6" s="235"/>
      <c r="C6" s="141" t="s">
        <v>3</v>
      </c>
      <c r="D6" s="142"/>
      <c r="E6" s="142"/>
      <c r="F6" s="142"/>
      <c r="G6" s="142"/>
      <c r="H6" s="142"/>
      <c r="I6" s="142" t="e">
        <f>AVERAGE(D16:G16)</f>
        <v>#DIV/0!</v>
      </c>
      <c r="J6" s="142" t="e">
        <f>AVERAGE(H16:K16)</f>
        <v>#DIV/0!</v>
      </c>
      <c r="K6" s="142" t="e">
        <f>AVERAGE(L16:M16,D23:E23)</f>
        <v>#DIV/0!</v>
      </c>
      <c r="L6" s="142" t="e">
        <f>AVERAGE(F23:I23)</f>
        <v>#DIV/0!</v>
      </c>
      <c r="M6" s="142" t="e">
        <f>AVERAGE(J23:M23)</f>
        <v>#DIV/0!</v>
      </c>
    </row>
    <row r="7" spans="1:22">
      <c r="A7" s="235"/>
      <c r="B7" s="235"/>
      <c r="C7" s="178" t="s">
        <v>1</v>
      </c>
      <c r="D7" s="181">
        <v>89.65</v>
      </c>
      <c r="E7" s="181">
        <v>85.82</v>
      </c>
      <c r="F7" s="181">
        <v>95.13</v>
      </c>
      <c r="G7" s="181">
        <v>60.67</v>
      </c>
      <c r="H7" s="181" t="e">
        <f t="shared" ref="H7:M7" si="0">AVERAGE(H3:H6)</f>
        <v>#DIV/0!</v>
      </c>
      <c r="I7" s="181" t="e">
        <f t="shared" si="0"/>
        <v>#DIV/0!</v>
      </c>
      <c r="J7" s="181" t="e">
        <f t="shared" si="0"/>
        <v>#DIV/0!</v>
      </c>
      <c r="K7" s="181" t="e">
        <f t="shared" si="0"/>
        <v>#DIV/0!</v>
      </c>
      <c r="L7" s="181" t="e">
        <f t="shared" si="0"/>
        <v>#DIV/0!</v>
      </c>
      <c r="M7" s="181" t="e">
        <f t="shared" si="0"/>
        <v>#DIV/0!</v>
      </c>
      <c r="V7" s="93"/>
    </row>
    <row r="8" spans="1:22">
      <c r="A8" s="235"/>
      <c r="B8" s="176">
        <v>42389</v>
      </c>
      <c r="C8" s="133" t="s">
        <v>1</v>
      </c>
      <c r="D8" s="138">
        <v>89.65</v>
      </c>
      <c r="E8" s="138">
        <v>85.82</v>
      </c>
      <c r="F8" s="138">
        <v>95.13</v>
      </c>
      <c r="G8" s="138">
        <v>60.67</v>
      </c>
      <c r="H8" s="138">
        <v>37</v>
      </c>
      <c r="I8" s="138">
        <v>38</v>
      </c>
      <c r="J8" s="138">
        <v>45</v>
      </c>
      <c r="K8" s="138">
        <v>50</v>
      </c>
      <c r="L8" s="138">
        <v>53</v>
      </c>
      <c r="M8" s="138">
        <v>53</v>
      </c>
      <c r="V8" s="93"/>
    </row>
    <row r="9" spans="1:22">
      <c r="A9" s="235"/>
      <c r="B9" s="176">
        <v>42339</v>
      </c>
      <c r="C9" s="133" t="s">
        <v>1</v>
      </c>
      <c r="D9" s="138">
        <v>89.65</v>
      </c>
      <c r="E9" s="138">
        <v>85.82</v>
      </c>
      <c r="F9" s="138">
        <v>95.13</v>
      </c>
      <c r="G9" s="138">
        <v>60.67</v>
      </c>
      <c r="H9" s="138">
        <v>44</v>
      </c>
      <c r="I9" s="138">
        <v>49.5</v>
      </c>
      <c r="J9" s="138">
        <v>56</v>
      </c>
      <c r="K9" s="138">
        <v>59</v>
      </c>
      <c r="L9" s="138">
        <v>60</v>
      </c>
      <c r="M9" s="138">
        <v>60</v>
      </c>
      <c r="V9" s="93"/>
    </row>
    <row r="10" spans="1:22">
      <c r="A10" s="235"/>
      <c r="B10" s="33"/>
      <c r="C10" s="236" t="s">
        <v>16</v>
      </c>
      <c r="D10" s="236"/>
      <c r="E10" s="146">
        <f t="shared" ref="E10:M10" si="1">+E7/D7-1</f>
        <v>-4.2721695482431765E-2</v>
      </c>
      <c r="F10" s="146">
        <f t="shared" si="1"/>
        <v>0.10848287112561183</v>
      </c>
      <c r="G10" s="166">
        <f t="shared" si="1"/>
        <v>-0.36224114369809735</v>
      </c>
      <c r="H10" s="146" t="e">
        <f t="shared" si="1"/>
        <v>#DIV/0!</v>
      </c>
      <c r="I10" s="146" t="e">
        <f t="shared" si="1"/>
        <v>#DIV/0!</v>
      </c>
      <c r="J10" s="146" t="e">
        <f t="shared" si="1"/>
        <v>#DIV/0!</v>
      </c>
      <c r="K10" s="146" t="e">
        <f t="shared" si="1"/>
        <v>#DIV/0!</v>
      </c>
      <c r="L10" s="146" t="e">
        <f t="shared" si="1"/>
        <v>#DIV/0!</v>
      </c>
      <c r="M10" s="146" t="e">
        <f t="shared" si="1"/>
        <v>#DIV/0!</v>
      </c>
    </row>
    <row r="11" spans="1:22">
      <c r="A11" s="182"/>
      <c r="B11" s="172"/>
      <c r="C11" s="173"/>
      <c r="D11" s="173"/>
      <c r="E11" s="174"/>
      <c r="F11" s="174"/>
      <c r="G11" s="183"/>
      <c r="H11" s="183"/>
      <c r="I11" s="183"/>
      <c r="J11" s="183"/>
      <c r="K11" s="183"/>
      <c r="L11" s="183"/>
    </row>
    <row r="12" spans="1:22">
      <c r="A12" s="235" t="s">
        <v>56</v>
      </c>
      <c r="B12" s="11"/>
      <c r="C12" s="133"/>
      <c r="D12" s="132" t="s">
        <v>35</v>
      </c>
      <c r="E12" s="132" t="s">
        <v>36</v>
      </c>
      <c r="F12" s="132" t="s">
        <v>37</v>
      </c>
      <c r="G12" s="132" t="s">
        <v>38</v>
      </c>
      <c r="H12" s="132" t="s">
        <v>39</v>
      </c>
      <c r="I12" s="132" t="s">
        <v>40</v>
      </c>
      <c r="J12" s="132" t="s">
        <v>41</v>
      </c>
      <c r="K12" s="132" t="s">
        <v>42</v>
      </c>
      <c r="L12" s="132" t="s">
        <v>43</v>
      </c>
      <c r="M12" s="132" t="s">
        <v>44</v>
      </c>
    </row>
    <row r="13" spans="1:22" ht="15" customHeight="1">
      <c r="A13" s="235"/>
      <c r="B13" s="234">
        <f>B3</f>
        <v>42584</v>
      </c>
      <c r="C13" s="134" t="s">
        <v>4</v>
      </c>
      <c r="D13" s="134"/>
      <c r="E13" s="135"/>
      <c r="F13" s="135"/>
      <c r="G13" s="135"/>
      <c r="H13" s="135"/>
      <c r="I13" s="135"/>
      <c r="J13" s="135"/>
      <c r="K13" s="135"/>
      <c r="L13" s="135"/>
      <c r="M13" s="135"/>
    </row>
    <row r="14" spans="1:22">
      <c r="A14" s="235"/>
      <c r="B14" s="235"/>
      <c r="C14" s="136" t="s">
        <v>2</v>
      </c>
      <c r="D14" s="136"/>
      <c r="E14" s="137"/>
      <c r="F14" s="138"/>
      <c r="G14" s="138"/>
      <c r="H14" s="138"/>
      <c r="I14" s="138"/>
      <c r="J14" s="138"/>
      <c r="K14" s="138"/>
      <c r="L14" s="138"/>
      <c r="M14" s="138"/>
    </row>
    <row r="15" spans="1:22">
      <c r="A15" s="235"/>
      <c r="B15" s="235"/>
      <c r="C15" s="139" t="s">
        <v>0</v>
      </c>
      <c r="D15" s="139"/>
      <c r="E15" s="140"/>
      <c r="F15" s="140"/>
      <c r="G15" s="140"/>
      <c r="H15" s="140"/>
      <c r="I15" s="140"/>
      <c r="J15" s="140"/>
      <c r="K15" s="140"/>
      <c r="L15" s="140"/>
      <c r="M15" s="140"/>
    </row>
    <row r="16" spans="1:22">
      <c r="A16" s="235"/>
      <c r="B16" s="235"/>
      <c r="C16" s="141" t="s">
        <v>3</v>
      </c>
      <c r="D16" s="141"/>
      <c r="E16" s="142"/>
      <c r="F16" s="142"/>
      <c r="G16" s="142"/>
      <c r="H16" s="142"/>
      <c r="I16" s="142"/>
      <c r="J16" s="142"/>
      <c r="K16" s="142"/>
      <c r="L16" s="142"/>
      <c r="M16" s="142"/>
    </row>
    <row r="17" spans="1:13">
      <c r="A17" s="235"/>
      <c r="B17" s="235"/>
      <c r="C17" s="178" t="s">
        <v>1</v>
      </c>
      <c r="D17" s="181" t="e">
        <f t="shared" ref="D17:M17" si="2">AVERAGE(D13:D16)</f>
        <v>#DIV/0!</v>
      </c>
      <c r="E17" s="181" t="e">
        <f t="shared" si="2"/>
        <v>#DIV/0!</v>
      </c>
      <c r="F17" s="181" t="e">
        <f t="shared" si="2"/>
        <v>#DIV/0!</v>
      </c>
      <c r="G17" s="181" t="e">
        <f t="shared" si="2"/>
        <v>#DIV/0!</v>
      </c>
      <c r="H17" s="181" t="e">
        <f t="shared" si="2"/>
        <v>#DIV/0!</v>
      </c>
      <c r="I17" s="181" t="e">
        <f t="shared" si="2"/>
        <v>#DIV/0!</v>
      </c>
      <c r="J17" s="181" t="e">
        <f t="shared" si="2"/>
        <v>#DIV/0!</v>
      </c>
      <c r="K17" s="181" t="e">
        <f t="shared" si="2"/>
        <v>#DIV/0!</v>
      </c>
      <c r="L17" s="181" t="e">
        <f t="shared" si="2"/>
        <v>#DIV/0!</v>
      </c>
      <c r="M17" s="181" t="e">
        <f t="shared" si="2"/>
        <v>#DIV/0!</v>
      </c>
    </row>
    <row r="18" spans="1:13">
      <c r="A18" s="9"/>
      <c r="B18" s="13"/>
    </row>
    <row r="19" spans="1:13">
      <c r="A19" s="235" t="s">
        <v>56</v>
      </c>
      <c r="B19" s="11"/>
      <c r="C19" s="133"/>
      <c r="D19" s="132" t="s">
        <v>45</v>
      </c>
      <c r="E19" s="132" t="s">
        <v>46</v>
      </c>
      <c r="F19" s="132" t="s">
        <v>47</v>
      </c>
      <c r="G19" s="132" t="s">
        <v>48</v>
      </c>
      <c r="H19" s="132" t="s">
        <v>49</v>
      </c>
      <c r="I19" s="132" t="s">
        <v>50</v>
      </c>
      <c r="J19" s="132" t="s">
        <v>51</v>
      </c>
      <c r="K19" s="132" t="s">
        <v>52</v>
      </c>
      <c r="L19" s="132" t="s">
        <v>53</v>
      </c>
      <c r="M19" s="132" t="s">
        <v>54</v>
      </c>
    </row>
    <row r="20" spans="1:13" ht="15" customHeight="1">
      <c r="A20" s="235"/>
      <c r="B20" s="234">
        <f>B3</f>
        <v>42584</v>
      </c>
      <c r="C20" s="134" t="s">
        <v>4</v>
      </c>
      <c r="D20" s="134"/>
      <c r="E20" s="135"/>
      <c r="F20" s="135"/>
      <c r="G20" s="135"/>
      <c r="H20" s="135"/>
      <c r="I20" s="135"/>
      <c r="J20" s="135"/>
      <c r="K20" s="135"/>
      <c r="L20" s="135"/>
      <c r="M20" s="135"/>
    </row>
    <row r="21" spans="1:13">
      <c r="A21" s="235"/>
      <c r="B21" s="235"/>
      <c r="C21" s="136" t="s">
        <v>2</v>
      </c>
      <c r="D21" s="136"/>
      <c r="E21" s="137"/>
      <c r="F21" s="138"/>
      <c r="G21" s="138"/>
      <c r="H21" s="138"/>
      <c r="I21" s="138"/>
      <c r="J21" s="138"/>
      <c r="K21" s="138"/>
      <c r="L21" s="138"/>
      <c r="M21" s="138"/>
    </row>
    <row r="22" spans="1:13">
      <c r="A22" s="235"/>
      <c r="B22" s="235"/>
      <c r="C22" s="139" t="s">
        <v>0</v>
      </c>
      <c r="D22" s="139"/>
      <c r="E22" s="140"/>
      <c r="F22" s="140"/>
      <c r="G22" s="140"/>
      <c r="H22" s="140"/>
      <c r="I22" s="140"/>
      <c r="J22" s="140"/>
      <c r="K22" s="140"/>
      <c r="L22" s="140"/>
      <c r="M22" s="140"/>
    </row>
    <row r="23" spans="1:13">
      <c r="A23" s="235"/>
      <c r="B23" s="235"/>
      <c r="C23" s="141" t="s">
        <v>3</v>
      </c>
      <c r="D23" s="141"/>
      <c r="E23" s="142"/>
      <c r="F23" s="142"/>
      <c r="G23" s="142"/>
      <c r="H23" s="142"/>
      <c r="I23" s="142"/>
      <c r="J23" s="142"/>
      <c r="K23" s="142"/>
      <c r="L23" s="142"/>
      <c r="M23" s="142"/>
    </row>
    <row r="24" spans="1:13">
      <c r="A24" s="235"/>
      <c r="B24" s="235"/>
      <c r="C24" s="178" t="s">
        <v>1</v>
      </c>
      <c r="D24" s="181" t="e">
        <f t="shared" ref="D24:M24" si="3">AVERAGE(D20:D23)</f>
        <v>#DIV/0!</v>
      </c>
      <c r="E24" s="181" t="e">
        <f t="shared" si="3"/>
        <v>#DIV/0!</v>
      </c>
      <c r="F24" s="181" t="e">
        <f t="shared" si="3"/>
        <v>#DIV/0!</v>
      </c>
      <c r="G24" s="181" t="e">
        <f t="shared" si="3"/>
        <v>#DIV/0!</v>
      </c>
      <c r="H24" s="181" t="e">
        <f t="shared" si="3"/>
        <v>#DIV/0!</v>
      </c>
      <c r="I24" s="181" t="e">
        <f t="shared" si="3"/>
        <v>#DIV/0!</v>
      </c>
      <c r="J24" s="181" t="e">
        <f t="shared" si="3"/>
        <v>#DIV/0!</v>
      </c>
      <c r="K24" s="181" t="e">
        <f t="shared" si="3"/>
        <v>#DIV/0!</v>
      </c>
      <c r="L24" s="181" t="e">
        <f t="shared" si="3"/>
        <v>#DIV/0!</v>
      </c>
      <c r="M24" s="181" t="e">
        <f t="shared" si="3"/>
        <v>#DIV/0!</v>
      </c>
    </row>
    <row r="25" spans="1:13">
      <c r="A25" s="65"/>
      <c r="B25" s="65"/>
      <c r="C25" s="65"/>
      <c r="D25" s="65"/>
      <c r="E25" s="65"/>
      <c r="F25" s="65"/>
      <c r="G25" s="126"/>
      <c r="H25" s="128"/>
      <c r="I25" s="128"/>
      <c r="J25" s="128"/>
      <c r="K25" s="128"/>
      <c r="L25" s="128"/>
      <c r="M25" s="128"/>
    </row>
    <row r="26" spans="1:13" ht="30">
      <c r="A26" s="235" t="s">
        <v>62</v>
      </c>
      <c r="B26" s="11"/>
      <c r="C26" s="133"/>
      <c r="D26" s="132" t="s">
        <v>58</v>
      </c>
      <c r="E26" s="132" t="s">
        <v>59</v>
      </c>
      <c r="F26" s="132" t="s">
        <v>60</v>
      </c>
      <c r="G26" s="132" t="s">
        <v>61</v>
      </c>
      <c r="H26" s="132" t="s">
        <v>8</v>
      </c>
      <c r="I26" s="132" t="s">
        <v>9</v>
      </c>
      <c r="J26" s="132" t="s">
        <v>21</v>
      </c>
      <c r="K26" s="132" t="s">
        <v>24</v>
      </c>
      <c r="L26" s="132" t="s">
        <v>27</v>
      </c>
      <c r="M26" s="132" t="s">
        <v>57</v>
      </c>
    </row>
    <row r="27" spans="1:13" ht="15" customHeight="1">
      <c r="A27" s="235"/>
      <c r="B27" s="234">
        <f>B3</f>
        <v>42584</v>
      </c>
      <c r="C27" s="134" t="s">
        <v>4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</row>
    <row r="28" spans="1:13" ht="15" customHeight="1">
      <c r="A28" s="235"/>
      <c r="B28" s="234"/>
      <c r="C28" s="136" t="s">
        <v>2</v>
      </c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1:13">
      <c r="A29" s="235"/>
      <c r="B29" s="234"/>
      <c r="C29" s="139" t="s">
        <v>0</v>
      </c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1:13">
      <c r="A30" s="235"/>
      <c r="B30" s="234"/>
      <c r="C30" s="141" t="s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1:13">
      <c r="A31" s="235"/>
      <c r="B31" s="234"/>
      <c r="C31" s="178" t="s">
        <v>1</v>
      </c>
      <c r="D31" s="179">
        <v>80.3</v>
      </c>
      <c r="E31" s="179">
        <v>96.4</v>
      </c>
      <c r="F31" s="180">
        <v>113.9</v>
      </c>
      <c r="G31" s="180">
        <v>141.4</v>
      </c>
      <c r="H31" s="180" t="e">
        <f t="shared" ref="H31:M31" si="4">AVERAGE(H28:H30)</f>
        <v>#DIV/0!</v>
      </c>
      <c r="I31" s="180" t="e">
        <f t="shared" si="4"/>
        <v>#DIV/0!</v>
      </c>
      <c r="J31" s="180" t="e">
        <f t="shared" si="4"/>
        <v>#DIV/0!</v>
      </c>
      <c r="K31" s="180" t="e">
        <f t="shared" si="4"/>
        <v>#DIV/0!</v>
      </c>
      <c r="L31" s="180" t="e">
        <f t="shared" si="4"/>
        <v>#DIV/0!</v>
      </c>
      <c r="M31" s="180" t="e">
        <f t="shared" si="4"/>
        <v>#DIV/0!</v>
      </c>
    </row>
    <row r="32" spans="1:13">
      <c r="A32" s="235"/>
      <c r="B32" s="176">
        <v>42389</v>
      </c>
      <c r="C32" s="133" t="s">
        <v>1</v>
      </c>
      <c r="D32" s="154">
        <v>80.3</v>
      </c>
      <c r="E32" s="154">
        <v>96.4</v>
      </c>
      <c r="F32" s="154">
        <v>113.9</v>
      </c>
      <c r="G32" s="154">
        <v>141.4</v>
      </c>
      <c r="H32" s="154">
        <v>150</v>
      </c>
      <c r="I32" s="154">
        <v>155</v>
      </c>
      <c r="J32" s="154">
        <v>158</v>
      </c>
      <c r="K32" s="154">
        <v>160</v>
      </c>
      <c r="L32" s="154">
        <v>161</v>
      </c>
      <c r="M32" s="154">
        <v>161</v>
      </c>
    </row>
    <row r="33" spans="1:13">
      <c r="A33" s="235"/>
      <c r="B33" s="176">
        <f>B9</f>
        <v>42339</v>
      </c>
      <c r="C33" s="133" t="s">
        <v>1</v>
      </c>
      <c r="D33" s="154">
        <v>80.3</v>
      </c>
      <c r="E33" s="154">
        <v>96.4</v>
      </c>
      <c r="F33" s="154">
        <v>113.9</v>
      </c>
      <c r="G33" s="154">
        <v>141.4</v>
      </c>
      <c r="H33" s="154">
        <v>150</v>
      </c>
      <c r="I33" s="154">
        <v>155</v>
      </c>
      <c r="J33" s="154">
        <v>158</v>
      </c>
      <c r="K33" s="154">
        <v>160</v>
      </c>
      <c r="L33" s="154">
        <v>161</v>
      </c>
      <c r="M33" s="154">
        <v>161</v>
      </c>
    </row>
    <row r="34" spans="1:13">
      <c r="A34" s="235"/>
      <c r="B34" s="175">
        <f>B27</f>
        <v>42584</v>
      </c>
      <c r="C34" s="236" t="s">
        <v>16</v>
      </c>
      <c r="D34" s="236"/>
      <c r="E34" s="167">
        <f t="shared" ref="E34:M34" si="5">(E31-D31)/D31</f>
        <v>0.20049813200498143</v>
      </c>
      <c r="F34" s="167">
        <f t="shared" si="5"/>
        <v>0.18153526970954356</v>
      </c>
      <c r="G34" s="167">
        <f t="shared" si="5"/>
        <v>0.24143985952589991</v>
      </c>
      <c r="H34" s="167" t="e">
        <f t="shared" si="5"/>
        <v>#DIV/0!</v>
      </c>
      <c r="I34" s="167" t="e">
        <f t="shared" si="5"/>
        <v>#DIV/0!</v>
      </c>
      <c r="J34" s="167" t="e">
        <f t="shared" si="5"/>
        <v>#DIV/0!</v>
      </c>
      <c r="K34" s="167" t="e">
        <f t="shared" si="5"/>
        <v>#DIV/0!</v>
      </c>
      <c r="L34" s="167" t="e">
        <f t="shared" si="5"/>
        <v>#DIV/0!</v>
      </c>
      <c r="M34" s="167" t="e">
        <f t="shared" si="5"/>
        <v>#DIV/0!</v>
      </c>
    </row>
  </sheetData>
  <mergeCells count="11">
    <mergeCell ref="L1:M1"/>
    <mergeCell ref="B27:B31"/>
    <mergeCell ref="B20:B24"/>
    <mergeCell ref="A26:A34"/>
    <mergeCell ref="B13:B17"/>
    <mergeCell ref="C34:D34"/>
    <mergeCell ref="A12:A17"/>
    <mergeCell ref="A19:A24"/>
    <mergeCell ref="B3:B7"/>
    <mergeCell ref="C10:D10"/>
    <mergeCell ref="A2:A10"/>
  </mergeCells>
  <pageMargins left="0.5" right="0.17" top="0.63" bottom="0.75" header="0.3" footer="0.3"/>
  <pageSetup scale="9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V34"/>
  <sheetViews>
    <sheetView tabSelected="1" zoomScale="137" zoomScaleNormal="137" workbookViewId="0">
      <pane ySplit="2" topLeftCell="A3" activePane="bottomLeft" state="frozen"/>
      <selection activeCell="D3" sqref="D3"/>
      <selection pane="bottomLeft" activeCell="L3" sqref="L3"/>
    </sheetView>
  </sheetViews>
  <sheetFormatPr defaultColWidth="9.140625" defaultRowHeight="15"/>
  <cols>
    <col min="1" max="1" width="9.42578125" customWidth="1"/>
    <col min="2" max="2" width="10.140625" bestFit="1" customWidth="1"/>
    <col min="3" max="3" width="8" customWidth="1"/>
    <col min="4" max="13" width="8.5703125" customWidth="1"/>
    <col min="14" max="23" width="7.5703125" customWidth="1"/>
  </cols>
  <sheetData>
    <row r="1" spans="1:22">
      <c r="A1" s="184" t="s">
        <v>66</v>
      </c>
      <c r="L1" s="233">
        <v>42584</v>
      </c>
      <c r="M1" s="233"/>
    </row>
    <row r="2" spans="1:22" ht="30">
      <c r="A2" s="235" t="s">
        <v>63</v>
      </c>
      <c r="B2" s="11"/>
      <c r="C2" s="133"/>
      <c r="D2" s="132" t="s">
        <v>58</v>
      </c>
      <c r="E2" s="132" t="s">
        <v>59</v>
      </c>
      <c r="F2" s="132" t="s">
        <v>60</v>
      </c>
      <c r="G2" s="132" t="s">
        <v>61</v>
      </c>
      <c r="H2" s="132" t="s">
        <v>8</v>
      </c>
      <c r="I2" s="132" t="s">
        <v>9</v>
      </c>
      <c r="J2" s="132" t="s">
        <v>21</v>
      </c>
      <c r="K2" s="132" t="s">
        <v>24</v>
      </c>
      <c r="L2" s="132" t="s">
        <v>27</v>
      </c>
      <c r="M2" s="132" t="s">
        <v>57</v>
      </c>
    </row>
    <row r="3" spans="1:22" ht="15" customHeight="1">
      <c r="A3" s="235"/>
      <c r="B3" s="234">
        <v>42584</v>
      </c>
      <c r="C3" s="134" t="s">
        <v>4</v>
      </c>
      <c r="D3" s="135"/>
      <c r="E3" s="135"/>
      <c r="F3" s="135"/>
      <c r="G3" s="135"/>
      <c r="H3" s="135"/>
      <c r="I3" s="135" t="e">
        <f>AVERAGE(D13:G13)</f>
        <v>#DIV/0!</v>
      </c>
      <c r="J3" s="135" t="e">
        <f>AVERAGE(H13:K13)</f>
        <v>#DIV/0!</v>
      </c>
      <c r="K3" s="135" t="e">
        <f>AVERAGE(L13:M13,D20:E20)</f>
        <v>#DIV/0!</v>
      </c>
      <c r="L3" s="135" t="e">
        <f>AVERAGE(F20:I20)</f>
        <v>#DIV/0!</v>
      </c>
      <c r="M3" s="135" t="e">
        <f>AVERAGE(J20:M20)</f>
        <v>#DIV/0!</v>
      </c>
    </row>
    <row r="4" spans="1:22">
      <c r="A4" s="235"/>
      <c r="B4" s="235"/>
      <c r="C4" s="136" t="s">
        <v>2</v>
      </c>
      <c r="D4" s="137"/>
      <c r="E4" s="138"/>
      <c r="F4" s="138"/>
      <c r="G4" s="138"/>
      <c r="H4" s="138"/>
      <c r="I4" s="138" t="e">
        <f>AVERAGE(D14:G14)</f>
        <v>#DIV/0!</v>
      </c>
      <c r="J4" s="138" t="e">
        <f>AVERAGE(H14:K14)</f>
        <v>#DIV/0!</v>
      </c>
      <c r="K4" s="138" t="e">
        <f>AVERAGE(L14:M14,D21:E21)</f>
        <v>#DIV/0!</v>
      </c>
      <c r="L4" s="138" t="e">
        <f>AVERAGE(F21:I21)</f>
        <v>#DIV/0!</v>
      </c>
      <c r="M4" s="138" t="e">
        <f>AVERAGE(J21:M21)</f>
        <v>#DIV/0!</v>
      </c>
    </row>
    <row r="5" spans="1:22">
      <c r="A5" s="235"/>
      <c r="B5" s="235"/>
      <c r="C5" s="139" t="s">
        <v>0</v>
      </c>
      <c r="D5" s="140"/>
      <c r="E5" s="140"/>
      <c r="F5" s="140"/>
      <c r="G5" s="140"/>
      <c r="H5" s="140"/>
      <c r="I5" s="140" t="e">
        <f>AVERAGE(D15:G15)</f>
        <v>#DIV/0!</v>
      </c>
      <c r="J5" s="140" t="e">
        <f>AVERAGE(H15:K15)</f>
        <v>#DIV/0!</v>
      </c>
      <c r="K5" s="140" t="e">
        <f>AVERAGE(L15:M15,D22:E22)</f>
        <v>#DIV/0!</v>
      </c>
      <c r="L5" s="140" t="e">
        <f>AVERAGE(F22:I22)</f>
        <v>#DIV/0!</v>
      </c>
      <c r="M5" s="140" t="e">
        <f>AVERAGE(J22:M22)</f>
        <v>#DIV/0!</v>
      </c>
    </row>
    <row r="6" spans="1:22">
      <c r="A6" s="235"/>
      <c r="B6" s="235"/>
      <c r="C6" s="141" t="s">
        <v>3</v>
      </c>
      <c r="D6" s="142"/>
      <c r="E6" s="142"/>
      <c r="F6" s="142"/>
      <c r="G6" s="142"/>
      <c r="H6" s="142"/>
      <c r="I6" s="142" t="e">
        <f>AVERAGE(D16:G16)</f>
        <v>#DIV/0!</v>
      </c>
      <c r="J6" s="142" t="e">
        <f>AVERAGE(H16:K16)</f>
        <v>#DIV/0!</v>
      </c>
      <c r="K6" s="142" t="e">
        <f>AVERAGE(L16:M16,D23:E23)</f>
        <v>#DIV/0!</v>
      </c>
      <c r="L6" s="142" t="e">
        <f>AVERAGE(F23:I23)</f>
        <v>#DIV/0!</v>
      </c>
      <c r="M6" s="142" t="e">
        <f>AVERAGE(J23:M23)</f>
        <v>#DIV/0!</v>
      </c>
    </row>
    <row r="7" spans="1:22">
      <c r="A7" s="235"/>
      <c r="B7" s="235"/>
      <c r="C7" s="178" t="s">
        <v>1</v>
      </c>
      <c r="D7" s="181">
        <v>89.65</v>
      </c>
      <c r="E7" s="181">
        <v>85.82</v>
      </c>
      <c r="F7" s="181">
        <v>95.13</v>
      </c>
      <c r="G7" s="181">
        <v>60.67</v>
      </c>
      <c r="H7" s="181" t="e">
        <f t="shared" ref="H7:M7" si="0">AVERAGE(H3:H6)</f>
        <v>#DIV/0!</v>
      </c>
      <c r="I7" s="181" t="e">
        <f t="shared" si="0"/>
        <v>#DIV/0!</v>
      </c>
      <c r="J7" s="181" t="e">
        <f t="shared" si="0"/>
        <v>#DIV/0!</v>
      </c>
      <c r="K7" s="181" t="e">
        <f t="shared" si="0"/>
        <v>#DIV/0!</v>
      </c>
      <c r="L7" s="181" t="e">
        <f t="shared" si="0"/>
        <v>#DIV/0!</v>
      </c>
      <c r="M7" s="181" t="e">
        <f t="shared" si="0"/>
        <v>#DIV/0!</v>
      </c>
      <c r="V7" s="93"/>
    </row>
    <row r="8" spans="1:22">
      <c r="A8" s="235"/>
      <c r="B8" s="176">
        <v>42389</v>
      </c>
      <c r="C8" s="133" t="s">
        <v>1</v>
      </c>
      <c r="D8" s="138">
        <v>89.65</v>
      </c>
      <c r="E8" s="138">
        <v>85.82</v>
      </c>
      <c r="F8" s="138">
        <v>95.13</v>
      </c>
      <c r="G8" s="138">
        <v>60.67</v>
      </c>
      <c r="H8" s="138">
        <v>37</v>
      </c>
      <c r="I8" s="138">
        <v>38</v>
      </c>
      <c r="J8" s="138">
        <v>45</v>
      </c>
      <c r="K8" s="138">
        <v>50</v>
      </c>
      <c r="L8" s="138">
        <v>53</v>
      </c>
      <c r="M8" s="138">
        <v>53</v>
      </c>
      <c r="V8" s="93"/>
    </row>
    <row r="9" spans="1:22">
      <c r="A9" s="235"/>
      <c r="B9" s="176">
        <v>42339</v>
      </c>
      <c r="C9" s="133" t="s">
        <v>1</v>
      </c>
      <c r="D9" s="138">
        <v>89.65</v>
      </c>
      <c r="E9" s="138">
        <v>85.82</v>
      </c>
      <c r="F9" s="138">
        <v>95.13</v>
      </c>
      <c r="G9" s="138">
        <v>60.67</v>
      </c>
      <c r="H9" s="138">
        <v>44</v>
      </c>
      <c r="I9" s="138">
        <v>49.5</v>
      </c>
      <c r="J9" s="138">
        <v>56</v>
      </c>
      <c r="K9" s="138">
        <v>59</v>
      </c>
      <c r="L9" s="138">
        <v>60</v>
      </c>
      <c r="M9" s="138">
        <v>60</v>
      </c>
      <c r="V9" s="93"/>
    </row>
    <row r="10" spans="1:22">
      <c r="A10" s="235"/>
      <c r="B10" s="33"/>
      <c r="C10" s="236" t="s">
        <v>16</v>
      </c>
      <c r="D10" s="236"/>
      <c r="E10" s="146">
        <f t="shared" ref="E10:M10" si="1">+E7/D7-1</f>
        <v>-4.2721695482431765E-2</v>
      </c>
      <c r="F10" s="146">
        <f t="shared" si="1"/>
        <v>0.10848287112561183</v>
      </c>
      <c r="G10" s="166">
        <f t="shared" si="1"/>
        <v>-0.36224114369809735</v>
      </c>
      <c r="H10" s="146" t="e">
        <f t="shared" si="1"/>
        <v>#DIV/0!</v>
      </c>
      <c r="I10" s="146" t="e">
        <f t="shared" si="1"/>
        <v>#DIV/0!</v>
      </c>
      <c r="J10" s="146" t="e">
        <f t="shared" si="1"/>
        <v>#DIV/0!</v>
      </c>
      <c r="K10" s="146" t="e">
        <f t="shared" si="1"/>
        <v>#DIV/0!</v>
      </c>
      <c r="L10" s="146" t="e">
        <f t="shared" si="1"/>
        <v>#DIV/0!</v>
      </c>
      <c r="M10" s="146" t="e">
        <f t="shared" si="1"/>
        <v>#DIV/0!</v>
      </c>
    </row>
    <row r="11" spans="1:22">
      <c r="A11" s="182"/>
      <c r="B11" s="172"/>
      <c r="C11" s="173"/>
      <c r="D11" s="173"/>
      <c r="E11" s="174"/>
      <c r="F11" s="174"/>
      <c r="G11" s="183"/>
      <c r="H11" s="183"/>
      <c r="I11" s="183"/>
      <c r="J11" s="183"/>
      <c r="K11" s="183"/>
      <c r="L11" s="183"/>
    </row>
    <row r="12" spans="1:22">
      <c r="A12" s="235" t="s">
        <v>64</v>
      </c>
      <c r="B12" s="11"/>
      <c r="C12" s="133"/>
      <c r="D12" s="132" t="s">
        <v>35</v>
      </c>
      <c r="E12" s="132" t="s">
        <v>36</v>
      </c>
      <c r="F12" s="132" t="s">
        <v>37</v>
      </c>
      <c r="G12" s="132" t="s">
        <v>38</v>
      </c>
      <c r="H12" s="132" t="s">
        <v>39</v>
      </c>
      <c r="I12" s="132" t="s">
        <v>40</v>
      </c>
      <c r="J12" s="132" t="s">
        <v>41</v>
      </c>
      <c r="K12" s="132" t="s">
        <v>42</v>
      </c>
      <c r="L12" s="132" t="s">
        <v>43</v>
      </c>
      <c r="M12" s="132" t="s">
        <v>44</v>
      </c>
    </row>
    <row r="13" spans="1:22" ht="15" customHeight="1">
      <c r="A13" s="235"/>
      <c r="B13" s="234">
        <f>B3</f>
        <v>42584</v>
      </c>
      <c r="C13" s="134" t="s">
        <v>4</v>
      </c>
      <c r="D13" s="134"/>
      <c r="E13" s="135"/>
      <c r="F13" s="135"/>
      <c r="G13" s="135"/>
      <c r="H13" s="135"/>
      <c r="I13" s="135"/>
      <c r="J13" s="135"/>
      <c r="K13" s="135"/>
      <c r="L13" s="135"/>
      <c r="M13" s="135"/>
    </row>
    <row r="14" spans="1:22">
      <c r="A14" s="235"/>
      <c r="B14" s="235"/>
      <c r="C14" s="136" t="s">
        <v>2</v>
      </c>
      <c r="D14" s="136"/>
      <c r="E14" s="137"/>
      <c r="F14" s="138"/>
      <c r="G14" s="138"/>
      <c r="H14" s="138"/>
      <c r="I14" s="138"/>
      <c r="J14" s="138"/>
      <c r="K14" s="138"/>
      <c r="L14" s="138"/>
      <c r="M14" s="138"/>
    </row>
    <row r="15" spans="1:22">
      <c r="A15" s="235"/>
      <c r="B15" s="235"/>
      <c r="C15" s="139" t="s">
        <v>0</v>
      </c>
      <c r="D15" s="139"/>
      <c r="E15" s="140"/>
      <c r="F15" s="140"/>
      <c r="G15" s="140"/>
      <c r="H15" s="140"/>
      <c r="I15" s="140"/>
      <c r="J15" s="140"/>
      <c r="K15" s="140"/>
      <c r="L15" s="140"/>
      <c r="M15" s="140"/>
    </row>
    <row r="16" spans="1:22">
      <c r="A16" s="235"/>
      <c r="B16" s="235"/>
      <c r="C16" s="141" t="s">
        <v>3</v>
      </c>
      <c r="D16" s="141"/>
      <c r="E16" s="142"/>
      <c r="F16" s="142"/>
      <c r="G16" s="142"/>
      <c r="H16" s="142"/>
      <c r="I16" s="142"/>
      <c r="J16" s="142"/>
      <c r="K16" s="142"/>
      <c r="L16" s="142"/>
      <c r="M16" s="142"/>
    </row>
    <row r="17" spans="1:13">
      <c r="A17" s="235"/>
      <c r="B17" s="235"/>
      <c r="C17" s="178" t="s">
        <v>1</v>
      </c>
      <c r="D17" s="181" t="e">
        <f t="shared" ref="D17:M17" si="2">AVERAGE(D13:D16)</f>
        <v>#DIV/0!</v>
      </c>
      <c r="E17" s="181" t="e">
        <f t="shared" si="2"/>
        <v>#DIV/0!</v>
      </c>
      <c r="F17" s="181" t="e">
        <f t="shared" si="2"/>
        <v>#DIV/0!</v>
      </c>
      <c r="G17" s="181" t="e">
        <f t="shared" si="2"/>
        <v>#DIV/0!</v>
      </c>
      <c r="H17" s="181" t="e">
        <f t="shared" si="2"/>
        <v>#DIV/0!</v>
      </c>
      <c r="I17" s="181" t="e">
        <f t="shared" si="2"/>
        <v>#DIV/0!</v>
      </c>
      <c r="J17" s="181" t="e">
        <f t="shared" si="2"/>
        <v>#DIV/0!</v>
      </c>
      <c r="K17" s="181" t="e">
        <f t="shared" si="2"/>
        <v>#DIV/0!</v>
      </c>
      <c r="L17" s="181" t="e">
        <f t="shared" si="2"/>
        <v>#DIV/0!</v>
      </c>
      <c r="M17" s="181" t="e">
        <f t="shared" si="2"/>
        <v>#DIV/0!</v>
      </c>
    </row>
    <row r="18" spans="1:13">
      <c r="A18" s="9"/>
      <c r="B18" s="13"/>
    </row>
    <row r="19" spans="1:13">
      <c r="A19" s="235" t="s">
        <v>64</v>
      </c>
      <c r="B19" s="11"/>
      <c r="C19" s="133"/>
      <c r="D19" s="132" t="s">
        <v>45</v>
      </c>
      <c r="E19" s="132" t="s">
        <v>46</v>
      </c>
      <c r="F19" s="132" t="s">
        <v>47</v>
      </c>
      <c r="G19" s="132" t="s">
        <v>48</v>
      </c>
      <c r="H19" s="132" t="s">
        <v>49</v>
      </c>
      <c r="I19" s="132" t="s">
        <v>50</v>
      </c>
      <c r="J19" s="132" t="s">
        <v>51</v>
      </c>
      <c r="K19" s="132" t="s">
        <v>52</v>
      </c>
      <c r="L19" s="132" t="s">
        <v>53</v>
      </c>
      <c r="M19" s="132" t="s">
        <v>54</v>
      </c>
    </row>
    <row r="20" spans="1:13" ht="15" customHeight="1">
      <c r="A20" s="235"/>
      <c r="B20" s="234">
        <f>B3</f>
        <v>42584</v>
      </c>
      <c r="C20" s="134" t="s">
        <v>4</v>
      </c>
      <c r="D20" s="134"/>
      <c r="E20" s="135"/>
      <c r="F20" s="135"/>
      <c r="G20" s="135"/>
      <c r="H20" s="135"/>
      <c r="I20" s="135"/>
      <c r="J20" s="135"/>
      <c r="K20" s="135"/>
      <c r="L20" s="135"/>
      <c r="M20" s="135"/>
    </row>
    <row r="21" spans="1:13">
      <c r="A21" s="235"/>
      <c r="B21" s="235"/>
      <c r="C21" s="136" t="s">
        <v>2</v>
      </c>
      <c r="D21" s="136"/>
      <c r="E21" s="137"/>
      <c r="F21" s="138"/>
      <c r="G21" s="138"/>
      <c r="H21" s="138"/>
      <c r="I21" s="138"/>
      <c r="J21" s="138"/>
      <c r="K21" s="138"/>
      <c r="L21" s="138"/>
      <c r="M21" s="138"/>
    </row>
    <row r="22" spans="1:13">
      <c r="A22" s="235"/>
      <c r="B22" s="235"/>
      <c r="C22" s="139" t="s">
        <v>0</v>
      </c>
      <c r="D22" s="139"/>
      <c r="E22" s="140"/>
      <c r="F22" s="140"/>
      <c r="G22" s="140"/>
      <c r="H22" s="140"/>
      <c r="I22" s="140"/>
      <c r="J22" s="140"/>
      <c r="K22" s="140"/>
      <c r="L22" s="140"/>
      <c r="M22" s="140"/>
    </row>
    <row r="23" spans="1:13">
      <c r="A23" s="235"/>
      <c r="B23" s="235"/>
      <c r="C23" s="141" t="s">
        <v>3</v>
      </c>
      <c r="D23" s="141"/>
      <c r="E23" s="142"/>
      <c r="F23" s="142"/>
      <c r="G23" s="142"/>
      <c r="H23" s="142"/>
      <c r="I23" s="142"/>
      <c r="J23" s="142"/>
      <c r="K23" s="142"/>
      <c r="L23" s="142"/>
      <c r="M23" s="142"/>
    </row>
    <row r="24" spans="1:13">
      <c r="A24" s="235"/>
      <c r="B24" s="235"/>
      <c r="C24" s="178" t="s">
        <v>1</v>
      </c>
      <c r="D24" s="181" t="e">
        <f t="shared" ref="D24:M24" si="3">AVERAGE(D20:D23)</f>
        <v>#DIV/0!</v>
      </c>
      <c r="E24" s="181" t="e">
        <f t="shared" si="3"/>
        <v>#DIV/0!</v>
      </c>
      <c r="F24" s="181" t="e">
        <f t="shared" si="3"/>
        <v>#DIV/0!</v>
      </c>
      <c r="G24" s="181" t="e">
        <f t="shared" si="3"/>
        <v>#DIV/0!</v>
      </c>
      <c r="H24" s="181" t="e">
        <f t="shared" si="3"/>
        <v>#DIV/0!</v>
      </c>
      <c r="I24" s="181" t="e">
        <f t="shared" si="3"/>
        <v>#DIV/0!</v>
      </c>
      <c r="J24" s="181" t="e">
        <f t="shared" si="3"/>
        <v>#DIV/0!</v>
      </c>
      <c r="K24" s="181" t="e">
        <f t="shared" si="3"/>
        <v>#DIV/0!</v>
      </c>
      <c r="L24" s="181" t="e">
        <f t="shared" si="3"/>
        <v>#DIV/0!</v>
      </c>
      <c r="M24" s="181" t="e">
        <f t="shared" si="3"/>
        <v>#DIV/0!</v>
      </c>
    </row>
    <row r="25" spans="1:13">
      <c r="A25" s="65"/>
      <c r="B25" s="65"/>
      <c r="C25" s="65"/>
      <c r="D25" s="65"/>
      <c r="E25" s="65"/>
      <c r="F25" s="65"/>
      <c r="G25" s="126"/>
      <c r="H25" s="128"/>
      <c r="I25" s="128"/>
      <c r="J25" s="128"/>
      <c r="K25" s="128"/>
      <c r="L25" s="128"/>
      <c r="M25" s="128"/>
    </row>
    <row r="26" spans="1:13" ht="30">
      <c r="A26" s="235" t="s">
        <v>65</v>
      </c>
      <c r="B26" s="11"/>
      <c r="C26" s="133"/>
      <c r="D26" s="132" t="s">
        <v>58</v>
      </c>
      <c r="E26" s="132" t="s">
        <v>59</v>
      </c>
      <c r="F26" s="132" t="s">
        <v>60</v>
      </c>
      <c r="G26" s="132" t="s">
        <v>61</v>
      </c>
      <c r="H26" s="132" t="s">
        <v>8</v>
      </c>
      <c r="I26" s="132" t="s">
        <v>9</v>
      </c>
      <c r="J26" s="132" t="s">
        <v>21</v>
      </c>
      <c r="K26" s="132" t="s">
        <v>24</v>
      </c>
      <c r="L26" s="132" t="s">
        <v>27</v>
      </c>
      <c r="M26" s="132" t="s">
        <v>57</v>
      </c>
    </row>
    <row r="27" spans="1:13" ht="15" customHeight="1">
      <c r="A27" s="235"/>
      <c r="B27" s="234">
        <f>B3</f>
        <v>42584</v>
      </c>
      <c r="C27" s="134" t="s">
        <v>4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</row>
    <row r="28" spans="1:13" ht="15" customHeight="1">
      <c r="A28" s="235"/>
      <c r="B28" s="234"/>
      <c r="C28" s="136" t="s">
        <v>2</v>
      </c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1:13">
      <c r="A29" s="235"/>
      <c r="B29" s="234"/>
      <c r="C29" s="139" t="s">
        <v>0</v>
      </c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1:13">
      <c r="A30" s="235"/>
      <c r="B30" s="234"/>
      <c r="C30" s="141" t="s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1:13">
      <c r="A31" s="235"/>
      <c r="B31" s="234"/>
      <c r="C31" s="178" t="s">
        <v>1</v>
      </c>
      <c r="D31" s="179">
        <v>80.3</v>
      </c>
      <c r="E31" s="179">
        <v>96.4</v>
      </c>
      <c r="F31" s="180">
        <v>113.9</v>
      </c>
      <c r="G31" s="180">
        <v>141.4</v>
      </c>
      <c r="H31" s="180" t="e">
        <f t="shared" ref="H31:M31" si="4">AVERAGE(H28:H30)</f>
        <v>#DIV/0!</v>
      </c>
      <c r="I31" s="180" t="e">
        <f t="shared" si="4"/>
        <v>#DIV/0!</v>
      </c>
      <c r="J31" s="180" t="e">
        <f t="shared" si="4"/>
        <v>#DIV/0!</v>
      </c>
      <c r="K31" s="180" t="e">
        <f t="shared" si="4"/>
        <v>#DIV/0!</v>
      </c>
      <c r="L31" s="180" t="e">
        <f t="shared" si="4"/>
        <v>#DIV/0!</v>
      </c>
      <c r="M31" s="180" t="e">
        <f t="shared" si="4"/>
        <v>#DIV/0!</v>
      </c>
    </row>
    <row r="32" spans="1:13">
      <c r="A32" s="235"/>
      <c r="B32" s="176">
        <v>42389</v>
      </c>
      <c r="C32" s="133" t="s">
        <v>1</v>
      </c>
      <c r="D32" s="154">
        <v>80.3</v>
      </c>
      <c r="E32" s="154">
        <v>96.4</v>
      </c>
      <c r="F32" s="154">
        <v>113.9</v>
      </c>
      <c r="G32" s="154">
        <v>141.4</v>
      </c>
      <c r="H32" s="154">
        <v>150</v>
      </c>
      <c r="I32" s="154">
        <v>155</v>
      </c>
      <c r="J32" s="154">
        <v>158</v>
      </c>
      <c r="K32" s="154">
        <v>160</v>
      </c>
      <c r="L32" s="154">
        <v>161</v>
      </c>
      <c r="M32" s="154">
        <v>161</v>
      </c>
    </row>
    <row r="33" spans="1:13">
      <c r="A33" s="235"/>
      <c r="B33" s="176">
        <f>B9</f>
        <v>42339</v>
      </c>
      <c r="C33" s="133" t="s">
        <v>1</v>
      </c>
      <c r="D33" s="154">
        <v>80.3</v>
      </c>
      <c r="E33" s="154">
        <v>96.4</v>
      </c>
      <c r="F33" s="154">
        <v>113.9</v>
      </c>
      <c r="G33" s="154">
        <v>141.4</v>
      </c>
      <c r="H33" s="154">
        <v>150</v>
      </c>
      <c r="I33" s="154">
        <v>155</v>
      </c>
      <c r="J33" s="154">
        <v>158</v>
      </c>
      <c r="K33" s="154">
        <v>160</v>
      </c>
      <c r="L33" s="154">
        <v>161</v>
      </c>
      <c r="M33" s="154">
        <v>161</v>
      </c>
    </row>
    <row r="34" spans="1:13">
      <c r="A34" s="235"/>
      <c r="B34" s="175">
        <f>B27</f>
        <v>42584</v>
      </c>
      <c r="C34" s="236" t="s">
        <v>16</v>
      </c>
      <c r="D34" s="236"/>
      <c r="E34" s="167">
        <f t="shared" ref="E34:M34" si="5">(E31-D31)/D31</f>
        <v>0.20049813200498143</v>
      </c>
      <c r="F34" s="167">
        <f t="shared" si="5"/>
        <v>0.18153526970954356</v>
      </c>
      <c r="G34" s="167">
        <f t="shared" si="5"/>
        <v>0.24143985952589991</v>
      </c>
      <c r="H34" s="167" t="e">
        <f t="shared" si="5"/>
        <v>#DIV/0!</v>
      </c>
      <c r="I34" s="167" t="e">
        <f t="shared" si="5"/>
        <v>#DIV/0!</v>
      </c>
      <c r="J34" s="167" t="e">
        <f t="shared" si="5"/>
        <v>#DIV/0!</v>
      </c>
      <c r="K34" s="167" t="e">
        <f t="shared" si="5"/>
        <v>#DIV/0!</v>
      </c>
      <c r="L34" s="167" t="e">
        <f t="shared" si="5"/>
        <v>#DIV/0!</v>
      </c>
      <c r="M34" s="167" t="e">
        <f t="shared" si="5"/>
        <v>#DIV/0!</v>
      </c>
    </row>
  </sheetData>
  <mergeCells count="11">
    <mergeCell ref="A26:A34"/>
    <mergeCell ref="B27:B31"/>
    <mergeCell ref="C34:D34"/>
    <mergeCell ref="L1:M1"/>
    <mergeCell ref="A2:A10"/>
    <mergeCell ref="B3:B7"/>
    <mergeCell ref="C10:D10"/>
    <mergeCell ref="A12:A17"/>
    <mergeCell ref="B13:B17"/>
    <mergeCell ref="A19:A24"/>
    <mergeCell ref="B20:B24"/>
  </mergeCells>
  <pageMargins left="0.5" right="0.17" top="0.63" bottom="0.75" header="0.3" footer="0.3"/>
  <pageSetup scale="9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W72"/>
  <sheetViews>
    <sheetView zoomScale="120" zoomScaleNormal="120" workbookViewId="0">
      <pane ySplit="1" topLeftCell="A2" activePane="bottomLeft" state="frozen"/>
      <selection pane="bottomLeft" activeCell="H3" sqref="H3:H5"/>
    </sheetView>
  </sheetViews>
  <sheetFormatPr defaultColWidth="9.140625" defaultRowHeight="15"/>
  <cols>
    <col min="1" max="1" width="9.42578125" customWidth="1"/>
    <col min="2" max="2" width="7.5703125" bestFit="1" customWidth="1"/>
    <col min="3" max="3" width="8" customWidth="1"/>
    <col min="4" max="8" width="7.5703125" customWidth="1"/>
    <col min="9" max="9" width="9.42578125" bestFit="1" customWidth="1"/>
    <col min="10" max="11" width="8.140625" bestFit="1" customWidth="1"/>
    <col min="12" max="12" width="9.42578125" bestFit="1" customWidth="1"/>
    <col min="13" max="13" width="8.140625" bestFit="1" customWidth="1"/>
    <col min="15" max="15" width="20.42578125" customWidth="1"/>
    <col min="16" max="20" width="8.5703125" bestFit="1" customWidth="1"/>
  </cols>
  <sheetData>
    <row r="1" spans="1:23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9</v>
      </c>
      <c r="J1" s="132" t="s">
        <v>21</v>
      </c>
      <c r="K1" s="132" t="s">
        <v>24</v>
      </c>
      <c r="L1" s="132" t="s">
        <v>27</v>
      </c>
      <c r="M1" s="132" t="s">
        <v>57</v>
      </c>
    </row>
    <row r="2" spans="1:23">
      <c r="A2" s="225" t="s">
        <v>10</v>
      </c>
      <c r="B2" s="212">
        <v>42705</v>
      </c>
      <c r="C2" s="134" t="s">
        <v>4</v>
      </c>
      <c r="D2" s="135"/>
      <c r="E2" s="135"/>
      <c r="F2" s="135"/>
      <c r="G2" s="135"/>
      <c r="H2" s="135"/>
      <c r="I2" s="135">
        <v>42.4</v>
      </c>
      <c r="J2" s="135">
        <v>46.3</v>
      </c>
      <c r="K2" s="135">
        <v>49</v>
      </c>
      <c r="L2" s="135">
        <v>52.5</v>
      </c>
      <c r="M2" s="135">
        <v>56.1</v>
      </c>
      <c r="O2" t="s">
        <v>28</v>
      </c>
      <c r="P2" t="s">
        <v>29</v>
      </c>
      <c r="Q2" t="s">
        <v>68</v>
      </c>
      <c r="R2" t="s">
        <v>69</v>
      </c>
      <c r="S2" t="s">
        <v>70</v>
      </c>
      <c r="T2" t="s">
        <v>71</v>
      </c>
    </row>
    <row r="3" spans="1:23">
      <c r="A3" s="226"/>
      <c r="B3" s="211"/>
      <c r="C3" s="136" t="s">
        <v>2</v>
      </c>
      <c r="D3" s="137"/>
      <c r="E3" s="138"/>
      <c r="F3" s="138"/>
      <c r="G3" s="138"/>
      <c r="H3" s="138">
        <v>36.82</v>
      </c>
      <c r="I3" s="138">
        <v>42.6</v>
      </c>
      <c r="J3" s="138">
        <v>47.21</v>
      </c>
      <c r="K3" s="138">
        <v>49</v>
      </c>
      <c r="L3" s="138">
        <v>52</v>
      </c>
      <c r="M3" s="138">
        <v>53</v>
      </c>
      <c r="O3" t="s">
        <v>72</v>
      </c>
    </row>
    <row r="4" spans="1:23">
      <c r="A4" s="226"/>
      <c r="B4" s="211"/>
      <c r="C4" s="139" t="s">
        <v>0</v>
      </c>
      <c r="D4" s="140"/>
      <c r="E4" s="140"/>
      <c r="F4" s="140"/>
      <c r="G4" s="140"/>
      <c r="H4" s="140">
        <v>37.82</v>
      </c>
      <c r="I4" s="140">
        <v>43.01</v>
      </c>
      <c r="J4" s="140">
        <v>48.9</v>
      </c>
      <c r="K4" s="140">
        <v>51.09</v>
      </c>
      <c r="L4" s="140">
        <v>53.19</v>
      </c>
      <c r="M4" s="140">
        <v>55.44</v>
      </c>
      <c r="O4" s="185">
        <f t="shared" ref="O4:T4" si="0">(H6*H21)+(H36*H51)</f>
        <v>8035.4883799999989</v>
      </c>
      <c r="P4" s="185">
        <f t="shared" si="0"/>
        <v>9753.450499999999</v>
      </c>
      <c r="Q4" s="185">
        <f t="shared" si="0"/>
        <v>10527.410725000002</v>
      </c>
      <c r="R4" s="185">
        <f t="shared" si="0"/>
        <v>10654.825999999999</v>
      </c>
      <c r="S4" s="185">
        <f t="shared" si="0"/>
        <v>11075.528999999999</v>
      </c>
      <c r="T4" s="185">
        <f t="shared" si="0"/>
        <v>11480.2155</v>
      </c>
    </row>
    <row r="5" spans="1:23">
      <c r="A5" s="226"/>
      <c r="B5" s="211"/>
      <c r="C5" s="141" t="s">
        <v>3</v>
      </c>
      <c r="D5" s="142"/>
      <c r="E5" s="142"/>
      <c r="F5" s="142"/>
      <c r="G5" s="142"/>
      <c r="H5" s="142">
        <v>37.619999999999997</v>
      </c>
      <c r="I5" s="142">
        <v>43.19</v>
      </c>
      <c r="J5" s="142">
        <v>47.54</v>
      </c>
      <c r="K5" s="142">
        <v>51.08</v>
      </c>
      <c r="L5" s="142">
        <v>55.18</v>
      </c>
      <c r="M5" s="142">
        <v>59.41</v>
      </c>
    </row>
    <row r="6" spans="1:23">
      <c r="A6" s="226"/>
      <c r="B6" s="211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v>43</v>
      </c>
      <c r="J6" s="144">
        <v>48</v>
      </c>
      <c r="K6" s="144">
        <v>50</v>
      </c>
      <c r="L6" s="144">
        <v>53</v>
      </c>
      <c r="M6" s="144">
        <v>56</v>
      </c>
      <c r="O6" t="s">
        <v>30</v>
      </c>
      <c r="W6" s="93"/>
    </row>
    <row r="7" spans="1:23">
      <c r="A7" s="226"/>
      <c r="B7" s="212">
        <v>42583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60.67</v>
      </c>
      <c r="H7" s="138">
        <v>37.75</v>
      </c>
      <c r="I7" s="138">
        <v>45</v>
      </c>
      <c r="J7" s="138">
        <v>48</v>
      </c>
      <c r="K7" s="138">
        <v>50</v>
      </c>
      <c r="L7" s="138">
        <v>53</v>
      </c>
      <c r="M7" s="138">
        <v>56</v>
      </c>
      <c r="O7" s="185">
        <f>(H6-H7)*(H21-H22)+(H36-H37*(H51-H52))</f>
        <v>324.11639999999994</v>
      </c>
      <c r="P7" s="185">
        <f>(I6-I7)*(I21-I22)*(1-0.11)+(I36-I37*(I51-I52)*(1-0.24))</f>
        <v>-57.525599999999955</v>
      </c>
      <c r="Q7" s="185">
        <f>(J6-J7)*(J21-J22)*(1-0.11)+(J36-J37*(J51-J52)*(1-0.24))</f>
        <v>-68.035060000000399</v>
      </c>
      <c r="R7" s="185">
        <f>(K6-K7)*(K21-K22)*(1-0.11)+(K36-K37*(K51-K52)*(1-0.24))</f>
        <v>-87.43839999999976</v>
      </c>
      <c r="S7" s="185">
        <f>(L6-L7)*(L21-L22)*(1-0.11)+(L36-L37*(L51-L52)*(1-0.24))</f>
        <v>-112.99840000000003</v>
      </c>
      <c r="T7" s="185">
        <f>(M6-M7)*(M21-M22)*(1-0.11)+(M36-M37*(M51-M52)*(1-0.24))</f>
        <v>-110.66899999999995</v>
      </c>
      <c r="W7" s="93"/>
    </row>
    <row r="8" spans="1:23" hidden="1">
      <c r="A8" s="226"/>
      <c r="B8" s="21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3" hidden="1">
      <c r="A9" s="226"/>
      <c r="B9" s="21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3" hidden="1">
      <c r="A10" s="226"/>
      <c r="B10" s="21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3" hidden="1">
      <c r="A11" s="226"/>
      <c r="B11" s="211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3" hidden="1">
      <c r="A12" s="226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3" hidden="1">
      <c r="A13" s="226"/>
      <c r="B13" s="33">
        <v>42217</v>
      </c>
      <c r="C13" s="229" t="s">
        <v>16</v>
      </c>
      <c r="D13" s="230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0.13606340819022456</v>
      </c>
      <c r="J13" s="146">
        <f t="shared" si="1"/>
        <v>0.11627906976744184</v>
      </c>
      <c r="K13" s="146">
        <f t="shared" si="1"/>
        <v>4.1666666666666741E-2</v>
      </c>
      <c r="L13" s="146">
        <f t="shared" si="1"/>
        <v>6.0000000000000053E-2</v>
      </c>
      <c r="M13" s="146">
        <f t="shared" si="1"/>
        <v>5.6603773584905648E-2</v>
      </c>
    </row>
    <row r="14" spans="1:23" hidden="1">
      <c r="A14" s="226"/>
      <c r="B14" s="33">
        <v>42031</v>
      </c>
      <c r="C14" s="231" t="s">
        <v>16</v>
      </c>
      <c r="D14" s="232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-0.37778144058018792</v>
      </c>
      <c r="I14" s="147">
        <f t="shared" si="2"/>
        <v>0.19205298013245034</v>
      </c>
      <c r="J14" s="147">
        <f t="shared" si="2"/>
        <v>6.6666666666666666E-2</v>
      </c>
      <c r="K14" s="147">
        <f t="shared" si="2"/>
        <v>4.1666666666666664E-2</v>
      </c>
      <c r="L14" s="147"/>
      <c r="M14" s="147"/>
    </row>
    <row r="15" spans="1:23" hidden="1">
      <c r="A15" s="226"/>
      <c r="B15" s="33">
        <v>41974</v>
      </c>
      <c r="C15" s="231" t="s">
        <v>16</v>
      </c>
      <c r="D15" s="232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23" hidden="1">
      <c r="A16" s="227"/>
      <c r="B16" s="33">
        <v>41499</v>
      </c>
      <c r="C16" s="229" t="s">
        <v>16</v>
      </c>
      <c r="D16" s="230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18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</row>
    <row r="18" spans="1:18">
      <c r="A18" s="228" t="s">
        <v>12</v>
      </c>
      <c r="B18" s="212">
        <f>B2</f>
        <v>42705</v>
      </c>
      <c r="C18" s="136" t="s">
        <v>2</v>
      </c>
      <c r="D18" s="148"/>
      <c r="E18" s="148"/>
      <c r="F18" s="148"/>
      <c r="G18" s="148"/>
      <c r="H18" s="148">
        <v>143.69999999999999</v>
      </c>
      <c r="I18" s="148">
        <v>139.4</v>
      </c>
      <c r="J18" s="148">
        <v>136.6</v>
      </c>
      <c r="K18" s="148">
        <v>135.19999999999999</v>
      </c>
      <c r="L18" s="148">
        <v>135.19999999999999</v>
      </c>
      <c r="M18" s="148">
        <v>135.19999999999999</v>
      </c>
    </row>
    <row r="19" spans="1:18">
      <c r="A19" s="228"/>
      <c r="B19" s="211"/>
      <c r="C19" s="139" t="s">
        <v>0</v>
      </c>
      <c r="D19" s="149"/>
      <c r="E19" s="149"/>
      <c r="F19" s="149"/>
      <c r="G19" s="149"/>
      <c r="H19" s="149"/>
      <c r="I19" s="149">
        <v>143</v>
      </c>
      <c r="J19" s="149">
        <v>143</v>
      </c>
      <c r="K19" s="149">
        <v>143</v>
      </c>
      <c r="L19" s="149">
        <v>143</v>
      </c>
      <c r="M19" s="149">
        <v>143</v>
      </c>
      <c r="N19" s="127"/>
    </row>
    <row r="20" spans="1:18">
      <c r="A20" s="228"/>
      <c r="B20" s="211"/>
      <c r="C20" s="141" t="s">
        <v>3</v>
      </c>
      <c r="D20" s="151"/>
      <c r="E20" s="151"/>
      <c r="F20" s="151"/>
      <c r="G20" s="151"/>
      <c r="H20" s="151"/>
      <c r="I20" s="151">
        <v>139.5</v>
      </c>
      <c r="J20" s="151">
        <v>140.1</v>
      </c>
      <c r="K20" s="151">
        <v>144.5</v>
      </c>
      <c r="L20" s="151">
        <v>150.80000000000001</v>
      </c>
      <c r="M20" s="151">
        <v>156.80000000000001</v>
      </c>
    </row>
    <row r="21" spans="1:18">
      <c r="A21" s="228"/>
      <c r="B21" s="211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143</v>
      </c>
      <c r="J21" s="153">
        <v>143</v>
      </c>
      <c r="K21" s="153">
        <v>143</v>
      </c>
      <c r="L21" s="153">
        <v>143</v>
      </c>
      <c r="M21" s="153">
        <v>143</v>
      </c>
      <c r="N21" s="93"/>
    </row>
    <row r="22" spans="1:18">
      <c r="A22" s="228"/>
      <c r="B22" s="33">
        <f>B7</f>
        <v>42583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141.4</v>
      </c>
      <c r="H22" s="154">
        <v>146</v>
      </c>
      <c r="I22" s="154">
        <v>140</v>
      </c>
      <c r="J22" s="154">
        <v>140</v>
      </c>
      <c r="K22" s="154">
        <v>140</v>
      </c>
      <c r="L22" s="154">
        <v>140</v>
      </c>
      <c r="M22" s="154">
        <v>140</v>
      </c>
      <c r="N22" s="93"/>
      <c r="O22" s="131"/>
      <c r="R22" s="131"/>
    </row>
    <row r="23" spans="1:18" hidden="1">
      <c r="A23" s="228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</row>
    <row r="24" spans="1:18" hidden="1">
      <c r="A24" s="228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</row>
    <row r="25" spans="1:18" hidden="1">
      <c r="A25" s="228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</row>
    <row r="26" spans="1:18" hidden="1">
      <c r="A26" s="228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</row>
    <row r="27" spans="1:18" hidden="1">
      <c r="A27" s="228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</row>
    <row r="28" spans="1:18">
      <c r="A28" s="228"/>
      <c r="B28" s="33">
        <f>B18</f>
        <v>42705</v>
      </c>
      <c r="C28" s="229" t="s">
        <v>16</v>
      </c>
      <c r="D28" s="230"/>
      <c r="E28" s="167">
        <f t="shared" ref="E28:K29" si="4">(E21-D21)/D21</f>
        <v>0.20049813200498143</v>
      </c>
      <c r="F28" s="167">
        <f>(F21-E21)/E21</f>
        <v>0.18153526970954356</v>
      </c>
      <c r="G28" s="167">
        <f t="shared" si="4"/>
        <v>0.24143985952589991</v>
      </c>
      <c r="H28" s="167">
        <f t="shared" si="4"/>
        <v>3.7482319660537361E-2</v>
      </c>
      <c r="I28" s="167">
        <f t="shared" si="4"/>
        <v>-2.5221540558963796E-2</v>
      </c>
      <c r="J28" s="167">
        <f t="shared" si="4"/>
        <v>0</v>
      </c>
      <c r="K28" s="167">
        <f t="shared" si="4"/>
        <v>0</v>
      </c>
      <c r="L28" s="167">
        <f>(L21-K21)/K21</f>
        <v>0</v>
      </c>
      <c r="M28" s="167">
        <f>(M21-L21)/L21</f>
        <v>0</v>
      </c>
    </row>
    <row r="29" spans="1:18">
      <c r="A29" s="228"/>
      <c r="B29" s="33">
        <f>B7</f>
        <v>42583</v>
      </c>
      <c r="C29" s="231" t="s">
        <v>16</v>
      </c>
      <c r="D29" s="232"/>
      <c r="E29" s="168">
        <f>(E22-D22)/D22</f>
        <v>0.20049813200498143</v>
      </c>
      <c r="F29" s="168">
        <f t="shared" ref="F29:M30" si="5">(F22-E22)/E22</f>
        <v>0.18153526970954356</v>
      </c>
      <c r="G29" s="168">
        <f>(G22-F22)/F22</f>
        <v>0.24143985952589991</v>
      </c>
      <c r="H29" s="168">
        <f t="shared" si="4"/>
        <v>3.2531824611032489E-2</v>
      </c>
      <c r="I29" s="168">
        <f t="shared" si="4"/>
        <v>-4.1095890410958902E-2</v>
      </c>
      <c r="J29" s="168">
        <f t="shared" si="4"/>
        <v>0</v>
      </c>
      <c r="K29" s="168">
        <f t="shared" si="4"/>
        <v>0</v>
      </c>
      <c r="L29" s="168">
        <f>(L22-K22)/K22</f>
        <v>0</v>
      </c>
      <c r="M29" s="168">
        <f>(M22-L22)/L22</f>
        <v>0</v>
      </c>
    </row>
    <row r="30" spans="1:18" hidden="1">
      <c r="A30" s="228"/>
      <c r="B30" s="33">
        <v>41974</v>
      </c>
      <c r="C30" s="231" t="s">
        <v>16</v>
      </c>
      <c r="D30" s="232"/>
      <c r="E30" s="147">
        <f>(E23-D23)/D23</f>
        <v>0.20049813200498143</v>
      </c>
      <c r="F30" s="147">
        <f t="shared" si="5"/>
        <v>0.17634854771784231</v>
      </c>
      <c r="G30" s="147">
        <f t="shared" si="5"/>
        <v>7.5837742504409111E-2</v>
      </c>
      <c r="H30" s="147">
        <f t="shared" si="5"/>
        <v>4.0983606557377046E-2</v>
      </c>
      <c r="I30" s="147">
        <f t="shared" si="5"/>
        <v>3.1496062992125984E-2</v>
      </c>
      <c r="J30" s="147">
        <f t="shared" si="5"/>
        <v>1.5267175572519083E-2</v>
      </c>
      <c r="K30" s="147">
        <f t="shared" si="5"/>
        <v>1.5037593984962405E-2</v>
      </c>
      <c r="L30" s="147">
        <f t="shared" si="5"/>
        <v>-1</v>
      </c>
      <c r="M30" s="147" t="e">
        <f t="shared" si="5"/>
        <v>#DIV/0!</v>
      </c>
    </row>
    <row r="31" spans="1:18" hidden="1">
      <c r="A31" s="228"/>
      <c r="B31" s="33">
        <v>41499</v>
      </c>
      <c r="C31" s="229" t="s">
        <v>16</v>
      </c>
      <c r="D31" s="230"/>
      <c r="E31" s="146">
        <f t="shared" ref="E31:J31" si="6">(E25-D25)/D25</f>
        <v>0.12401648557512186</v>
      </c>
      <c r="F31" s="146">
        <f t="shared" si="6"/>
        <v>3.3333333333333333E-2</v>
      </c>
      <c r="G31" s="146">
        <f t="shared" si="6"/>
        <v>4.3010752688172046E-2</v>
      </c>
      <c r="H31" s="146">
        <f t="shared" si="6"/>
        <v>3.0927835051546393E-2</v>
      </c>
      <c r="I31" s="146">
        <f t="shared" si="6"/>
        <v>0.01</v>
      </c>
      <c r="J31" s="146">
        <f t="shared" si="6"/>
        <v>9.9009900990099011E-3</v>
      </c>
      <c r="K31" s="146"/>
      <c r="L31" s="146"/>
      <c r="M31" s="146"/>
    </row>
    <row r="32" spans="1:18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</row>
    <row r="33" spans="1:16">
      <c r="A33" s="220" t="s">
        <v>18</v>
      </c>
      <c r="B33" s="212">
        <f>B2</f>
        <v>42705</v>
      </c>
      <c r="C33" s="136" t="s">
        <v>2</v>
      </c>
      <c r="D33" s="159"/>
      <c r="E33" s="159"/>
      <c r="F33" s="159"/>
      <c r="G33" s="159"/>
      <c r="H33" s="159">
        <v>2.42</v>
      </c>
      <c r="I33" s="159"/>
      <c r="J33" s="159"/>
      <c r="K33" s="159"/>
      <c r="L33" s="159"/>
      <c r="M33" s="159"/>
      <c r="O33" t="s">
        <v>33</v>
      </c>
    </row>
    <row r="34" spans="1:16">
      <c r="A34" s="221"/>
      <c r="B34" s="211"/>
      <c r="C34" s="139" t="s">
        <v>0</v>
      </c>
      <c r="D34" s="140"/>
      <c r="E34" s="140"/>
      <c r="F34" s="140"/>
      <c r="G34" s="140"/>
      <c r="H34" s="140">
        <v>2.4300000000000002</v>
      </c>
      <c r="I34" s="140">
        <v>3.09</v>
      </c>
      <c r="J34" s="140">
        <v>3.37</v>
      </c>
      <c r="K34" s="140">
        <v>3.41</v>
      </c>
      <c r="L34" s="140">
        <v>3.51</v>
      </c>
      <c r="M34" s="140">
        <v>3.62</v>
      </c>
    </row>
    <row r="35" spans="1:16">
      <c r="A35" s="221"/>
      <c r="B35" s="211"/>
      <c r="C35" s="141" t="s">
        <v>3</v>
      </c>
      <c r="D35" s="142"/>
      <c r="E35" s="142"/>
      <c r="F35" s="142"/>
      <c r="G35" s="142"/>
      <c r="H35" s="142">
        <v>2.44</v>
      </c>
      <c r="I35" s="142">
        <v>3.21</v>
      </c>
      <c r="J35" s="142">
        <v>3.24</v>
      </c>
      <c r="K35" s="142">
        <v>3.11</v>
      </c>
      <c r="L35" s="142">
        <v>3.19</v>
      </c>
      <c r="M35" s="142">
        <v>3.27</v>
      </c>
    </row>
    <row r="36" spans="1:16">
      <c r="A36" s="221"/>
      <c r="B36" s="211"/>
      <c r="C36" s="143" t="s">
        <v>1</v>
      </c>
      <c r="D36" s="144">
        <v>5.01</v>
      </c>
      <c r="E36" s="144">
        <v>4.38</v>
      </c>
      <c r="F36" s="144">
        <v>5.14</v>
      </c>
      <c r="G36" s="144">
        <v>3.78</v>
      </c>
      <c r="H36" s="144">
        <v>2.42</v>
      </c>
      <c r="I36" s="144">
        <v>3.15</v>
      </c>
      <c r="J36" s="144">
        <f>+AVERAGE(J33:J35)</f>
        <v>3.3050000000000002</v>
      </c>
      <c r="K36" s="144">
        <f>+AVERAGE(K33:K35)</f>
        <v>3.26</v>
      </c>
      <c r="L36" s="144">
        <f>+AVERAGE(L33:L35)</f>
        <v>3.3499999999999996</v>
      </c>
      <c r="M36" s="144">
        <f>+AVERAGE(M33:M35)</f>
        <v>3.4450000000000003</v>
      </c>
    </row>
    <row r="37" spans="1:16">
      <c r="A37" s="221"/>
      <c r="B37" s="33">
        <f>B7</f>
        <v>42583</v>
      </c>
      <c r="C37" s="133" t="s">
        <v>1</v>
      </c>
      <c r="D37" s="138">
        <v>5.01</v>
      </c>
      <c r="E37" s="138">
        <v>4.38</v>
      </c>
      <c r="F37" s="138">
        <v>5.14</v>
      </c>
      <c r="G37" s="138">
        <v>3.78</v>
      </c>
      <c r="H37" s="138">
        <v>2.4</v>
      </c>
      <c r="I37" s="138">
        <v>3</v>
      </c>
      <c r="J37" s="138">
        <v>3.3</v>
      </c>
      <c r="K37" s="138">
        <v>3.4</v>
      </c>
      <c r="L37" s="138">
        <v>3.5</v>
      </c>
      <c r="M37" s="138">
        <v>3.5</v>
      </c>
      <c r="O37" s="112"/>
      <c r="P37" s="112"/>
    </row>
    <row r="38" spans="1:16" hidden="1">
      <c r="A38" s="221"/>
      <c r="B38" s="33">
        <v>41974</v>
      </c>
      <c r="C38" s="133" t="s">
        <v>1</v>
      </c>
      <c r="D38" s="138">
        <v>5.01</v>
      </c>
      <c r="E38" s="138">
        <v>4.38</v>
      </c>
      <c r="F38" s="138">
        <v>5.13</v>
      </c>
      <c r="G38" s="138">
        <v>4.9000000000000004</v>
      </c>
      <c r="H38" s="138">
        <v>4.9000000000000004</v>
      </c>
      <c r="I38" s="138">
        <v>4.95</v>
      </c>
      <c r="J38" s="138">
        <v>5.0999999999999996</v>
      </c>
      <c r="K38" s="138">
        <v>5.2</v>
      </c>
      <c r="L38" s="138"/>
      <c r="M38" s="138"/>
    </row>
    <row r="39" spans="1:16" hidden="1">
      <c r="A39" s="221"/>
      <c r="B39" s="33">
        <v>41852</v>
      </c>
      <c r="C39" s="133" t="s">
        <v>1</v>
      </c>
      <c r="D39" s="138">
        <v>5.01</v>
      </c>
      <c r="E39" s="138">
        <v>4.38</v>
      </c>
      <c r="F39" s="138">
        <v>5.15</v>
      </c>
      <c r="G39" s="138">
        <v>5.2</v>
      </c>
      <c r="H39" s="138">
        <v>5.25</v>
      </c>
      <c r="I39" s="138">
        <v>5.3</v>
      </c>
      <c r="J39" s="138">
        <v>5.35</v>
      </c>
      <c r="K39" s="138">
        <v>5.4</v>
      </c>
      <c r="L39" s="138"/>
      <c r="M39" s="138"/>
    </row>
    <row r="40" spans="1:16" hidden="1">
      <c r="A40" s="221"/>
      <c r="B40" s="33">
        <v>41499</v>
      </c>
      <c r="C40" s="133" t="s">
        <v>1</v>
      </c>
      <c r="D40" s="138">
        <v>5</v>
      </c>
      <c r="E40" s="138">
        <v>4.5</v>
      </c>
      <c r="F40" s="138">
        <v>5</v>
      </c>
      <c r="G40" s="138">
        <v>5.4</v>
      </c>
      <c r="H40" s="138">
        <v>5.5</v>
      </c>
      <c r="I40" s="138">
        <v>5.5</v>
      </c>
      <c r="J40" s="138">
        <v>5.5</v>
      </c>
      <c r="K40" s="138"/>
      <c r="L40" s="138"/>
      <c r="M40" s="138"/>
    </row>
    <row r="41" spans="1:16" hidden="1">
      <c r="A41" s="221"/>
      <c r="B41" s="33">
        <v>41317</v>
      </c>
      <c r="C41" s="133" t="s">
        <v>1</v>
      </c>
      <c r="D41" s="145">
        <v>5</v>
      </c>
      <c r="E41" s="145">
        <v>4.5</v>
      </c>
      <c r="F41" s="145">
        <v>5.0999999999999996</v>
      </c>
      <c r="G41" s="145">
        <v>5.25</v>
      </c>
      <c r="H41" s="145">
        <v>5.5</v>
      </c>
      <c r="I41" s="145">
        <v>5.5</v>
      </c>
      <c r="J41" s="145"/>
      <c r="K41" s="145"/>
      <c r="L41" s="145"/>
      <c r="M41" s="145"/>
    </row>
    <row r="42" spans="1:16" hidden="1">
      <c r="A42" s="221"/>
      <c r="B42" s="33">
        <v>41244</v>
      </c>
      <c r="C42" s="133" t="s">
        <v>1</v>
      </c>
      <c r="D42" s="145">
        <v>5</v>
      </c>
      <c r="E42" s="145">
        <v>4.5</v>
      </c>
      <c r="F42" s="145">
        <v>5</v>
      </c>
      <c r="G42" s="145">
        <v>5.4</v>
      </c>
      <c r="H42" s="145">
        <v>5.6</v>
      </c>
      <c r="I42" s="145">
        <v>5.5</v>
      </c>
      <c r="J42" s="145">
        <v>5.5</v>
      </c>
      <c r="K42" s="145"/>
      <c r="L42" s="145"/>
      <c r="M42" s="145"/>
    </row>
    <row r="43" spans="1:16" hidden="1">
      <c r="A43" s="221"/>
      <c r="B43" s="33">
        <v>42217</v>
      </c>
      <c r="C43" s="229" t="s">
        <v>16</v>
      </c>
      <c r="D43" s="230"/>
      <c r="E43" s="146">
        <f t="shared" ref="E43:M45" si="7">(E36-D36)/D36</f>
        <v>-0.12574850299401197</v>
      </c>
      <c r="F43" s="146">
        <f t="shared" si="7"/>
        <v>0.17351598173515978</v>
      </c>
      <c r="G43" s="146">
        <f t="shared" si="7"/>
        <v>-0.26459143968871596</v>
      </c>
      <c r="H43" s="146">
        <f t="shared" si="7"/>
        <v>-0.35978835978835977</v>
      </c>
      <c r="I43" s="146">
        <f t="shared" si="7"/>
        <v>0.30165289256198347</v>
      </c>
      <c r="J43" s="146">
        <f t="shared" si="7"/>
        <v>4.9206349206349288E-2</v>
      </c>
      <c r="K43" s="146">
        <f t="shared" si="7"/>
        <v>-1.3615733736762593E-2</v>
      </c>
      <c r="L43" s="146">
        <f t="shared" si="7"/>
        <v>2.7607361963190143E-2</v>
      </c>
      <c r="M43" s="146">
        <f t="shared" si="7"/>
        <v>2.8358208955224073E-2</v>
      </c>
    </row>
    <row r="44" spans="1:16" hidden="1">
      <c r="A44" s="221"/>
      <c r="B44" s="33">
        <f>B29</f>
        <v>42583</v>
      </c>
      <c r="C44" s="231" t="s">
        <v>16</v>
      </c>
      <c r="D44" s="232"/>
      <c r="E44" s="147">
        <f t="shared" si="7"/>
        <v>-0.12574850299401197</v>
      </c>
      <c r="F44" s="147">
        <f t="shared" si="7"/>
        <v>0.17351598173515978</v>
      </c>
      <c r="G44" s="147">
        <f t="shared" si="7"/>
        <v>-0.26459143968871596</v>
      </c>
      <c r="H44" s="147">
        <f t="shared" si="7"/>
        <v>-0.36507936507936506</v>
      </c>
      <c r="I44" s="147">
        <f t="shared" si="7"/>
        <v>0.25000000000000006</v>
      </c>
      <c r="J44" s="147">
        <f t="shared" si="7"/>
        <v>9.9999999999999936E-2</v>
      </c>
      <c r="K44" s="147">
        <f t="shared" si="7"/>
        <v>3.0303030303030332E-2</v>
      </c>
      <c r="L44" s="147"/>
      <c r="M44" s="147"/>
    </row>
    <row r="45" spans="1:16" hidden="1">
      <c r="A45" s="221"/>
      <c r="B45" s="33">
        <v>41974</v>
      </c>
      <c r="C45" s="231" t="s">
        <v>16</v>
      </c>
      <c r="D45" s="232"/>
      <c r="E45" s="147">
        <f t="shared" si="7"/>
        <v>-0.12574850299401197</v>
      </c>
      <c r="F45" s="147">
        <f t="shared" si="7"/>
        <v>0.17123287671232876</v>
      </c>
      <c r="G45" s="147">
        <f t="shared" si="7"/>
        <v>-4.4834307992202643E-2</v>
      </c>
      <c r="H45" s="147">
        <f t="shared" si="7"/>
        <v>0</v>
      </c>
      <c r="I45" s="147">
        <f t="shared" si="7"/>
        <v>1.0204081632653024E-2</v>
      </c>
      <c r="J45" s="147">
        <f t="shared" si="7"/>
        <v>3.0303030303030193E-2</v>
      </c>
      <c r="K45" s="147">
        <f t="shared" si="7"/>
        <v>1.9607843137255009E-2</v>
      </c>
      <c r="L45" s="147">
        <f t="shared" si="7"/>
        <v>-1</v>
      </c>
      <c r="M45" s="147" t="e">
        <f t="shared" si="7"/>
        <v>#DIV/0!</v>
      </c>
    </row>
    <row r="46" spans="1:16" hidden="1">
      <c r="A46" s="222"/>
      <c r="B46" s="33">
        <v>41499</v>
      </c>
      <c r="C46" s="229" t="s">
        <v>16</v>
      </c>
      <c r="D46" s="230"/>
      <c r="E46" s="146">
        <f t="shared" ref="E46:J46" si="8">(E40-D40)/D40</f>
        <v>-0.1</v>
      </c>
      <c r="F46" s="146">
        <f t="shared" si="8"/>
        <v>0.1111111111111111</v>
      </c>
      <c r="G46" s="146">
        <f t="shared" si="8"/>
        <v>8.0000000000000071E-2</v>
      </c>
      <c r="H46" s="146">
        <f t="shared" si="8"/>
        <v>1.8518518518518452E-2</v>
      </c>
      <c r="I46" s="146">
        <f t="shared" si="8"/>
        <v>0</v>
      </c>
      <c r="J46" s="146">
        <f t="shared" si="8"/>
        <v>0</v>
      </c>
      <c r="K46" s="146"/>
      <c r="L46" s="146"/>
      <c r="M46" s="146"/>
    </row>
    <row r="47" spans="1:16">
      <c r="A47" s="65"/>
      <c r="B47" s="65"/>
      <c r="C47" s="65"/>
      <c r="D47" s="76"/>
      <c r="E47" s="76"/>
      <c r="F47" s="76"/>
      <c r="G47" s="130"/>
      <c r="H47" s="130"/>
      <c r="I47" s="130"/>
      <c r="J47" s="130"/>
      <c r="K47" s="130"/>
      <c r="L47" s="130"/>
      <c r="M47" s="130"/>
    </row>
    <row r="48" spans="1:16">
      <c r="A48" s="220" t="s">
        <v>19</v>
      </c>
      <c r="B48" s="212">
        <f>B2</f>
        <v>42705</v>
      </c>
      <c r="C48" s="136" t="s">
        <v>2</v>
      </c>
      <c r="D48" s="160"/>
      <c r="E48" s="161"/>
      <c r="F48" s="161"/>
      <c r="G48" s="161"/>
      <c r="H48" s="161">
        <v>1025</v>
      </c>
      <c r="I48" s="161">
        <v>985</v>
      </c>
      <c r="J48" s="161">
        <v>965</v>
      </c>
      <c r="K48" s="161">
        <v>955</v>
      </c>
      <c r="L48" s="161">
        <v>955</v>
      </c>
      <c r="M48" s="161">
        <v>955</v>
      </c>
    </row>
    <row r="49" spans="1:16">
      <c r="A49" s="221"/>
      <c r="B49" s="211"/>
      <c r="C49" s="139" t="s">
        <v>0</v>
      </c>
      <c r="D49" s="162"/>
      <c r="E49" s="162"/>
      <c r="F49" s="162"/>
      <c r="G49" s="162"/>
      <c r="H49" s="162">
        <v>1174</v>
      </c>
      <c r="I49" s="162">
        <v>1135</v>
      </c>
      <c r="J49" s="162">
        <v>1100</v>
      </c>
      <c r="K49" s="162">
        <v>1060</v>
      </c>
      <c r="L49" s="162">
        <v>1020</v>
      </c>
      <c r="M49" s="162">
        <v>970</v>
      </c>
    </row>
    <row r="50" spans="1:16">
      <c r="A50" s="221"/>
      <c r="B50" s="211"/>
      <c r="C50" s="141" t="s">
        <v>3</v>
      </c>
      <c r="D50" s="163"/>
      <c r="E50" s="163"/>
      <c r="F50" s="163"/>
      <c r="G50" s="163"/>
      <c r="H50" s="163">
        <v>1169.6099999999999</v>
      </c>
      <c r="I50" s="163">
        <v>1153.54</v>
      </c>
      <c r="J50" s="163">
        <v>1116.8900000000001</v>
      </c>
      <c r="K50" s="163">
        <v>1090.2</v>
      </c>
      <c r="L50" s="163">
        <v>1067.48</v>
      </c>
      <c r="M50" s="163">
        <v>1045.8</v>
      </c>
    </row>
    <row r="51" spans="1:16">
      <c r="A51" s="221"/>
      <c r="B51" s="211"/>
      <c r="C51" s="143" t="s">
        <v>1</v>
      </c>
      <c r="D51" s="164">
        <v>1227</v>
      </c>
      <c r="E51" s="164">
        <v>1177.5</v>
      </c>
      <c r="F51" s="164">
        <v>1184.7</v>
      </c>
      <c r="G51" s="164">
        <v>1184.8</v>
      </c>
      <c r="H51" s="164">
        <v>1025.989</v>
      </c>
      <c r="I51" s="164">
        <f>+AVERAGE(I49:I50)</f>
        <v>1144.27</v>
      </c>
      <c r="J51" s="164">
        <f>+AVERAGE(J49:J50)</f>
        <v>1108.4450000000002</v>
      </c>
      <c r="K51" s="164">
        <f>+AVERAGE(K49:K50)</f>
        <v>1075.0999999999999</v>
      </c>
      <c r="L51" s="164">
        <f>+AVERAGE(L49:L50)</f>
        <v>1043.74</v>
      </c>
      <c r="M51" s="164">
        <f>+AVERAGE(M49:M50)</f>
        <v>1007.9</v>
      </c>
    </row>
    <row r="52" spans="1:16">
      <c r="A52" s="221"/>
      <c r="B52" s="33">
        <f>B37</f>
        <v>42583</v>
      </c>
      <c r="C52" s="133" t="s">
        <v>1</v>
      </c>
      <c r="D52" s="160">
        <v>1227</v>
      </c>
      <c r="E52" s="160">
        <v>1177.5</v>
      </c>
      <c r="F52" s="160">
        <v>1184.7</v>
      </c>
      <c r="G52" s="160">
        <v>1184.8</v>
      </c>
      <c r="H52" s="160">
        <v>1160</v>
      </c>
      <c r="I52" s="160">
        <v>1120</v>
      </c>
      <c r="J52" s="160">
        <v>1080</v>
      </c>
      <c r="K52" s="160">
        <v>1040</v>
      </c>
      <c r="L52" s="160">
        <v>1000</v>
      </c>
      <c r="M52" s="160">
        <v>965</v>
      </c>
      <c r="O52" s="112"/>
      <c r="P52" s="112"/>
    </row>
    <row r="53" spans="1:16" hidden="1">
      <c r="A53" s="221"/>
      <c r="B53" s="33">
        <v>41974</v>
      </c>
      <c r="C53" s="133" t="s">
        <v>1</v>
      </c>
      <c r="D53" s="160">
        <v>1227</v>
      </c>
      <c r="E53" s="160">
        <v>1177.5</v>
      </c>
      <c r="F53" s="160">
        <v>1187.3</v>
      </c>
      <c r="G53" s="160">
        <v>1181</v>
      </c>
      <c r="H53" s="160">
        <v>1150</v>
      </c>
      <c r="I53" s="160">
        <v>1118</v>
      </c>
      <c r="J53" s="160">
        <v>1088</v>
      </c>
      <c r="K53" s="160">
        <v>1052</v>
      </c>
      <c r="L53" s="160"/>
      <c r="M53" s="160"/>
    </row>
    <row r="54" spans="1:16" hidden="1">
      <c r="A54" s="221"/>
      <c r="B54" s="33">
        <v>41852</v>
      </c>
      <c r="C54" s="133" t="s">
        <v>1</v>
      </c>
      <c r="D54" s="160">
        <v>1227</v>
      </c>
      <c r="E54" s="160">
        <v>1177.5</v>
      </c>
      <c r="F54" s="160">
        <v>1170</v>
      </c>
      <c r="G54" s="160">
        <v>1158.3</v>
      </c>
      <c r="H54" s="160">
        <v>1123.5509999999999</v>
      </c>
      <c r="I54" s="160">
        <v>1089.84447</v>
      </c>
      <c r="J54" s="160">
        <v>1057.1491358999999</v>
      </c>
      <c r="K54" s="160">
        <v>1025.4346618229999</v>
      </c>
      <c r="L54" s="160"/>
      <c r="M54" s="160"/>
    </row>
    <row r="55" spans="1:16" hidden="1">
      <c r="A55" s="221"/>
      <c r="B55" s="33">
        <v>41499</v>
      </c>
      <c r="C55" s="133" t="s">
        <v>1</v>
      </c>
      <c r="D55" s="160">
        <v>1225.8499999999999</v>
      </c>
      <c r="E55" s="160">
        <v>1165</v>
      </c>
      <c r="F55" s="160">
        <v>1110</v>
      </c>
      <c r="G55" s="160">
        <v>1070</v>
      </c>
      <c r="H55" s="160">
        <v>1030</v>
      </c>
      <c r="I55" s="160">
        <v>1000</v>
      </c>
      <c r="J55" s="160">
        <v>960</v>
      </c>
      <c r="K55" s="165"/>
      <c r="L55" s="165"/>
      <c r="M55" s="165"/>
    </row>
    <row r="56" spans="1:16" hidden="1">
      <c r="A56" s="221"/>
      <c r="B56" s="33">
        <v>41317</v>
      </c>
      <c r="C56" s="133" t="s">
        <v>1</v>
      </c>
      <c r="D56" s="165">
        <v>1226</v>
      </c>
      <c r="E56" s="165">
        <v>1185</v>
      </c>
      <c r="F56" s="165">
        <v>1151</v>
      </c>
      <c r="G56" s="165">
        <v>1121</v>
      </c>
      <c r="H56" s="165">
        <v>1090.1407234210708</v>
      </c>
      <c r="I56" s="165">
        <v>1048</v>
      </c>
      <c r="J56" s="165"/>
      <c r="K56" s="165"/>
      <c r="L56" s="165"/>
      <c r="M56" s="165"/>
    </row>
    <row r="57" spans="1:16" hidden="1">
      <c r="A57" s="221"/>
      <c r="B57" s="33">
        <v>41244</v>
      </c>
      <c r="C57" s="133" t="s">
        <v>1</v>
      </c>
      <c r="D57" s="165">
        <v>1228.5423506666664</v>
      </c>
      <c r="E57" s="165">
        <v>1184.5870287874238</v>
      </c>
      <c r="F57" s="165">
        <v>1151.3778293463738</v>
      </c>
      <c r="G57" s="165">
        <v>1121.0332793283103</v>
      </c>
      <c r="H57" s="165">
        <v>1090.1407234210708</v>
      </c>
      <c r="I57" s="165">
        <v>1048</v>
      </c>
      <c r="J57" s="165">
        <v>1048</v>
      </c>
      <c r="K57" s="165"/>
      <c r="L57" s="165"/>
      <c r="M57" s="165"/>
    </row>
    <row r="58" spans="1:16">
      <c r="A58" s="221"/>
      <c r="B58" s="33">
        <f>B48</f>
        <v>42705</v>
      </c>
      <c r="C58" s="229" t="s">
        <v>16</v>
      </c>
      <c r="D58" s="230"/>
      <c r="E58" s="167">
        <f t="shared" ref="E58:M60" si="9">(E51-D51)/D51</f>
        <v>-4.0342298288508556E-2</v>
      </c>
      <c r="F58" s="167">
        <f t="shared" si="9"/>
        <v>6.1146496815287013E-3</v>
      </c>
      <c r="G58" s="167">
        <f>(G51-F51)/F51</f>
        <v>8.4409555161567526E-5</v>
      </c>
      <c r="H58" s="167">
        <f t="shared" si="9"/>
        <v>-0.13404034436191756</v>
      </c>
      <c r="I58" s="167">
        <f t="shared" si="9"/>
        <v>0.115284861728537</v>
      </c>
      <c r="J58" s="167">
        <f t="shared" si="9"/>
        <v>-3.130817027449799E-2</v>
      </c>
      <c r="K58" s="167">
        <f t="shared" si="9"/>
        <v>-3.0082683398815684E-2</v>
      </c>
      <c r="L58" s="167">
        <f t="shared" si="9"/>
        <v>-2.9169379592595947E-2</v>
      </c>
      <c r="M58" s="167">
        <f t="shared" si="9"/>
        <v>-3.4338053538237524E-2</v>
      </c>
    </row>
    <row r="59" spans="1:16">
      <c r="A59" s="221"/>
      <c r="B59" s="33">
        <f>B44</f>
        <v>42583</v>
      </c>
      <c r="C59" s="231" t="s">
        <v>16</v>
      </c>
      <c r="D59" s="232"/>
      <c r="E59" s="168">
        <f>(E52-D52)/D52</f>
        <v>-4.0342298288508556E-2</v>
      </c>
      <c r="F59" s="168">
        <f t="shared" si="9"/>
        <v>6.1146496815287013E-3</v>
      </c>
      <c r="G59" s="168">
        <f>(G52-F52)/F52</f>
        <v>8.4409555161567526E-5</v>
      </c>
      <c r="H59" s="168">
        <f t="shared" si="9"/>
        <v>-2.0931802835921637E-2</v>
      </c>
      <c r="I59" s="168">
        <f t="shared" si="9"/>
        <v>-3.4482758620689655E-2</v>
      </c>
      <c r="J59" s="168">
        <f t="shared" si="9"/>
        <v>-3.5714285714285712E-2</v>
      </c>
      <c r="K59" s="168">
        <f t="shared" si="9"/>
        <v>-3.7037037037037035E-2</v>
      </c>
      <c r="L59" s="168">
        <f>(L52-K52)/K52</f>
        <v>-3.8461538461538464E-2</v>
      </c>
      <c r="M59" s="168">
        <f>(M52-L52)/L52</f>
        <v>-3.5000000000000003E-2</v>
      </c>
    </row>
    <row r="60" spans="1:16" hidden="1">
      <c r="A60" s="221"/>
      <c r="B60" s="33">
        <v>41974</v>
      </c>
      <c r="C60" s="231" t="s">
        <v>16</v>
      </c>
      <c r="D60" s="232"/>
      <c r="E60" s="147">
        <f>(E53-D53)/D53</f>
        <v>-4.0342298288508556E-2</v>
      </c>
      <c r="F60" s="147">
        <f t="shared" si="9"/>
        <v>8.3227176220806408E-3</v>
      </c>
      <c r="G60" s="147">
        <f t="shared" si="9"/>
        <v>-5.3061568264128316E-3</v>
      </c>
      <c r="H60" s="147">
        <f t="shared" si="9"/>
        <v>-2.6248941574936496E-2</v>
      </c>
      <c r="I60" s="147">
        <f t="shared" si="9"/>
        <v>-2.782608695652174E-2</v>
      </c>
      <c r="J60" s="147">
        <f t="shared" si="9"/>
        <v>-2.6833631484794274E-2</v>
      </c>
      <c r="K60" s="147">
        <f t="shared" si="9"/>
        <v>-3.3088235294117647E-2</v>
      </c>
      <c r="L60" s="147">
        <f t="shared" si="9"/>
        <v>-1</v>
      </c>
      <c r="M60" s="147" t="e">
        <f t="shared" si="9"/>
        <v>#DIV/0!</v>
      </c>
    </row>
    <row r="61" spans="1:16" hidden="1">
      <c r="A61" s="222"/>
      <c r="B61" s="33">
        <v>41499</v>
      </c>
      <c r="C61" s="229" t="s">
        <v>16</v>
      </c>
      <c r="D61" s="230"/>
      <c r="E61" s="146">
        <f t="shared" ref="E61:J61" si="10">(E55-D55)/D55</f>
        <v>-4.9639025981971625E-2</v>
      </c>
      <c r="F61" s="146">
        <f t="shared" si="10"/>
        <v>-4.7210300429184553E-2</v>
      </c>
      <c r="G61" s="146">
        <f t="shared" si="10"/>
        <v>-3.6036036036036036E-2</v>
      </c>
      <c r="H61" s="146">
        <f t="shared" si="10"/>
        <v>-3.7383177570093455E-2</v>
      </c>
      <c r="I61" s="146">
        <f t="shared" si="10"/>
        <v>-2.9126213592233011E-2</v>
      </c>
      <c r="J61" s="146">
        <f t="shared" si="10"/>
        <v>-0.04</v>
      </c>
      <c r="K61" s="146"/>
      <c r="L61" s="146"/>
      <c r="M61" s="146"/>
    </row>
    <row r="62" spans="1:16">
      <c r="A62" s="108"/>
      <c r="B62" s="13"/>
      <c r="F62" s="112"/>
      <c r="G62" s="112"/>
      <c r="H62" s="112"/>
      <c r="I62" s="112"/>
      <c r="J62" s="112"/>
      <c r="K62" s="112"/>
      <c r="L62" s="112"/>
      <c r="M62" s="112"/>
    </row>
    <row r="63" spans="1:16">
      <c r="A63" s="9"/>
      <c r="B63" s="13"/>
      <c r="E63" s="94"/>
      <c r="F63" s="94"/>
      <c r="G63" s="112"/>
      <c r="H63" s="112"/>
      <c r="I63" s="112"/>
      <c r="J63" s="112"/>
      <c r="K63" s="112"/>
      <c r="L63" s="112"/>
      <c r="M63" s="112"/>
    </row>
    <row r="64" spans="1:16">
      <c r="A64" s="9"/>
      <c r="B64" s="13"/>
      <c r="E64" s="94"/>
      <c r="F64" s="94"/>
      <c r="G64" s="94"/>
      <c r="H64" s="112"/>
      <c r="I64" s="112"/>
      <c r="J64" s="112"/>
      <c r="K64" s="112"/>
      <c r="L64" s="112"/>
      <c r="M64" s="112"/>
    </row>
    <row r="65" spans="1:2">
      <c r="A65" s="9"/>
      <c r="B65" s="13"/>
    </row>
    <row r="66" spans="1:2">
      <c r="A66" s="9"/>
      <c r="B66" s="13"/>
    </row>
    <row r="67" spans="1:2">
      <c r="A67" s="9"/>
      <c r="B67" s="13"/>
    </row>
    <row r="68" spans="1:2">
      <c r="A68" s="9"/>
      <c r="B68" s="13"/>
    </row>
    <row r="69" spans="1:2">
      <c r="A69" s="9"/>
      <c r="B69" s="13"/>
    </row>
    <row r="70" spans="1:2">
      <c r="A70" s="9"/>
      <c r="B70" s="13"/>
    </row>
    <row r="71" spans="1:2">
      <c r="A71" s="9"/>
      <c r="B71" s="13"/>
    </row>
    <row r="72" spans="1:2">
      <c r="A72" s="9"/>
      <c r="B72" s="13"/>
    </row>
  </sheetData>
  <mergeCells count="25">
    <mergeCell ref="A48:A61"/>
    <mergeCell ref="B48:B51"/>
    <mergeCell ref="C58:D58"/>
    <mergeCell ref="C59:D59"/>
    <mergeCell ref="C60:D60"/>
    <mergeCell ref="C61:D61"/>
    <mergeCell ref="A33:A46"/>
    <mergeCell ref="B33:B36"/>
    <mergeCell ref="C43:D43"/>
    <mergeCell ref="C44:D44"/>
    <mergeCell ref="C45:D45"/>
    <mergeCell ref="C46:D46"/>
    <mergeCell ref="A18:A31"/>
    <mergeCell ref="B18:B21"/>
    <mergeCell ref="C28:D28"/>
    <mergeCell ref="C29:D29"/>
    <mergeCell ref="C30:D30"/>
    <mergeCell ref="C31:D31"/>
    <mergeCell ref="A2:A16"/>
    <mergeCell ref="B2:B6"/>
    <mergeCell ref="B7:B11"/>
    <mergeCell ref="C13:D13"/>
    <mergeCell ref="C14:D14"/>
    <mergeCell ref="C15:D15"/>
    <mergeCell ref="C16:D16"/>
  </mergeCells>
  <pageMargins left="0.5" right="0.17" top="0.63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W73"/>
  <sheetViews>
    <sheetView zoomScale="120" zoomScaleNormal="120" workbookViewId="0">
      <pane ySplit="1" topLeftCell="A2" activePane="bottomLeft" state="frozen"/>
      <selection pane="bottomLeft" activeCell="J6" sqref="J6"/>
    </sheetView>
  </sheetViews>
  <sheetFormatPr defaultColWidth="9.140625" defaultRowHeight="15"/>
  <cols>
    <col min="1" max="1" width="9.42578125" customWidth="1"/>
    <col min="2" max="2" width="7.5703125" bestFit="1" customWidth="1"/>
    <col min="3" max="3" width="8" customWidth="1"/>
    <col min="4" max="8" width="7.5703125" customWidth="1"/>
    <col min="9" max="9" width="9.42578125" bestFit="1" customWidth="1"/>
    <col min="10" max="11" width="8.140625" bestFit="1" customWidth="1"/>
    <col min="12" max="12" width="9.42578125" bestFit="1" customWidth="1"/>
    <col min="13" max="13" width="8.140625" bestFit="1" customWidth="1"/>
    <col min="15" max="15" width="14.42578125" customWidth="1"/>
    <col min="16" max="20" width="9.85546875" bestFit="1" customWidth="1"/>
  </cols>
  <sheetData>
    <row r="1" spans="1:23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9</v>
      </c>
      <c r="J1" s="132" t="s">
        <v>21</v>
      </c>
      <c r="K1" s="132" t="s">
        <v>24</v>
      </c>
      <c r="L1" s="132" t="s">
        <v>27</v>
      </c>
      <c r="M1" s="132" t="s">
        <v>57</v>
      </c>
      <c r="N1" s="132" t="s">
        <v>76</v>
      </c>
    </row>
    <row r="2" spans="1:23">
      <c r="A2" s="225" t="s">
        <v>10</v>
      </c>
      <c r="B2" s="212">
        <v>42948</v>
      </c>
      <c r="C2" s="134" t="s">
        <v>4</v>
      </c>
      <c r="D2" s="135"/>
      <c r="E2" s="135"/>
      <c r="F2" s="135"/>
      <c r="G2" s="135"/>
      <c r="H2" s="135"/>
      <c r="I2" s="135">
        <v>45.09</v>
      </c>
      <c r="J2" s="135">
        <v>44.57</v>
      </c>
      <c r="K2" s="135">
        <v>45.67</v>
      </c>
      <c r="L2" s="135">
        <v>51.84</v>
      </c>
      <c r="M2" s="135">
        <v>57.28</v>
      </c>
      <c r="N2" s="135"/>
      <c r="O2" t="s">
        <v>28</v>
      </c>
      <c r="P2" t="s">
        <v>29</v>
      </c>
      <c r="Q2" t="s">
        <v>68</v>
      </c>
      <c r="R2" t="s">
        <v>69</v>
      </c>
      <c r="S2" t="s">
        <v>70</v>
      </c>
      <c r="T2" t="s">
        <v>71</v>
      </c>
    </row>
    <row r="3" spans="1:23">
      <c r="A3" s="226"/>
      <c r="B3" s="211"/>
      <c r="C3" s="136" t="s">
        <v>2</v>
      </c>
      <c r="D3" s="137"/>
      <c r="E3" s="138"/>
      <c r="F3" s="138"/>
      <c r="G3" s="138"/>
      <c r="H3" s="138"/>
      <c r="I3" s="138">
        <v>45.08</v>
      </c>
      <c r="J3" s="138">
        <v>45.68</v>
      </c>
      <c r="K3" s="138">
        <f>46.848</f>
        <v>46.847999999999999</v>
      </c>
      <c r="L3" s="138">
        <v>48.03</v>
      </c>
      <c r="M3" s="138">
        <v>49.38</v>
      </c>
      <c r="N3" s="138">
        <v>50.69</v>
      </c>
      <c r="O3" t="s">
        <v>72</v>
      </c>
    </row>
    <row r="4" spans="1:23">
      <c r="A4" s="226"/>
      <c r="B4" s="211"/>
      <c r="C4" s="139" t="s">
        <v>0</v>
      </c>
      <c r="D4" s="140"/>
      <c r="E4" s="140"/>
      <c r="F4" s="140"/>
      <c r="G4" s="140"/>
      <c r="H4" s="140"/>
      <c r="I4" s="140">
        <v>45.13</v>
      </c>
      <c r="J4" s="140">
        <v>44.24</v>
      </c>
      <c r="K4" s="140">
        <v>45.66</v>
      </c>
      <c r="L4" s="140">
        <v>46.81</v>
      </c>
      <c r="M4" s="140">
        <v>48.01</v>
      </c>
      <c r="N4" s="140">
        <v>49.28</v>
      </c>
      <c r="O4" s="185">
        <f t="shared" ref="O4:T4" si="0">(H6*H21)+(H37*H52)</f>
        <v>8396.0949999999993</v>
      </c>
      <c r="P4" s="185">
        <f t="shared" si="0"/>
        <v>10723.196091666669</v>
      </c>
      <c r="Q4" s="185">
        <f t="shared" si="0"/>
        <v>10801.5</v>
      </c>
      <c r="R4" s="185">
        <f t="shared" si="0"/>
        <v>10970</v>
      </c>
      <c r="S4" s="185">
        <f t="shared" si="0"/>
        <v>11224</v>
      </c>
      <c r="T4" s="185">
        <f t="shared" si="0"/>
        <v>11527</v>
      </c>
    </row>
    <row r="5" spans="1:23">
      <c r="A5" s="226"/>
      <c r="B5" s="211"/>
      <c r="C5" s="141" t="s">
        <v>3</v>
      </c>
      <c r="D5" s="142"/>
      <c r="E5" s="142"/>
      <c r="F5" s="142"/>
      <c r="G5" s="142"/>
      <c r="H5" s="142"/>
      <c r="I5" s="142">
        <f>44.63+0.59</f>
        <v>45.220000000000006</v>
      </c>
      <c r="J5" s="142">
        <v>44.2</v>
      </c>
      <c r="K5" s="142">
        <v>45.3</v>
      </c>
      <c r="L5" s="142">
        <v>50.65</v>
      </c>
      <c r="M5" s="142">
        <v>55.35</v>
      </c>
      <c r="N5" s="142">
        <v>58.15</v>
      </c>
    </row>
    <row r="6" spans="1:23">
      <c r="A6" s="226"/>
      <c r="B6" s="211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86">
        <v>45.1</v>
      </c>
      <c r="J6" s="144">
        <v>44.5</v>
      </c>
      <c r="K6" s="144">
        <v>45.5</v>
      </c>
      <c r="L6" s="144">
        <v>47</v>
      </c>
      <c r="M6" s="144">
        <v>48</v>
      </c>
      <c r="N6" s="144">
        <v>50</v>
      </c>
      <c r="O6" t="s">
        <v>30</v>
      </c>
      <c r="W6" s="93"/>
    </row>
    <row r="7" spans="1:23">
      <c r="A7" s="226"/>
      <c r="B7" s="212">
        <v>42705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60.67</v>
      </c>
      <c r="H7" s="138">
        <v>37.85</v>
      </c>
      <c r="I7" s="138">
        <v>43</v>
      </c>
      <c r="J7" s="138">
        <v>48</v>
      </c>
      <c r="K7" s="138">
        <v>50</v>
      </c>
      <c r="L7" s="138">
        <v>53</v>
      </c>
      <c r="M7" s="138">
        <v>56</v>
      </c>
      <c r="N7" s="138"/>
      <c r="O7" s="185">
        <f>(H6-H7)*(H21-H22)+(H37-H38*(H52-H53))</f>
        <v>-358.18661999999989</v>
      </c>
      <c r="P7" s="185">
        <f>(I6-I7)*(I21-I22)*(1-0.11)+(I37-I38*(I52-I53)*(1-0.24))</f>
        <v>-141.39433000000025</v>
      </c>
      <c r="Q7" s="185">
        <f>(J6-J7)*(J21-J22)*(1-0.11)+(J37-J38*(J52-J53)*(1-0.24))</f>
        <v>-282.93584899999962</v>
      </c>
      <c r="R7" s="185">
        <f>(K6-K7)*(K21-K22)*(1-0.11)+(K37-K38*(K52-K53)*(1-0.24))</f>
        <v>-383.09324000000021</v>
      </c>
      <c r="S7" s="185">
        <f>(L6-L7)*(L21-L22)*(1-0.11)+(L37-L38*(L52-L53)*(1-0.24))</f>
        <v>-505.63795999999991</v>
      </c>
      <c r="T7" s="185">
        <f>(M6-M7)*(M21-M22)*(1-0.11)+(M37-M38*(M52-M53)*(1-0.24))</f>
        <v>-661.31822000000011</v>
      </c>
      <c r="W7" s="93"/>
    </row>
    <row r="8" spans="1:23" hidden="1">
      <c r="A8" s="226"/>
      <c r="B8" s="21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3" hidden="1">
      <c r="A9" s="226"/>
      <c r="B9" s="21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3" hidden="1">
      <c r="A10" s="226"/>
      <c r="B10" s="21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3" hidden="1">
      <c r="A11" s="226"/>
      <c r="B11" s="211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3" hidden="1">
      <c r="A12" s="226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3" hidden="1">
      <c r="A13" s="226"/>
      <c r="B13" s="33">
        <v>42217</v>
      </c>
      <c r="C13" s="229" t="s">
        <v>16</v>
      </c>
      <c r="D13" s="230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0.19154557463672384</v>
      </c>
      <c r="J13" s="146">
        <f t="shared" si="1"/>
        <v>-1.3303769401330379E-2</v>
      </c>
      <c r="K13" s="146">
        <f t="shared" si="1"/>
        <v>2.2471910112359605E-2</v>
      </c>
      <c r="L13" s="146">
        <f t="shared" si="1"/>
        <v>3.2967032967033072E-2</v>
      </c>
      <c r="M13" s="146">
        <f t="shared" si="1"/>
        <v>2.1276595744680771E-2</v>
      </c>
    </row>
    <row r="14" spans="1:23" hidden="1">
      <c r="A14" s="226"/>
      <c r="B14" s="33">
        <v>42031</v>
      </c>
      <c r="C14" s="231" t="s">
        <v>16</v>
      </c>
      <c r="D14" s="232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0.13606340819022453</v>
      </c>
      <c r="J14" s="147">
        <f t="shared" si="2"/>
        <v>0.11627906976744186</v>
      </c>
      <c r="K14" s="147">
        <f t="shared" si="2"/>
        <v>4.1666666666666664E-2</v>
      </c>
      <c r="L14" s="147"/>
      <c r="M14" s="147"/>
    </row>
    <row r="15" spans="1:23" hidden="1">
      <c r="A15" s="226"/>
      <c r="B15" s="33">
        <v>41974</v>
      </c>
      <c r="C15" s="231" t="s">
        <v>16</v>
      </c>
      <c r="D15" s="232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23" hidden="1">
      <c r="A16" s="227"/>
      <c r="B16" s="33">
        <v>41499</v>
      </c>
      <c r="C16" s="229" t="s">
        <v>16</v>
      </c>
      <c r="D16" s="230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20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  <c r="P17" s="112">
        <f>P7/P4</f>
        <v>-1.3185838325747136E-2</v>
      </c>
      <c r="Q17" s="112">
        <f t="shared" ref="Q17:T17" si="4">Q7/Q4</f>
        <v>-2.619412572327914E-2</v>
      </c>
      <c r="R17" s="112">
        <f t="shared" si="4"/>
        <v>-3.4921899726526907E-2</v>
      </c>
      <c r="S17" s="112">
        <f t="shared" si="4"/>
        <v>-4.504971133285815E-2</v>
      </c>
      <c r="T17" s="112">
        <f t="shared" si="4"/>
        <v>-5.7371234492929656E-2</v>
      </c>
    </row>
    <row r="18" spans="1:20">
      <c r="A18" s="228" t="s">
        <v>12</v>
      </c>
      <c r="B18" s="212">
        <f>B2</f>
        <v>42948</v>
      </c>
      <c r="C18" s="136" t="s">
        <v>2</v>
      </c>
      <c r="D18" s="148"/>
      <c r="E18" s="148"/>
      <c r="F18" s="148"/>
      <c r="G18" s="148"/>
      <c r="H18" s="148"/>
      <c r="I18" s="148">
        <v>149.87</v>
      </c>
      <c r="J18" s="148">
        <v>150.88999999999999</v>
      </c>
      <c r="K18" s="148">
        <v>154.29</v>
      </c>
      <c r="L18" s="148">
        <v>157.6</v>
      </c>
      <c r="M18" s="148">
        <v>160.62</v>
      </c>
      <c r="N18" s="148">
        <v>163.31</v>
      </c>
    </row>
    <row r="19" spans="1:20">
      <c r="A19" s="228"/>
      <c r="B19" s="211"/>
      <c r="C19" s="139" t="s">
        <v>0</v>
      </c>
      <c r="D19" s="149"/>
      <c r="E19" s="149"/>
      <c r="F19" s="149"/>
      <c r="G19" s="149"/>
      <c r="H19" s="149"/>
      <c r="I19" s="149">
        <v>150</v>
      </c>
      <c r="J19" s="149">
        <f>I19*1.025</f>
        <v>153.75</v>
      </c>
      <c r="K19" s="149">
        <f t="shared" ref="K19:N19" si="5">J19*1.025</f>
        <v>157.59375</v>
      </c>
      <c r="L19" s="149">
        <f t="shared" si="5"/>
        <v>161.53359374999999</v>
      </c>
      <c r="M19" s="149">
        <f t="shared" si="5"/>
        <v>165.57193359374997</v>
      </c>
      <c r="N19" s="149">
        <f t="shared" si="5"/>
        <v>169.71123193359372</v>
      </c>
    </row>
    <row r="20" spans="1:20">
      <c r="A20" s="228"/>
      <c r="B20" s="211"/>
      <c r="C20" s="141" t="s">
        <v>3</v>
      </c>
      <c r="D20" s="151"/>
      <c r="E20" s="151"/>
      <c r="F20" s="151"/>
      <c r="G20" s="151"/>
      <c r="H20" s="151"/>
      <c r="I20" s="151">
        <v>150</v>
      </c>
      <c r="J20" s="151">
        <v>152</v>
      </c>
      <c r="K20" s="151"/>
      <c r="L20" s="151"/>
      <c r="M20" s="151"/>
      <c r="N20" s="151"/>
    </row>
    <row r="21" spans="1:20">
      <c r="A21" s="228"/>
      <c r="B21" s="211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f>+AVERAGE(I18:I20)</f>
        <v>149.95666666666668</v>
      </c>
      <c r="J21" s="153">
        <v>153</v>
      </c>
      <c r="K21" s="153">
        <v>156</v>
      </c>
      <c r="L21" s="153">
        <v>159</v>
      </c>
      <c r="M21" s="153">
        <v>162</v>
      </c>
      <c r="N21" s="153">
        <v>165</v>
      </c>
    </row>
    <row r="22" spans="1:20">
      <c r="A22" s="228"/>
      <c r="B22" s="33">
        <f>B7</f>
        <v>42705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141.4</v>
      </c>
      <c r="H22" s="154">
        <v>146.69999999999999</v>
      </c>
      <c r="I22" s="154">
        <v>143</v>
      </c>
      <c r="J22" s="154">
        <v>143</v>
      </c>
      <c r="K22" s="154">
        <v>143</v>
      </c>
      <c r="L22" s="154">
        <v>143</v>
      </c>
      <c r="M22" s="154">
        <v>143</v>
      </c>
      <c r="N22" s="154"/>
      <c r="O22" s="131"/>
      <c r="R22" s="131"/>
    </row>
    <row r="23" spans="1:20" hidden="1">
      <c r="A23" s="228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</row>
    <row r="24" spans="1:20" hidden="1">
      <c r="A24" s="228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</row>
    <row r="25" spans="1:20" hidden="1">
      <c r="A25" s="228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</row>
    <row r="26" spans="1:20" hidden="1">
      <c r="A26" s="228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</row>
    <row r="27" spans="1:20" hidden="1">
      <c r="A27" s="228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</row>
    <row r="28" spans="1:20">
      <c r="A28" s="228"/>
      <c r="B28" s="33">
        <f>B18</f>
        <v>42948</v>
      </c>
      <c r="C28" s="229" t="s">
        <v>16</v>
      </c>
      <c r="D28" s="230"/>
      <c r="E28" s="167">
        <f t="shared" ref="E28:N29" si="6">(E21-D21)/D21</f>
        <v>0.20049813200498143</v>
      </c>
      <c r="F28" s="167">
        <f>(F21-E21)/E21</f>
        <v>0.18153526970954356</v>
      </c>
      <c r="G28" s="167">
        <f t="shared" si="6"/>
        <v>0.24143985952589991</v>
      </c>
      <c r="H28" s="167">
        <f t="shared" si="6"/>
        <v>3.7482319660537361E-2</v>
      </c>
      <c r="I28" s="167">
        <f t="shared" si="6"/>
        <v>2.2199500113610698E-2</v>
      </c>
      <c r="J28" s="167">
        <f>(J21-I21)/I21</f>
        <v>2.0294751817191557E-2</v>
      </c>
      <c r="K28" s="167">
        <f t="shared" si="6"/>
        <v>1.9607843137254902E-2</v>
      </c>
      <c r="L28" s="167">
        <f>(L21-K21)/K21</f>
        <v>1.9230769230769232E-2</v>
      </c>
      <c r="M28" s="167">
        <f>(M21-L21)/L21</f>
        <v>1.8867924528301886E-2</v>
      </c>
      <c r="N28" s="167">
        <f>(N21-M21)/M21</f>
        <v>1.8518518518518517E-2</v>
      </c>
    </row>
    <row r="29" spans="1:20">
      <c r="A29" s="228"/>
      <c r="B29" s="33">
        <f>B7</f>
        <v>42705</v>
      </c>
      <c r="C29" s="231" t="s">
        <v>16</v>
      </c>
      <c r="D29" s="232"/>
      <c r="E29" s="168">
        <f>(E22-D22)/D22</f>
        <v>0.20049813200498143</v>
      </c>
      <c r="F29" s="168">
        <f t="shared" ref="F29:N30" si="7">(F22-E22)/E22</f>
        <v>0.18153526970954356</v>
      </c>
      <c r="G29" s="168">
        <f>(G22-F22)/F22</f>
        <v>0.24143985952589991</v>
      </c>
      <c r="H29" s="168">
        <f t="shared" si="6"/>
        <v>3.7482319660537361E-2</v>
      </c>
      <c r="I29" s="168">
        <f t="shared" si="6"/>
        <v>-2.5221540558963796E-2</v>
      </c>
      <c r="J29" s="168">
        <f t="shared" si="6"/>
        <v>0</v>
      </c>
      <c r="K29" s="168">
        <f t="shared" si="6"/>
        <v>0</v>
      </c>
      <c r="L29" s="168">
        <f t="shared" si="6"/>
        <v>0</v>
      </c>
      <c r="M29" s="168">
        <f t="shared" si="6"/>
        <v>0</v>
      </c>
      <c r="N29" s="168">
        <f t="shared" si="6"/>
        <v>-1</v>
      </c>
    </row>
    <row r="30" spans="1:20" hidden="1">
      <c r="A30" s="228"/>
      <c r="B30" s="33">
        <v>41974</v>
      </c>
      <c r="C30" s="231" t="s">
        <v>16</v>
      </c>
      <c r="D30" s="232"/>
      <c r="E30" s="147">
        <f>(E23-D23)/D23</f>
        <v>0.20049813200498143</v>
      </c>
      <c r="F30" s="147">
        <f t="shared" si="7"/>
        <v>0.17634854771784231</v>
      </c>
      <c r="G30" s="147">
        <f t="shared" si="7"/>
        <v>7.5837742504409111E-2</v>
      </c>
      <c r="H30" s="147">
        <f t="shared" si="7"/>
        <v>4.0983606557377046E-2</v>
      </c>
      <c r="I30" s="147">
        <f t="shared" si="7"/>
        <v>3.1496062992125984E-2</v>
      </c>
      <c r="J30" s="147">
        <f t="shared" si="7"/>
        <v>1.5267175572519083E-2</v>
      </c>
      <c r="K30" s="147">
        <f t="shared" si="7"/>
        <v>1.5037593984962405E-2</v>
      </c>
      <c r="L30" s="147">
        <f t="shared" si="7"/>
        <v>-1</v>
      </c>
      <c r="M30" s="147" t="e">
        <f t="shared" si="7"/>
        <v>#DIV/0!</v>
      </c>
      <c r="N30" s="147" t="e">
        <f t="shared" si="7"/>
        <v>#DIV/0!</v>
      </c>
    </row>
    <row r="31" spans="1:20" hidden="1">
      <c r="A31" s="228"/>
      <c r="B31" s="33">
        <v>41499</v>
      </c>
      <c r="C31" s="229" t="s">
        <v>16</v>
      </c>
      <c r="D31" s="230"/>
      <c r="E31" s="146">
        <f t="shared" ref="E31:J31" si="8">(E25-D25)/D25</f>
        <v>0.12401648557512186</v>
      </c>
      <c r="F31" s="146">
        <f t="shared" si="8"/>
        <v>3.3333333333333333E-2</v>
      </c>
      <c r="G31" s="146">
        <f t="shared" si="8"/>
        <v>4.3010752688172046E-2</v>
      </c>
      <c r="H31" s="146">
        <f t="shared" si="8"/>
        <v>3.0927835051546393E-2</v>
      </c>
      <c r="I31" s="146">
        <f t="shared" si="8"/>
        <v>0.01</v>
      </c>
      <c r="J31" s="146">
        <f t="shared" si="8"/>
        <v>9.9009900990099011E-3</v>
      </c>
      <c r="K31" s="146"/>
      <c r="L31" s="146"/>
      <c r="M31" s="146"/>
      <c r="N31" s="146"/>
    </row>
    <row r="32" spans="1:20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</row>
    <row r="33" spans="1:16">
      <c r="A33" s="182"/>
      <c r="B33" s="107"/>
      <c r="C33" s="134" t="s">
        <v>4</v>
      </c>
      <c r="D33" s="173"/>
      <c r="E33" s="174"/>
      <c r="F33" s="174"/>
      <c r="G33" s="158"/>
      <c r="H33" s="158"/>
      <c r="I33" s="135">
        <v>3.29</v>
      </c>
      <c r="J33" s="135">
        <v>3.43</v>
      </c>
      <c r="K33" s="135">
        <v>3.3</v>
      </c>
      <c r="L33" s="135">
        <v>3.15</v>
      </c>
      <c r="M33" s="135">
        <v>3.17</v>
      </c>
      <c r="N33" s="135"/>
    </row>
    <row r="34" spans="1:16">
      <c r="A34" s="220" t="s">
        <v>18</v>
      </c>
      <c r="B34" s="212">
        <f>B2</f>
        <v>42948</v>
      </c>
      <c r="C34" s="136" t="s">
        <v>2</v>
      </c>
      <c r="D34" s="159"/>
      <c r="E34" s="159"/>
      <c r="F34" s="159"/>
      <c r="G34" s="159"/>
      <c r="H34" s="159"/>
      <c r="I34" s="159">
        <v>3.29</v>
      </c>
      <c r="J34" s="159">
        <v>3.34</v>
      </c>
      <c r="K34" s="159">
        <v>3.3</v>
      </c>
      <c r="L34" s="159">
        <v>3.24</v>
      </c>
      <c r="M34" s="159">
        <v>3.26</v>
      </c>
      <c r="N34" s="159">
        <v>3.31</v>
      </c>
    </row>
    <row r="35" spans="1:16">
      <c r="A35" s="221"/>
      <c r="B35" s="211"/>
      <c r="C35" s="139" t="s">
        <v>0</v>
      </c>
      <c r="D35" s="140"/>
      <c r="E35" s="140"/>
      <c r="F35" s="140"/>
      <c r="G35" s="140"/>
      <c r="H35" s="140"/>
      <c r="I35" s="140">
        <v>3.26</v>
      </c>
      <c r="J35" s="140">
        <f>3.13</f>
        <v>3.13</v>
      </c>
      <c r="K35" s="140">
        <v>3.06</v>
      </c>
      <c r="L35" s="140">
        <v>3.04</v>
      </c>
      <c r="M35" s="140">
        <v>3.08</v>
      </c>
      <c r="N35" s="140">
        <v>3.11</v>
      </c>
    </row>
    <row r="36" spans="1:16">
      <c r="A36" s="221"/>
      <c r="B36" s="211"/>
      <c r="C36" s="141" t="s">
        <v>3</v>
      </c>
      <c r="D36" s="142"/>
      <c r="E36" s="142"/>
      <c r="F36" s="142"/>
      <c r="G36" s="142"/>
      <c r="H36" s="142"/>
      <c r="I36" s="142">
        <v>3.25</v>
      </c>
      <c r="J36" s="142">
        <v>3.36</v>
      </c>
      <c r="K36" s="142">
        <v>3.22</v>
      </c>
      <c r="L36" s="142">
        <v>3</v>
      </c>
      <c r="M36" s="142">
        <v>3.02</v>
      </c>
      <c r="N36" s="142">
        <v>3.08</v>
      </c>
    </row>
    <row r="37" spans="1:16">
      <c r="A37" s="221"/>
      <c r="B37" s="211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f>+AVERAGE(I33:I36)</f>
        <v>3.2725</v>
      </c>
      <c r="J37" s="144">
        <v>3.3</v>
      </c>
      <c r="K37" s="144">
        <v>3.2</v>
      </c>
      <c r="L37" s="144">
        <v>3.1</v>
      </c>
      <c r="M37" s="144">
        <v>3.1</v>
      </c>
      <c r="N37" s="144">
        <v>3.1</v>
      </c>
    </row>
    <row r="38" spans="1:16">
      <c r="A38" s="221"/>
      <c r="B38" s="33">
        <f>B7</f>
        <v>42705</v>
      </c>
      <c r="C38" s="133" t="s">
        <v>1</v>
      </c>
      <c r="D38" s="138">
        <v>5.01</v>
      </c>
      <c r="E38" s="138">
        <v>4.38</v>
      </c>
      <c r="F38" s="138">
        <v>5.14</v>
      </c>
      <c r="G38" s="138">
        <v>3.78</v>
      </c>
      <c r="H38" s="138">
        <v>2.42</v>
      </c>
      <c r="I38" s="138">
        <v>3.15</v>
      </c>
      <c r="J38" s="138">
        <v>3.3050000000000002</v>
      </c>
      <c r="K38" s="138">
        <v>3.26</v>
      </c>
      <c r="L38" s="138">
        <v>3.3499999999999996</v>
      </c>
      <c r="M38" s="138">
        <v>3.4450000000000003</v>
      </c>
      <c r="N38" s="138"/>
      <c r="O38" s="112"/>
      <c r="P38" s="112"/>
    </row>
    <row r="39" spans="1:16" hidden="1">
      <c r="A39" s="221"/>
      <c r="B39" s="33">
        <v>41974</v>
      </c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6" hidden="1">
      <c r="A40" s="221"/>
      <c r="B40" s="33">
        <v>41852</v>
      </c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6" hidden="1">
      <c r="A41" s="221"/>
      <c r="B41" s="33">
        <v>41499</v>
      </c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6" hidden="1">
      <c r="A42" s="221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6" hidden="1">
      <c r="A43" s="221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6" hidden="1">
      <c r="A44" s="221"/>
      <c r="B44" s="33">
        <v>42217</v>
      </c>
      <c r="C44" s="229" t="s">
        <v>16</v>
      </c>
      <c r="D44" s="230"/>
      <c r="E44" s="146">
        <f t="shared" ref="E44:M46" si="9">(E37-D37)/D37</f>
        <v>-0.12574850299401197</v>
      </c>
      <c r="F44" s="146">
        <f t="shared" si="9"/>
        <v>0.17351598173515978</v>
      </c>
      <c r="G44" s="146">
        <f t="shared" si="9"/>
        <v>-0.26459143968871596</v>
      </c>
      <c r="H44" s="146">
        <f t="shared" si="9"/>
        <v>-0.35978835978835977</v>
      </c>
      <c r="I44" s="146">
        <f t="shared" si="9"/>
        <v>0.35227272727272729</v>
      </c>
      <c r="J44" s="146">
        <f t="shared" si="9"/>
        <v>8.4033613445377714E-3</v>
      </c>
      <c r="K44" s="146">
        <f t="shared" si="9"/>
        <v>-3.0303030303030196E-2</v>
      </c>
      <c r="L44" s="146">
        <f t="shared" si="9"/>
        <v>-3.1250000000000028E-2</v>
      </c>
      <c r="M44" s="146">
        <f t="shared" si="9"/>
        <v>0</v>
      </c>
    </row>
    <row r="45" spans="1:16" hidden="1">
      <c r="A45" s="221"/>
      <c r="B45" s="33">
        <f>B29</f>
        <v>42705</v>
      </c>
      <c r="C45" s="231" t="s">
        <v>16</v>
      </c>
      <c r="D45" s="232"/>
      <c r="E45" s="147">
        <f t="shared" si="9"/>
        <v>-0.12574850299401197</v>
      </c>
      <c r="F45" s="147">
        <f t="shared" si="9"/>
        <v>0.17351598173515978</v>
      </c>
      <c r="G45" s="147">
        <f t="shared" si="9"/>
        <v>-0.26459143968871596</v>
      </c>
      <c r="H45" s="147">
        <f t="shared" si="9"/>
        <v>-0.35978835978835977</v>
      </c>
      <c r="I45" s="147">
        <f t="shared" si="9"/>
        <v>0.30165289256198347</v>
      </c>
      <c r="J45" s="147">
        <f t="shared" si="9"/>
        <v>4.9206349206349288E-2</v>
      </c>
      <c r="K45" s="147">
        <f t="shared" si="9"/>
        <v>-1.3615733736762593E-2</v>
      </c>
      <c r="L45" s="147"/>
      <c r="M45" s="147"/>
    </row>
    <row r="46" spans="1:16" hidden="1">
      <c r="A46" s="221"/>
      <c r="B46" s="33">
        <v>41974</v>
      </c>
      <c r="C46" s="231" t="s">
        <v>16</v>
      </c>
      <c r="D46" s="232"/>
      <c r="E46" s="147">
        <f t="shared" si="9"/>
        <v>-0.12574850299401197</v>
      </c>
      <c r="F46" s="147">
        <f t="shared" si="9"/>
        <v>0.17123287671232876</v>
      </c>
      <c r="G46" s="147">
        <f t="shared" si="9"/>
        <v>-4.4834307992202643E-2</v>
      </c>
      <c r="H46" s="147">
        <f t="shared" si="9"/>
        <v>0</v>
      </c>
      <c r="I46" s="147">
        <f t="shared" si="9"/>
        <v>1.0204081632653024E-2</v>
      </c>
      <c r="J46" s="147">
        <f t="shared" si="9"/>
        <v>3.0303030303030193E-2</v>
      </c>
      <c r="K46" s="147">
        <f t="shared" si="9"/>
        <v>1.9607843137255009E-2</v>
      </c>
      <c r="L46" s="147">
        <f t="shared" si="9"/>
        <v>-1</v>
      </c>
      <c r="M46" s="147" t="e">
        <f t="shared" si="9"/>
        <v>#DIV/0!</v>
      </c>
    </row>
    <row r="47" spans="1:16" hidden="1">
      <c r="A47" s="222"/>
      <c r="B47" s="33">
        <v>41499</v>
      </c>
      <c r="C47" s="229" t="s">
        <v>16</v>
      </c>
      <c r="D47" s="230"/>
      <c r="E47" s="146">
        <f t="shared" ref="E47:J47" si="10">(E41-D41)/D41</f>
        <v>-0.1</v>
      </c>
      <c r="F47" s="146">
        <f t="shared" si="10"/>
        <v>0.1111111111111111</v>
      </c>
      <c r="G47" s="146">
        <f t="shared" si="10"/>
        <v>8.0000000000000071E-2</v>
      </c>
      <c r="H47" s="146">
        <f t="shared" si="10"/>
        <v>1.8518518518518452E-2</v>
      </c>
      <c r="I47" s="146">
        <f t="shared" si="10"/>
        <v>0</v>
      </c>
      <c r="J47" s="146">
        <f t="shared" si="10"/>
        <v>0</v>
      </c>
      <c r="K47" s="146"/>
      <c r="L47" s="146"/>
      <c r="M47" s="146"/>
    </row>
    <row r="48" spans="1:16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6">
      <c r="A49" s="220" t="s">
        <v>19</v>
      </c>
      <c r="B49" s="212">
        <f>B2</f>
        <v>42948</v>
      </c>
      <c r="C49" s="136" t="s">
        <v>2</v>
      </c>
      <c r="D49" s="160"/>
      <c r="E49" s="161"/>
      <c r="F49" s="161"/>
      <c r="G49" s="161"/>
      <c r="H49" s="161"/>
      <c r="I49" s="161">
        <v>1208.69</v>
      </c>
      <c r="J49" s="161">
        <v>1201.19</v>
      </c>
      <c r="K49" s="161">
        <v>1191.44</v>
      </c>
      <c r="L49" s="161">
        <v>1181.7</v>
      </c>
      <c r="M49" s="161">
        <v>1171.95</v>
      </c>
      <c r="N49" s="161">
        <v>1162.21</v>
      </c>
    </row>
    <row r="50" spans="1:16">
      <c r="A50" s="221"/>
      <c r="B50" s="211"/>
      <c r="C50" s="139" t="s">
        <v>0</v>
      </c>
      <c r="D50" s="162"/>
      <c r="E50" s="162"/>
      <c r="F50" s="162"/>
      <c r="G50" s="162"/>
      <c r="H50" s="162"/>
      <c r="I50" s="162">
        <v>1210</v>
      </c>
      <c r="J50" s="162">
        <f>I50*1.007</f>
        <v>1218.4699999999998</v>
      </c>
      <c r="K50" s="162">
        <f>J50*1.011</f>
        <v>1231.8731699999996</v>
      </c>
      <c r="L50" s="162">
        <f>K50*1.014</f>
        <v>1249.1193943799997</v>
      </c>
      <c r="M50" s="162">
        <f>L50*1.0176</f>
        <v>1271.1038957210878</v>
      </c>
      <c r="N50" s="162">
        <f>M50*1.018</f>
        <v>1293.9837658440674</v>
      </c>
    </row>
    <row r="51" spans="1:16">
      <c r="A51" s="221"/>
      <c r="B51" s="211"/>
      <c r="C51" s="141" t="s">
        <v>3</v>
      </c>
      <c r="D51" s="163"/>
      <c r="E51" s="163"/>
      <c r="F51" s="163"/>
      <c r="G51" s="163"/>
      <c r="H51" s="163"/>
      <c r="I51" s="163">
        <v>1211.7</v>
      </c>
      <c r="J51" s="163">
        <v>1201.9000000000001</v>
      </c>
      <c r="K51" s="163"/>
      <c r="L51" s="163"/>
      <c r="M51" s="163"/>
      <c r="N51" s="163"/>
    </row>
    <row r="52" spans="1:16">
      <c r="A52" s="221"/>
      <c r="B52" s="211"/>
      <c r="C52" s="143" t="s">
        <v>1</v>
      </c>
      <c r="D52" s="164">
        <v>1227</v>
      </c>
      <c r="E52" s="164">
        <v>1177.5</v>
      </c>
      <c r="F52" s="164">
        <v>1184.7</v>
      </c>
      <c r="G52" s="164">
        <v>1184.8</v>
      </c>
      <c r="H52" s="164">
        <v>1175</v>
      </c>
      <c r="I52" s="164">
        <f>+AVERAGE(I49:I51)</f>
        <v>1210.1300000000001</v>
      </c>
      <c r="J52" s="164">
        <v>1210</v>
      </c>
      <c r="K52" s="164">
        <f>J52</f>
        <v>1210</v>
      </c>
      <c r="L52" s="164">
        <f t="shared" ref="L52:N52" si="11">K52</f>
        <v>1210</v>
      </c>
      <c r="M52" s="164">
        <f t="shared" si="11"/>
        <v>1210</v>
      </c>
      <c r="N52" s="164">
        <f t="shared" si="11"/>
        <v>1210</v>
      </c>
    </row>
    <row r="53" spans="1:16">
      <c r="A53" s="221"/>
      <c r="B53" s="33">
        <f>B38</f>
        <v>42705</v>
      </c>
      <c r="C53" s="133" t="s">
        <v>1</v>
      </c>
      <c r="D53" s="160">
        <v>1227</v>
      </c>
      <c r="E53" s="160">
        <v>1177.5</v>
      </c>
      <c r="F53" s="160">
        <v>1184.7</v>
      </c>
      <c r="G53" s="160">
        <v>1184.8</v>
      </c>
      <c r="H53" s="160">
        <v>1025.989</v>
      </c>
      <c r="I53" s="160">
        <v>1144.27</v>
      </c>
      <c r="J53" s="160">
        <v>1108.4450000000002</v>
      </c>
      <c r="K53" s="160">
        <v>1075.0999999999999</v>
      </c>
      <c r="L53" s="160">
        <v>1043.74</v>
      </c>
      <c r="M53" s="160">
        <v>1007.9</v>
      </c>
      <c r="N53" s="160"/>
      <c r="O53" s="112"/>
      <c r="P53" s="112"/>
    </row>
    <row r="54" spans="1:16" hidden="1">
      <c r="A54" s="221"/>
      <c r="B54" s="33">
        <v>41974</v>
      </c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</row>
    <row r="55" spans="1:16" hidden="1">
      <c r="A55" s="221"/>
      <c r="B55" s="33">
        <v>41852</v>
      </c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</row>
    <row r="56" spans="1:16" hidden="1">
      <c r="A56" s="221"/>
      <c r="B56" s="33">
        <v>41499</v>
      </c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</row>
    <row r="57" spans="1:16" hidden="1">
      <c r="A57" s="221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</row>
    <row r="58" spans="1:16" hidden="1">
      <c r="A58" s="221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</row>
    <row r="59" spans="1:16">
      <c r="A59" s="221"/>
      <c r="B59" s="33">
        <f>B49</f>
        <v>42948</v>
      </c>
      <c r="C59" s="229" t="s">
        <v>16</v>
      </c>
      <c r="D59" s="230"/>
      <c r="E59" s="167">
        <f t="shared" ref="E59:N61" si="12">(E52-D52)/D52</f>
        <v>-4.0342298288508556E-2</v>
      </c>
      <c r="F59" s="167">
        <f t="shared" si="12"/>
        <v>6.1146496815287013E-3</v>
      </c>
      <c r="G59" s="167">
        <f>(G52-F52)/F52</f>
        <v>8.4409555161567526E-5</v>
      </c>
      <c r="H59" s="167">
        <f t="shared" si="12"/>
        <v>-8.2714382174206239E-3</v>
      </c>
      <c r="I59" s="167">
        <f t="shared" si="12"/>
        <v>2.9897872340425624E-2</v>
      </c>
      <c r="J59" s="167">
        <f t="shared" si="12"/>
        <v>-1.0742647484163613E-4</v>
      </c>
      <c r="K59" s="167">
        <f t="shared" si="12"/>
        <v>0</v>
      </c>
      <c r="L59" s="167">
        <f t="shared" si="12"/>
        <v>0</v>
      </c>
      <c r="M59" s="167">
        <f t="shared" si="12"/>
        <v>0</v>
      </c>
      <c r="N59" s="167">
        <f t="shared" si="12"/>
        <v>0</v>
      </c>
    </row>
    <row r="60" spans="1:16">
      <c r="A60" s="221"/>
      <c r="B60" s="33">
        <f>B45</f>
        <v>42705</v>
      </c>
      <c r="C60" s="231" t="s">
        <v>16</v>
      </c>
      <c r="D60" s="232"/>
      <c r="E60" s="168">
        <f>(E53-D53)/D53</f>
        <v>-4.0342298288508556E-2</v>
      </c>
      <c r="F60" s="168">
        <f t="shared" si="12"/>
        <v>6.1146496815287013E-3</v>
      </c>
      <c r="G60" s="168">
        <f>(G53-F53)/F53</f>
        <v>8.4409555161567526E-5</v>
      </c>
      <c r="H60" s="168">
        <f t="shared" si="12"/>
        <v>-0.13404034436191756</v>
      </c>
      <c r="I60" s="168">
        <f t="shared" si="12"/>
        <v>0.115284861728537</v>
      </c>
      <c r="J60" s="168">
        <f t="shared" si="12"/>
        <v>-3.130817027449799E-2</v>
      </c>
      <c r="K60" s="168">
        <f t="shared" si="12"/>
        <v>-3.0082683398815684E-2</v>
      </c>
      <c r="L60" s="168">
        <f t="shared" si="12"/>
        <v>-2.9169379592595947E-2</v>
      </c>
      <c r="M60" s="168">
        <f t="shared" si="12"/>
        <v>-3.4338053538237524E-2</v>
      </c>
      <c r="N60" s="168">
        <f t="shared" si="12"/>
        <v>-1</v>
      </c>
    </row>
    <row r="61" spans="1:16" hidden="1">
      <c r="A61" s="221"/>
      <c r="B61" s="33">
        <v>41974</v>
      </c>
      <c r="C61" s="231" t="s">
        <v>16</v>
      </c>
      <c r="D61" s="232"/>
      <c r="E61" s="147">
        <f>(E54-D54)/D54</f>
        <v>-4.0342298288508556E-2</v>
      </c>
      <c r="F61" s="147">
        <f t="shared" si="12"/>
        <v>8.3227176220806408E-3</v>
      </c>
      <c r="G61" s="147">
        <f t="shared" si="12"/>
        <v>-5.3061568264128316E-3</v>
      </c>
      <c r="H61" s="147">
        <f t="shared" si="12"/>
        <v>-2.6248941574936496E-2</v>
      </c>
      <c r="I61" s="147">
        <f t="shared" si="12"/>
        <v>-2.782608695652174E-2</v>
      </c>
      <c r="J61" s="147">
        <f t="shared" si="12"/>
        <v>-2.6833631484794274E-2</v>
      </c>
      <c r="K61" s="147">
        <f t="shared" si="12"/>
        <v>-3.3088235294117647E-2</v>
      </c>
      <c r="L61" s="147">
        <f t="shared" si="12"/>
        <v>-1</v>
      </c>
      <c r="M61" s="147" t="e">
        <f t="shared" si="12"/>
        <v>#DIV/0!</v>
      </c>
    </row>
    <row r="62" spans="1:16" hidden="1">
      <c r="A62" s="222"/>
      <c r="B62" s="33">
        <v>41499</v>
      </c>
      <c r="C62" s="229" t="s">
        <v>16</v>
      </c>
      <c r="D62" s="230"/>
      <c r="E62" s="146">
        <f t="shared" ref="E62:J62" si="13">(E56-D56)/D56</f>
        <v>-4.9639025981971625E-2</v>
      </c>
      <c r="F62" s="146">
        <f t="shared" si="13"/>
        <v>-4.7210300429184553E-2</v>
      </c>
      <c r="G62" s="146">
        <f t="shared" si="13"/>
        <v>-3.6036036036036036E-2</v>
      </c>
      <c r="H62" s="146">
        <f t="shared" si="13"/>
        <v>-3.7383177570093455E-2</v>
      </c>
      <c r="I62" s="146">
        <f t="shared" si="13"/>
        <v>-2.9126213592233011E-2</v>
      </c>
      <c r="J62" s="146">
        <f t="shared" si="13"/>
        <v>-0.04</v>
      </c>
      <c r="K62" s="146"/>
      <c r="L62" s="146"/>
      <c r="M62" s="146"/>
    </row>
    <row r="63" spans="1:16">
      <c r="A63" s="108"/>
      <c r="B63" s="13"/>
      <c r="F63" s="112"/>
      <c r="G63" s="112"/>
      <c r="H63" s="112"/>
      <c r="I63" s="112"/>
      <c r="J63" s="112"/>
      <c r="K63" s="112"/>
      <c r="L63" s="112"/>
      <c r="M63" s="112"/>
    </row>
    <row r="64" spans="1:16">
      <c r="A64" s="9"/>
      <c r="B64" s="13"/>
      <c r="E64" s="94"/>
      <c r="F64" s="94"/>
      <c r="G64" s="112"/>
      <c r="H64" s="112"/>
      <c r="I64" s="112"/>
      <c r="J64" s="112"/>
      <c r="K64" s="112"/>
      <c r="L64" s="112"/>
      <c r="M64" s="112"/>
    </row>
    <row r="65" spans="1:13">
      <c r="A65" s="9"/>
      <c r="B65" s="13"/>
      <c r="E65" s="94"/>
      <c r="F65" s="94"/>
      <c r="G65" s="94"/>
      <c r="H65" s="112"/>
      <c r="I65" s="112"/>
      <c r="J65" s="112"/>
      <c r="K65" s="112"/>
      <c r="L65" s="112"/>
      <c r="M65" s="112"/>
    </row>
    <row r="66" spans="1:13">
      <c r="A66" s="9"/>
      <c r="B66" s="13"/>
    </row>
    <row r="67" spans="1:13">
      <c r="A67" s="9"/>
      <c r="B67" s="13"/>
    </row>
    <row r="68" spans="1:13">
      <c r="A68" s="9"/>
      <c r="B68" s="13"/>
    </row>
    <row r="69" spans="1:13">
      <c r="A69" s="9"/>
      <c r="B69" s="13"/>
    </row>
    <row r="70" spans="1:13">
      <c r="A70" s="9"/>
      <c r="B70" s="13"/>
    </row>
    <row r="71" spans="1:13">
      <c r="A71" s="9"/>
      <c r="B71" s="13"/>
    </row>
    <row r="72" spans="1:13">
      <c r="A72" s="9"/>
      <c r="B72" s="13"/>
    </row>
    <row r="73" spans="1:13">
      <c r="A73" s="9"/>
      <c r="B73" s="13"/>
    </row>
  </sheetData>
  <mergeCells count="25">
    <mergeCell ref="A49:A62"/>
    <mergeCell ref="B49:B52"/>
    <mergeCell ref="C59:D59"/>
    <mergeCell ref="C60:D60"/>
    <mergeCell ref="C61:D61"/>
    <mergeCell ref="C62:D62"/>
    <mergeCell ref="A34:A47"/>
    <mergeCell ref="B34:B37"/>
    <mergeCell ref="C44:D44"/>
    <mergeCell ref="C45:D45"/>
    <mergeCell ref="C46:D46"/>
    <mergeCell ref="C47:D47"/>
    <mergeCell ref="A18:A31"/>
    <mergeCell ref="B18:B21"/>
    <mergeCell ref="C28:D28"/>
    <mergeCell ref="C29:D29"/>
    <mergeCell ref="C30:D30"/>
    <mergeCell ref="C31:D31"/>
    <mergeCell ref="A2:A16"/>
    <mergeCell ref="B2:B6"/>
    <mergeCell ref="B7:B11"/>
    <mergeCell ref="C13:D13"/>
    <mergeCell ref="C14:D14"/>
    <mergeCell ref="C15:D15"/>
    <mergeCell ref="C16:D16"/>
  </mergeCells>
  <pageMargins left="0.5" right="0.17" top="0.63" bottom="0.75" header="0.3" footer="0.3"/>
  <pageSetup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X73"/>
  <sheetViews>
    <sheetView zoomScale="110" zoomScaleNormal="110" workbookViewId="0">
      <pane ySplit="1" topLeftCell="A2" activePane="bottomLeft" state="frozen"/>
      <selection pane="bottomLeft" activeCell="N52" sqref="N52"/>
    </sheetView>
  </sheetViews>
  <sheetFormatPr defaultColWidth="9.140625" defaultRowHeight="15"/>
  <cols>
    <col min="1" max="1" width="9.42578125" customWidth="1"/>
    <col min="2" max="2" width="7.5703125" bestFit="1" customWidth="1"/>
    <col min="3" max="3" width="8" customWidth="1"/>
    <col min="4" max="9" width="7.5703125" customWidth="1"/>
    <col min="10" max="14" width="9" customWidth="1"/>
    <col min="16" max="16" width="14.42578125" customWidth="1"/>
    <col min="17" max="21" width="9.85546875" bestFit="1" customWidth="1"/>
  </cols>
  <sheetData>
    <row r="1" spans="1:24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21</v>
      </c>
      <c r="K1" s="132" t="s">
        <v>24</v>
      </c>
      <c r="L1" s="132" t="s">
        <v>27</v>
      </c>
      <c r="M1" s="132" t="s">
        <v>57</v>
      </c>
      <c r="N1" s="132" t="s">
        <v>76</v>
      </c>
      <c r="O1" s="187"/>
    </row>
    <row r="2" spans="1:24">
      <c r="A2" s="225" t="s">
        <v>10</v>
      </c>
      <c r="B2" s="212">
        <v>43070</v>
      </c>
      <c r="C2" s="134" t="s">
        <v>4</v>
      </c>
      <c r="D2" s="135"/>
      <c r="E2" s="135"/>
      <c r="F2" s="135"/>
      <c r="G2" s="135"/>
      <c r="H2" s="135"/>
      <c r="I2" s="135"/>
      <c r="J2" s="135">
        <v>47.49</v>
      </c>
      <c r="K2" s="135">
        <v>49.92</v>
      </c>
      <c r="L2" s="135">
        <v>52.47</v>
      </c>
      <c r="M2" s="135">
        <v>56.9</v>
      </c>
      <c r="N2" s="135">
        <v>58.61</v>
      </c>
      <c r="O2" s="188"/>
      <c r="P2" t="s">
        <v>28</v>
      </c>
      <c r="Q2" t="s">
        <v>29</v>
      </c>
      <c r="R2" t="s">
        <v>68</v>
      </c>
      <c r="S2" t="s">
        <v>69</v>
      </c>
      <c r="T2" t="s">
        <v>70</v>
      </c>
      <c r="U2" t="s">
        <v>71</v>
      </c>
      <c r="V2" t="s">
        <v>78</v>
      </c>
    </row>
    <row r="3" spans="1:24">
      <c r="A3" s="226"/>
      <c r="B3" s="211"/>
      <c r="C3" s="136" t="s">
        <v>2</v>
      </c>
      <c r="D3" s="137"/>
      <c r="E3" s="138"/>
      <c r="F3" s="138"/>
      <c r="G3" s="138"/>
      <c r="H3" s="138"/>
      <c r="I3" s="138"/>
      <c r="J3" s="138">
        <v>48.89</v>
      </c>
      <c r="K3" s="138">
        <v>51.04</v>
      </c>
      <c r="L3" s="138">
        <v>53.19</v>
      </c>
      <c r="M3" s="138">
        <v>57.53</v>
      </c>
      <c r="N3" s="138">
        <v>59.42</v>
      </c>
      <c r="O3" s="188"/>
      <c r="P3" t="s">
        <v>72</v>
      </c>
    </row>
    <row r="4" spans="1:24">
      <c r="A4" s="226"/>
      <c r="B4" s="211"/>
      <c r="C4" s="139" t="s">
        <v>0</v>
      </c>
      <c r="D4" s="140"/>
      <c r="E4" s="140"/>
      <c r="F4" s="140"/>
      <c r="G4" s="140"/>
      <c r="H4" s="140"/>
      <c r="I4" s="140"/>
      <c r="J4" s="140">
        <v>47.74</v>
      </c>
      <c r="K4" s="140">
        <v>49.49</v>
      </c>
      <c r="L4" s="140">
        <v>49.01</v>
      </c>
      <c r="M4" s="140">
        <v>48.94</v>
      </c>
      <c r="N4" s="140">
        <v>49.19</v>
      </c>
      <c r="O4" s="189"/>
      <c r="P4" s="185">
        <f t="shared" ref="P4:V4" si="0">(H6*H21)+(H37*H52)</f>
        <v>8396.0949999999993</v>
      </c>
      <c r="Q4" s="185">
        <f t="shared" si="0"/>
        <v>10862.2</v>
      </c>
      <c r="R4" s="185">
        <f t="shared" si="0"/>
        <v>11501.525</v>
      </c>
      <c r="S4" s="185">
        <f t="shared" si="0"/>
        <v>11984</v>
      </c>
      <c r="T4" s="185">
        <f t="shared" si="0"/>
        <v>12237.095095386667</v>
      </c>
      <c r="U4" s="185">
        <f t="shared" si="0"/>
        <v>12460</v>
      </c>
      <c r="V4" s="185">
        <f t="shared" si="0"/>
        <v>12701</v>
      </c>
    </row>
    <row r="5" spans="1:24">
      <c r="A5" s="226"/>
      <c r="B5" s="211"/>
      <c r="C5" s="141" t="s">
        <v>3</v>
      </c>
      <c r="D5" s="142"/>
      <c r="E5" s="142"/>
      <c r="F5" s="142"/>
      <c r="G5" s="142"/>
      <c r="H5" s="142"/>
      <c r="I5" s="142"/>
      <c r="J5" s="142">
        <v>46.58</v>
      </c>
      <c r="K5" s="142">
        <v>48.51</v>
      </c>
      <c r="L5" s="142">
        <v>49.38</v>
      </c>
      <c r="M5" s="142">
        <v>51.82</v>
      </c>
      <c r="N5" s="142">
        <v>52.94</v>
      </c>
      <c r="O5" s="188"/>
    </row>
    <row r="6" spans="1:24">
      <c r="A6" s="226"/>
      <c r="B6" s="211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v>45</v>
      </c>
      <c r="J6" s="144">
        <v>47.5</v>
      </c>
      <c r="K6" s="144">
        <v>49.5</v>
      </c>
      <c r="L6" s="144">
        <v>50.5</v>
      </c>
      <c r="M6" s="144">
        <v>51.5</v>
      </c>
      <c r="N6" s="144">
        <v>52.5</v>
      </c>
      <c r="O6" s="200"/>
      <c r="P6" t="s">
        <v>30</v>
      </c>
      <c r="X6" s="93"/>
    </row>
    <row r="7" spans="1:24">
      <c r="A7" s="226"/>
      <c r="B7" s="212">
        <v>42948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60.67</v>
      </c>
      <c r="H7" s="138">
        <v>37.85</v>
      </c>
      <c r="I7" s="138">
        <v>45.1</v>
      </c>
      <c r="J7" s="138">
        <v>44.5</v>
      </c>
      <c r="K7" s="138">
        <v>45.5</v>
      </c>
      <c r="L7" s="138">
        <v>47</v>
      </c>
      <c r="M7" s="138">
        <v>48</v>
      </c>
      <c r="N7" s="138">
        <v>50</v>
      </c>
      <c r="O7" s="189"/>
      <c r="P7" s="185">
        <f>(H6-H7)*(H21-H22)+(H37-H38*(H52-H53))</f>
        <v>2.42</v>
      </c>
      <c r="Q7" s="185">
        <f t="shared" ref="Q7:V7" si="1">(I6-I7)*(I21-I22)*(1-0.11)+(I37-I38*(I52-I53)*(1-0.24))</f>
        <v>-21.859000000000009</v>
      </c>
      <c r="R7" s="185">
        <f t="shared" si="1"/>
        <v>-32.807600000000114</v>
      </c>
      <c r="S7" s="185">
        <f t="shared" si="1"/>
        <v>0.28999999999999915</v>
      </c>
      <c r="T7" s="185">
        <f t="shared" si="1"/>
        <v>44.34706733866701</v>
      </c>
      <c r="U7" s="185">
        <f t="shared" si="1"/>
        <v>69.010000000000005</v>
      </c>
      <c r="V7" s="185">
        <f t="shared" si="1"/>
        <v>85.00500000000001</v>
      </c>
      <c r="X7" s="93"/>
    </row>
    <row r="8" spans="1:24" hidden="1">
      <c r="A8" s="226"/>
      <c r="B8" s="21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4" hidden="1">
      <c r="A9" s="226"/>
      <c r="B9" s="21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4" hidden="1">
      <c r="A10" s="226"/>
      <c r="B10" s="21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4" hidden="1">
      <c r="A11" s="226"/>
      <c r="B11" s="211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4" hidden="1">
      <c r="A12" s="226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4" hidden="1">
      <c r="A13" s="226"/>
      <c r="B13" s="33">
        <v>42217</v>
      </c>
      <c r="C13" s="229" t="s">
        <v>16</v>
      </c>
      <c r="D13" s="230"/>
      <c r="E13" s="146">
        <f t="shared" ref="E13:M13" si="2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2"/>
        <v>-0.37613317949563208</v>
      </c>
      <c r="I13" s="146">
        <f t="shared" si="2"/>
        <v>0.18890356671070019</v>
      </c>
      <c r="J13" s="146">
        <f t="shared" si="2"/>
        <v>5.555555555555558E-2</v>
      </c>
      <c r="K13" s="146">
        <f t="shared" si="2"/>
        <v>4.2105263157894646E-2</v>
      </c>
      <c r="L13" s="146">
        <f t="shared" si="2"/>
        <v>2.020202020202011E-2</v>
      </c>
      <c r="M13" s="146">
        <f t="shared" si="2"/>
        <v>1.980198019801982E-2</v>
      </c>
    </row>
    <row r="14" spans="1:24" hidden="1">
      <c r="A14" s="226"/>
      <c r="B14" s="33">
        <v>42031</v>
      </c>
      <c r="C14" s="231" t="s">
        <v>16</v>
      </c>
      <c r="D14" s="232"/>
      <c r="E14" s="147">
        <f t="shared" ref="E14:K15" si="3">(E7-D7)/D7</f>
        <v>-4.2721695482431814E-2</v>
      </c>
      <c r="F14" s="147">
        <f t="shared" si="3"/>
        <v>0.10848287112561178</v>
      </c>
      <c r="G14" s="147">
        <f t="shared" si="3"/>
        <v>-0.36224114369809729</v>
      </c>
      <c r="H14" s="147">
        <f t="shared" si="3"/>
        <v>-0.37613317949563208</v>
      </c>
      <c r="I14" s="147">
        <f t="shared" si="3"/>
        <v>0.19154557463672389</v>
      </c>
      <c r="J14" s="147">
        <f t="shared" si="3"/>
        <v>-1.3303769401330408E-2</v>
      </c>
      <c r="K14" s="147">
        <f t="shared" si="3"/>
        <v>2.247191011235955E-2</v>
      </c>
      <c r="L14" s="147"/>
      <c r="M14" s="147"/>
    </row>
    <row r="15" spans="1:24" hidden="1">
      <c r="A15" s="226"/>
      <c r="B15" s="33">
        <v>41974</v>
      </c>
      <c r="C15" s="231" t="s">
        <v>16</v>
      </c>
      <c r="D15" s="232"/>
      <c r="E15" s="147">
        <f t="shared" si="3"/>
        <v>-4.2721695482431814E-2</v>
      </c>
      <c r="F15" s="147">
        <f t="shared" si="3"/>
        <v>0.10859939408063397</v>
      </c>
      <c r="G15" s="147">
        <f t="shared" si="3"/>
        <v>-0.2537313432835821</v>
      </c>
      <c r="H15" s="147">
        <f t="shared" si="3"/>
        <v>-7.0422535211267609E-2</v>
      </c>
      <c r="I15" s="147">
        <f t="shared" si="3"/>
        <v>9.0909090909090912E-2</v>
      </c>
      <c r="J15" s="147">
        <f t="shared" si="3"/>
        <v>5.5555555555555552E-2</v>
      </c>
      <c r="K15" s="147"/>
      <c r="L15" s="147"/>
      <c r="M15" s="147"/>
    </row>
    <row r="16" spans="1:24" hidden="1">
      <c r="A16" s="227"/>
      <c r="B16" s="33">
        <v>41499</v>
      </c>
      <c r="C16" s="229" t="s">
        <v>16</v>
      </c>
      <c r="D16" s="230"/>
      <c r="E16" s="146">
        <f t="shared" ref="E16:J16" si="4">(E10-D10)/D10</f>
        <v>-3.3333333333333333E-2</v>
      </c>
      <c r="F16" s="146">
        <f t="shared" si="4"/>
        <v>8.0459770114942528E-2</v>
      </c>
      <c r="G16" s="146">
        <f t="shared" si="4"/>
        <v>-6.9148936170212769E-2</v>
      </c>
      <c r="H16" s="146">
        <f t="shared" si="4"/>
        <v>-2.8571428571428571E-2</v>
      </c>
      <c r="I16" s="146">
        <f t="shared" si="4"/>
        <v>-1.1764705882352941E-2</v>
      </c>
      <c r="J16" s="146">
        <f t="shared" si="4"/>
        <v>0</v>
      </c>
      <c r="K16" s="146"/>
      <c r="L16" s="146"/>
      <c r="M16" s="146"/>
    </row>
    <row r="17" spans="1:21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  <c r="Q17" s="112">
        <f>Q7/Q4</f>
        <v>-2.0123915965458202E-3</v>
      </c>
      <c r="R17" s="112">
        <f t="shared" ref="R17:U17" si="5">R7/R4</f>
        <v>-2.8524565220699096E-3</v>
      </c>
      <c r="S17" s="112">
        <f t="shared" si="5"/>
        <v>2.4198931909212211E-5</v>
      </c>
      <c r="T17" s="112">
        <f t="shared" si="5"/>
        <v>3.6239864929533535E-3</v>
      </c>
      <c r="U17" s="112">
        <f t="shared" si="5"/>
        <v>5.5385232744783307E-3</v>
      </c>
    </row>
    <row r="18" spans="1:21">
      <c r="A18" s="228" t="s">
        <v>12</v>
      </c>
      <c r="B18" s="212">
        <f>B2</f>
        <v>43070</v>
      </c>
      <c r="C18" s="136" t="s">
        <v>2</v>
      </c>
      <c r="D18" s="148"/>
      <c r="E18" s="148"/>
      <c r="F18" s="148"/>
      <c r="G18" s="148"/>
      <c r="H18" s="148"/>
      <c r="I18" s="148"/>
      <c r="J18" s="148">
        <v>158.1</v>
      </c>
      <c r="K18" s="148">
        <v>162.9</v>
      </c>
      <c r="L18" s="148">
        <v>169</v>
      </c>
      <c r="M18" s="148">
        <v>174.9</v>
      </c>
      <c r="N18" s="148">
        <v>180.6</v>
      </c>
      <c r="O18" s="190"/>
    </row>
    <row r="19" spans="1:21">
      <c r="A19" s="228"/>
      <c r="B19" s="211"/>
      <c r="C19" s="139" t="s">
        <v>0</v>
      </c>
      <c r="D19" s="149"/>
      <c r="E19" s="149"/>
      <c r="F19" s="149"/>
      <c r="G19" s="149"/>
      <c r="H19" s="149"/>
      <c r="I19" s="149"/>
      <c r="J19" s="149">
        <f>(I21*0.04)+I21</f>
        <v>159.12</v>
      </c>
      <c r="K19" s="149">
        <f>J19+(J19*0.03)</f>
        <v>163.89359999999999</v>
      </c>
      <c r="L19" s="149">
        <f>K19+(K19*0.02)</f>
        <v>167.17147199999999</v>
      </c>
      <c r="M19" s="149">
        <f>L19+(L19*0.01)</f>
        <v>168.84318672000001</v>
      </c>
      <c r="N19" s="149">
        <f>M19+(M19*0.01)</f>
        <v>170.5316185872</v>
      </c>
      <c r="O19" s="191"/>
    </row>
    <row r="20" spans="1:21">
      <c r="A20" s="228"/>
      <c r="B20" s="211"/>
      <c r="C20" s="141" t="s">
        <v>3</v>
      </c>
      <c r="D20" s="151"/>
      <c r="E20" s="151"/>
      <c r="F20" s="151"/>
      <c r="G20" s="151"/>
      <c r="H20" s="151"/>
      <c r="I20" s="151"/>
      <c r="J20" s="151">
        <v>158.5</v>
      </c>
      <c r="K20" s="151">
        <v>161.69999999999999</v>
      </c>
      <c r="L20" s="151">
        <v>164.9</v>
      </c>
      <c r="M20" s="151">
        <v>165</v>
      </c>
      <c r="N20" s="151">
        <v>165</v>
      </c>
      <c r="O20" s="191"/>
    </row>
    <row r="21" spans="1:21">
      <c r="A21" s="228"/>
      <c r="B21" s="211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153</v>
      </c>
      <c r="J21" s="153">
        <v>158</v>
      </c>
      <c r="K21" s="153">
        <v>162</v>
      </c>
      <c r="L21" s="153">
        <v>165</v>
      </c>
      <c r="M21" s="153">
        <v>168</v>
      </c>
      <c r="N21" s="153">
        <v>170</v>
      </c>
      <c r="O21" s="201"/>
    </row>
    <row r="22" spans="1:21">
      <c r="A22" s="228"/>
      <c r="B22" s="33">
        <f>B7</f>
        <v>42948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141.4</v>
      </c>
      <c r="H22" s="154">
        <v>146.69999999999999</v>
      </c>
      <c r="I22" s="154">
        <v>150</v>
      </c>
      <c r="J22" s="154">
        <v>153</v>
      </c>
      <c r="K22" s="154">
        <v>156</v>
      </c>
      <c r="L22" s="154">
        <v>159</v>
      </c>
      <c r="M22" s="154">
        <v>162</v>
      </c>
      <c r="N22" s="154">
        <v>165</v>
      </c>
      <c r="O22" s="191"/>
      <c r="P22" s="131"/>
      <c r="S22" s="131"/>
    </row>
    <row r="23" spans="1:21" hidden="1">
      <c r="A23" s="228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  <c r="O23" s="191"/>
    </row>
    <row r="24" spans="1:21" hidden="1">
      <c r="A24" s="228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  <c r="O24" s="191"/>
    </row>
    <row r="25" spans="1:21" hidden="1">
      <c r="A25" s="228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  <c r="O25" s="191"/>
    </row>
    <row r="26" spans="1:21" hidden="1">
      <c r="A26" s="228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  <c r="O26" s="192"/>
    </row>
    <row r="27" spans="1:21" hidden="1">
      <c r="A27" s="228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  <c r="O27" s="192"/>
    </row>
    <row r="28" spans="1:21">
      <c r="A28" s="228"/>
      <c r="B28" s="33">
        <f>B18</f>
        <v>43070</v>
      </c>
      <c r="C28" s="229" t="s">
        <v>16</v>
      </c>
      <c r="D28" s="230"/>
      <c r="E28" s="167">
        <f t="shared" ref="E28:N29" si="6">(E21-D21)/D21</f>
        <v>0.20049813200498143</v>
      </c>
      <c r="F28" s="167">
        <f>(F21-E21)/E21</f>
        <v>0.18153526970954356</v>
      </c>
      <c r="G28" s="167">
        <f t="shared" si="6"/>
        <v>0.24143985952589991</v>
      </c>
      <c r="H28" s="167">
        <f t="shared" si="6"/>
        <v>3.7482319660537361E-2</v>
      </c>
      <c r="I28" s="167">
        <f>(I21-H21)/H21</f>
        <v>4.2944785276073698E-2</v>
      </c>
      <c r="J28" s="167">
        <f>(J21-I21)/I21</f>
        <v>3.2679738562091505E-2</v>
      </c>
      <c r="K28" s="167">
        <f t="shared" si="6"/>
        <v>2.5316455696202531E-2</v>
      </c>
      <c r="L28" s="167">
        <f>(L21-K21)/K21</f>
        <v>1.8518518518518517E-2</v>
      </c>
      <c r="M28" s="167">
        <f>(M21-L21)/L21</f>
        <v>1.8181818181818181E-2</v>
      </c>
      <c r="N28" s="167">
        <f>(N21-M21)/M21</f>
        <v>1.1904761904761904E-2</v>
      </c>
      <c r="O28" s="193"/>
    </row>
    <row r="29" spans="1:21">
      <c r="A29" s="228"/>
      <c r="B29" s="33">
        <f>B7</f>
        <v>42948</v>
      </c>
      <c r="C29" s="231" t="s">
        <v>16</v>
      </c>
      <c r="D29" s="232"/>
      <c r="E29" s="168">
        <f>(E22-D22)/D22</f>
        <v>0.20049813200498143</v>
      </c>
      <c r="F29" s="168">
        <f t="shared" ref="F29:N30" si="7">(F22-E22)/E22</f>
        <v>0.18153526970954356</v>
      </c>
      <c r="G29" s="168">
        <f>(G22-F22)/F22</f>
        <v>0.24143985952589991</v>
      </c>
      <c r="H29" s="168">
        <f t="shared" si="6"/>
        <v>3.7482319660537361E-2</v>
      </c>
      <c r="I29" s="168">
        <f>(I22-H22)/H22</f>
        <v>2.2494887525562453E-2</v>
      </c>
      <c r="J29" s="168">
        <f t="shared" si="6"/>
        <v>0.02</v>
      </c>
      <c r="K29" s="168">
        <f>(K22-J22)/J22</f>
        <v>1.9607843137254902E-2</v>
      </c>
      <c r="L29" s="168">
        <f t="shared" si="6"/>
        <v>1.9230769230769232E-2</v>
      </c>
      <c r="M29" s="168">
        <f t="shared" si="6"/>
        <v>1.8867924528301886E-2</v>
      </c>
      <c r="N29" s="168">
        <f t="shared" si="6"/>
        <v>1.8518518518518517E-2</v>
      </c>
      <c r="O29" s="194"/>
      <c r="P29" s="127"/>
    </row>
    <row r="30" spans="1:21" hidden="1">
      <c r="A30" s="228"/>
      <c r="B30" s="33">
        <v>41974</v>
      </c>
      <c r="C30" s="231" t="s">
        <v>16</v>
      </c>
      <c r="D30" s="232"/>
      <c r="E30" s="147">
        <f>(E23-D23)/D23</f>
        <v>0.20049813200498143</v>
      </c>
      <c r="F30" s="147">
        <f t="shared" si="7"/>
        <v>0.17634854771784231</v>
      </c>
      <c r="G30" s="147">
        <f t="shared" si="7"/>
        <v>7.5837742504409111E-2</v>
      </c>
      <c r="H30" s="147">
        <f t="shared" si="7"/>
        <v>4.0983606557377046E-2</v>
      </c>
      <c r="I30" s="147">
        <f t="shared" si="7"/>
        <v>3.1496062992125984E-2</v>
      </c>
      <c r="J30" s="147">
        <f t="shared" si="7"/>
        <v>1.5267175572519083E-2</v>
      </c>
      <c r="K30" s="147">
        <f t="shared" si="7"/>
        <v>1.5037593984962405E-2</v>
      </c>
      <c r="L30" s="147">
        <f t="shared" si="7"/>
        <v>-1</v>
      </c>
      <c r="M30" s="147" t="e">
        <f t="shared" si="7"/>
        <v>#DIV/0!</v>
      </c>
      <c r="N30" s="147" t="e">
        <f t="shared" si="7"/>
        <v>#DIV/0!</v>
      </c>
      <c r="O30" s="195"/>
    </row>
    <row r="31" spans="1:21" hidden="1">
      <c r="A31" s="228"/>
      <c r="B31" s="33">
        <v>41499</v>
      </c>
      <c r="C31" s="229" t="s">
        <v>16</v>
      </c>
      <c r="D31" s="230"/>
      <c r="E31" s="146">
        <f t="shared" ref="E31:J31" si="8">(E25-D25)/D25</f>
        <v>0.12401648557512186</v>
      </c>
      <c r="F31" s="146">
        <f t="shared" si="8"/>
        <v>3.3333333333333333E-2</v>
      </c>
      <c r="G31" s="146">
        <f t="shared" si="8"/>
        <v>4.3010752688172046E-2</v>
      </c>
      <c r="H31" s="146">
        <f t="shared" si="8"/>
        <v>3.0927835051546393E-2</v>
      </c>
      <c r="I31" s="146">
        <f t="shared" si="8"/>
        <v>0.01</v>
      </c>
      <c r="J31" s="146">
        <f t="shared" si="8"/>
        <v>9.9009900990099011E-3</v>
      </c>
      <c r="K31" s="146"/>
      <c r="L31" s="146"/>
      <c r="M31" s="146"/>
      <c r="N31" s="146"/>
      <c r="O31" s="174"/>
    </row>
    <row r="32" spans="1:21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  <c r="O32" s="196"/>
    </row>
    <row r="33" spans="1:17">
      <c r="A33" s="237" t="s">
        <v>18</v>
      </c>
      <c r="B33" s="239">
        <f>B2</f>
        <v>43070</v>
      </c>
      <c r="C33" s="134" t="s">
        <v>4</v>
      </c>
      <c r="D33" s="135"/>
      <c r="E33" s="135"/>
      <c r="F33" s="135"/>
      <c r="G33" s="135"/>
      <c r="H33" s="135"/>
      <c r="I33" s="135"/>
      <c r="J33" s="135">
        <v>3.23</v>
      </c>
      <c r="K33" s="135">
        <v>3.26</v>
      </c>
      <c r="L33" s="135">
        <v>3.3</v>
      </c>
      <c r="M33" s="135">
        <v>3.23</v>
      </c>
      <c r="N33" s="135">
        <v>3.29</v>
      </c>
      <c r="O33" s="188"/>
    </row>
    <row r="34" spans="1:17" ht="15" customHeight="1">
      <c r="A34" s="238"/>
      <c r="B34" s="240"/>
      <c r="C34" s="136" t="s">
        <v>2</v>
      </c>
      <c r="D34" s="159"/>
      <c r="E34" s="159"/>
      <c r="F34" s="159"/>
      <c r="G34" s="159"/>
      <c r="H34" s="159"/>
      <c r="I34" s="159"/>
      <c r="J34" s="159"/>
      <c r="K34" s="159"/>
      <c r="L34" s="159">
        <v>3.37</v>
      </c>
      <c r="M34" s="159">
        <v>3.33</v>
      </c>
      <c r="N34" s="159">
        <v>3.32</v>
      </c>
      <c r="O34" s="197"/>
    </row>
    <row r="35" spans="1:17">
      <c r="A35" s="238"/>
      <c r="B35" s="240"/>
      <c r="C35" s="139" t="s">
        <v>0</v>
      </c>
      <c r="D35" s="140"/>
      <c r="E35" s="140"/>
      <c r="F35" s="140"/>
      <c r="G35" s="140"/>
      <c r="H35" s="140"/>
      <c r="I35" s="140"/>
      <c r="J35" s="140">
        <v>3.3</v>
      </c>
      <c r="K35" s="140">
        <v>3.25</v>
      </c>
      <c r="L35" s="140">
        <v>3.1</v>
      </c>
      <c r="M35" s="140">
        <v>3.1</v>
      </c>
      <c r="N35" s="140">
        <v>3.1</v>
      </c>
      <c r="O35" s="188"/>
    </row>
    <row r="36" spans="1:17">
      <c r="A36" s="238"/>
      <c r="B36" s="240"/>
      <c r="C36" s="141" t="s">
        <v>3</v>
      </c>
      <c r="D36" s="142"/>
      <c r="E36" s="142"/>
      <c r="F36" s="142"/>
      <c r="G36" s="142"/>
      <c r="H36" s="142"/>
      <c r="I36" s="142"/>
      <c r="J36" s="142">
        <v>3.2</v>
      </c>
      <c r="K36" s="142">
        <v>3.24</v>
      </c>
      <c r="L36" s="142">
        <v>3.24</v>
      </c>
      <c r="M36" s="142">
        <v>3.19</v>
      </c>
      <c r="N36" s="142">
        <v>3.26</v>
      </c>
      <c r="O36" s="188"/>
    </row>
    <row r="37" spans="1:17">
      <c r="A37" s="238"/>
      <c r="B37" s="241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v>3.26</v>
      </c>
      <c r="J37" s="144">
        <v>3.25</v>
      </c>
      <c r="K37" s="144">
        <f t="shared" ref="K37:L37" si="9">+AVERAGE(K33:K36)</f>
        <v>3.25</v>
      </c>
      <c r="L37" s="144">
        <f t="shared" si="9"/>
        <v>3.2524999999999999</v>
      </c>
      <c r="M37" s="144">
        <v>3.2</v>
      </c>
      <c r="N37" s="144">
        <v>3.2</v>
      </c>
      <c r="O37" s="200"/>
    </row>
    <row r="38" spans="1:17">
      <c r="A38" s="238"/>
      <c r="B38" s="33">
        <f>B7</f>
        <v>42948</v>
      </c>
      <c r="C38" s="133" t="s">
        <v>1</v>
      </c>
      <c r="D38" s="138">
        <v>5.01</v>
      </c>
      <c r="E38" s="138">
        <v>4.38</v>
      </c>
      <c r="F38" s="138">
        <v>5.14</v>
      </c>
      <c r="G38" s="138">
        <v>3.78</v>
      </c>
      <c r="H38" s="138">
        <v>2.42</v>
      </c>
      <c r="I38" s="138">
        <v>3.27</v>
      </c>
      <c r="J38" s="138">
        <v>3.3</v>
      </c>
      <c r="K38" s="138">
        <v>3.2</v>
      </c>
      <c r="L38" s="138">
        <v>3.1</v>
      </c>
      <c r="M38" s="138">
        <v>3.1</v>
      </c>
      <c r="N38" s="138">
        <v>3.1</v>
      </c>
      <c r="O38" s="188"/>
      <c r="P38" s="112"/>
      <c r="Q38" s="112"/>
    </row>
    <row r="39" spans="1:17" ht="15" hidden="1" customHeight="1">
      <c r="A39" s="204"/>
      <c r="B39" s="33">
        <v>41974</v>
      </c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7" ht="15" hidden="1" customHeight="1">
      <c r="A40" s="204"/>
      <c r="B40" s="33">
        <v>41852</v>
      </c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7" ht="15" hidden="1" customHeight="1">
      <c r="A41" s="204"/>
      <c r="B41" s="33">
        <v>41499</v>
      </c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7" ht="15" hidden="1" customHeight="1">
      <c r="A42" s="204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7" ht="15" hidden="1" customHeight="1">
      <c r="A43" s="204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7" ht="15" hidden="1" customHeight="1">
      <c r="A44" s="204"/>
      <c r="B44" s="33">
        <v>42217</v>
      </c>
      <c r="C44" s="229" t="s">
        <v>16</v>
      </c>
      <c r="D44" s="230"/>
      <c r="E44" s="146">
        <f t="shared" ref="E44:M46" si="10">(E37-D37)/D37</f>
        <v>-0.12574850299401197</v>
      </c>
      <c r="F44" s="146">
        <f t="shared" si="10"/>
        <v>0.17351598173515978</v>
      </c>
      <c r="G44" s="146">
        <f t="shared" si="10"/>
        <v>-0.26459143968871596</v>
      </c>
      <c r="H44" s="146">
        <f t="shared" si="10"/>
        <v>-0.35978835978835977</v>
      </c>
      <c r="I44" s="146">
        <f t="shared" si="10"/>
        <v>0.34710743801652888</v>
      </c>
      <c r="J44" s="146">
        <f t="shared" si="10"/>
        <v>-3.0674846625766221E-3</v>
      </c>
      <c r="K44" s="146">
        <f t="shared" si="10"/>
        <v>0</v>
      </c>
      <c r="L44" s="146">
        <f t="shared" si="10"/>
        <v>7.6923076923075286E-4</v>
      </c>
      <c r="M44" s="146">
        <f t="shared" si="10"/>
        <v>-1.6141429669484942E-2</v>
      </c>
    </row>
    <row r="45" spans="1:17" ht="15" hidden="1" customHeight="1">
      <c r="A45" s="204"/>
      <c r="B45" s="33">
        <f>B29</f>
        <v>42948</v>
      </c>
      <c r="C45" s="231" t="s">
        <v>16</v>
      </c>
      <c r="D45" s="232"/>
      <c r="E45" s="147">
        <f t="shared" si="10"/>
        <v>-0.12574850299401197</v>
      </c>
      <c r="F45" s="147">
        <f t="shared" si="10"/>
        <v>0.17351598173515978</v>
      </c>
      <c r="G45" s="147">
        <f t="shared" si="10"/>
        <v>-0.26459143968871596</v>
      </c>
      <c r="H45" s="147">
        <f t="shared" si="10"/>
        <v>-0.35978835978835977</v>
      </c>
      <c r="I45" s="147">
        <f t="shared" si="10"/>
        <v>0.35123966942148765</v>
      </c>
      <c r="J45" s="147">
        <f t="shared" si="10"/>
        <v>9.1743119266054444E-3</v>
      </c>
      <c r="K45" s="147">
        <f t="shared" si="10"/>
        <v>-3.0303030303030196E-2</v>
      </c>
      <c r="L45" s="147"/>
      <c r="M45" s="147"/>
    </row>
    <row r="46" spans="1:17" ht="15" hidden="1" customHeight="1">
      <c r="A46" s="204"/>
      <c r="B46" s="33">
        <v>41974</v>
      </c>
      <c r="C46" s="231" t="s">
        <v>16</v>
      </c>
      <c r="D46" s="232"/>
      <c r="E46" s="147">
        <f t="shared" si="10"/>
        <v>-0.12574850299401197</v>
      </c>
      <c r="F46" s="147">
        <f t="shared" si="10"/>
        <v>0.17123287671232876</v>
      </c>
      <c r="G46" s="147">
        <f t="shared" si="10"/>
        <v>-4.4834307992202643E-2</v>
      </c>
      <c r="H46" s="147">
        <f t="shared" si="10"/>
        <v>0</v>
      </c>
      <c r="I46" s="147">
        <f t="shared" si="10"/>
        <v>1.0204081632653024E-2</v>
      </c>
      <c r="J46" s="147">
        <f t="shared" si="10"/>
        <v>3.0303030303030193E-2</v>
      </c>
      <c r="K46" s="147">
        <f t="shared" si="10"/>
        <v>1.9607843137255009E-2</v>
      </c>
      <c r="L46" s="147">
        <f t="shared" si="10"/>
        <v>-1</v>
      </c>
      <c r="M46" s="147" t="e">
        <f t="shared" si="10"/>
        <v>#DIV/0!</v>
      </c>
    </row>
    <row r="47" spans="1:17" ht="15" hidden="1" customHeight="1">
      <c r="A47" s="205"/>
      <c r="B47" s="33">
        <v>41499</v>
      </c>
      <c r="C47" s="229" t="s">
        <v>16</v>
      </c>
      <c r="D47" s="230"/>
      <c r="E47" s="146">
        <f t="shared" ref="E47:J47" si="11">(E41-D41)/D41</f>
        <v>-0.1</v>
      </c>
      <c r="F47" s="146">
        <f t="shared" si="11"/>
        <v>0.1111111111111111</v>
      </c>
      <c r="G47" s="146">
        <f t="shared" si="11"/>
        <v>8.0000000000000071E-2</v>
      </c>
      <c r="H47" s="146">
        <f t="shared" si="11"/>
        <v>1.8518518518518452E-2</v>
      </c>
      <c r="I47" s="146">
        <f t="shared" si="11"/>
        <v>0</v>
      </c>
      <c r="J47" s="146">
        <f t="shared" si="11"/>
        <v>0</v>
      </c>
      <c r="K47" s="146"/>
      <c r="L47" s="146"/>
      <c r="M47" s="146"/>
    </row>
    <row r="48" spans="1:17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7">
      <c r="A49" s="220" t="s">
        <v>19</v>
      </c>
      <c r="B49" s="212">
        <f>B2</f>
        <v>43070</v>
      </c>
      <c r="C49" s="136" t="s">
        <v>2</v>
      </c>
      <c r="D49" s="160"/>
      <c r="E49" s="161"/>
      <c r="F49" s="161"/>
      <c r="G49" s="161"/>
      <c r="H49" s="161"/>
      <c r="I49" s="161"/>
      <c r="J49" s="161">
        <v>1231</v>
      </c>
      <c r="K49" s="161">
        <v>1228</v>
      </c>
      <c r="L49" s="161">
        <v>1225</v>
      </c>
      <c r="M49" s="161">
        <v>1222</v>
      </c>
      <c r="N49" s="161">
        <v>1220</v>
      </c>
      <c r="O49" s="202"/>
    </row>
    <row r="50" spans="1:17">
      <c r="A50" s="221"/>
      <c r="B50" s="211"/>
      <c r="C50" s="139" t="s">
        <v>0</v>
      </c>
      <c r="D50" s="162"/>
      <c r="E50" s="162"/>
      <c r="F50" s="162"/>
      <c r="G50" s="162"/>
      <c r="H50" s="162"/>
      <c r="I50" s="162"/>
      <c r="J50" s="162">
        <f>I52+(I52*0.015)</f>
        <v>1238.3</v>
      </c>
      <c r="K50" s="162">
        <f>J50*(1-0.04)</f>
        <v>1188.7679999999998</v>
      </c>
      <c r="L50" s="162">
        <f>K50*(1-0.027)</f>
        <v>1156.6712639999998</v>
      </c>
      <c r="M50" s="162">
        <f>L50*(1-0.028)</f>
        <v>1124.2844686079998</v>
      </c>
      <c r="N50" s="162">
        <f>M50*(1-0.028)</f>
        <v>1092.8045034869758</v>
      </c>
      <c r="O50" s="198"/>
      <c r="P50" s="112"/>
    </row>
    <row r="51" spans="1:17">
      <c r="A51" s="221"/>
      <c r="B51" s="211"/>
      <c r="C51" s="141" t="s">
        <v>3</v>
      </c>
      <c r="D51" s="163"/>
      <c r="E51" s="163"/>
      <c r="F51" s="163"/>
      <c r="G51" s="163"/>
      <c r="H51" s="163"/>
      <c r="I51" s="163"/>
      <c r="J51" s="163">
        <v>1219.8</v>
      </c>
      <c r="K51" s="163">
        <v>1219.8</v>
      </c>
      <c r="L51" s="163">
        <v>1219.8</v>
      </c>
      <c r="M51" s="163">
        <v>1219.8</v>
      </c>
      <c r="N51" s="163">
        <v>1219.8</v>
      </c>
      <c r="O51" s="198"/>
    </row>
    <row r="52" spans="1:17">
      <c r="A52" s="221"/>
      <c r="B52" s="211"/>
      <c r="C52" s="143" t="s">
        <v>1</v>
      </c>
      <c r="D52" s="164">
        <v>1227</v>
      </c>
      <c r="E52" s="164">
        <v>1177.5</v>
      </c>
      <c r="F52" s="164">
        <v>1184.7</v>
      </c>
      <c r="G52" s="164">
        <v>1184.8</v>
      </c>
      <c r="H52" s="164">
        <v>1175</v>
      </c>
      <c r="I52" s="164">
        <v>1220</v>
      </c>
      <c r="J52" s="164">
        <f>(+AVERAGE(J49:J51))</f>
        <v>1229.7</v>
      </c>
      <c r="K52" s="164">
        <v>1220</v>
      </c>
      <c r="L52" s="164">
        <f t="shared" ref="L52" si="12">(+AVERAGE(L49:L51))</f>
        <v>1200.4904213333332</v>
      </c>
      <c r="M52" s="164">
        <v>1190</v>
      </c>
      <c r="N52" s="164">
        <v>1180</v>
      </c>
      <c r="O52" s="203"/>
    </row>
    <row r="53" spans="1:17">
      <c r="A53" s="221"/>
      <c r="B53" s="33">
        <f>B38</f>
        <v>42948</v>
      </c>
      <c r="C53" s="133" t="s">
        <v>1</v>
      </c>
      <c r="D53" s="160">
        <v>1227</v>
      </c>
      <c r="E53" s="160">
        <v>1177.5</v>
      </c>
      <c r="F53" s="160">
        <v>1184.7</v>
      </c>
      <c r="G53" s="160">
        <v>1184.8</v>
      </c>
      <c r="H53" s="160">
        <v>1175</v>
      </c>
      <c r="I53" s="160">
        <v>1210</v>
      </c>
      <c r="J53" s="160">
        <v>1210</v>
      </c>
      <c r="K53" s="160">
        <v>1210</v>
      </c>
      <c r="L53" s="160">
        <v>1210</v>
      </c>
      <c r="M53" s="160">
        <v>1210</v>
      </c>
      <c r="N53" s="160">
        <v>1210</v>
      </c>
      <c r="O53" s="198"/>
      <c r="P53" s="112"/>
      <c r="Q53" s="112"/>
    </row>
    <row r="54" spans="1:17" hidden="1">
      <c r="A54" s="221"/>
      <c r="B54" s="33">
        <v>41974</v>
      </c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  <c r="O54" s="198"/>
    </row>
    <row r="55" spans="1:17" hidden="1">
      <c r="A55" s="221"/>
      <c r="B55" s="33">
        <v>41852</v>
      </c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  <c r="O55" s="198"/>
    </row>
    <row r="56" spans="1:17" hidden="1">
      <c r="A56" s="221"/>
      <c r="B56" s="33">
        <v>41499</v>
      </c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  <c r="O56" s="199"/>
    </row>
    <row r="57" spans="1:17" hidden="1">
      <c r="A57" s="221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  <c r="O57" s="199"/>
    </row>
    <row r="58" spans="1:17" hidden="1">
      <c r="A58" s="221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  <c r="O58" s="199"/>
    </row>
    <row r="59" spans="1:17">
      <c r="A59" s="221"/>
      <c r="B59" s="33">
        <f>B49</f>
        <v>43070</v>
      </c>
      <c r="C59" s="229" t="s">
        <v>16</v>
      </c>
      <c r="D59" s="230"/>
      <c r="E59" s="167">
        <f t="shared" ref="E59:N61" si="13">(E52-D52)/D52</f>
        <v>-4.0342298288508556E-2</v>
      </c>
      <c r="F59" s="167">
        <f t="shared" si="13"/>
        <v>6.1146496815287013E-3</v>
      </c>
      <c r="G59" s="167">
        <f>(G52-F52)/F52</f>
        <v>8.4409555161567526E-5</v>
      </c>
      <c r="H59" s="167">
        <f t="shared" si="13"/>
        <v>-8.2714382174206239E-3</v>
      </c>
      <c r="I59" s="167">
        <f t="shared" si="13"/>
        <v>3.8297872340425532E-2</v>
      </c>
      <c r="J59" s="167">
        <f t="shared" si="13"/>
        <v>7.9508196721311854E-3</v>
      </c>
      <c r="K59" s="167">
        <f t="shared" si="13"/>
        <v>-7.8881027892982389E-3</v>
      </c>
      <c r="L59" s="167">
        <f t="shared" si="13"/>
        <v>-1.5991457923497387E-2</v>
      </c>
      <c r="M59" s="167">
        <f t="shared" si="13"/>
        <v>-8.7384465106201577E-3</v>
      </c>
      <c r="N59" s="167">
        <f t="shared" si="13"/>
        <v>-8.4033613445378148E-3</v>
      </c>
      <c r="O59" s="193"/>
    </row>
    <row r="60" spans="1:17">
      <c r="A60" s="221"/>
      <c r="B60" s="33">
        <f>B45</f>
        <v>42948</v>
      </c>
      <c r="C60" s="231" t="s">
        <v>16</v>
      </c>
      <c r="D60" s="232"/>
      <c r="E60" s="168">
        <f>(E53-D53)/D53</f>
        <v>-4.0342298288508556E-2</v>
      </c>
      <c r="F60" s="168">
        <f t="shared" si="13"/>
        <v>6.1146496815287013E-3</v>
      </c>
      <c r="G60" s="168">
        <f>(G53-F53)/F53</f>
        <v>8.4409555161567526E-5</v>
      </c>
      <c r="H60" s="168">
        <f t="shared" si="13"/>
        <v>-8.2714382174206239E-3</v>
      </c>
      <c r="I60" s="168">
        <f t="shared" si="13"/>
        <v>2.9787234042553193E-2</v>
      </c>
      <c r="J60" s="168">
        <f t="shared" si="13"/>
        <v>0</v>
      </c>
      <c r="K60" s="168">
        <f t="shared" si="13"/>
        <v>0</v>
      </c>
      <c r="L60" s="168">
        <f t="shared" si="13"/>
        <v>0</v>
      </c>
      <c r="M60" s="168">
        <f t="shared" si="13"/>
        <v>0</v>
      </c>
      <c r="N60" s="168">
        <f t="shared" si="13"/>
        <v>0</v>
      </c>
      <c r="O60" s="194"/>
    </row>
    <row r="61" spans="1:17" hidden="1">
      <c r="A61" s="221"/>
      <c r="B61" s="33">
        <v>41974</v>
      </c>
      <c r="C61" s="231" t="s">
        <v>16</v>
      </c>
      <c r="D61" s="232"/>
      <c r="E61" s="147">
        <f>(E54-D54)/D54</f>
        <v>-4.0342298288508556E-2</v>
      </c>
      <c r="F61" s="147">
        <f t="shared" si="13"/>
        <v>8.3227176220806408E-3</v>
      </c>
      <c r="G61" s="147">
        <f t="shared" si="13"/>
        <v>-5.3061568264128316E-3</v>
      </c>
      <c r="H61" s="147">
        <f t="shared" si="13"/>
        <v>-2.6248941574936496E-2</v>
      </c>
      <c r="I61" s="147">
        <f t="shared" si="13"/>
        <v>-2.782608695652174E-2</v>
      </c>
      <c r="J61" s="147">
        <f t="shared" si="13"/>
        <v>-2.6833631484794274E-2</v>
      </c>
      <c r="K61" s="147">
        <f t="shared" si="13"/>
        <v>-3.3088235294117647E-2</v>
      </c>
      <c r="L61" s="147">
        <f t="shared" si="13"/>
        <v>-1</v>
      </c>
      <c r="M61" s="147" t="e">
        <f t="shared" si="13"/>
        <v>#DIV/0!</v>
      </c>
    </row>
    <row r="62" spans="1:17" hidden="1">
      <c r="A62" s="222"/>
      <c r="B62" s="33">
        <v>41499</v>
      </c>
      <c r="C62" s="229" t="s">
        <v>16</v>
      </c>
      <c r="D62" s="230"/>
      <c r="E62" s="146">
        <f t="shared" ref="E62:J62" si="14">(E56-D56)/D56</f>
        <v>-4.9639025981971625E-2</v>
      </c>
      <c r="F62" s="146">
        <f t="shared" si="14"/>
        <v>-4.7210300429184553E-2</v>
      </c>
      <c r="G62" s="146">
        <f t="shared" si="14"/>
        <v>-3.6036036036036036E-2</v>
      </c>
      <c r="H62" s="146">
        <f t="shared" si="14"/>
        <v>-3.7383177570093455E-2</v>
      </c>
      <c r="I62" s="146">
        <f t="shared" si="14"/>
        <v>-2.9126213592233011E-2</v>
      </c>
      <c r="J62" s="146">
        <f t="shared" si="14"/>
        <v>-0.04</v>
      </c>
      <c r="K62" s="146"/>
      <c r="L62" s="146"/>
      <c r="M62" s="146"/>
    </row>
    <row r="63" spans="1:17">
      <c r="A63" s="108"/>
      <c r="B63" s="13"/>
      <c r="F63" s="112"/>
      <c r="G63" s="112"/>
      <c r="H63" s="112"/>
      <c r="I63" s="112"/>
      <c r="J63" s="112"/>
      <c r="K63" s="112"/>
      <c r="L63" s="112"/>
      <c r="M63" s="112"/>
    </row>
    <row r="64" spans="1:17">
      <c r="A64" s="9"/>
      <c r="B64" s="13"/>
      <c r="E64" s="94"/>
      <c r="F64" s="94"/>
      <c r="G64" s="112"/>
      <c r="H64" s="112"/>
      <c r="I64" s="112"/>
      <c r="J64" s="112"/>
      <c r="K64" s="112"/>
      <c r="L64" s="112"/>
      <c r="M64" s="112"/>
    </row>
    <row r="65" spans="1:13">
      <c r="A65" s="9"/>
      <c r="B65" s="13"/>
      <c r="E65" s="94"/>
      <c r="F65" s="94"/>
      <c r="G65" s="94"/>
      <c r="H65" s="112"/>
      <c r="I65" s="112"/>
      <c r="J65" s="112"/>
      <c r="K65" s="112"/>
      <c r="L65" s="112"/>
      <c r="M65" s="112"/>
    </row>
    <row r="66" spans="1:13">
      <c r="A66" s="9"/>
      <c r="B66" s="13"/>
    </row>
    <row r="67" spans="1:13">
      <c r="A67" s="9"/>
      <c r="B67" s="13"/>
    </row>
    <row r="68" spans="1:13">
      <c r="A68" s="9"/>
      <c r="B68" s="13"/>
    </row>
    <row r="69" spans="1:13">
      <c r="A69" s="9"/>
      <c r="B69" s="13"/>
    </row>
    <row r="70" spans="1:13">
      <c r="A70" s="9"/>
      <c r="B70" s="13"/>
    </row>
    <row r="71" spans="1:13">
      <c r="A71" s="9"/>
      <c r="B71" s="13"/>
    </row>
    <row r="72" spans="1:13">
      <c r="A72" s="9"/>
      <c r="B72" s="13"/>
    </row>
    <row r="73" spans="1:13">
      <c r="A73" s="9"/>
      <c r="B73" s="13"/>
    </row>
  </sheetData>
  <mergeCells count="25">
    <mergeCell ref="A2:A16"/>
    <mergeCell ref="B2:B6"/>
    <mergeCell ref="B7:B11"/>
    <mergeCell ref="C13:D13"/>
    <mergeCell ref="C14:D14"/>
    <mergeCell ref="C15:D15"/>
    <mergeCell ref="C16:D16"/>
    <mergeCell ref="A18:A31"/>
    <mergeCell ref="B18:B21"/>
    <mergeCell ref="C28:D28"/>
    <mergeCell ref="C29:D29"/>
    <mergeCell ref="C30:D30"/>
    <mergeCell ref="C31:D31"/>
    <mergeCell ref="C44:D44"/>
    <mergeCell ref="C45:D45"/>
    <mergeCell ref="C46:D46"/>
    <mergeCell ref="C47:D47"/>
    <mergeCell ref="A33:A38"/>
    <mergeCell ref="B33:B37"/>
    <mergeCell ref="A49:A62"/>
    <mergeCell ref="B49:B52"/>
    <mergeCell ref="C59:D59"/>
    <mergeCell ref="C60:D60"/>
    <mergeCell ref="C61:D61"/>
    <mergeCell ref="C62:D62"/>
  </mergeCells>
  <pageMargins left="0.5" right="0.17" top="0.63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Y73"/>
  <sheetViews>
    <sheetView zoomScale="120" zoomScaleNormal="120" workbookViewId="0">
      <pane ySplit="1" topLeftCell="A2" activePane="bottomLeft" state="frozen"/>
      <selection pane="bottomLeft" activeCell="J34" sqref="J34"/>
    </sheetView>
  </sheetViews>
  <sheetFormatPr defaultColWidth="9.140625" defaultRowHeight="15"/>
  <cols>
    <col min="1" max="1" width="9.42578125" customWidth="1"/>
    <col min="2" max="2" width="7.5703125" bestFit="1" customWidth="1"/>
    <col min="3" max="3" width="8" customWidth="1"/>
    <col min="4" max="9" width="7.5703125" customWidth="1"/>
    <col min="10" max="15" width="9" customWidth="1"/>
    <col min="17" max="17" width="14.42578125" customWidth="1"/>
    <col min="18" max="22" width="9.85546875" bestFit="1" customWidth="1"/>
  </cols>
  <sheetData>
    <row r="1" spans="1:25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79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87"/>
    </row>
    <row r="2" spans="1:25">
      <c r="A2" s="225" t="s">
        <v>10</v>
      </c>
      <c r="B2" s="212">
        <v>43313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>
        <v>54.4</v>
      </c>
      <c r="K2" s="135">
        <v>56.52</v>
      </c>
      <c r="L2" s="135">
        <v>59.05</v>
      </c>
      <c r="M2" s="135">
        <v>60.72</v>
      </c>
      <c r="N2" s="135">
        <v>59.19</v>
      </c>
      <c r="O2" s="135">
        <v>59.04</v>
      </c>
      <c r="P2" s="188"/>
      <c r="Q2" t="s">
        <v>28</v>
      </c>
      <c r="R2" t="s">
        <v>29</v>
      </c>
      <c r="S2" t="s">
        <v>68</v>
      </c>
      <c r="T2" t="s">
        <v>69</v>
      </c>
      <c r="U2" t="s">
        <v>70</v>
      </c>
      <c r="V2" t="s">
        <v>71</v>
      </c>
      <c r="W2" t="s">
        <v>78</v>
      </c>
    </row>
    <row r="3" spans="1:25">
      <c r="A3" s="226"/>
      <c r="B3" s="211"/>
      <c r="C3" s="136" t="s">
        <v>2</v>
      </c>
      <c r="D3" s="137"/>
      <c r="E3" s="138"/>
      <c r="F3" s="138"/>
      <c r="G3" s="138"/>
      <c r="H3" s="138"/>
      <c r="I3" s="138">
        <v>44.76</v>
      </c>
      <c r="J3" s="138">
        <v>54.62</v>
      </c>
      <c r="K3" s="138">
        <v>56.43</v>
      </c>
      <c r="L3" s="138">
        <v>56.22</v>
      </c>
      <c r="M3" s="138">
        <v>61.11</v>
      </c>
      <c r="N3" s="138">
        <v>60.91</v>
      </c>
      <c r="O3" s="138">
        <v>61.15</v>
      </c>
      <c r="P3" s="188"/>
      <c r="Q3" t="s">
        <v>72</v>
      </c>
    </row>
    <row r="4" spans="1:25">
      <c r="A4" s="226"/>
      <c r="B4" s="211"/>
      <c r="C4" s="139" t="s">
        <v>0</v>
      </c>
      <c r="D4" s="140"/>
      <c r="E4" s="140"/>
      <c r="F4" s="140"/>
      <c r="G4" s="140"/>
      <c r="H4" s="140"/>
      <c r="I4" s="140">
        <v>44.75</v>
      </c>
      <c r="J4" s="140">
        <v>54.3</v>
      </c>
      <c r="K4" s="140">
        <v>55</v>
      </c>
      <c r="L4" s="140">
        <v>55</v>
      </c>
      <c r="M4" s="140">
        <v>55</v>
      </c>
      <c r="N4" s="140">
        <v>55</v>
      </c>
      <c r="O4" s="140">
        <v>55</v>
      </c>
      <c r="P4" s="189"/>
      <c r="Q4" s="185">
        <f t="shared" ref="Q4:W4" si="0">(H6*H21)+(H37*H52)</f>
        <v>8396.0949999999993</v>
      </c>
      <c r="R4" s="185">
        <f t="shared" si="0"/>
        <v>10833.396875</v>
      </c>
      <c r="S4" s="185">
        <f t="shared" si="0"/>
        <v>15214.098083333331</v>
      </c>
      <c r="T4" s="185">
        <f t="shared" si="0"/>
        <v>17999.86</v>
      </c>
      <c r="U4" s="185">
        <f t="shared" si="0"/>
        <v>19564.589250000001</v>
      </c>
      <c r="V4" s="185">
        <f t="shared" si="0"/>
        <v>20959.871834999998</v>
      </c>
      <c r="W4" s="185">
        <f t="shared" si="0"/>
        <v>22034.964232949998</v>
      </c>
    </row>
    <row r="5" spans="1:25">
      <c r="A5" s="226"/>
      <c r="B5" s="211"/>
      <c r="C5" s="141" t="s">
        <v>3</v>
      </c>
      <c r="D5" s="142"/>
      <c r="E5" s="142"/>
      <c r="F5" s="142"/>
      <c r="G5" s="142"/>
      <c r="H5" s="142"/>
      <c r="I5" s="142">
        <v>44.39</v>
      </c>
      <c r="J5" s="142">
        <v>54.25</v>
      </c>
      <c r="K5" s="142">
        <v>56.05</v>
      </c>
      <c r="L5" s="142">
        <v>59.13</v>
      </c>
      <c r="M5" s="142">
        <v>59.8</v>
      </c>
      <c r="N5" s="142">
        <v>60.05</v>
      </c>
      <c r="O5" s="142">
        <v>60.94</v>
      </c>
      <c r="P5" s="188"/>
    </row>
    <row r="6" spans="1:25">
      <c r="A6" s="226"/>
      <c r="B6" s="211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:J6" si="1">+AVERAGE(I2:I5)</f>
        <v>44.66</v>
      </c>
      <c r="J6" s="144">
        <f t="shared" si="1"/>
        <v>54.392499999999998</v>
      </c>
      <c r="K6" s="144">
        <v>56</v>
      </c>
      <c r="L6" s="144">
        <v>57</v>
      </c>
      <c r="M6" s="144">
        <v>59</v>
      </c>
      <c r="N6" s="144">
        <v>59</v>
      </c>
      <c r="O6" s="144">
        <v>59</v>
      </c>
      <c r="P6" s="200"/>
      <c r="Q6" t="s">
        <v>30</v>
      </c>
      <c r="Y6" s="93"/>
    </row>
    <row r="7" spans="1:25">
      <c r="A7" s="226"/>
      <c r="B7" s="212">
        <v>43070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60.67</v>
      </c>
      <c r="H7" s="138">
        <v>37.85</v>
      </c>
      <c r="I7" s="138">
        <v>45</v>
      </c>
      <c r="J7" s="138">
        <v>47.5</v>
      </c>
      <c r="K7" s="138">
        <v>49.5</v>
      </c>
      <c r="L7" s="138">
        <v>50.5</v>
      </c>
      <c r="M7" s="138">
        <v>51.5</v>
      </c>
      <c r="N7" s="138">
        <v>52.5</v>
      </c>
      <c r="O7" s="138">
        <v>52.5</v>
      </c>
      <c r="P7" s="189"/>
      <c r="Q7" s="185">
        <f>(H6-H7)*(H21-H22)+(H37-H38*(H52-H53))</f>
        <v>2.42</v>
      </c>
      <c r="R7" s="185">
        <f t="shared" ref="R7:W7" si="2">(I6-I7)*(I21-I22)*(1-0.11)+(I37-I38*(I52-I53)*(1-0.24))</f>
        <v>-35.536940000000222</v>
      </c>
      <c r="S7" s="185">
        <f t="shared" si="2"/>
        <v>99.723777499999898</v>
      </c>
      <c r="T7" s="185">
        <f t="shared" si="2"/>
        <v>86.572999999999695</v>
      </c>
      <c r="U7" s="185">
        <f t="shared" si="2"/>
        <v>79.844503993866283</v>
      </c>
      <c r="V7" s="185">
        <f t="shared" si="2"/>
        <v>201.97972320000008</v>
      </c>
      <c r="W7" s="185">
        <f t="shared" si="2"/>
        <v>110.59899515520067</v>
      </c>
      <c r="Y7" s="93"/>
    </row>
    <row r="8" spans="1:25" hidden="1">
      <c r="A8" s="226"/>
      <c r="B8" s="21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25" hidden="1">
      <c r="A9" s="226"/>
      <c r="B9" s="21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25" hidden="1">
      <c r="A10" s="226"/>
      <c r="B10" s="21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25" hidden="1">
      <c r="A11" s="226"/>
      <c r="B11" s="211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25" hidden="1">
      <c r="A12" s="226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25" hidden="1">
      <c r="A13" s="226"/>
      <c r="B13" s="33">
        <v>42217</v>
      </c>
      <c r="C13" s="229" t="s">
        <v>16</v>
      </c>
      <c r="D13" s="230"/>
      <c r="E13" s="146">
        <f t="shared" ref="E13:M13" si="3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3"/>
        <v>-0.37613317949563208</v>
      </c>
      <c r="I13" s="146">
        <f t="shared" si="3"/>
        <v>0.17992073976221912</v>
      </c>
      <c r="J13" s="146">
        <f t="shared" si="3"/>
        <v>0.21792431706224824</v>
      </c>
      <c r="K13" s="146">
        <f t="shared" si="3"/>
        <v>2.9553706852966988E-2</v>
      </c>
      <c r="L13" s="146">
        <f t="shared" si="3"/>
        <v>1.7857142857142794E-2</v>
      </c>
      <c r="M13" s="146">
        <f t="shared" si="3"/>
        <v>3.5087719298245723E-2</v>
      </c>
    </row>
    <row r="14" spans="1:25" hidden="1">
      <c r="A14" s="226"/>
      <c r="B14" s="33">
        <v>42031</v>
      </c>
      <c r="C14" s="231" t="s">
        <v>16</v>
      </c>
      <c r="D14" s="232"/>
      <c r="E14" s="147">
        <f t="shared" ref="E14:K15" si="4">(E7-D7)/D7</f>
        <v>-4.2721695482431814E-2</v>
      </c>
      <c r="F14" s="147">
        <f t="shared" si="4"/>
        <v>0.10848287112561178</v>
      </c>
      <c r="G14" s="147">
        <f t="shared" si="4"/>
        <v>-0.36224114369809729</v>
      </c>
      <c r="H14" s="147">
        <f t="shared" si="4"/>
        <v>-0.37613317949563208</v>
      </c>
      <c r="I14" s="147">
        <f t="shared" si="4"/>
        <v>0.18890356671070008</v>
      </c>
      <c r="J14" s="147">
        <f t="shared" si="4"/>
        <v>5.5555555555555552E-2</v>
      </c>
      <c r="K14" s="147">
        <f t="shared" si="4"/>
        <v>4.2105263157894736E-2</v>
      </c>
      <c r="L14" s="147"/>
      <c r="M14" s="147"/>
    </row>
    <row r="15" spans="1:25" hidden="1">
      <c r="A15" s="226"/>
      <c r="B15" s="33">
        <v>41974</v>
      </c>
      <c r="C15" s="231" t="s">
        <v>16</v>
      </c>
      <c r="D15" s="232"/>
      <c r="E15" s="147">
        <f t="shared" si="4"/>
        <v>-4.2721695482431814E-2</v>
      </c>
      <c r="F15" s="147">
        <f t="shared" si="4"/>
        <v>0.10859939408063397</v>
      </c>
      <c r="G15" s="147">
        <f t="shared" si="4"/>
        <v>-0.2537313432835821</v>
      </c>
      <c r="H15" s="147">
        <f t="shared" si="4"/>
        <v>-7.0422535211267609E-2</v>
      </c>
      <c r="I15" s="147">
        <f t="shared" si="4"/>
        <v>9.0909090909090912E-2</v>
      </c>
      <c r="J15" s="147">
        <f t="shared" si="4"/>
        <v>5.5555555555555552E-2</v>
      </c>
      <c r="K15" s="147"/>
      <c r="L15" s="147"/>
      <c r="M15" s="147"/>
    </row>
    <row r="16" spans="1:25" hidden="1">
      <c r="A16" s="227"/>
      <c r="B16" s="33">
        <v>41499</v>
      </c>
      <c r="C16" s="229" t="s">
        <v>16</v>
      </c>
      <c r="D16" s="230"/>
      <c r="E16" s="146">
        <f t="shared" ref="E16:J16" si="5">(E10-D10)/D10</f>
        <v>-3.3333333333333333E-2</v>
      </c>
      <c r="F16" s="146">
        <f t="shared" si="5"/>
        <v>8.0459770114942528E-2</v>
      </c>
      <c r="G16" s="146">
        <f t="shared" si="5"/>
        <v>-6.9148936170212769E-2</v>
      </c>
      <c r="H16" s="146">
        <f t="shared" si="5"/>
        <v>-2.8571428571428571E-2</v>
      </c>
      <c r="I16" s="146">
        <f t="shared" si="5"/>
        <v>-1.1764705882352941E-2</v>
      </c>
      <c r="J16" s="146">
        <f t="shared" si="5"/>
        <v>0</v>
      </c>
      <c r="K16" s="146"/>
      <c r="L16" s="146"/>
      <c r="M16" s="146"/>
    </row>
    <row r="17" spans="1:22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  <c r="R17" s="112">
        <f>R7/R4</f>
        <v>-3.2803136827755349E-3</v>
      </c>
      <c r="S17" s="112">
        <f t="shared" ref="S17:V17" si="6">S7/S4</f>
        <v>6.5546953196814759E-3</v>
      </c>
      <c r="T17" s="112">
        <f t="shared" si="6"/>
        <v>4.8096485194884676E-3</v>
      </c>
      <c r="U17" s="112">
        <f t="shared" si="6"/>
        <v>4.0810723380694681E-3</v>
      </c>
      <c r="V17" s="112">
        <f t="shared" si="6"/>
        <v>9.6364961002634916E-3</v>
      </c>
    </row>
    <row r="18" spans="1:22">
      <c r="A18" s="228" t="s">
        <v>12</v>
      </c>
      <c r="B18" s="212">
        <f>B2</f>
        <v>43313</v>
      </c>
      <c r="C18" s="136" t="s">
        <v>2</v>
      </c>
      <c r="D18" s="148"/>
      <c r="E18" s="148"/>
      <c r="F18" s="148"/>
      <c r="G18" s="148"/>
      <c r="H18" s="148"/>
      <c r="I18" s="148">
        <v>155.96</v>
      </c>
      <c r="J18" s="148">
        <v>202.4</v>
      </c>
      <c r="K18" s="148">
        <v>243</v>
      </c>
      <c r="L18" s="148">
        <v>260</v>
      </c>
      <c r="M18" s="148">
        <v>248.3</v>
      </c>
      <c r="N18" s="148">
        <v>250.9</v>
      </c>
      <c r="O18" s="148">
        <v>253.6</v>
      </c>
      <c r="P18" s="190"/>
    </row>
    <row r="19" spans="1:22">
      <c r="A19" s="228"/>
      <c r="B19" s="211"/>
      <c r="C19" s="139" t="s">
        <v>0</v>
      </c>
      <c r="D19" s="149"/>
      <c r="E19" s="149"/>
      <c r="F19" s="149"/>
      <c r="G19" s="149"/>
      <c r="H19" s="149"/>
      <c r="I19" s="149"/>
      <c r="J19" s="149">
        <v>202</v>
      </c>
      <c r="K19" s="149">
        <v>250</v>
      </c>
      <c r="L19" s="149">
        <f>+K19*1.1</f>
        <v>275</v>
      </c>
      <c r="M19" s="149">
        <f t="shared" ref="M19:O19" si="7">L19*1.07</f>
        <v>294.25</v>
      </c>
      <c r="N19" s="149">
        <f t="shared" si="7"/>
        <v>314.84750000000003</v>
      </c>
      <c r="O19" s="149">
        <f t="shared" si="7"/>
        <v>336.88682500000004</v>
      </c>
      <c r="P19" s="208"/>
    </row>
    <row r="20" spans="1:22">
      <c r="A20" s="228"/>
      <c r="B20" s="211"/>
      <c r="C20" s="141" t="s">
        <v>3</v>
      </c>
      <c r="D20" s="151"/>
      <c r="E20" s="151"/>
      <c r="F20" s="151"/>
      <c r="G20" s="151"/>
      <c r="H20" s="151"/>
      <c r="I20" s="151">
        <v>155.9</v>
      </c>
      <c r="J20" s="151">
        <v>201.7</v>
      </c>
      <c r="K20" s="151">
        <v>239.7</v>
      </c>
      <c r="L20" s="151">
        <v>270.2</v>
      </c>
      <c r="M20" s="151">
        <v>286.2</v>
      </c>
      <c r="N20" s="151">
        <v>308.60000000000002</v>
      </c>
      <c r="O20" s="151">
        <v>322.39999999999998</v>
      </c>
      <c r="P20" s="191"/>
    </row>
    <row r="21" spans="1:22">
      <c r="A21" s="228"/>
      <c r="B21" s="211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153</v>
      </c>
      <c r="J21" s="206">
        <f>(+AVERAGE(J18:J20))</f>
        <v>202.0333333333333</v>
      </c>
      <c r="K21" s="206">
        <v>245</v>
      </c>
      <c r="L21" s="206">
        <v>270</v>
      </c>
      <c r="M21" s="206">
        <v>285</v>
      </c>
      <c r="N21" s="206">
        <v>300</v>
      </c>
      <c r="O21" s="206">
        <v>315</v>
      </c>
      <c r="P21" s="201"/>
    </row>
    <row r="22" spans="1:22">
      <c r="A22" s="228"/>
      <c r="B22" s="33">
        <f>B7</f>
        <v>43070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141.4</v>
      </c>
      <c r="H22" s="154">
        <v>146.69999999999999</v>
      </c>
      <c r="I22" s="154">
        <v>153</v>
      </c>
      <c r="J22" s="154">
        <v>158</v>
      </c>
      <c r="K22" s="154">
        <v>162</v>
      </c>
      <c r="L22" s="154">
        <v>165</v>
      </c>
      <c r="M22" s="154">
        <v>168</v>
      </c>
      <c r="N22" s="154">
        <v>170</v>
      </c>
      <c r="O22" s="154">
        <v>170</v>
      </c>
      <c r="P22" s="191"/>
      <c r="Q22" s="131"/>
      <c r="T22" s="131"/>
    </row>
    <row r="23" spans="1:22" hidden="1">
      <c r="A23" s="228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  <c r="O23" s="154"/>
      <c r="P23" s="191"/>
    </row>
    <row r="24" spans="1:22" hidden="1">
      <c r="A24" s="228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  <c r="O24" s="154"/>
      <c r="P24" s="191"/>
    </row>
    <row r="25" spans="1:22" hidden="1">
      <c r="A25" s="228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  <c r="O25" s="154"/>
      <c r="P25" s="191"/>
    </row>
    <row r="26" spans="1:22" hidden="1">
      <c r="A26" s="228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  <c r="O26" s="155"/>
      <c r="P26" s="192"/>
    </row>
    <row r="27" spans="1:22" hidden="1">
      <c r="A27" s="228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  <c r="O27" s="155"/>
      <c r="P27" s="192"/>
    </row>
    <row r="28" spans="1:22">
      <c r="A28" s="228"/>
      <c r="B28" s="33">
        <f>B18</f>
        <v>43313</v>
      </c>
      <c r="C28" s="229" t="s">
        <v>16</v>
      </c>
      <c r="D28" s="230"/>
      <c r="E28" s="167">
        <f t="shared" ref="E28:O29" si="8">(E21-D21)/D21</f>
        <v>0.20049813200498143</v>
      </c>
      <c r="F28" s="167">
        <f>(F21-E21)/E21</f>
        <v>0.18153526970954356</v>
      </c>
      <c r="G28" s="167">
        <f t="shared" si="8"/>
        <v>0.24143985952589991</v>
      </c>
      <c r="H28" s="167">
        <f t="shared" si="8"/>
        <v>3.7482319660537361E-2</v>
      </c>
      <c r="I28" s="167">
        <f>(I21-H21)/H21</f>
        <v>4.2944785276073698E-2</v>
      </c>
      <c r="J28" s="167">
        <f>(J21-I21)/I21</f>
        <v>0.3204793028322438</v>
      </c>
      <c r="K28" s="167">
        <f t="shared" si="8"/>
        <v>0.21267117637353591</v>
      </c>
      <c r="L28" s="167">
        <f>(L21-K21)/K21</f>
        <v>0.10204081632653061</v>
      </c>
      <c r="M28" s="167">
        <f>(M21-L21)/L21</f>
        <v>5.5555555555555552E-2</v>
      </c>
      <c r="N28" s="167">
        <f>(N21-M21)/M21</f>
        <v>5.2631578947368418E-2</v>
      </c>
      <c r="O28" s="167">
        <f>(O21-N21)/N21</f>
        <v>0.05</v>
      </c>
      <c r="P28" s="193"/>
      <c r="Q28" s="207"/>
    </row>
    <row r="29" spans="1:22">
      <c r="A29" s="228"/>
      <c r="B29" s="33">
        <f>B7</f>
        <v>43070</v>
      </c>
      <c r="C29" s="231" t="s">
        <v>16</v>
      </c>
      <c r="D29" s="232"/>
      <c r="E29" s="168">
        <f>(E22-D22)/D22</f>
        <v>0.20049813200498143</v>
      </c>
      <c r="F29" s="168">
        <f t="shared" ref="F29:O30" si="9">(F22-E22)/E22</f>
        <v>0.18153526970954356</v>
      </c>
      <c r="G29" s="168">
        <f>(G22-F22)/F22</f>
        <v>0.24143985952589991</v>
      </c>
      <c r="H29" s="168">
        <f t="shared" si="8"/>
        <v>3.7482319660537361E-2</v>
      </c>
      <c r="I29" s="168">
        <f>(I22-H22)/H22</f>
        <v>4.2944785276073698E-2</v>
      </c>
      <c r="J29" s="168">
        <f t="shared" si="8"/>
        <v>3.2679738562091505E-2</v>
      </c>
      <c r="K29" s="168">
        <f>(K22-J22)/J22</f>
        <v>2.5316455696202531E-2</v>
      </c>
      <c r="L29" s="168">
        <f t="shared" si="8"/>
        <v>1.8518518518518517E-2</v>
      </c>
      <c r="M29" s="168">
        <f t="shared" si="8"/>
        <v>1.8181818181818181E-2</v>
      </c>
      <c r="N29" s="168">
        <f t="shared" si="8"/>
        <v>1.1904761904761904E-2</v>
      </c>
      <c r="O29" s="168">
        <f t="shared" si="8"/>
        <v>0</v>
      </c>
      <c r="P29" s="194"/>
      <c r="Q29" s="127"/>
    </row>
    <row r="30" spans="1:22" hidden="1">
      <c r="A30" s="228"/>
      <c r="B30" s="33">
        <v>41974</v>
      </c>
      <c r="C30" s="231" t="s">
        <v>16</v>
      </c>
      <c r="D30" s="232"/>
      <c r="E30" s="147">
        <f>(E23-D23)/D23</f>
        <v>0.20049813200498143</v>
      </c>
      <c r="F30" s="147">
        <f t="shared" si="9"/>
        <v>0.17634854771784231</v>
      </c>
      <c r="G30" s="147">
        <f t="shared" si="9"/>
        <v>7.5837742504409111E-2</v>
      </c>
      <c r="H30" s="147">
        <f t="shared" si="9"/>
        <v>4.0983606557377046E-2</v>
      </c>
      <c r="I30" s="147">
        <f t="shared" si="9"/>
        <v>3.1496062992125984E-2</v>
      </c>
      <c r="J30" s="147">
        <f t="shared" si="9"/>
        <v>1.5267175572519083E-2</v>
      </c>
      <c r="K30" s="147">
        <f t="shared" si="9"/>
        <v>1.5037593984962405E-2</v>
      </c>
      <c r="L30" s="147">
        <f t="shared" si="9"/>
        <v>-1</v>
      </c>
      <c r="M30" s="147" t="e">
        <f t="shared" si="9"/>
        <v>#DIV/0!</v>
      </c>
      <c r="N30" s="147" t="e">
        <f t="shared" si="9"/>
        <v>#DIV/0!</v>
      </c>
      <c r="O30" s="147" t="e">
        <f t="shared" si="9"/>
        <v>#DIV/0!</v>
      </c>
      <c r="P30" s="195"/>
    </row>
    <row r="31" spans="1:22" hidden="1">
      <c r="A31" s="228"/>
      <c r="B31" s="33">
        <v>41499</v>
      </c>
      <c r="C31" s="229" t="s">
        <v>16</v>
      </c>
      <c r="D31" s="230"/>
      <c r="E31" s="146">
        <f t="shared" ref="E31:J31" si="10">(E25-D25)/D25</f>
        <v>0.12401648557512186</v>
      </c>
      <c r="F31" s="146">
        <f t="shared" si="10"/>
        <v>3.3333333333333333E-2</v>
      </c>
      <c r="G31" s="146">
        <f t="shared" si="10"/>
        <v>4.3010752688172046E-2</v>
      </c>
      <c r="H31" s="146">
        <f t="shared" si="10"/>
        <v>3.0927835051546393E-2</v>
      </c>
      <c r="I31" s="146">
        <f t="shared" si="10"/>
        <v>0.01</v>
      </c>
      <c r="J31" s="146">
        <f t="shared" si="10"/>
        <v>9.9009900990099011E-3</v>
      </c>
      <c r="K31" s="146"/>
      <c r="L31" s="146"/>
      <c r="M31" s="146"/>
      <c r="N31" s="146"/>
      <c r="O31" s="146"/>
      <c r="P31" s="174"/>
    </row>
    <row r="32" spans="1:22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  <c r="O32" s="158"/>
      <c r="P32" s="196"/>
    </row>
    <row r="33" spans="1:18">
      <c r="A33" s="237" t="s">
        <v>18</v>
      </c>
      <c r="B33" s="239">
        <f>B2</f>
        <v>43313</v>
      </c>
      <c r="C33" s="134" t="s">
        <v>4</v>
      </c>
      <c r="D33" s="135"/>
      <c r="E33" s="135"/>
      <c r="F33" s="135"/>
      <c r="G33" s="135"/>
      <c r="H33" s="135"/>
      <c r="I33" s="135">
        <v>3.24</v>
      </c>
      <c r="J33" s="135">
        <v>3.23</v>
      </c>
      <c r="K33" s="135">
        <v>3.09</v>
      </c>
      <c r="L33" s="135">
        <v>2.8</v>
      </c>
      <c r="M33" s="135">
        <v>2.82</v>
      </c>
      <c r="N33" s="135">
        <v>2.9</v>
      </c>
      <c r="O33" s="135">
        <v>3.12</v>
      </c>
      <c r="P33" s="188"/>
    </row>
    <row r="34" spans="1:18" ht="15" customHeight="1">
      <c r="A34" s="238"/>
      <c r="B34" s="240"/>
      <c r="C34" s="136" t="s">
        <v>2</v>
      </c>
      <c r="D34" s="159"/>
      <c r="E34" s="159"/>
      <c r="F34" s="159"/>
      <c r="G34" s="159"/>
      <c r="H34" s="159"/>
      <c r="I34" s="159">
        <v>3.24</v>
      </c>
      <c r="J34" s="159"/>
      <c r="K34" s="159"/>
      <c r="L34" s="159"/>
      <c r="M34" s="159"/>
      <c r="N34" s="159"/>
      <c r="O34" s="159"/>
      <c r="P34" s="197"/>
    </row>
    <row r="35" spans="1:18">
      <c r="A35" s="238"/>
      <c r="B35" s="240"/>
      <c r="C35" s="139" t="s">
        <v>0</v>
      </c>
      <c r="D35" s="140"/>
      <c r="E35" s="140"/>
      <c r="F35" s="140"/>
      <c r="G35" s="140"/>
      <c r="H35" s="140"/>
      <c r="I35" s="140">
        <v>3.25</v>
      </c>
      <c r="J35" s="140">
        <v>3.22</v>
      </c>
      <c r="K35" s="140">
        <v>3.1</v>
      </c>
      <c r="L35" s="140">
        <v>3.1</v>
      </c>
      <c r="M35" s="140">
        <v>3.1</v>
      </c>
      <c r="N35" s="140">
        <v>3.1</v>
      </c>
      <c r="O35" s="140">
        <v>3.1</v>
      </c>
      <c r="P35" s="188"/>
    </row>
    <row r="36" spans="1:18">
      <c r="A36" s="238"/>
      <c r="B36" s="240"/>
      <c r="C36" s="141" t="s">
        <v>3</v>
      </c>
      <c r="D36" s="142"/>
      <c r="E36" s="142"/>
      <c r="F36" s="142"/>
      <c r="G36" s="142"/>
      <c r="H36" s="142"/>
      <c r="I36" s="142">
        <v>3.22</v>
      </c>
      <c r="J36" s="142">
        <v>3.28</v>
      </c>
      <c r="K36" s="142">
        <v>3.11</v>
      </c>
      <c r="L36" s="142">
        <v>2.91</v>
      </c>
      <c r="M36" s="142">
        <v>2.81</v>
      </c>
      <c r="N36" s="142">
        <v>2.94</v>
      </c>
      <c r="O36" s="142">
        <v>3.04</v>
      </c>
      <c r="P36" s="188"/>
    </row>
    <row r="37" spans="1:18">
      <c r="A37" s="238"/>
      <c r="B37" s="241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f t="shared" ref="I37:K37" si="11">+AVERAGE(I33:I36)</f>
        <v>3.2375000000000003</v>
      </c>
      <c r="J37" s="144">
        <v>3.25</v>
      </c>
      <c r="K37" s="144">
        <f t="shared" si="11"/>
        <v>3.0999999999999996</v>
      </c>
      <c r="L37" s="144">
        <v>2.95</v>
      </c>
      <c r="M37" s="144">
        <v>2.9</v>
      </c>
      <c r="N37" s="144">
        <v>3</v>
      </c>
      <c r="O37" s="144">
        <v>3.1</v>
      </c>
      <c r="P37" s="200"/>
    </row>
    <row r="38" spans="1:18">
      <c r="A38" s="238"/>
      <c r="B38" s="33">
        <f>B7</f>
        <v>43070</v>
      </c>
      <c r="C38" s="133" t="s">
        <v>1</v>
      </c>
      <c r="D38" s="138">
        <v>5.01</v>
      </c>
      <c r="E38" s="138">
        <v>4.38</v>
      </c>
      <c r="F38" s="138">
        <v>5.14</v>
      </c>
      <c r="G38" s="138">
        <v>3.78</v>
      </c>
      <c r="H38" s="138">
        <v>2.42</v>
      </c>
      <c r="I38" s="138">
        <v>3.26</v>
      </c>
      <c r="J38" s="138">
        <v>3.25</v>
      </c>
      <c r="K38" s="138">
        <v>3.25</v>
      </c>
      <c r="L38" s="138">
        <v>3.2524999999999999</v>
      </c>
      <c r="M38" s="138">
        <v>3.2</v>
      </c>
      <c r="N38" s="138">
        <v>3.2</v>
      </c>
      <c r="O38" s="138">
        <v>3.2</v>
      </c>
      <c r="P38" s="188"/>
      <c r="Q38" s="112"/>
      <c r="R38" s="112"/>
    </row>
    <row r="39" spans="1:18" ht="15" hidden="1" customHeight="1">
      <c r="A39" s="204"/>
      <c r="B39" s="33">
        <v>41974</v>
      </c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8" ht="15" hidden="1" customHeight="1">
      <c r="A40" s="204"/>
      <c r="B40" s="33">
        <v>41852</v>
      </c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8" ht="15" hidden="1" customHeight="1">
      <c r="A41" s="204"/>
      <c r="B41" s="33">
        <v>41499</v>
      </c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8" ht="15" hidden="1" customHeight="1">
      <c r="A42" s="204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8" ht="15" hidden="1" customHeight="1">
      <c r="A43" s="204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8" ht="15" hidden="1" customHeight="1">
      <c r="A44" s="204"/>
      <c r="B44" s="33">
        <v>42217</v>
      </c>
      <c r="C44" s="229" t="s">
        <v>16</v>
      </c>
      <c r="D44" s="230"/>
      <c r="E44" s="146">
        <f t="shared" ref="E44:M46" si="12">(E37-D37)/D37</f>
        <v>-0.12574850299401197</v>
      </c>
      <c r="F44" s="146">
        <f t="shared" si="12"/>
        <v>0.17351598173515978</v>
      </c>
      <c r="G44" s="146">
        <f t="shared" si="12"/>
        <v>-0.26459143968871596</v>
      </c>
      <c r="H44" s="146">
        <f t="shared" si="12"/>
        <v>-0.35978835978835977</v>
      </c>
      <c r="I44" s="146">
        <f t="shared" si="12"/>
        <v>0.33780991735537202</v>
      </c>
      <c r="J44" s="146">
        <f t="shared" si="12"/>
        <v>3.8610038610037783E-3</v>
      </c>
      <c r="K44" s="146">
        <f t="shared" si="12"/>
        <v>-4.615384615384626E-2</v>
      </c>
      <c r="L44" s="146">
        <f t="shared" si="12"/>
        <v>-4.8387096774193381E-2</v>
      </c>
      <c r="M44" s="146">
        <f t="shared" si="12"/>
        <v>-1.6949152542372972E-2</v>
      </c>
    </row>
    <row r="45" spans="1:18" ht="15" hidden="1" customHeight="1">
      <c r="A45" s="204"/>
      <c r="B45" s="33">
        <f>B29</f>
        <v>43070</v>
      </c>
      <c r="C45" s="231" t="s">
        <v>16</v>
      </c>
      <c r="D45" s="232"/>
      <c r="E45" s="147">
        <f t="shared" si="12"/>
        <v>-0.12574850299401197</v>
      </c>
      <c r="F45" s="147">
        <f t="shared" si="12"/>
        <v>0.17351598173515978</v>
      </c>
      <c r="G45" s="147">
        <f t="shared" si="12"/>
        <v>-0.26459143968871596</v>
      </c>
      <c r="H45" s="147">
        <f t="shared" si="12"/>
        <v>-0.35978835978835977</v>
      </c>
      <c r="I45" s="147">
        <f t="shared" si="12"/>
        <v>0.34710743801652888</v>
      </c>
      <c r="J45" s="147">
        <f t="shared" si="12"/>
        <v>-3.0674846625766221E-3</v>
      </c>
      <c r="K45" s="147">
        <f t="shared" si="12"/>
        <v>0</v>
      </c>
      <c r="L45" s="147"/>
      <c r="M45" s="147"/>
    </row>
    <row r="46" spans="1:18" ht="15" hidden="1" customHeight="1">
      <c r="A46" s="204"/>
      <c r="B46" s="33">
        <v>41974</v>
      </c>
      <c r="C46" s="231" t="s">
        <v>16</v>
      </c>
      <c r="D46" s="232"/>
      <c r="E46" s="147">
        <f t="shared" si="12"/>
        <v>-0.12574850299401197</v>
      </c>
      <c r="F46" s="147">
        <f t="shared" si="12"/>
        <v>0.17123287671232876</v>
      </c>
      <c r="G46" s="147">
        <f t="shared" si="12"/>
        <v>-4.4834307992202643E-2</v>
      </c>
      <c r="H46" s="147">
        <f t="shared" si="12"/>
        <v>0</v>
      </c>
      <c r="I46" s="147">
        <f t="shared" si="12"/>
        <v>1.0204081632653024E-2</v>
      </c>
      <c r="J46" s="147">
        <f t="shared" si="12"/>
        <v>3.0303030303030193E-2</v>
      </c>
      <c r="K46" s="147">
        <f t="shared" si="12"/>
        <v>1.9607843137255009E-2</v>
      </c>
      <c r="L46" s="147">
        <f t="shared" si="12"/>
        <v>-1</v>
      </c>
      <c r="M46" s="147" t="e">
        <f t="shared" si="12"/>
        <v>#DIV/0!</v>
      </c>
    </row>
    <row r="47" spans="1:18" ht="15" hidden="1" customHeight="1">
      <c r="A47" s="205"/>
      <c r="B47" s="33">
        <v>41499</v>
      </c>
      <c r="C47" s="229" t="s">
        <v>16</v>
      </c>
      <c r="D47" s="230"/>
      <c r="E47" s="146">
        <f t="shared" ref="E47:J47" si="13">(E41-D41)/D41</f>
        <v>-0.1</v>
      </c>
      <c r="F47" s="146">
        <f t="shared" si="13"/>
        <v>0.1111111111111111</v>
      </c>
      <c r="G47" s="146">
        <f t="shared" si="13"/>
        <v>8.0000000000000071E-2</v>
      </c>
      <c r="H47" s="146">
        <f t="shared" si="13"/>
        <v>1.8518518518518452E-2</v>
      </c>
      <c r="I47" s="146">
        <f t="shared" si="13"/>
        <v>0</v>
      </c>
      <c r="J47" s="146">
        <f t="shared" si="13"/>
        <v>0</v>
      </c>
      <c r="K47" s="146"/>
      <c r="L47" s="146"/>
      <c r="M47" s="146"/>
    </row>
    <row r="48" spans="1:18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8">
      <c r="A49" s="220" t="s">
        <v>19</v>
      </c>
      <c r="B49" s="212">
        <f>B2</f>
        <v>43313</v>
      </c>
      <c r="C49" s="136" t="s">
        <v>2</v>
      </c>
      <c r="D49" s="160"/>
      <c r="E49" s="161"/>
      <c r="F49" s="161"/>
      <c r="G49" s="161"/>
      <c r="H49" s="161"/>
      <c r="I49" s="161">
        <v>1235.7</v>
      </c>
      <c r="J49" s="161">
        <v>1295</v>
      </c>
      <c r="K49" s="161">
        <v>1309.4000000000001</v>
      </c>
      <c r="L49" s="161">
        <v>1320.4</v>
      </c>
      <c r="M49" s="161">
        <v>1331.4</v>
      </c>
      <c r="N49" s="161">
        <v>1342.4</v>
      </c>
      <c r="O49" s="161">
        <v>1353.4</v>
      </c>
      <c r="P49" s="202"/>
    </row>
    <row r="50" spans="1:18">
      <c r="A50" s="221"/>
      <c r="B50" s="211"/>
      <c r="C50" s="139" t="s">
        <v>0</v>
      </c>
      <c r="D50" s="162"/>
      <c r="E50" s="162"/>
      <c r="F50" s="162"/>
      <c r="G50" s="162"/>
      <c r="H50" s="162"/>
      <c r="I50" s="162"/>
      <c r="J50" s="162">
        <v>1300</v>
      </c>
      <c r="K50" s="162">
        <f>J50*1.063</f>
        <v>1381.8999999999999</v>
      </c>
      <c r="L50" s="162">
        <f>K50*1.032</f>
        <v>1426.1207999999999</v>
      </c>
      <c r="M50" s="162">
        <f>L50*1.01</f>
        <v>1440.382008</v>
      </c>
      <c r="N50" s="162">
        <f>M50*1.011</f>
        <v>1456.2262100879998</v>
      </c>
      <c r="O50" s="162">
        <f>N50*1.013</f>
        <v>1475.1571508191437</v>
      </c>
      <c r="P50" s="198"/>
      <c r="Q50" s="112"/>
    </row>
    <row r="51" spans="1:18">
      <c r="A51" s="221"/>
      <c r="B51" s="211"/>
      <c r="C51" s="141" t="s">
        <v>3</v>
      </c>
      <c r="D51" s="163"/>
      <c r="E51" s="163"/>
      <c r="F51" s="163"/>
      <c r="G51" s="163"/>
      <c r="H51" s="163"/>
      <c r="I51" s="163">
        <v>1235.5999999999999</v>
      </c>
      <c r="J51" s="163">
        <f>1343*(1-0.015)</f>
        <v>1322.855</v>
      </c>
      <c r="K51" s="163">
        <f>J51*1.061</f>
        <v>1403.5491549999999</v>
      </c>
      <c r="L51" s="163">
        <f>K51*1.021</f>
        <v>1433.0236872549997</v>
      </c>
      <c r="M51" s="163">
        <f>L51*1.042</f>
        <v>1493.2106821197096</v>
      </c>
      <c r="N51" s="163">
        <f>M51*1.037</f>
        <v>1548.4594773581389</v>
      </c>
      <c r="O51" s="163">
        <f>N51*1.006</f>
        <v>1557.7502342222876</v>
      </c>
      <c r="P51" s="198"/>
    </row>
    <row r="52" spans="1:18">
      <c r="A52" s="221"/>
      <c r="B52" s="211"/>
      <c r="C52" s="143" t="s">
        <v>1</v>
      </c>
      <c r="D52" s="164">
        <v>1227</v>
      </c>
      <c r="E52" s="164">
        <v>1177.5</v>
      </c>
      <c r="F52" s="164">
        <v>1184.7</v>
      </c>
      <c r="G52" s="164">
        <v>1184.8</v>
      </c>
      <c r="H52" s="164">
        <v>1175</v>
      </c>
      <c r="I52" s="164">
        <f>(+AVERAGE(I49:I51))</f>
        <v>1235.6500000000001</v>
      </c>
      <c r="J52" s="164">
        <v>1300</v>
      </c>
      <c r="K52" s="164">
        <f>J52*1.062</f>
        <v>1380.6000000000001</v>
      </c>
      <c r="L52" s="164">
        <f>K52*1.025</f>
        <v>1415.115</v>
      </c>
      <c r="M52" s="164">
        <f>L52*1.01</f>
        <v>1429.2661499999999</v>
      </c>
      <c r="N52" s="164">
        <f>M52*1.011</f>
        <v>1444.9880776499997</v>
      </c>
      <c r="O52" s="164">
        <f>N52*1.013</f>
        <v>1463.7729226594495</v>
      </c>
      <c r="P52" s="203"/>
    </row>
    <row r="53" spans="1:18">
      <c r="A53" s="221"/>
      <c r="B53" s="33">
        <f>B38</f>
        <v>43070</v>
      </c>
      <c r="C53" s="133" t="s">
        <v>1</v>
      </c>
      <c r="D53" s="160">
        <v>1227</v>
      </c>
      <c r="E53" s="160">
        <v>1177.5</v>
      </c>
      <c r="F53" s="160">
        <v>1184.7</v>
      </c>
      <c r="G53" s="160">
        <v>1184.8</v>
      </c>
      <c r="H53" s="160">
        <v>1175</v>
      </c>
      <c r="I53" s="160">
        <v>1220</v>
      </c>
      <c r="J53" s="160">
        <v>1229.7</v>
      </c>
      <c r="K53" s="160">
        <v>1220</v>
      </c>
      <c r="L53" s="160">
        <v>1200.4904213333332</v>
      </c>
      <c r="M53" s="160">
        <v>1190</v>
      </c>
      <c r="N53" s="160">
        <v>1180</v>
      </c>
      <c r="O53" s="160">
        <v>1180</v>
      </c>
      <c r="P53" s="198"/>
      <c r="Q53" s="112"/>
      <c r="R53" s="112"/>
    </row>
    <row r="54" spans="1:18" hidden="1">
      <c r="A54" s="221"/>
      <c r="B54" s="33">
        <v>41974</v>
      </c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  <c r="O54" s="160"/>
      <c r="P54" s="198"/>
    </row>
    <row r="55" spans="1:18" hidden="1">
      <c r="A55" s="221"/>
      <c r="B55" s="33">
        <v>41852</v>
      </c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  <c r="O55" s="160"/>
      <c r="P55" s="198"/>
    </row>
    <row r="56" spans="1:18" hidden="1">
      <c r="A56" s="221"/>
      <c r="B56" s="33">
        <v>41499</v>
      </c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  <c r="O56" s="165"/>
      <c r="P56" s="199"/>
    </row>
    <row r="57" spans="1:18" hidden="1">
      <c r="A57" s="221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  <c r="O57" s="165"/>
      <c r="P57" s="199"/>
    </row>
    <row r="58" spans="1:18" hidden="1">
      <c r="A58" s="221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  <c r="O58" s="165"/>
      <c r="P58" s="199"/>
    </row>
    <row r="59" spans="1:18">
      <c r="A59" s="221"/>
      <c r="B59" s="33">
        <f>B49</f>
        <v>43313</v>
      </c>
      <c r="C59" s="229" t="s">
        <v>16</v>
      </c>
      <c r="D59" s="230"/>
      <c r="E59" s="167">
        <f t="shared" ref="E59:O61" si="14">(E52-D52)/D52</f>
        <v>-4.0342298288508556E-2</v>
      </c>
      <c r="F59" s="167">
        <f t="shared" si="14"/>
        <v>6.1146496815287013E-3</v>
      </c>
      <c r="G59" s="167">
        <f>(G52-F52)/F52</f>
        <v>8.4409555161567526E-5</v>
      </c>
      <c r="H59" s="167">
        <f t="shared" si="14"/>
        <v>-8.2714382174206239E-3</v>
      </c>
      <c r="I59" s="167">
        <f t="shared" si="14"/>
        <v>5.1617021276595822E-2</v>
      </c>
      <c r="J59" s="167">
        <f t="shared" si="14"/>
        <v>5.2077853761178253E-2</v>
      </c>
      <c r="K59" s="167">
        <f t="shared" si="14"/>
        <v>6.2000000000000104E-2</v>
      </c>
      <c r="L59" s="167">
        <f t="shared" si="14"/>
        <v>2.4999999999999904E-2</v>
      </c>
      <c r="M59" s="167">
        <f t="shared" si="14"/>
        <v>9.9999999999999412E-3</v>
      </c>
      <c r="N59" s="167">
        <f t="shared" si="14"/>
        <v>1.099999999999984E-2</v>
      </c>
      <c r="O59" s="167">
        <f t="shared" si="14"/>
        <v>1.2999999999999852E-2</v>
      </c>
      <c r="P59" s="193"/>
    </row>
    <row r="60" spans="1:18">
      <c r="A60" s="221"/>
      <c r="B60" s="33">
        <f>B45</f>
        <v>43070</v>
      </c>
      <c r="C60" s="231" t="s">
        <v>16</v>
      </c>
      <c r="D60" s="232"/>
      <c r="E60" s="168">
        <f>(E53-D53)/D53</f>
        <v>-4.0342298288508556E-2</v>
      </c>
      <c r="F60" s="168">
        <f t="shared" si="14"/>
        <v>6.1146496815287013E-3</v>
      </c>
      <c r="G60" s="168">
        <f>(G53-F53)/F53</f>
        <v>8.4409555161567526E-5</v>
      </c>
      <c r="H60" s="168">
        <f t="shared" si="14"/>
        <v>-8.2714382174206239E-3</v>
      </c>
      <c r="I60" s="168">
        <f t="shared" si="14"/>
        <v>3.8297872340425532E-2</v>
      </c>
      <c r="J60" s="168">
        <f t="shared" si="14"/>
        <v>7.9508196721311854E-3</v>
      </c>
      <c r="K60" s="168">
        <f t="shared" si="14"/>
        <v>-7.8881027892982389E-3</v>
      </c>
      <c r="L60" s="168">
        <f t="shared" si="14"/>
        <v>-1.5991457923497387E-2</v>
      </c>
      <c r="M60" s="168">
        <f t="shared" si="14"/>
        <v>-8.7384465106201577E-3</v>
      </c>
      <c r="N60" s="168">
        <f t="shared" si="14"/>
        <v>-8.4033613445378148E-3</v>
      </c>
      <c r="O60" s="168">
        <f t="shared" si="14"/>
        <v>0</v>
      </c>
      <c r="P60" s="194"/>
    </row>
    <row r="61" spans="1:18" hidden="1">
      <c r="A61" s="221"/>
      <c r="B61" s="33">
        <v>41974</v>
      </c>
      <c r="C61" s="231" t="s">
        <v>16</v>
      </c>
      <c r="D61" s="232"/>
      <c r="E61" s="147">
        <f>(E54-D54)/D54</f>
        <v>-4.0342298288508556E-2</v>
      </c>
      <c r="F61" s="147">
        <f t="shared" si="14"/>
        <v>8.3227176220806408E-3</v>
      </c>
      <c r="G61" s="147">
        <f t="shared" si="14"/>
        <v>-5.3061568264128316E-3</v>
      </c>
      <c r="H61" s="147">
        <f t="shared" si="14"/>
        <v>-2.6248941574936496E-2</v>
      </c>
      <c r="I61" s="147">
        <f t="shared" si="14"/>
        <v>-2.782608695652174E-2</v>
      </c>
      <c r="J61" s="147">
        <f t="shared" si="14"/>
        <v>-2.6833631484794274E-2</v>
      </c>
      <c r="K61" s="147">
        <f t="shared" si="14"/>
        <v>-3.3088235294117647E-2</v>
      </c>
      <c r="L61" s="147">
        <f t="shared" si="14"/>
        <v>-1</v>
      </c>
      <c r="M61" s="147" t="e">
        <f t="shared" si="14"/>
        <v>#DIV/0!</v>
      </c>
    </row>
    <row r="62" spans="1:18" hidden="1">
      <c r="A62" s="222"/>
      <c r="B62" s="33">
        <v>41499</v>
      </c>
      <c r="C62" s="229" t="s">
        <v>16</v>
      </c>
      <c r="D62" s="230"/>
      <c r="E62" s="146">
        <f t="shared" ref="E62:J62" si="15">(E56-D56)/D56</f>
        <v>-4.9639025981971625E-2</v>
      </c>
      <c r="F62" s="146">
        <f t="shared" si="15"/>
        <v>-4.7210300429184553E-2</v>
      </c>
      <c r="G62" s="146">
        <f t="shared" si="15"/>
        <v>-3.6036036036036036E-2</v>
      </c>
      <c r="H62" s="146">
        <f t="shared" si="15"/>
        <v>-3.7383177570093455E-2</v>
      </c>
      <c r="I62" s="146">
        <f t="shared" si="15"/>
        <v>-2.9126213592233011E-2</v>
      </c>
      <c r="J62" s="146">
        <f t="shared" si="15"/>
        <v>-0.04</v>
      </c>
      <c r="K62" s="146"/>
      <c r="L62" s="146"/>
      <c r="M62" s="146"/>
    </row>
    <row r="63" spans="1:18">
      <c r="A63" s="108"/>
      <c r="B63" s="13"/>
      <c r="F63" s="112"/>
      <c r="G63" s="112"/>
      <c r="H63" s="112"/>
      <c r="I63" s="112"/>
      <c r="J63" s="112"/>
      <c r="K63" s="112"/>
      <c r="L63" s="112"/>
      <c r="M63" s="112"/>
    </row>
    <row r="64" spans="1:18">
      <c r="A64" s="9"/>
      <c r="B64" s="13"/>
      <c r="E64" s="94"/>
      <c r="F64" s="94"/>
      <c r="G64" s="112"/>
      <c r="H64" s="112"/>
      <c r="I64" s="112"/>
      <c r="J64" s="112"/>
      <c r="K64" s="112"/>
      <c r="L64" s="112"/>
      <c r="M64" s="112"/>
    </row>
    <row r="65" spans="1:13">
      <c r="A65" s="9"/>
      <c r="B65" s="13"/>
      <c r="E65" s="94"/>
      <c r="F65" s="94"/>
      <c r="G65" s="94"/>
      <c r="H65" s="112"/>
      <c r="I65" s="112"/>
      <c r="J65" s="112"/>
      <c r="K65" s="112"/>
      <c r="L65" s="112"/>
      <c r="M65" s="112"/>
    </row>
    <row r="66" spans="1:13">
      <c r="A66" s="9"/>
      <c r="B66" s="13"/>
    </row>
    <row r="67" spans="1:13">
      <c r="A67" s="9"/>
      <c r="B67" s="13"/>
    </row>
    <row r="68" spans="1:13">
      <c r="A68" s="9"/>
      <c r="B68" s="13"/>
    </row>
    <row r="69" spans="1:13">
      <c r="A69" s="9"/>
      <c r="B69" s="13"/>
    </row>
    <row r="70" spans="1:13">
      <c r="A70" s="9"/>
      <c r="B70" s="13"/>
    </row>
    <row r="71" spans="1:13">
      <c r="A71" s="9"/>
      <c r="B71" s="13"/>
    </row>
    <row r="72" spans="1:13">
      <c r="A72" s="9"/>
      <c r="B72" s="13"/>
    </row>
    <row r="73" spans="1:13">
      <c r="A73" s="9"/>
      <c r="B73" s="13"/>
    </row>
  </sheetData>
  <mergeCells count="25">
    <mergeCell ref="A2:A16"/>
    <mergeCell ref="B2:B6"/>
    <mergeCell ref="B7:B11"/>
    <mergeCell ref="C13:D13"/>
    <mergeCell ref="C14:D14"/>
    <mergeCell ref="C15:D15"/>
    <mergeCell ref="C16:D16"/>
    <mergeCell ref="C47:D47"/>
    <mergeCell ref="A18:A31"/>
    <mergeCell ref="B18:B21"/>
    <mergeCell ref="C28:D28"/>
    <mergeCell ref="C29:D29"/>
    <mergeCell ref="C30:D30"/>
    <mergeCell ref="C31:D31"/>
    <mergeCell ref="A33:A38"/>
    <mergeCell ref="B33:B37"/>
    <mergeCell ref="C44:D44"/>
    <mergeCell ref="C45:D45"/>
    <mergeCell ref="C46:D46"/>
    <mergeCell ref="A49:A62"/>
    <mergeCell ref="B49:B52"/>
    <mergeCell ref="C59:D59"/>
    <mergeCell ref="C60:D60"/>
    <mergeCell ref="C61:D61"/>
    <mergeCell ref="C62:D62"/>
  </mergeCells>
  <pageMargins left="0.5" right="0.17" top="0.63" bottom="0.75" header="0.3" footer="0.3"/>
  <pageSetup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73"/>
  <sheetViews>
    <sheetView zoomScale="120" zoomScaleNormal="12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J37" sqref="J37"/>
    </sheetView>
  </sheetViews>
  <sheetFormatPr defaultColWidth="9.140625" defaultRowHeight="15"/>
  <cols>
    <col min="1" max="1" width="9.42578125" customWidth="1"/>
    <col min="2" max="2" width="7.5703125" bestFit="1" customWidth="1"/>
    <col min="3" max="3" width="8" customWidth="1"/>
    <col min="4" max="9" width="7.5703125" customWidth="1"/>
    <col min="10" max="15" width="9" customWidth="1"/>
  </cols>
  <sheetData>
    <row r="1" spans="1:18" ht="34.5" customHeight="1">
      <c r="A1" s="8"/>
      <c r="B1" s="11"/>
      <c r="C1" s="133"/>
      <c r="D1" s="132" t="s">
        <v>17</v>
      </c>
      <c r="E1" s="132" t="s">
        <v>25</v>
      </c>
      <c r="F1" s="132" t="s">
        <v>73</v>
      </c>
      <c r="G1" s="132" t="s">
        <v>74</v>
      </c>
      <c r="H1" s="132" t="s">
        <v>75</v>
      </c>
      <c r="I1" s="132" t="s">
        <v>77</v>
      </c>
      <c r="J1" s="132" t="s">
        <v>79</v>
      </c>
      <c r="K1" s="132" t="s">
        <v>24</v>
      </c>
      <c r="L1" s="132" t="s">
        <v>27</v>
      </c>
      <c r="M1" s="132" t="s">
        <v>57</v>
      </c>
      <c r="N1" s="132" t="s">
        <v>76</v>
      </c>
      <c r="O1" s="132" t="s">
        <v>80</v>
      </c>
      <c r="P1" s="187"/>
    </row>
    <row r="2" spans="1:18">
      <c r="A2" s="225" t="s">
        <v>10</v>
      </c>
      <c r="B2" s="212">
        <v>43435</v>
      </c>
      <c r="C2" s="134" t="s">
        <v>4</v>
      </c>
      <c r="D2" s="135"/>
      <c r="E2" s="135"/>
      <c r="F2" s="135"/>
      <c r="G2" s="135"/>
      <c r="H2" s="135"/>
      <c r="I2" s="135">
        <v>44.74</v>
      </c>
      <c r="J2" s="135">
        <v>55.07</v>
      </c>
      <c r="K2" s="135">
        <v>49.87</v>
      </c>
      <c r="L2" s="135">
        <v>52.12</v>
      </c>
      <c r="M2" s="135">
        <v>53.98</v>
      </c>
      <c r="N2" s="135">
        <v>55.2</v>
      </c>
      <c r="O2" s="135">
        <v>55.64</v>
      </c>
      <c r="P2" s="188"/>
    </row>
    <row r="3" spans="1:18">
      <c r="A3" s="226"/>
      <c r="B3" s="211"/>
      <c r="C3" s="136" t="s">
        <v>2</v>
      </c>
      <c r="D3" s="137"/>
      <c r="E3" s="138"/>
      <c r="F3" s="138"/>
      <c r="G3" s="138"/>
      <c r="H3" s="138"/>
      <c r="I3" s="138">
        <v>44.76</v>
      </c>
      <c r="J3" s="138">
        <v>55.05</v>
      </c>
      <c r="K3" s="138">
        <v>49.18</v>
      </c>
      <c r="L3" s="138">
        <v>52.58</v>
      </c>
      <c r="M3" s="138">
        <v>55.7</v>
      </c>
      <c r="N3" s="138">
        <v>56.79</v>
      </c>
      <c r="O3" s="138">
        <v>57.26</v>
      </c>
      <c r="P3" s="188"/>
    </row>
    <row r="4" spans="1:18">
      <c r="A4" s="226"/>
      <c r="B4" s="211"/>
      <c r="C4" s="139" t="s">
        <v>0</v>
      </c>
      <c r="D4" s="140"/>
      <c r="E4" s="140"/>
      <c r="F4" s="140"/>
      <c r="G4" s="140"/>
      <c r="H4" s="140"/>
      <c r="I4" s="140">
        <v>44.75</v>
      </c>
      <c r="J4" s="140">
        <v>55.05</v>
      </c>
      <c r="K4" s="140">
        <v>48.92</v>
      </c>
      <c r="L4" s="140">
        <v>50.1</v>
      </c>
      <c r="M4" s="140">
        <v>49.03</v>
      </c>
      <c r="N4" s="140">
        <v>49.35</v>
      </c>
      <c r="O4" s="140">
        <v>50.89</v>
      </c>
      <c r="P4" s="189"/>
    </row>
    <row r="5" spans="1:18">
      <c r="A5" s="226"/>
      <c r="B5" s="211"/>
      <c r="C5" s="141" t="s">
        <v>3</v>
      </c>
      <c r="D5" s="142"/>
      <c r="E5" s="142"/>
      <c r="F5" s="142"/>
      <c r="G5" s="142"/>
      <c r="H5" s="142"/>
      <c r="I5" s="142">
        <v>44.39</v>
      </c>
      <c r="J5" s="142">
        <v>55.09</v>
      </c>
      <c r="K5" s="142">
        <v>49.43</v>
      </c>
      <c r="L5" s="142">
        <v>52.57</v>
      </c>
      <c r="M5" s="142">
        <v>54.04</v>
      </c>
      <c r="N5" s="142">
        <v>54.84</v>
      </c>
      <c r="O5" s="142">
        <v>55.37</v>
      </c>
      <c r="P5" s="188"/>
    </row>
    <row r="6" spans="1:18">
      <c r="A6" s="226"/>
      <c r="B6" s="211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v>37.85</v>
      </c>
      <c r="I6" s="144">
        <f t="shared" ref="I6" si="0">+AVERAGE(I2:I5)</f>
        <v>44.66</v>
      </c>
      <c r="J6" s="144">
        <v>55.05</v>
      </c>
      <c r="K6" s="144">
        <v>49.5</v>
      </c>
      <c r="L6" s="144">
        <v>52</v>
      </c>
      <c r="M6" s="144">
        <v>53</v>
      </c>
      <c r="N6" s="144">
        <v>54</v>
      </c>
      <c r="O6" s="144">
        <v>54.5</v>
      </c>
      <c r="P6" s="200"/>
      <c r="R6" s="93"/>
    </row>
    <row r="7" spans="1:18">
      <c r="A7" s="226"/>
      <c r="B7" s="212">
        <v>43313</v>
      </c>
      <c r="C7" s="133" t="s">
        <v>1</v>
      </c>
      <c r="D7" s="138">
        <f>'Aug18'!D6</f>
        <v>89.65</v>
      </c>
      <c r="E7" s="138">
        <f>'Aug18'!E6</f>
        <v>85.82</v>
      </c>
      <c r="F7" s="138">
        <f>'Aug18'!F6</f>
        <v>95.13</v>
      </c>
      <c r="G7" s="138">
        <f>'Aug18'!G6</f>
        <v>60.67</v>
      </c>
      <c r="H7" s="138">
        <f>'Aug18'!H6</f>
        <v>37.85</v>
      </c>
      <c r="I7" s="138">
        <f>'Aug18'!I6</f>
        <v>44.66</v>
      </c>
      <c r="J7" s="138">
        <f>'Aug18'!J6</f>
        <v>54.392499999999998</v>
      </c>
      <c r="K7" s="138">
        <f>'Aug18'!K6</f>
        <v>56</v>
      </c>
      <c r="L7" s="138">
        <f>'Aug18'!L6</f>
        <v>57</v>
      </c>
      <c r="M7" s="138">
        <f>'Aug18'!M6</f>
        <v>59</v>
      </c>
      <c r="N7" s="138">
        <f>'Aug18'!N6</f>
        <v>59</v>
      </c>
      <c r="O7" s="138">
        <f>'Aug18'!O6</f>
        <v>59</v>
      </c>
      <c r="P7" s="189"/>
      <c r="R7" s="93"/>
    </row>
    <row r="8" spans="1:18" hidden="1">
      <c r="A8" s="226"/>
      <c r="B8" s="211"/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  <c r="M8" s="138"/>
    </row>
    <row r="9" spans="1:18" hidden="1">
      <c r="A9" s="226"/>
      <c r="B9" s="211"/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  <c r="M9" s="138"/>
    </row>
    <row r="10" spans="1:18" hidden="1">
      <c r="A10" s="226"/>
      <c r="B10" s="211"/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  <c r="M10" s="138"/>
    </row>
    <row r="11" spans="1:18" hidden="1">
      <c r="A11" s="226"/>
      <c r="B11" s="211"/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  <c r="M11" s="145"/>
    </row>
    <row r="12" spans="1:18" hidden="1">
      <c r="A12" s="226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  <c r="M12" s="145"/>
    </row>
    <row r="13" spans="1:18" hidden="1">
      <c r="A13" s="226"/>
      <c r="B13" s="33">
        <v>42217</v>
      </c>
      <c r="C13" s="229" t="s">
        <v>16</v>
      </c>
      <c r="D13" s="230"/>
      <c r="E13" s="146">
        <f t="shared" ref="E13:M13" si="1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1"/>
        <v>-0.37613317949563208</v>
      </c>
      <c r="I13" s="146">
        <f t="shared" si="1"/>
        <v>0.17992073976221912</v>
      </c>
      <c r="J13" s="146">
        <f t="shared" si="1"/>
        <v>0.23264666368114639</v>
      </c>
      <c r="K13" s="146">
        <f t="shared" si="1"/>
        <v>-0.10081743869209803</v>
      </c>
      <c r="L13" s="146">
        <f t="shared" si="1"/>
        <v>5.0505050505050608E-2</v>
      </c>
      <c r="M13" s="146">
        <f t="shared" si="1"/>
        <v>1.9230769230769162E-2</v>
      </c>
    </row>
    <row r="14" spans="1:18" hidden="1">
      <c r="A14" s="226"/>
      <c r="B14" s="33">
        <v>42031</v>
      </c>
      <c r="C14" s="231" t="s">
        <v>16</v>
      </c>
      <c r="D14" s="232"/>
      <c r="E14" s="147">
        <f t="shared" ref="E14:K15" si="2">(E7-D7)/D7</f>
        <v>-4.2721695482431814E-2</v>
      </c>
      <c r="F14" s="147">
        <f t="shared" si="2"/>
        <v>0.10848287112561178</v>
      </c>
      <c r="G14" s="147">
        <f t="shared" si="2"/>
        <v>-0.36224114369809729</v>
      </c>
      <c r="H14" s="147">
        <f t="shared" si="2"/>
        <v>-0.37613317949563208</v>
      </c>
      <c r="I14" s="147">
        <f t="shared" si="2"/>
        <v>0.17992073976221915</v>
      </c>
      <c r="J14" s="147">
        <f t="shared" si="2"/>
        <v>0.21792431706224816</v>
      </c>
      <c r="K14" s="147">
        <f t="shared" si="2"/>
        <v>2.9553706852966894E-2</v>
      </c>
      <c r="L14" s="147"/>
      <c r="M14" s="147"/>
    </row>
    <row r="15" spans="1:18" hidden="1">
      <c r="A15" s="226"/>
      <c r="B15" s="33">
        <v>41974</v>
      </c>
      <c r="C15" s="231" t="s">
        <v>16</v>
      </c>
      <c r="D15" s="232"/>
      <c r="E15" s="147">
        <f t="shared" si="2"/>
        <v>-4.2721695482431814E-2</v>
      </c>
      <c r="F15" s="147">
        <f t="shared" si="2"/>
        <v>0.10859939408063397</v>
      </c>
      <c r="G15" s="147">
        <f t="shared" si="2"/>
        <v>-0.2537313432835821</v>
      </c>
      <c r="H15" s="147">
        <f t="shared" si="2"/>
        <v>-7.0422535211267609E-2</v>
      </c>
      <c r="I15" s="147">
        <f t="shared" si="2"/>
        <v>9.0909090909090912E-2</v>
      </c>
      <c r="J15" s="147">
        <f t="shared" si="2"/>
        <v>5.5555555555555552E-2</v>
      </c>
      <c r="K15" s="147"/>
      <c r="L15" s="147"/>
      <c r="M15" s="147"/>
    </row>
    <row r="16" spans="1:18" hidden="1">
      <c r="A16" s="227"/>
      <c r="B16" s="33">
        <v>41499</v>
      </c>
      <c r="C16" s="229" t="s">
        <v>16</v>
      </c>
      <c r="D16" s="230"/>
      <c r="E16" s="146">
        <f t="shared" ref="E16:J16" si="3">(E10-D10)/D10</f>
        <v>-3.3333333333333333E-2</v>
      </c>
      <c r="F16" s="146">
        <f t="shared" si="3"/>
        <v>8.0459770114942528E-2</v>
      </c>
      <c r="G16" s="146">
        <f t="shared" si="3"/>
        <v>-6.9148936170212769E-2</v>
      </c>
      <c r="H16" s="146">
        <f t="shared" si="3"/>
        <v>-2.8571428571428571E-2</v>
      </c>
      <c r="I16" s="146">
        <f t="shared" si="3"/>
        <v>-1.1764705882352941E-2</v>
      </c>
      <c r="J16" s="146">
        <f t="shared" si="3"/>
        <v>0</v>
      </c>
      <c r="K16" s="146"/>
      <c r="L16" s="146"/>
      <c r="M16" s="146"/>
    </row>
    <row r="17" spans="1:16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  <c r="M17" s="128"/>
    </row>
    <row r="18" spans="1:16">
      <c r="A18" s="228" t="s">
        <v>12</v>
      </c>
      <c r="B18" s="212">
        <f>B2</f>
        <v>43435</v>
      </c>
      <c r="C18" s="136" t="s">
        <v>2</v>
      </c>
      <c r="D18" s="148"/>
      <c r="E18" s="148"/>
      <c r="F18" s="148"/>
      <c r="G18" s="148"/>
      <c r="H18" s="148"/>
      <c r="I18" s="148">
        <v>155.96</v>
      </c>
      <c r="J18" s="148">
        <v>204.40600000000001</v>
      </c>
      <c r="K18" s="148">
        <f t="shared" ref="K18:K19" si="4">J18*1.23</f>
        <v>251.41937999999999</v>
      </c>
      <c r="L18" s="148">
        <f t="shared" ref="L18:L19" si="5">K18*1.08</f>
        <v>271.5329304</v>
      </c>
      <c r="M18" s="148">
        <f t="shared" ref="M18:M20" si="6">L18*1.05</f>
        <v>285.10957691999999</v>
      </c>
      <c r="N18" s="148">
        <f t="shared" ref="N18:O19" si="7">M18*1.04</f>
        <v>296.5139599968</v>
      </c>
      <c r="O18" s="148">
        <f t="shared" si="7"/>
        <v>308.37451839667199</v>
      </c>
      <c r="P18" s="190"/>
    </row>
    <row r="19" spans="1:16">
      <c r="A19" s="228"/>
      <c r="B19" s="211"/>
      <c r="C19" s="139" t="s">
        <v>0</v>
      </c>
      <c r="D19" s="149"/>
      <c r="E19" s="149"/>
      <c r="F19" s="149"/>
      <c r="G19" s="149"/>
      <c r="H19" s="149"/>
      <c r="I19" s="149"/>
      <c r="J19" s="149">
        <v>204.40600000000001</v>
      </c>
      <c r="K19" s="149">
        <f t="shared" si="4"/>
        <v>251.41937999999999</v>
      </c>
      <c r="L19" s="149">
        <f t="shared" si="5"/>
        <v>271.5329304</v>
      </c>
      <c r="M19" s="149">
        <f t="shared" si="6"/>
        <v>285.10957691999999</v>
      </c>
      <c r="N19" s="149">
        <f t="shared" si="7"/>
        <v>296.5139599968</v>
      </c>
      <c r="O19" s="149">
        <f t="shared" si="7"/>
        <v>308.37451839667199</v>
      </c>
      <c r="P19" s="208"/>
    </row>
    <row r="20" spans="1:16">
      <c r="A20" s="228"/>
      <c r="B20" s="211"/>
      <c r="C20" s="141" t="s">
        <v>3</v>
      </c>
      <c r="D20" s="151"/>
      <c r="E20" s="151"/>
      <c r="F20" s="151"/>
      <c r="G20" s="151"/>
      <c r="H20" s="151"/>
      <c r="I20" s="151">
        <v>155.9</v>
      </c>
      <c r="J20" s="151">
        <v>204.40600000000001</v>
      </c>
      <c r="K20" s="151">
        <f>J20*1.23</f>
        <v>251.41937999999999</v>
      </c>
      <c r="L20" s="151">
        <f>K20*1.08</f>
        <v>271.5329304</v>
      </c>
      <c r="M20" s="151">
        <f t="shared" si="6"/>
        <v>285.10957691999999</v>
      </c>
      <c r="N20" s="151">
        <f>M20*1.04</f>
        <v>296.5139599968</v>
      </c>
      <c r="O20" s="151">
        <f>N20*1.04</f>
        <v>308.37451839667199</v>
      </c>
      <c r="P20" s="191"/>
    </row>
    <row r="21" spans="1:16">
      <c r="A21" s="228"/>
      <c r="B21" s="211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146.69999999999999</v>
      </c>
      <c r="I21" s="153">
        <v>153</v>
      </c>
      <c r="J21" s="206">
        <f>(+AVERAGE(J18:J20))</f>
        <v>204.40600000000003</v>
      </c>
      <c r="K21" s="209">
        <v>250</v>
      </c>
      <c r="L21" s="209">
        <v>270</v>
      </c>
      <c r="M21" s="209">
        <v>285</v>
      </c>
      <c r="N21" s="209">
        <v>295</v>
      </c>
      <c r="O21" s="209">
        <v>305</v>
      </c>
      <c r="P21" s="201"/>
    </row>
    <row r="22" spans="1:16">
      <c r="A22" s="228"/>
      <c r="B22" s="33">
        <f>B7</f>
        <v>43313</v>
      </c>
      <c r="C22" s="133" t="s">
        <v>1</v>
      </c>
      <c r="D22" s="154">
        <f>'Aug18'!D21</f>
        <v>80.3</v>
      </c>
      <c r="E22" s="154">
        <f>'Aug18'!E21</f>
        <v>96.4</v>
      </c>
      <c r="F22" s="154">
        <f>'Aug18'!F21</f>
        <v>113.9</v>
      </c>
      <c r="G22" s="154">
        <f>'Aug18'!G21</f>
        <v>141.4</v>
      </c>
      <c r="H22" s="154">
        <f>'Aug18'!H21</f>
        <v>146.69999999999999</v>
      </c>
      <c r="I22" s="154">
        <f>'Aug18'!I21</f>
        <v>153</v>
      </c>
      <c r="J22" s="154">
        <f>'Aug18'!J21</f>
        <v>202.0333333333333</v>
      </c>
      <c r="K22" s="154">
        <f>'Aug18'!K21</f>
        <v>245</v>
      </c>
      <c r="L22" s="154">
        <f>'Aug18'!L21</f>
        <v>270</v>
      </c>
      <c r="M22" s="154">
        <f>'Aug18'!M21</f>
        <v>285</v>
      </c>
      <c r="N22" s="154">
        <f>'Aug18'!N21</f>
        <v>300</v>
      </c>
      <c r="O22" s="154">
        <f>'Aug18'!O21</f>
        <v>315</v>
      </c>
      <c r="P22" s="191"/>
    </row>
    <row r="23" spans="1:16" hidden="1">
      <c r="A23" s="228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  <c r="M23" s="154"/>
      <c r="N23" s="154"/>
      <c r="O23" s="154"/>
      <c r="P23" s="191"/>
    </row>
    <row r="24" spans="1:16" hidden="1">
      <c r="A24" s="228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  <c r="M24" s="154"/>
      <c r="N24" s="154"/>
      <c r="O24" s="154"/>
      <c r="P24" s="191"/>
    </row>
    <row r="25" spans="1:16" hidden="1">
      <c r="A25" s="228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  <c r="M25" s="154"/>
      <c r="N25" s="154"/>
      <c r="O25" s="154"/>
      <c r="P25" s="191"/>
    </row>
    <row r="26" spans="1:16" hidden="1">
      <c r="A26" s="228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  <c r="M26" s="155"/>
      <c r="N26" s="155"/>
      <c r="O26" s="155"/>
      <c r="P26" s="192"/>
    </row>
    <row r="27" spans="1:16" hidden="1">
      <c r="A27" s="228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  <c r="M27" s="155"/>
      <c r="N27" s="155"/>
      <c r="O27" s="155"/>
      <c r="P27" s="192"/>
    </row>
    <row r="28" spans="1:16">
      <c r="A28" s="228"/>
      <c r="B28" s="33">
        <f>B18</f>
        <v>43435</v>
      </c>
      <c r="C28" s="229" t="s">
        <v>16</v>
      </c>
      <c r="D28" s="230"/>
      <c r="E28" s="167">
        <f t="shared" ref="E28:O29" si="8">(E21-D21)/D21</f>
        <v>0.20049813200498143</v>
      </c>
      <c r="F28" s="167">
        <f>(F21-E21)/E21</f>
        <v>0.18153526970954356</v>
      </c>
      <c r="G28" s="167">
        <f t="shared" si="8"/>
        <v>0.24143985952589991</v>
      </c>
      <c r="H28" s="167">
        <f t="shared" si="8"/>
        <v>3.7482319660537361E-2</v>
      </c>
      <c r="I28" s="167">
        <f>(I21-H21)/H21</f>
        <v>4.2944785276073698E-2</v>
      </c>
      <c r="J28" s="167">
        <f>(J21-I21)/I21</f>
        <v>0.33598692810457537</v>
      </c>
      <c r="K28" s="167">
        <f t="shared" si="8"/>
        <v>0.22305607467491148</v>
      </c>
      <c r="L28" s="167">
        <f>(L21-K21)/K21</f>
        <v>0.08</v>
      </c>
      <c r="M28" s="167">
        <f>(M21-L21)/L21</f>
        <v>5.5555555555555552E-2</v>
      </c>
      <c r="N28" s="167">
        <f>(N21-M21)/M21</f>
        <v>3.5087719298245612E-2</v>
      </c>
      <c r="O28" s="167">
        <f>(O21-N21)/N21</f>
        <v>3.3898305084745763E-2</v>
      </c>
      <c r="P28" s="193"/>
    </row>
    <row r="29" spans="1:16">
      <c r="A29" s="228"/>
      <c r="B29" s="33">
        <f>B7</f>
        <v>43313</v>
      </c>
      <c r="C29" s="231" t="s">
        <v>16</v>
      </c>
      <c r="D29" s="232"/>
      <c r="E29" s="168">
        <f>(E22-D22)/D22</f>
        <v>0.20049813200498143</v>
      </c>
      <c r="F29" s="168">
        <f t="shared" ref="F29:O30" si="9">(F22-E22)/E22</f>
        <v>0.18153526970954356</v>
      </c>
      <c r="G29" s="168">
        <f>(G22-F22)/F22</f>
        <v>0.24143985952589991</v>
      </c>
      <c r="H29" s="168">
        <f t="shared" si="8"/>
        <v>3.7482319660537361E-2</v>
      </c>
      <c r="I29" s="168">
        <f>(I22-H22)/H22</f>
        <v>4.2944785276073698E-2</v>
      </c>
      <c r="J29" s="168">
        <f t="shared" si="8"/>
        <v>0.3204793028322438</v>
      </c>
      <c r="K29" s="168">
        <f>(K22-J22)/J22</f>
        <v>0.21267117637353591</v>
      </c>
      <c r="L29" s="168">
        <f t="shared" si="8"/>
        <v>0.10204081632653061</v>
      </c>
      <c r="M29" s="168">
        <f t="shared" si="8"/>
        <v>5.5555555555555552E-2</v>
      </c>
      <c r="N29" s="168">
        <f t="shared" si="8"/>
        <v>5.2631578947368418E-2</v>
      </c>
      <c r="O29" s="168">
        <f t="shared" si="8"/>
        <v>0.05</v>
      </c>
      <c r="P29" s="194"/>
    </row>
    <row r="30" spans="1:16" hidden="1">
      <c r="A30" s="228"/>
      <c r="B30" s="33">
        <v>41974</v>
      </c>
      <c r="C30" s="231" t="s">
        <v>16</v>
      </c>
      <c r="D30" s="232"/>
      <c r="E30" s="147">
        <f>(E23-D23)/D23</f>
        <v>0.20049813200498143</v>
      </c>
      <c r="F30" s="147">
        <f t="shared" si="9"/>
        <v>0.17634854771784231</v>
      </c>
      <c r="G30" s="147">
        <f t="shared" si="9"/>
        <v>7.5837742504409111E-2</v>
      </c>
      <c r="H30" s="147">
        <f t="shared" si="9"/>
        <v>4.0983606557377046E-2</v>
      </c>
      <c r="I30" s="147">
        <f t="shared" si="9"/>
        <v>3.1496062992125984E-2</v>
      </c>
      <c r="J30" s="147">
        <f t="shared" si="9"/>
        <v>1.5267175572519083E-2</v>
      </c>
      <c r="K30" s="147">
        <f t="shared" si="9"/>
        <v>1.5037593984962405E-2</v>
      </c>
      <c r="L30" s="147">
        <f t="shared" si="9"/>
        <v>-1</v>
      </c>
      <c r="M30" s="147" t="e">
        <f t="shared" si="9"/>
        <v>#DIV/0!</v>
      </c>
      <c r="N30" s="147" t="e">
        <f t="shared" si="9"/>
        <v>#DIV/0!</v>
      </c>
      <c r="O30" s="147" t="e">
        <f t="shared" si="9"/>
        <v>#DIV/0!</v>
      </c>
      <c r="P30" s="195"/>
    </row>
    <row r="31" spans="1:16" hidden="1">
      <c r="A31" s="228"/>
      <c r="B31" s="33">
        <v>41499</v>
      </c>
      <c r="C31" s="229" t="s">
        <v>16</v>
      </c>
      <c r="D31" s="230"/>
      <c r="E31" s="146">
        <f t="shared" ref="E31:J31" si="10">(E25-D25)/D25</f>
        <v>0.12401648557512186</v>
      </c>
      <c r="F31" s="146">
        <f t="shared" si="10"/>
        <v>3.3333333333333333E-2</v>
      </c>
      <c r="G31" s="146">
        <f t="shared" si="10"/>
        <v>4.3010752688172046E-2</v>
      </c>
      <c r="H31" s="146">
        <f t="shared" si="10"/>
        <v>3.0927835051546393E-2</v>
      </c>
      <c r="I31" s="146">
        <f t="shared" si="10"/>
        <v>0.01</v>
      </c>
      <c r="J31" s="146">
        <f t="shared" si="10"/>
        <v>9.9009900990099011E-3</v>
      </c>
      <c r="K31" s="146"/>
      <c r="L31" s="146"/>
      <c r="M31" s="146"/>
      <c r="N31" s="146"/>
      <c r="O31" s="146"/>
      <c r="P31" s="174"/>
    </row>
    <row r="32" spans="1:16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  <c r="M32" s="158"/>
      <c r="N32" s="158"/>
      <c r="O32" s="158"/>
      <c r="P32" s="196"/>
    </row>
    <row r="33" spans="1:16">
      <c r="A33" s="237" t="s">
        <v>18</v>
      </c>
      <c r="B33" s="239">
        <f>B2</f>
        <v>43435</v>
      </c>
      <c r="C33" s="134" t="s">
        <v>4</v>
      </c>
      <c r="D33" s="135"/>
      <c r="E33" s="135"/>
      <c r="F33" s="135"/>
      <c r="G33" s="135"/>
      <c r="H33" s="135"/>
      <c r="I33" s="135">
        <v>3.24</v>
      </c>
      <c r="J33" s="135">
        <v>3.53</v>
      </c>
      <c r="K33" s="135">
        <v>3.55</v>
      </c>
      <c r="L33" s="135">
        <v>2.8</v>
      </c>
      <c r="M33" s="135">
        <v>3</v>
      </c>
      <c r="N33" s="135">
        <v>3.04</v>
      </c>
      <c r="O33" s="135">
        <v>3.22</v>
      </c>
      <c r="P33" s="188"/>
    </row>
    <row r="34" spans="1:16" ht="15" customHeight="1">
      <c r="A34" s="238"/>
      <c r="B34" s="240"/>
      <c r="C34" s="136" t="s">
        <v>2</v>
      </c>
      <c r="D34" s="159"/>
      <c r="E34" s="159"/>
      <c r="F34" s="159"/>
      <c r="G34" s="159"/>
      <c r="H34" s="159"/>
      <c r="I34" s="159">
        <v>3.24</v>
      </c>
      <c r="J34" s="159">
        <v>3.53</v>
      </c>
      <c r="K34" s="210">
        <v>3.54</v>
      </c>
      <c r="L34" s="210">
        <v>3.14</v>
      </c>
      <c r="M34" s="210">
        <v>3.08</v>
      </c>
      <c r="N34" s="210">
        <v>3.07</v>
      </c>
      <c r="O34" s="210">
        <v>3.08</v>
      </c>
      <c r="P34" s="197"/>
    </row>
    <row r="35" spans="1:16">
      <c r="A35" s="238"/>
      <c r="B35" s="240"/>
      <c r="C35" s="139" t="s">
        <v>0</v>
      </c>
      <c r="D35" s="140"/>
      <c r="E35" s="140"/>
      <c r="F35" s="140"/>
      <c r="G35" s="140"/>
      <c r="H35" s="140"/>
      <c r="I35" s="140">
        <v>3.25</v>
      </c>
      <c r="J35" s="140">
        <v>3.53</v>
      </c>
      <c r="K35" s="140">
        <v>3.54</v>
      </c>
      <c r="L35" s="140">
        <v>3.08</v>
      </c>
      <c r="M35" s="140">
        <v>2.94</v>
      </c>
      <c r="N35" s="140">
        <v>2.93</v>
      </c>
      <c r="O35" s="140">
        <v>2.96</v>
      </c>
      <c r="P35" s="188"/>
    </row>
    <row r="36" spans="1:16">
      <c r="A36" s="238"/>
      <c r="B36" s="240"/>
      <c r="C36" s="141" t="s">
        <v>3</v>
      </c>
      <c r="D36" s="142"/>
      <c r="E36" s="142"/>
      <c r="F36" s="142"/>
      <c r="G36" s="142"/>
      <c r="H36" s="142"/>
      <c r="I36" s="142">
        <v>3.22</v>
      </c>
      <c r="J36" s="170">
        <v>3.4670000000000001</v>
      </c>
      <c r="K36" s="142">
        <v>3.62</v>
      </c>
      <c r="L36" s="142">
        <v>2.86</v>
      </c>
      <c r="M36" s="142">
        <v>2.96</v>
      </c>
      <c r="N36" s="142">
        <v>2.99</v>
      </c>
      <c r="O36" s="142">
        <v>2.94</v>
      </c>
      <c r="P36" s="188"/>
    </row>
    <row r="37" spans="1:16">
      <c r="A37" s="238"/>
      <c r="B37" s="241"/>
      <c r="C37" s="143" t="s">
        <v>1</v>
      </c>
      <c r="D37" s="144">
        <v>5.01</v>
      </c>
      <c r="E37" s="144">
        <v>4.38</v>
      </c>
      <c r="F37" s="144">
        <v>5.14</v>
      </c>
      <c r="G37" s="144">
        <v>3.78</v>
      </c>
      <c r="H37" s="144">
        <v>2.42</v>
      </c>
      <c r="I37" s="144">
        <f t="shared" ref="I37" si="11">+AVERAGE(I33:I36)</f>
        <v>3.2375000000000003</v>
      </c>
      <c r="J37" s="144">
        <f t="shared" ref="J37:M37" si="12">AVERAGE(J33:J36)</f>
        <v>3.5142500000000001</v>
      </c>
      <c r="K37" s="144">
        <v>3.55</v>
      </c>
      <c r="L37" s="144">
        <v>3</v>
      </c>
      <c r="M37" s="144">
        <f t="shared" si="12"/>
        <v>2.9950000000000001</v>
      </c>
      <c r="N37" s="144">
        <v>3</v>
      </c>
      <c r="O37" s="144">
        <v>3</v>
      </c>
      <c r="P37" s="200"/>
    </row>
    <row r="38" spans="1:16">
      <c r="A38" s="238"/>
      <c r="B38" s="33">
        <f>B7</f>
        <v>43313</v>
      </c>
      <c r="C38" s="133" t="s">
        <v>1</v>
      </c>
      <c r="D38" s="138">
        <f>'Aug18'!D37</f>
        <v>5.01</v>
      </c>
      <c r="E38" s="138">
        <f>'Aug18'!E37</f>
        <v>4.38</v>
      </c>
      <c r="F38" s="138">
        <f>'Aug18'!F37</f>
        <v>5.14</v>
      </c>
      <c r="G38" s="138">
        <f>'Aug18'!G37</f>
        <v>3.78</v>
      </c>
      <c r="H38" s="138">
        <f>'Aug18'!H37</f>
        <v>2.42</v>
      </c>
      <c r="I38" s="138">
        <f>'Aug18'!I37</f>
        <v>3.2375000000000003</v>
      </c>
      <c r="J38" s="138">
        <f>'Aug18'!J37</f>
        <v>3.25</v>
      </c>
      <c r="K38" s="138">
        <f>'Aug18'!K37</f>
        <v>3.0999999999999996</v>
      </c>
      <c r="L38" s="138">
        <f>'Aug18'!L37</f>
        <v>2.95</v>
      </c>
      <c r="M38" s="138">
        <f>'Aug18'!M37</f>
        <v>2.9</v>
      </c>
      <c r="N38" s="138">
        <f>'Aug18'!N37</f>
        <v>3</v>
      </c>
      <c r="O38" s="138">
        <f>'Aug18'!O37</f>
        <v>3.1</v>
      </c>
      <c r="P38" s="188"/>
    </row>
    <row r="39" spans="1:16" ht="15" hidden="1" customHeight="1">
      <c r="A39" s="204"/>
      <c r="B39" s="33">
        <v>41974</v>
      </c>
      <c r="C39" s="133" t="s">
        <v>1</v>
      </c>
      <c r="D39" s="138">
        <v>5.01</v>
      </c>
      <c r="E39" s="138">
        <v>4.38</v>
      </c>
      <c r="F39" s="138">
        <v>5.13</v>
      </c>
      <c r="G39" s="138">
        <v>4.9000000000000004</v>
      </c>
      <c r="H39" s="138">
        <v>4.9000000000000004</v>
      </c>
      <c r="I39" s="138">
        <v>4.95</v>
      </c>
      <c r="J39" s="138">
        <v>5.0999999999999996</v>
      </c>
      <c r="K39" s="138">
        <v>5.2</v>
      </c>
      <c r="L39" s="138"/>
      <c r="M39" s="138"/>
    </row>
    <row r="40" spans="1:16" ht="15" hidden="1" customHeight="1">
      <c r="A40" s="204"/>
      <c r="B40" s="33">
        <v>41852</v>
      </c>
      <c r="C40" s="133" t="s">
        <v>1</v>
      </c>
      <c r="D40" s="138">
        <v>5.01</v>
      </c>
      <c r="E40" s="138">
        <v>4.38</v>
      </c>
      <c r="F40" s="138">
        <v>5.15</v>
      </c>
      <c r="G40" s="138">
        <v>5.2</v>
      </c>
      <c r="H40" s="138">
        <v>5.25</v>
      </c>
      <c r="I40" s="138">
        <v>5.3</v>
      </c>
      <c r="J40" s="138">
        <v>5.35</v>
      </c>
      <c r="K40" s="138">
        <v>5.4</v>
      </c>
      <c r="L40" s="138"/>
      <c r="M40" s="138"/>
    </row>
    <row r="41" spans="1:16" ht="15" hidden="1" customHeight="1">
      <c r="A41" s="204"/>
      <c r="B41" s="33">
        <v>41499</v>
      </c>
      <c r="C41" s="133" t="s">
        <v>1</v>
      </c>
      <c r="D41" s="138">
        <v>5</v>
      </c>
      <c r="E41" s="138">
        <v>4.5</v>
      </c>
      <c r="F41" s="138">
        <v>5</v>
      </c>
      <c r="G41" s="138">
        <v>5.4</v>
      </c>
      <c r="H41" s="138">
        <v>5.5</v>
      </c>
      <c r="I41" s="138">
        <v>5.5</v>
      </c>
      <c r="J41" s="138">
        <v>5.5</v>
      </c>
      <c r="K41" s="138"/>
      <c r="L41" s="138"/>
      <c r="M41" s="138"/>
    </row>
    <row r="42" spans="1:16" ht="15" hidden="1" customHeight="1">
      <c r="A42" s="204"/>
      <c r="B42" s="33">
        <v>41317</v>
      </c>
      <c r="C42" s="133" t="s">
        <v>1</v>
      </c>
      <c r="D42" s="145">
        <v>5</v>
      </c>
      <c r="E42" s="145">
        <v>4.5</v>
      </c>
      <c r="F42" s="145">
        <v>5.0999999999999996</v>
      </c>
      <c r="G42" s="145">
        <v>5.25</v>
      </c>
      <c r="H42" s="145">
        <v>5.5</v>
      </c>
      <c r="I42" s="145">
        <v>5.5</v>
      </c>
      <c r="J42" s="145"/>
      <c r="K42" s="145"/>
      <c r="L42" s="145"/>
      <c r="M42" s="145"/>
    </row>
    <row r="43" spans="1:16" ht="15" hidden="1" customHeight="1">
      <c r="A43" s="204"/>
      <c r="B43" s="33">
        <v>41244</v>
      </c>
      <c r="C43" s="133" t="s">
        <v>1</v>
      </c>
      <c r="D43" s="145">
        <v>5</v>
      </c>
      <c r="E43" s="145">
        <v>4.5</v>
      </c>
      <c r="F43" s="145">
        <v>5</v>
      </c>
      <c r="G43" s="145">
        <v>5.4</v>
      </c>
      <c r="H43" s="145">
        <v>5.6</v>
      </c>
      <c r="I43" s="145">
        <v>5.5</v>
      </c>
      <c r="J43" s="145">
        <v>5.5</v>
      </c>
      <c r="K43" s="145"/>
      <c r="L43" s="145"/>
      <c r="M43" s="145"/>
    </row>
    <row r="44" spans="1:16" ht="15" hidden="1" customHeight="1">
      <c r="A44" s="204"/>
      <c r="B44" s="33">
        <v>42217</v>
      </c>
      <c r="C44" s="229" t="s">
        <v>16</v>
      </c>
      <c r="D44" s="230"/>
      <c r="E44" s="146">
        <f t="shared" ref="E44:M46" si="13">(E37-D37)/D37</f>
        <v>-0.12574850299401197</v>
      </c>
      <c r="F44" s="146">
        <f t="shared" si="13"/>
        <v>0.17351598173515978</v>
      </c>
      <c r="G44" s="146">
        <f t="shared" si="13"/>
        <v>-0.26459143968871596</v>
      </c>
      <c r="H44" s="146">
        <f t="shared" si="13"/>
        <v>-0.35978835978835977</v>
      </c>
      <c r="I44" s="146">
        <f t="shared" si="13"/>
        <v>0.33780991735537202</v>
      </c>
      <c r="J44" s="146">
        <f t="shared" si="13"/>
        <v>8.5482625482625418E-2</v>
      </c>
      <c r="K44" s="146">
        <f t="shared" si="13"/>
        <v>1.0172867610443118E-2</v>
      </c>
      <c r="L44" s="146">
        <f t="shared" si="13"/>
        <v>-0.15492957746478869</v>
      </c>
      <c r="M44" s="146">
        <f t="shared" si="13"/>
        <v>-1.6666666666666312E-3</v>
      </c>
    </row>
    <row r="45" spans="1:16" ht="15" hidden="1" customHeight="1">
      <c r="A45" s="204"/>
      <c r="B45" s="33">
        <f>B29</f>
        <v>43313</v>
      </c>
      <c r="C45" s="231" t="s">
        <v>16</v>
      </c>
      <c r="D45" s="232"/>
      <c r="E45" s="147">
        <f t="shared" si="13"/>
        <v>-0.12574850299401197</v>
      </c>
      <c r="F45" s="147">
        <f t="shared" si="13"/>
        <v>0.17351598173515978</v>
      </c>
      <c r="G45" s="147">
        <f t="shared" si="13"/>
        <v>-0.26459143968871596</v>
      </c>
      <c r="H45" s="147">
        <f t="shared" si="13"/>
        <v>-0.35978835978835977</v>
      </c>
      <c r="I45" s="147">
        <f t="shared" si="13"/>
        <v>0.33780991735537202</v>
      </c>
      <c r="J45" s="147">
        <f t="shared" si="13"/>
        <v>3.8610038610037783E-3</v>
      </c>
      <c r="K45" s="147">
        <f t="shared" si="13"/>
        <v>-4.615384615384626E-2</v>
      </c>
      <c r="L45" s="147"/>
      <c r="M45" s="147"/>
    </row>
    <row r="46" spans="1:16" ht="15" hidden="1" customHeight="1">
      <c r="A46" s="204"/>
      <c r="B46" s="33">
        <v>41974</v>
      </c>
      <c r="C46" s="231" t="s">
        <v>16</v>
      </c>
      <c r="D46" s="232"/>
      <c r="E46" s="147">
        <f t="shared" si="13"/>
        <v>-0.12574850299401197</v>
      </c>
      <c r="F46" s="147">
        <f t="shared" si="13"/>
        <v>0.17123287671232876</v>
      </c>
      <c r="G46" s="147">
        <f t="shared" si="13"/>
        <v>-4.4834307992202643E-2</v>
      </c>
      <c r="H46" s="147">
        <f t="shared" si="13"/>
        <v>0</v>
      </c>
      <c r="I46" s="147">
        <f t="shared" si="13"/>
        <v>1.0204081632653024E-2</v>
      </c>
      <c r="J46" s="147">
        <f t="shared" si="13"/>
        <v>3.0303030303030193E-2</v>
      </c>
      <c r="K46" s="147">
        <f t="shared" si="13"/>
        <v>1.9607843137255009E-2</v>
      </c>
      <c r="L46" s="147">
        <f t="shared" si="13"/>
        <v>-1</v>
      </c>
      <c r="M46" s="147" t="e">
        <f t="shared" si="13"/>
        <v>#DIV/0!</v>
      </c>
    </row>
    <row r="47" spans="1:16" ht="15" hidden="1" customHeight="1">
      <c r="A47" s="205"/>
      <c r="B47" s="33">
        <v>41499</v>
      </c>
      <c r="C47" s="229" t="s">
        <v>16</v>
      </c>
      <c r="D47" s="230"/>
      <c r="E47" s="146">
        <f t="shared" ref="E47:J47" si="14">(E41-D41)/D41</f>
        <v>-0.1</v>
      </c>
      <c r="F47" s="146">
        <f t="shared" si="14"/>
        <v>0.1111111111111111</v>
      </c>
      <c r="G47" s="146">
        <f t="shared" si="14"/>
        <v>8.0000000000000071E-2</v>
      </c>
      <c r="H47" s="146">
        <f t="shared" si="14"/>
        <v>1.8518518518518452E-2</v>
      </c>
      <c r="I47" s="146">
        <f t="shared" si="14"/>
        <v>0</v>
      </c>
      <c r="J47" s="146">
        <f t="shared" si="14"/>
        <v>0</v>
      </c>
      <c r="K47" s="146"/>
      <c r="L47" s="146"/>
      <c r="M47" s="146"/>
    </row>
    <row r="48" spans="1:16">
      <c r="A48" s="65"/>
      <c r="B48" s="65"/>
      <c r="C48" s="65"/>
      <c r="D48" s="76"/>
      <c r="E48" s="76"/>
      <c r="F48" s="76"/>
      <c r="G48" s="130"/>
      <c r="H48" s="130"/>
      <c r="I48" s="130"/>
      <c r="J48" s="130"/>
      <c r="K48" s="130"/>
      <c r="L48" s="130"/>
      <c r="M48" s="130"/>
    </row>
    <row r="49" spans="1:16">
      <c r="A49" s="220" t="s">
        <v>19</v>
      </c>
      <c r="B49" s="212">
        <f>B2</f>
        <v>43435</v>
      </c>
      <c r="C49" s="136" t="s">
        <v>2</v>
      </c>
      <c r="D49" s="160"/>
      <c r="E49" s="161"/>
      <c r="F49" s="161"/>
      <c r="G49" s="161"/>
      <c r="H49" s="161"/>
      <c r="I49" s="161">
        <v>1235.7</v>
      </c>
      <c r="J49" s="161">
        <v>1361</v>
      </c>
      <c r="K49" s="161">
        <f t="shared" ref="K49:K50" si="15">+J50*1.08</f>
        <v>1469.88</v>
      </c>
      <c r="L49" s="161">
        <f t="shared" ref="L49:L50" si="16">K49*1.03</f>
        <v>1513.9764000000002</v>
      </c>
      <c r="M49" s="161">
        <f t="shared" ref="M49" si="17">L49*1.02</f>
        <v>1544.2559280000003</v>
      </c>
      <c r="N49" s="161">
        <f t="shared" ref="N49:O49" si="18">M49*1.01</f>
        <v>1559.6984872800003</v>
      </c>
      <c r="O49" s="161">
        <f t="shared" si="18"/>
        <v>1575.2954721528004</v>
      </c>
      <c r="P49" s="202"/>
    </row>
    <row r="50" spans="1:16">
      <c r="A50" s="221"/>
      <c r="B50" s="211"/>
      <c r="C50" s="139" t="s">
        <v>0</v>
      </c>
      <c r="D50" s="162"/>
      <c r="E50" s="162"/>
      <c r="F50" s="162"/>
      <c r="G50" s="162"/>
      <c r="H50" s="162"/>
      <c r="I50" s="162"/>
      <c r="J50" s="162">
        <v>1361</v>
      </c>
      <c r="K50" s="162">
        <f t="shared" si="15"/>
        <v>1469.88</v>
      </c>
      <c r="L50" s="162">
        <f t="shared" si="16"/>
        <v>1513.9764000000002</v>
      </c>
      <c r="M50" s="162">
        <f>L50*1.02</f>
        <v>1544.2559280000003</v>
      </c>
      <c r="N50" s="162">
        <f>M50*1.01</f>
        <v>1559.6984872800003</v>
      </c>
      <c r="O50" s="162">
        <f>N50*1.01</f>
        <v>1575.2954721528004</v>
      </c>
      <c r="P50" s="198"/>
    </row>
    <row r="51" spans="1:16">
      <c r="A51" s="221"/>
      <c r="B51" s="211"/>
      <c r="C51" s="141" t="s">
        <v>3</v>
      </c>
      <c r="D51" s="163"/>
      <c r="E51" s="163"/>
      <c r="F51" s="163"/>
      <c r="G51" s="163"/>
      <c r="H51" s="163"/>
      <c r="I51" s="163">
        <v>1235.5999999999999</v>
      </c>
      <c r="J51" s="163">
        <v>1361</v>
      </c>
      <c r="K51" s="163">
        <f>+J52*1.08</f>
        <v>1469.88</v>
      </c>
      <c r="L51" s="163">
        <f>K51*1.03</f>
        <v>1513.9764000000002</v>
      </c>
      <c r="M51" s="163">
        <f t="shared" ref="M51" si="19">L51*1.02</f>
        <v>1544.2559280000003</v>
      </c>
      <c r="N51" s="163">
        <f t="shared" ref="N51:O51" si="20">M51*1.01</f>
        <v>1559.6984872800003</v>
      </c>
      <c r="O51" s="163">
        <f t="shared" si="20"/>
        <v>1575.2954721528004</v>
      </c>
      <c r="P51" s="198"/>
    </row>
    <row r="52" spans="1:16">
      <c r="A52" s="221"/>
      <c r="B52" s="211"/>
      <c r="C52" s="143" t="s">
        <v>1</v>
      </c>
      <c r="D52" s="164">
        <v>1227</v>
      </c>
      <c r="E52" s="164">
        <v>1177.5</v>
      </c>
      <c r="F52" s="164">
        <v>1184.7</v>
      </c>
      <c r="G52" s="164">
        <v>1184.8</v>
      </c>
      <c r="H52" s="164">
        <v>1175</v>
      </c>
      <c r="I52" s="164">
        <f>(+AVERAGE(I49:I51))</f>
        <v>1235.6500000000001</v>
      </c>
      <c r="J52" s="206">
        <f t="shared" ref="J52" si="21">AVERAGE(J49:J51)</f>
        <v>1361</v>
      </c>
      <c r="K52" s="209">
        <v>1470</v>
      </c>
      <c r="L52" s="209">
        <v>1515</v>
      </c>
      <c r="M52" s="209">
        <v>1545</v>
      </c>
      <c r="N52" s="209">
        <v>1560</v>
      </c>
      <c r="O52" s="209">
        <v>1575</v>
      </c>
      <c r="P52" s="203"/>
    </row>
    <row r="53" spans="1:16">
      <c r="A53" s="221"/>
      <c r="B53" s="33">
        <f>B38</f>
        <v>43313</v>
      </c>
      <c r="C53" s="133" t="s">
        <v>1</v>
      </c>
      <c r="D53" s="160">
        <f>'Aug18'!D52</f>
        <v>1227</v>
      </c>
      <c r="E53" s="160">
        <f>'Aug18'!E52</f>
        <v>1177.5</v>
      </c>
      <c r="F53" s="160">
        <f>'Aug18'!F52</f>
        <v>1184.7</v>
      </c>
      <c r="G53" s="160">
        <f>'Aug18'!G52</f>
        <v>1184.8</v>
      </c>
      <c r="H53" s="160">
        <f>'Aug18'!H52</f>
        <v>1175</v>
      </c>
      <c r="I53" s="160">
        <f>'Aug18'!I52</f>
        <v>1235.6500000000001</v>
      </c>
      <c r="J53" s="160">
        <f>'Aug18'!J52</f>
        <v>1300</v>
      </c>
      <c r="K53" s="160">
        <f>'Aug18'!K52</f>
        <v>1380.6000000000001</v>
      </c>
      <c r="L53" s="160">
        <f>'Aug18'!L52</f>
        <v>1415.115</v>
      </c>
      <c r="M53" s="160">
        <f>'Aug18'!M52</f>
        <v>1429.2661499999999</v>
      </c>
      <c r="N53" s="160">
        <f>'Aug18'!N52</f>
        <v>1444.9880776499997</v>
      </c>
      <c r="O53" s="160">
        <f>'Aug18'!O52</f>
        <v>1463.7729226594495</v>
      </c>
      <c r="P53" s="198"/>
    </row>
    <row r="54" spans="1:16" hidden="1">
      <c r="A54" s="221"/>
      <c r="B54" s="33">
        <v>41974</v>
      </c>
      <c r="C54" s="133" t="s">
        <v>1</v>
      </c>
      <c r="D54" s="160">
        <v>1227</v>
      </c>
      <c r="E54" s="160">
        <v>1177.5</v>
      </c>
      <c r="F54" s="160">
        <v>1187.3</v>
      </c>
      <c r="G54" s="160">
        <v>1181</v>
      </c>
      <c r="H54" s="160">
        <v>1150</v>
      </c>
      <c r="I54" s="160">
        <v>1118</v>
      </c>
      <c r="J54" s="160">
        <v>1088</v>
      </c>
      <c r="K54" s="160">
        <v>1052</v>
      </c>
      <c r="L54" s="160"/>
      <c r="M54" s="160"/>
      <c r="N54" s="160"/>
      <c r="O54" s="160"/>
      <c r="P54" s="198"/>
    </row>
    <row r="55" spans="1:16" hidden="1">
      <c r="A55" s="221"/>
      <c r="B55" s="33">
        <v>41852</v>
      </c>
      <c r="C55" s="133" t="s">
        <v>1</v>
      </c>
      <c r="D55" s="160">
        <v>1227</v>
      </c>
      <c r="E55" s="160">
        <v>1177.5</v>
      </c>
      <c r="F55" s="160">
        <v>1170</v>
      </c>
      <c r="G55" s="160">
        <v>1158.3</v>
      </c>
      <c r="H55" s="160">
        <v>1123.5509999999999</v>
      </c>
      <c r="I55" s="160">
        <v>1089.84447</v>
      </c>
      <c r="J55" s="160">
        <v>1057.1491358999999</v>
      </c>
      <c r="K55" s="160">
        <v>1025.4346618229999</v>
      </c>
      <c r="L55" s="160"/>
      <c r="M55" s="160"/>
      <c r="N55" s="160"/>
      <c r="O55" s="160"/>
      <c r="P55" s="198"/>
    </row>
    <row r="56" spans="1:16" hidden="1">
      <c r="A56" s="221"/>
      <c r="B56" s="33">
        <v>41499</v>
      </c>
      <c r="C56" s="133" t="s">
        <v>1</v>
      </c>
      <c r="D56" s="160">
        <v>1225.8499999999999</v>
      </c>
      <c r="E56" s="160">
        <v>1165</v>
      </c>
      <c r="F56" s="160">
        <v>1110</v>
      </c>
      <c r="G56" s="160">
        <v>1070</v>
      </c>
      <c r="H56" s="160">
        <v>1030</v>
      </c>
      <c r="I56" s="160">
        <v>1000</v>
      </c>
      <c r="J56" s="160">
        <v>960</v>
      </c>
      <c r="K56" s="165"/>
      <c r="L56" s="165"/>
      <c r="M56" s="165"/>
      <c r="N56" s="165"/>
      <c r="O56" s="165"/>
      <c r="P56" s="199"/>
    </row>
    <row r="57" spans="1:16" hidden="1">
      <c r="A57" s="221"/>
      <c r="B57" s="33">
        <v>41317</v>
      </c>
      <c r="C57" s="133" t="s">
        <v>1</v>
      </c>
      <c r="D57" s="165">
        <v>1226</v>
      </c>
      <c r="E57" s="165">
        <v>1185</v>
      </c>
      <c r="F57" s="165">
        <v>1151</v>
      </c>
      <c r="G57" s="165">
        <v>1121</v>
      </c>
      <c r="H57" s="165">
        <v>1090.1407234210708</v>
      </c>
      <c r="I57" s="165">
        <v>1048</v>
      </c>
      <c r="J57" s="165"/>
      <c r="K57" s="165"/>
      <c r="L57" s="165"/>
      <c r="M57" s="165"/>
      <c r="N57" s="165"/>
      <c r="O57" s="165"/>
      <c r="P57" s="199"/>
    </row>
    <row r="58" spans="1:16" hidden="1">
      <c r="A58" s="221"/>
      <c r="B58" s="33">
        <v>41244</v>
      </c>
      <c r="C58" s="133" t="s">
        <v>1</v>
      </c>
      <c r="D58" s="165">
        <v>1228.5423506666664</v>
      </c>
      <c r="E58" s="165">
        <v>1184.5870287874238</v>
      </c>
      <c r="F58" s="165">
        <v>1151.3778293463738</v>
      </c>
      <c r="G58" s="165">
        <v>1121.0332793283103</v>
      </c>
      <c r="H58" s="165">
        <v>1090.1407234210708</v>
      </c>
      <c r="I58" s="165">
        <v>1048</v>
      </c>
      <c r="J58" s="165">
        <v>1048</v>
      </c>
      <c r="K58" s="165"/>
      <c r="L58" s="165"/>
      <c r="M58" s="165"/>
      <c r="N58" s="165"/>
      <c r="O58" s="165"/>
      <c r="P58" s="199"/>
    </row>
    <row r="59" spans="1:16">
      <c r="A59" s="221"/>
      <c r="B59" s="33">
        <f>B49</f>
        <v>43435</v>
      </c>
      <c r="C59" s="229" t="s">
        <v>16</v>
      </c>
      <c r="D59" s="230"/>
      <c r="E59" s="167">
        <f t="shared" ref="E59:O61" si="22">(E52-D52)/D52</f>
        <v>-4.0342298288508556E-2</v>
      </c>
      <c r="F59" s="167">
        <f t="shared" si="22"/>
        <v>6.1146496815287013E-3</v>
      </c>
      <c r="G59" s="167">
        <f>(G52-F52)/F52</f>
        <v>8.4409555161567526E-5</v>
      </c>
      <c r="H59" s="167">
        <f t="shared" si="22"/>
        <v>-8.2714382174206239E-3</v>
      </c>
      <c r="I59" s="167">
        <f t="shared" si="22"/>
        <v>5.1617021276595822E-2</v>
      </c>
      <c r="J59" s="167">
        <f t="shared" si="22"/>
        <v>0.10144458382227969</v>
      </c>
      <c r="K59" s="167">
        <f t="shared" si="22"/>
        <v>8.0088170462894931E-2</v>
      </c>
      <c r="L59" s="167">
        <f t="shared" si="22"/>
        <v>3.0612244897959183E-2</v>
      </c>
      <c r="M59" s="167">
        <f t="shared" si="22"/>
        <v>1.9801980198019802E-2</v>
      </c>
      <c r="N59" s="167">
        <f t="shared" si="22"/>
        <v>9.7087378640776691E-3</v>
      </c>
      <c r="O59" s="167">
        <f t="shared" si="22"/>
        <v>9.6153846153846159E-3</v>
      </c>
      <c r="P59" s="193"/>
    </row>
    <row r="60" spans="1:16">
      <c r="A60" s="221"/>
      <c r="B60" s="33">
        <f>B45</f>
        <v>43313</v>
      </c>
      <c r="C60" s="231" t="s">
        <v>16</v>
      </c>
      <c r="D60" s="232"/>
      <c r="E60" s="168">
        <f>(E53-D53)/D53</f>
        <v>-4.0342298288508556E-2</v>
      </c>
      <c r="F60" s="168">
        <f t="shared" si="22"/>
        <v>6.1146496815287013E-3</v>
      </c>
      <c r="G60" s="168">
        <f>(G53-F53)/F53</f>
        <v>8.4409555161567526E-5</v>
      </c>
      <c r="H60" s="168">
        <f t="shared" si="22"/>
        <v>-8.2714382174206239E-3</v>
      </c>
      <c r="I60" s="168">
        <f t="shared" si="22"/>
        <v>5.1617021276595822E-2</v>
      </c>
      <c r="J60" s="168">
        <f t="shared" si="22"/>
        <v>5.2077853761178253E-2</v>
      </c>
      <c r="K60" s="168">
        <f t="shared" si="22"/>
        <v>6.2000000000000104E-2</v>
      </c>
      <c r="L60" s="168">
        <f t="shared" si="22"/>
        <v>2.4999999999999904E-2</v>
      </c>
      <c r="M60" s="168">
        <f t="shared" si="22"/>
        <v>9.9999999999999412E-3</v>
      </c>
      <c r="N60" s="168">
        <f t="shared" si="22"/>
        <v>1.099999999999984E-2</v>
      </c>
      <c r="O60" s="168">
        <f t="shared" si="22"/>
        <v>1.2999999999999852E-2</v>
      </c>
      <c r="P60" s="194"/>
    </row>
    <row r="61" spans="1:16" hidden="1">
      <c r="A61" s="221"/>
      <c r="B61" s="33">
        <v>41974</v>
      </c>
      <c r="C61" s="231" t="s">
        <v>16</v>
      </c>
      <c r="D61" s="232"/>
      <c r="E61" s="147">
        <f>(E54-D54)/D54</f>
        <v>-4.0342298288508556E-2</v>
      </c>
      <c r="F61" s="147">
        <f t="shared" si="22"/>
        <v>8.3227176220806408E-3</v>
      </c>
      <c r="G61" s="147">
        <f t="shared" si="22"/>
        <v>-5.3061568264128316E-3</v>
      </c>
      <c r="H61" s="147">
        <f t="shared" si="22"/>
        <v>-2.6248941574936496E-2</v>
      </c>
      <c r="I61" s="147">
        <f t="shared" si="22"/>
        <v>-2.782608695652174E-2</v>
      </c>
      <c r="J61" s="147">
        <f t="shared" si="22"/>
        <v>-2.6833631484794274E-2</v>
      </c>
      <c r="K61" s="147">
        <f t="shared" si="22"/>
        <v>-3.3088235294117647E-2</v>
      </c>
      <c r="L61" s="147">
        <f t="shared" si="22"/>
        <v>-1</v>
      </c>
      <c r="M61" s="147" t="e">
        <f t="shared" si="22"/>
        <v>#DIV/0!</v>
      </c>
    </row>
    <row r="62" spans="1:16" hidden="1">
      <c r="A62" s="222"/>
      <c r="B62" s="33">
        <v>41499</v>
      </c>
      <c r="C62" s="229" t="s">
        <v>16</v>
      </c>
      <c r="D62" s="230"/>
      <c r="E62" s="146">
        <f t="shared" ref="E62:J62" si="23">(E56-D56)/D56</f>
        <v>-4.9639025981971625E-2</v>
      </c>
      <c r="F62" s="146">
        <f t="shared" si="23"/>
        <v>-4.7210300429184553E-2</v>
      </c>
      <c r="G62" s="146">
        <f t="shared" si="23"/>
        <v>-3.6036036036036036E-2</v>
      </c>
      <c r="H62" s="146">
        <f t="shared" si="23"/>
        <v>-3.7383177570093455E-2</v>
      </c>
      <c r="I62" s="146">
        <f t="shared" si="23"/>
        <v>-2.9126213592233011E-2</v>
      </c>
      <c r="J62" s="146">
        <f t="shared" si="23"/>
        <v>-0.04</v>
      </c>
      <c r="K62" s="146"/>
      <c r="L62" s="146"/>
      <c r="M62" s="146"/>
    </row>
    <row r="63" spans="1:16">
      <c r="A63" s="108"/>
      <c r="B63" s="13"/>
      <c r="F63" s="112"/>
      <c r="G63" s="112"/>
      <c r="H63" s="112"/>
      <c r="I63" s="112"/>
      <c r="J63" s="112"/>
      <c r="K63" s="112"/>
      <c r="L63" s="112"/>
      <c r="M63" s="112"/>
    </row>
    <row r="64" spans="1:16">
      <c r="A64" s="9"/>
      <c r="B64" s="13"/>
      <c r="E64" s="94"/>
      <c r="F64" s="94"/>
      <c r="G64" s="112"/>
      <c r="H64" s="112"/>
      <c r="I64" s="112"/>
      <c r="J64" s="112"/>
      <c r="K64" s="112"/>
      <c r="L64" s="112"/>
      <c r="M64" s="112"/>
    </row>
    <row r="65" spans="1:13">
      <c r="A65" s="9"/>
      <c r="B65" s="13"/>
      <c r="E65" s="94"/>
      <c r="F65" s="94"/>
      <c r="G65" s="94"/>
      <c r="H65" s="112"/>
      <c r="I65" s="112"/>
      <c r="J65" s="112"/>
      <c r="K65" s="112"/>
      <c r="L65" s="112"/>
      <c r="M65" s="112"/>
    </row>
    <row r="66" spans="1:13">
      <c r="A66" s="9"/>
      <c r="B66" s="13"/>
    </row>
    <row r="67" spans="1:13">
      <c r="A67" s="9"/>
      <c r="B67" s="13"/>
    </row>
    <row r="68" spans="1:13">
      <c r="A68" s="9"/>
      <c r="B68" s="13"/>
    </row>
    <row r="69" spans="1:13">
      <c r="A69" s="9"/>
      <c r="B69" s="13"/>
    </row>
    <row r="70" spans="1:13">
      <c r="A70" s="9"/>
      <c r="B70" s="13"/>
    </row>
    <row r="71" spans="1:13">
      <c r="A71" s="9"/>
      <c r="B71" s="13"/>
    </row>
    <row r="72" spans="1:13">
      <c r="A72" s="9"/>
      <c r="B72" s="13"/>
    </row>
    <row r="73" spans="1:13">
      <c r="A73" s="9"/>
      <c r="B73" s="13"/>
    </row>
  </sheetData>
  <mergeCells count="25">
    <mergeCell ref="A49:A62"/>
    <mergeCell ref="B49:B52"/>
    <mergeCell ref="C59:D59"/>
    <mergeCell ref="C60:D60"/>
    <mergeCell ref="C61:D61"/>
    <mergeCell ref="C62:D62"/>
    <mergeCell ref="C47:D47"/>
    <mergeCell ref="A18:A31"/>
    <mergeCell ref="B18:B21"/>
    <mergeCell ref="C28:D28"/>
    <mergeCell ref="C29:D29"/>
    <mergeCell ref="C30:D30"/>
    <mergeCell ref="C31:D31"/>
    <mergeCell ref="A33:A38"/>
    <mergeCell ref="B33:B37"/>
    <mergeCell ref="C44:D44"/>
    <mergeCell ref="C45:D45"/>
    <mergeCell ref="C46:D46"/>
    <mergeCell ref="A2:A16"/>
    <mergeCell ref="B2:B6"/>
    <mergeCell ref="B7:B11"/>
    <mergeCell ref="C13:D13"/>
    <mergeCell ref="C14:D14"/>
    <mergeCell ref="C15:D15"/>
    <mergeCell ref="C16:D16"/>
  </mergeCells>
  <pageMargins left="0.5" right="0.17" top="0.63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workbookViewId="0">
      <selection activeCell="E31" sqref="E31"/>
    </sheetView>
  </sheetViews>
  <sheetFormatPr defaultColWidth="9.140625" defaultRowHeight="15"/>
  <cols>
    <col min="1" max="1" width="9.5703125" style="9" customWidth="1"/>
    <col min="2" max="2" width="9.42578125" style="13" customWidth="1"/>
    <col min="3" max="3" width="7.5703125" customWidth="1"/>
    <col min="4" max="9" width="12.42578125" customWidth="1"/>
  </cols>
  <sheetData>
    <row r="1" spans="1:9">
      <c r="A1" s="8"/>
      <c r="B1" s="11"/>
      <c r="C1" s="6"/>
      <c r="D1" s="2" t="s">
        <v>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>
      <c r="A2" s="211" t="s">
        <v>10</v>
      </c>
      <c r="B2" s="10" t="s">
        <v>11</v>
      </c>
      <c r="C2" s="10"/>
      <c r="D2" s="28">
        <v>89.67</v>
      </c>
      <c r="E2" s="28">
        <v>88.25</v>
      </c>
      <c r="F2" s="28">
        <v>91.55</v>
      </c>
      <c r="G2" s="28">
        <v>87.82</v>
      </c>
      <c r="H2" s="28">
        <v>84.87</v>
      </c>
      <c r="I2" s="28">
        <v>82.61</v>
      </c>
    </row>
    <row r="3" spans="1:9" ht="15" customHeight="1">
      <c r="A3" s="211"/>
      <c r="B3" s="212">
        <v>41302</v>
      </c>
      <c r="C3" s="6" t="s">
        <v>2</v>
      </c>
      <c r="D3" s="29">
        <v>89.68</v>
      </c>
      <c r="E3" s="41">
        <v>84.37</v>
      </c>
      <c r="F3" s="41">
        <v>84.53</v>
      </c>
      <c r="G3" s="41">
        <v>83.29</v>
      </c>
      <c r="H3" s="41">
        <v>82.09</v>
      </c>
      <c r="I3" s="41">
        <v>81.56</v>
      </c>
    </row>
    <row r="4" spans="1:9">
      <c r="A4" s="211"/>
      <c r="B4" s="211"/>
      <c r="C4" s="42" t="s">
        <v>0</v>
      </c>
      <c r="D4" s="43">
        <v>90.25</v>
      </c>
      <c r="E4" s="43">
        <v>86.42</v>
      </c>
      <c r="F4" s="43">
        <v>90.28</v>
      </c>
      <c r="G4" s="43">
        <v>91.26</v>
      </c>
      <c r="H4" s="43">
        <v>90.18</v>
      </c>
      <c r="I4" s="43">
        <v>89.44</v>
      </c>
    </row>
    <row r="5" spans="1:9">
      <c r="A5" s="211"/>
      <c r="B5" s="211"/>
      <c r="C5" s="44" t="s">
        <v>3</v>
      </c>
      <c r="D5" s="45">
        <v>90.03</v>
      </c>
      <c r="E5" s="45">
        <v>86.34</v>
      </c>
      <c r="F5" s="45">
        <v>87.44</v>
      </c>
      <c r="G5" s="45">
        <v>84.6</v>
      </c>
      <c r="H5" s="45">
        <v>82.12</v>
      </c>
      <c r="I5" s="45">
        <v>82.25</v>
      </c>
    </row>
    <row r="6" spans="1:9">
      <c r="A6" s="211"/>
      <c r="B6" s="211"/>
      <c r="C6" s="46" t="s">
        <v>4</v>
      </c>
      <c r="D6" s="47"/>
      <c r="E6" s="47">
        <v>85.75</v>
      </c>
      <c r="F6" s="47">
        <v>86.49</v>
      </c>
      <c r="G6" s="47">
        <v>83.4</v>
      </c>
      <c r="H6" s="47">
        <v>80.87</v>
      </c>
      <c r="I6" s="47">
        <v>83.12</v>
      </c>
    </row>
    <row r="7" spans="1:9">
      <c r="A7" s="211"/>
      <c r="B7" s="211"/>
      <c r="C7" s="48" t="s">
        <v>1</v>
      </c>
      <c r="D7" s="49">
        <v>90</v>
      </c>
      <c r="E7" s="49">
        <v>86.5</v>
      </c>
      <c r="F7" s="49">
        <v>88</v>
      </c>
      <c r="G7" s="49">
        <f>F7-0.5</f>
        <v>87.5</v>
      </c>
      <c r="H7" s="49">
        <f>G7-0.5</f>
        <v>87</v>
      </c>
      <c r="I7" s="49">
        <f>H7-0.5</f>
        <v>86.5</v>
      </c>
    </row>
    <row r="8" spans="1:9">
      <c r="A8" s="32"/>
      <c r="B8" s="33">
        <v>41244</v>
      </c>
      <c r="C8" s="35" t="s">
        <v>1</v>
      </c>
      <c r="D8" s="50">
        <v>89.640506965377526</v>
      </c>
      <c r="E8" s="50">
        <v>85</v>
      </c>
      <c r="F8" s="50">
        <v>84.75</v>
      </c>
      <c r="G8" s="50">
        <v>83.5</v>
      </c>
      <c r="H8" s="50">
        <v>82.5</v>
      </c>
      <c r="I8" s="50">
        <v>83</v>
      </c>
    </row>
    <row r="9" spans="1:9">
      <c r="C9" s="215" t="s">
        <v>16</v>
      </c>
      <c r="D9" s="216"/>
      <c r="E9" s="30">
        <f>(E7-D7)/D7</f>
        <v>-3.888888888888889E-2</v>
      </c>
      <c r="F9" s="30">
        <f>(F7-E7)/E7</f>
        <v>1.7341040462427744E-2</v>
      </c>
      <c r="G9" s="30">
        <f>(G7-F7)/F7</f>
        <v>-5.681818181818182E-3</v>
      </c>
      <c r="H9" s="30">
        <f>(H7-G7)/G7</f>
        <v>-5.7142857142857143E-3</v>
      </c>
      <c r="I9" s="30">
        <f>(I7-H7)/H7</f>
        <v>-5.7471264367816091E-3</v>
      </c>
    </row>
    <row r="10" spans="1:9">
      <c r="A10" s="211"/>
      <c r="B10" s="211"/>
      <c r="C10" s="211"/>
      <c r="D10" s="211"/>
      <c r="E10" s="211"/>
      <c r="F10" s="211"/>
      <c r="G10" s="211"/>
      <c r="H10" s="211"/>
      <c r="I10" s="211"/>
    </row>
    <row r="11" spans="1:9" ht="15" customHeight="1">
      <c r="A11" s="217" t="s">
        <v>12</v>
      </c>
      <c r="B11" s="34"/>
      <c r="C11" s="6"/>
      <c r="D11" s="27"/>
      <c r="E11" s="27"/>
      <c r="F11" s="27"/>
      <c r="G11" s="27"/>
      <c r="H11" s="27"/>
      <c r="I11" s="27"/>
    </row>
    <row r="12" spans="1:9">
      <c r="A12" s="218"/>
      <c r="B12" s="212">
        <v>41302</v>
      </c>
      <c r="C12" s="6" t="s">
        <v>2</v>
      </c>
      <c r="D12" s="39">
        <v>80.099999999999994</v>
      </c>
      <c r="E12" s="39">
        <v>88.716505999999995</v>
      </c>
      <c r="F12" s="39">
        <v>94.713673999999997</v>
      </c>
      <c r="G12" s="39">
        <v>100.61603599999999</v>
      </c>
      <c r="H12" s="39">
        <v>106.51839699999999</v>
      </c>
      <c r="I12" s="39">
        <v>112.420759</v>
      </c>
    </row>
    <row r="13" spans="1:9">
      <c r="A13" s="218"/>
      <c r="B13" s="211"/>
      <c r="C13" s="42" t="s">
        <v>0</v>
      </c>
      <c r="D13" s="51">
        <v>79.7</v>
      </c>
      <c r="E13" s="51">
        <v>90.5</v>
      </c>
      <c r="F13" s="51">
        <v>95.1</v>
      </c>
      <c r="G13" s="51">
        <v>98.9</v>
      </c>
      <c r="H13" s="51">
        <v>101.8</v>
      </c>
      <c r="I13" s="51">
        <v>103.9</v>
      </c>
    </row>
    <row r="14" spans="1:9">
      <c r="A14" s="218"/>
      <c r="B14" s="211"/>
      <c r="C14" s="44" t="s">
        <v>3</v>
      </c>
      <c r="D14" s="52">
        <v>80.069999999999993</v>
      </c>
      <c r="E14" s="52">
        <v>85.23</v>
      </c>
      <c r="F14" s="52">
        <f>E14*1.051</f>
        <v>89.576729999999998</v>
      </c>
      <c r="G14" s="52">
        <f>F14*1.045</f>
        <v>93.607682849999989</v>
      </c>
      <c r="H14" s="52">
        <f>G14*1.04</f>
        <v>97.351990163999986</v>
      </c>
      <c r="I14" s="52">
        <f>H14*1.02</f>
        <v>99.299029967279992</v>
      </c>
    </row>
    <row r="15" spans="1:9">
      <c r="A15" s="219"/>
      <c r="B15" s="211"/>
      <c r="C15" s="48" t="s">
        <v>1</v>
      </c>
      <c r="D15" s="53">
        <v>80.069999999999993</v>
      </c>
      <c r="E15" s="53">
        <v>87</v>
      </c>
      <c r="F15" s="53">
        <f>E15*(1+0.05)</f>
        <v>91.350000000000009</v>
      </c>
      <c r="G15" s="53">
        <f>F15*(1+0.03)</f>
        <v>94.090500000000006</v>
      </c>
      <c r="H15" s="53">
        <f>G15*(1+0.02)</f>
        <v>95.972310000000007</v>
      </c>
      <c r="I15" s="53">
        <f>H15*(1+0.02)</f>
        <v>97.891756200000003</v>
      </c>
    </row>
    <row r="16" spans="1:9" s="37" customFormat="1">
      <c r="A16" s="36"/>
      <c r="B16" s="33">
        <v>41244</v>
      </c>
      <c r="C16" s="35" t="s">
        <v>1</v>
      </c>
      <c r="D16" s="54">
        <v>79.7</v>
      </c>
      <c r="E16" s="54">
        <v>84.119744824999998</v>
      </c>
      <c r="F16" s="54">
        <v>88.406534618000009</v>
      </c>
      <c r="G16" s="54">
        <v>92.434230656539995</v>
      </c>
      <c r="H16" s="54">
        <v>96.132415269670815</v>
      </c>
      <c r="I16" s="54">
        <v>97.6</v>
      </c>
    </row>
    <row r="17" spans="1:10">
      <c r="C17" s="215" t="s">
        <v>16</v>
      </c>
      <c r="D17" s="216"/>
      <c r="E17" s="30">
        <f>(E15-D15)/D15</f>
        <v>8.6549269389284464E-2</v>
      </c>
      <c r="F17" s="30">
        <f>(F15-E15)/E15</f>
        <v>5.00000000000001E-2</v>
      </c>
      <c r="G17" s="30">
        <f>(G15-F15)/F15</f>
        <v>2.9999999999999968E-2</v>
      </c>
      <c r="H17" s="30">
        <f>(H15-G15)/G15</f>
        <v>2.0000000000000014E-2</v>
      </c>
      <c r="I17" s="30">
        <f>(I15-H15)/H15</f>
        <v>1.9999999999999955E-2</v>
      </c>
    </row>
    <row r="18" spans="1:10">
      <c r="A18" s="211"/>
      <c r="B18" s="211"/>
      <c r="C18" s="211"/>
      <c r="D18" s="211"/>
      <c r="E18" s="211"/>
      <c r="F18" s="211"/>
      <c r="G18" s="211"/>
      <c r="H18" s="211"/>
      <c r="I18" s="211"/>
    </row>
    <row r="19" spans="1:10">
      <c r="A19" s="211" t="s">
        <v>18</v>
      </c>
      <c r="B19" s="12"/>
      <c r="C19" s="6"/>
      <c r="D19" s="31"/>
      <c r="E19" s="31"/>
      <c r="F19" s="31"/>
      <c r="G19" s="31"/>
      <c r="H19" s="31"/>
      <c r="I19" s="31"/>
    </row>
    <row r="20" spans="1:10">
      <c r="A20" s="211"/>
      <c r="B20" s="212">
        <v>41302</v>
      </c>
      <c r="C20" s="6" t="s">
        <v>2</v>
      </c>
      <c r="D20" s="38">
        <v>5</v>
      </c>
      <c r="E20" s="38">
        <v>4.8</v>
      </c>
      <c r="F20" s="38">
        <v>5.5</v>
      </c>
      <c r="G20" s="38">
        <v>5.6</v>
      </c>
      <c r="H20" s="38">
        <v>5.62</v>
      </c>
      <c r="I20" s="38">
        <v>5.67</v>
      </c>
    </row>
    <row r="21" spans="1:10">
      <c r="A21" s="211"/>
      <c r="B21" s="211"/>
      <c r="C21" s="42" t="s">
        <v>0</v>
      </c>
      <c r="D21" s="43">
        <v>4.9800000000000004</v>
      </c>
      <c r="E21" s="43">
        <v>4.54</v>
      </c>
      <c r="F21" s="43">
        <v>5.21</v>
      </c>
      <c r="G21" s="43">
        <v>5.63</v>
      </c>
      <c r="H21" s="43">
        <v>5.81</v>
      </c>
      <c r="I21" s="43">
        <v>6.25</v>
      </c>
    </row>
    <row r="22" spans="1:10">
      <c r="A22" s="211"/>
      <c r="B22" s="211"/>
      <c r="C22" s="44" t="s">
        <v>3</v>
      </c>
      <c r="D22" s="45">
        <v>4.99</v>
      </c>
      <c r="E22" s="45">
        <v>4.62</v>
      </c>
      <c r="F22" s="45">
        <v>5.57</v>
      </c>
      <c r="G22" s="45">
        <v>6.02</v>
      </c>
      <c r="H22" s="45">
        <v>5.59</v>
      </c>
      <c r="I22" s="45">
        <v>4.51</v>
      </c>
    </row>
    <row r="23" spans="1:10">
      <c r="A23" s="211"/>
      <c r="B23" s="211"/>
      <c r="C23" s="48" t="s">
        <v>1</v>
      </c>
      <c r="D23" s="49">
        <v>5</v>
      </c>
      <c r="E23" s="49">
        <v>4.5</v>
      </c>
      <c r="F23" s="49">
        <v>5.0999999999999996</v>
      </c>
      <c r="G23" s="49">
        <v>5.25</v>
      </c>
      <c r="H23" s="49">
        <f>G23+0.25</f>
        <v>5.5</v>
      </c>
      <c r="I23" s="49">
        <v>5.5</v>
      </c>
    </row>
    <row r="24" spans="1:10">
      <c r="A24" s="32"/>
      <c r="B24" s="40">
        <v>41244</v>
      </c>
      <c r="C24" s="35" t="s">
        <v>1</v>
      </c>
      <c r="D24" s="50">
        <v>5</v>
      </c>
      <c r="E24" s="50">
        <v>4.5</v>
      </c>
      <c r="F24" s="50">
        <v>5</v>
      </c>
      <c r="G24" s="50">
        <v>5.4</v>
      </c>
      <c r="H24" s="50">
        <v>5.6</v>
      </c>
      <c r="I24" s="50">
        <v>5.5</v>
      </c>
    </row>
    <row r="25" spans="1:10">
      <c r="C25" s="215" t="s">
        <v>16</v>
      </c>
      <c r="D25" s="216"/>
      <c r="E25" s="30">
        <f>(E24-D24)/D24</f>
        <v>-0.1</v>
      </c>
      <c r="F25" s="30">
        <f>(F24-E24)/E24</f>
        <v>0.1111111111111111</v>
      </c>
      <c r="G25" s="30">
        <f>(G24-F24)/F24</f>
        <v>8.0000000000000071E-2</v>
      </c>
      <c r="H25" s="30">
        <f>(H24-G24)/G24</f>
        <v>3.7037037037036903E-2</v>
      </c>
      <c r="I25" s="30">
        <f>(I24-H24)/H24</f>
        <v>-1.7857142857142794E-2</v>
      </c>
    </row>
    <row r="26" spans="1:10">
      <c r="A26" s="211"/>
      <c r="B26" s="211"/>
      <c r="C26" s="211"/>
      <c r="D26" s="211"/>
      <c r="E26" s="211"/>
      <c r="F26" s="211"/>
      <c r="G26" s="211"/>
      <c r="H26" s="211"/>
      <c r="I26" s="211"/>
    </row>
    <row r="27" spans="1:10" ht="15" customHeight="1">
      <c r="A27" s="217" t="s">
        <v>19</v>
      </c>
      <c r="B27" s="34"/>
      <c r="C27" s="6"/>
      <c r="D27" s="27"/>
      <c r="E27" s="27"/>
      <c r="F27" s="27"/>
      <c r="G27" s="27"/>
      <c r="H27" s="27"/>
      <c r="I27" s="27"/>
    </row>
    <row r="28" spans="1:10">
      <c r="A28" s="218"/>
      <c r="B28" s="212">
        <v>41302</v>
      </c>
      <c r="C28" s="6" t="s">
        <v>2</v>
      </c>
      <c r="D28" s="55">
        <v>1225.9000000000001</v>
      </c>
      <c r="E28" s="55">
        <v>1165.638412</v>
      </c>
      <c r="F28" s="55">
        <v>1124.439312</v>
      </c>
      <c r="G28" s="55">
        <v>1086.932761</v>
      </c>
      <c r="H28" s="55">
        <v>1050.841846</v>
      </c>
      <c r="I28" s="55">
        <v>1016.131819</v>
      </c>
    </row>
    <row r="29" spans="1:10">
      <c r="A29" s="218"/>
      <c r="B29" s="212"/>
      <c r="C29" s="42" t="s">
        <v>0</v>
      </c>
      <c r="D29" s="56">
        <v>1229</v>
      </c>
      <c r="E29" s="56">
        <v>1173</v>
      </c>
      <c r="F29" s="56">
        <v>1138</v>
      </c>
      <c r="G29" s="56">
        <v>1111</v>
      </c>
      <c r="H29" s="56">
        <v>1079</v>
      </c>
      <c r="I29" s="56">
        <v>1045</v>
      </c>
    </row>
    <row r="30" spans="1:10">
      <c r="A30" s="218"/>
      <c r="B30" s="212"/>
      <c r="C30" s="44" t="s">
        <v>3</v>
      </c>
      <c r="D30" s="57">
        <v>1225.8499999999999</v>
      </c>
      <c r="E30" s="57">
        <v>1167</v>
      </c>
      <c r="F30" s="57"/>
      <c r="G30" s="57"/>
      <c r="H30" s="57"/>
      <c r="I30" s="57"/>
    </row>
    <row r="31" spans="1:10">
      <c r="A31" s="219"/>
      <c r="B31" s="212"/>
      <c r="C31" s="48" t="s">
        <v>1</v>
      </c>
      <c r="D31" s="58">
        <v>1225.8499999999999</v>
      </c>
      <c r="E31" s="58">
        <v>1184.5870287874238</v>
      </c>
      <c r="F31" s="58">
        <v>1151.3778293463738</v>
      </c>
      <c r="G31" s="58">
        <v>1121.0332793283103</v>
      </c>
      <c r="H31" s="58">
        <v>1090.1407234210708</v>
      </c>
      <c r="I31" s="58">
        <v>1048</v>
      </c>
      <c r="J31" t="s">
        <v>20</v>
      </c>
    </row>
    <row r="32" spans="1:10">
      <c r="A32" s="32"/>
      <c r="B32" s="40">
        <v>41244</v>
      </c>
      <c r="C32" s="35" t="s">
        <v>1</v>
      </c>
      <c r="D32" s="59">
        <v>1228.5423506666664</v>
      </c>
      <c r="E32" s="59">
        <v>1184.5870287874238</v>
      </c>
      <c r="F32" s="59">
        <v>1151.3778293463738</v>
      </c>
      <c r="G32" s="59">
        <v>1121.0332793283103</v>
      </c>
      <c r="H32" s="59">
        <v>1090.1407234210708</v>
      </c>
      <c r="I32" s="59">
        <v>1048</v>
      </c>
    </row>
    <row r="33" spans="3:9">
      <c r="C33" s="215" t="s">
        <v>16</v>
      </c>
      <c r="D33" s="216"/>
      <c r="E33" s="30">
        <f>(E32-D32)/D32</f>
        <v>-3.5778434382331442E-2</v>
      </c>
      <c r="F33" s="30">
        <f>(F32-E32)/E32</f>
        <v>-2.8034410840243534E-2</v>
      </c>
      <c r="G33" s="30">
        <f>(G32-F32)/F32</f>
        <v>-2.635498899200605E-2</v>
      </c>
      <c r="H33" s="30">
        <f>(H32-G32)/G32</f>
        <v>-2.7557215719545284E-2</v>
      </c>
      <c r="I33" s="30">
        <f>(I32-H32)/H32</f>
        <v>-3.8656223472530331E-2</v>
      </c>
    </row>
  </sheetData>
  <mergeCells count="15">
    <mergeCell ref="A2:A7"/>
    <mergeCell ref="B3:B7"/>
    <mergeCell ref="C9:D9"/>
    <mergeCell ref="A10:I10"/>
    <mergeCell ref="A11:A15"/>
    <mergeCell ref="B12:B15"/>
    <mergeCell ref="A27:A31"/>
    <mergeCell ref="B28:B31"/>
    <mergeCell ref="C33:D33"/>
    <mergeCell ref="C17:D17"/>
    <mergeCell ref="A18:I18"/>
    <mergeCell ref="A19:A23"/>
    <mergeCell ref="B20:B23"/>
    <mergeCell ref="C25:D25"/>
    <mergeCell ref="A26:I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8"/>
  <sheetViews>
    <sheetView workbookViewId="0">
      <selection activeCell="G7" sqref="G7"/>
    </sheetView>
  </sheetViews>
  <sheetFormatPr defaultRowHeight="15"/>
  <sheetData>
    <row r="1" spans="1:10">
      <c r="A1" s="9" t="s">
        <v>22</v>
      </c>
      <c r="B1" s="84">
        <v>41487</v>
      </c>
    </row>
    <row r="2" spans="1:10" ht="26.25">
      <c r="A2" s="8"/>
      <c r="B2" s="11"/>
      <c r="C2" s="6"/>
      <c r="D2" s="2" t="s">
        <v>17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21</v>
      </c>
    </row>
    <row r="3" spans="1:10">
      <c r="A3" s="217" t="s">
        <v>10</v>
      </c>
      <c r="B3" s="212">
        <v>41487</v>
      </c>
      <c r="C3" s="46" t="s">
        <v>4</v>
      </c>
      <c r="D3" s="47"/>
      <c r="E3" s="47">
        <v>87.120211643249434</v>
      </c>
      <c r="F3" s="47">
        <v>90.616048162499979</v>
      </c>
      <c r="G3" s="47">
        <v>85.634801909999993</v>
      </c>
      <c r="H3" s="47">
        <v>84.349071056250011</v>
      </c>
      <c r="I3" s="47">
        <v>84.61751129999999</v>
      </c>
      <c r="J3" s="47">
        <v>85.59435465</v>
      </c>
    </row>
    <row r="4" spans="1:10">
      <c r="A4" s="218"/>
      <c r="B4" s="211"/>
      <c r="C4" s="6" t="s">
        <v>2</v>
      </c>
      <c r="D4" s="29"/>
      <c r="E4" s="41">
        <v>86.25</v>
      </c>
      <c r="F4" s="41">
        <v>94.14</v>
      </c>
      <c r="G4" s="41">
        <v>86.42</v>
      </c>
      <c r="H4" s="41">
        <v>82.95</v>
      </c>
      <c r="I4" s="41">
        <v>81.22</v>
      </c>
      <c r="J4" s="41">
        <v>80.69</v>
      </c>
    </row>
    <row r="5" spans="1:10">
      <c r="A5" s="218"/>
      <c r="B5" s="211"/>
      <c r="C5" s="42" t="s">
        <v>0</v>
      </c>
      <c r="D5" s="43"/>
      <c r="E5" s="43">
        <v>87.19</v>
      </c>
      <c r="F5" s="43">
        <v>93.25</v>
      </c>
      <c r="G5" s="43">
        <v>90.5</v>
      </c>
      <c r="H5" s="43">
        <v>87.75</v>
      </c>
      <c r="I5" s="43">
        <v>86.5</v>
      </c>
      <c r="J5" s="43">
        <v>85.75</v>
      </c>
    </row>
    <row r="6" spans="1:10">
      <c r="A6" s="218"/>
      <c r="B6" s="211"/>
      <c r="C6" s="44" t="s">
        <v>3</v>
      </c>
      <c r="D6" s="45"/>
      <c r="E6" s="45">
        <v>87.25</v>
      </c>
      <c r="F6" s="45">
        <v>94</v>
      </c>
      <c r="G6" s="45">
        <v>85.75</v>
      </c>
      <c r="H6" s="45">
        <v>83</v>
      </c>
      <c r="I6" s="45">
        <v>83.5</v>
      </c>
      <c r="J6" s="45">
        <v>85</v>
      </c>
    </row>
    <row r="7" spans="1:10">
      <c r="A7" s="218"/>
      <c r="B7" s="211"/>
      <c r="C7" s="48" t="s">
        <v>1</v>
      </c>
      <c r="D7" s="49">
        <v>90</v>
      </c>
      <c r="E7" s="49">
        <v>87</v>
      </c>
      <c r="F7" s="49">
        <v>94</v>
      </c>
      <c r="G7" s="49">
        <v>87.5</v>
      </c>
      <c r="H7" s="49">
        <v>85</v>
      </c>
      <c r="I7" s="49">
        <v>84</v>
      </c>
      <c r="J7" s="49">
        <v>84</v>
      </c>
    </row>
    <row r="8" spans="1:10">
      <c r="A8" s="218"/>
      <c r="B8" s="33">
        <v>41306</v>
      </c>
      <c r="C8" s="60" t="s">
        <v>1</v>
      </c>
      <c r="D8" s="81">
        <v>90</v>
      </c>
      <c r="E8" s="81">
        <v>86.5</v>
      </c>
      <c r="F8" s="81">
        <v>88</v>
      </c>
      <c r="G8" s="81">
        <v>87.5</v>
      </c>
      <c r="H8" s="81">
        <v>87</v>
      </c>
      <c r="I8" s="81">
        <v>86.5</v>
      </c>
      <c r="J8" s="81"/>
    </row>
    <row r="9" spans="1:10">
      <c r="A9" s="218"/>
      <c r="B9" s="33">
        <v>41244</v>
      </c>
      <c r="C9" s="60" t="s">
        <v>1</v>
      </c>
      <c r="D9" s="81">
        <v>89.640506965377526</v>
      </c>
      <c r="E9" s="81">
        <v>85</v>
      </c>
      <c r="F9" s="81">
        <v>84.75</v>
      </c>
      <c r="G9" s="81">
        <v>83.5</v>
      </c>
      <c r="H9" s="81">
        <v>82.5</v>
      </c>
      <c r="I9" s="81">
        <v>83</v>
      </c>
      <c r="J9" s="81">
        <v>83</v>
      </c>
    </row>
    <row r="10" spans="1:10">
      <c r="A10" s="218"/>
      <c r="B10" s="40">
        <v>41499</v>
      </c>
      <c r="C10" s="215" t="s">
        <v>16</v>
      </c>
      <c r="D10" s="216"/>
      <c r="E10" s="30">
        <v>-3.3333333333333333E-2</v>
      </c>
      <c r="F10" s="30">
        <v>8.0459770114942528E-2</v>
      </c>
      <c r="G10" s="30">
        <v>-6.9148936170212769E-2</v>
      </c>
      <c r="H10" s="30">
        <v>-2.8571428571428571E-2</v>
      </c>
      <c r="I10" s="30">
        <v>-1.1764705882352941E-2</v>
      </c>
      <c r="J10" s="30">
        <v>0</v>
      </c>
    </row>
    <row r="11" spans="1:10">
      <c r="A11" s="219"/>
      <c r="B11" s="40">
        <v>41318</v>
      </c>
      <c r="C11" s="215" t="s">
        <v>16</v>
      </c>
      <c r="D11" s="216"/>
      <c r="E11" s="30">
        <v>-3.888888888888889E-2</v>
      </c>
      <c r="F11" s="30">
        <v>1.7341040462427744E-2</v>
      </c>
      <c r="G11" s="30">
        <v>-5.681818181818182E-3</v>
      </c>
      <c r="H11" s="30">
        <v>-5.7142857142857143E-3</v>
      </c>
      <c r="I11" s="30">
        <v>-5.7471264367816091E-3</v>
      </c>
      <c r="J11" s="30"/>
    </row>
    <row r="12" spans="1:10">
      <c r="A12" s="65"/>
      <c r="B12" s="65"/>
      <c r="C12" s="65"/>
      <c r="D12" s="65"/>
      <c r="E12" s="65"/>
      <c r="F12" s="65"/>
      <c r="G12" s="65"/>
      <c r="H12" s="65"/>
      <c r="I12" s="65"/>
      <c r="J12" s="85"/>
    </row>
    <row r="13" spans="1:10">
      <c r="A13" s="217" t="s">
        <v>12</v>
      </c>
      <c r="B13" s="212">
        <v>41499</v>
      </c>
      <c r="C13" s="6" t="s">
        <v>2</v>
      </c>
      <c r="D13" s="80"/>
      <c r="E13" s="80">
        <v>91.9</v>
      </c>
      <c r="F13" s="80">
        <v>100.7</v>
      </c>
      <c r="G13" s="80">
        <v>108</v>
      </c>
      <c r="H13" s="80">
        <v>115.3</v>
      </c>
      <c r="I13" s="80">
        <v>122.7</v>
      </c>
      <c r="J13" s="80">
        <v>130</v>
      </c>
    </row>
    <row r="14" spans="1:10">
      <c r="A14" s="218"/>
      <c r="B14" s="211"/>
      <c r="C14" s="42" t="s">
        <v>0</v>
      </c>
      <c r="D14" s="51"/>
      <c r="E14" s="51">
        <v>93.5</v>
      </c>
      <c r="F14" s="51">
        <v>99.7</v>
      </c>
      <c r="G14" s="51">
        <v>106.3</v>
      </c>
      <c r="H14" s="51">
        <v>110.2</v>
      </c>
      <c r="I14" s="51">
        <v>114.6</v>
      </c>
      <c r="J14" s="51">
        <v>119.1</v>
      </c>
    </row>
    <row r="15" spans="1:10">
      <c r="A15" s="218"/>
      <c r="B15" s="211"/>
      <c r="C15" s="44" t="s">
        <v>3</v>
      </c>
      <c r="D15" s="52"/>
      <c r="E15" s="52">
        <v>81.099999999999994</v>
      </c>
      <c r="F15" s="52">
        <v>84.5</v>
      </c>
      <c r="G15" s="52">
        <v>88.1</v>
      </c>
      <c r="H15" s="52">
        <v>91.7</v>
      </c>
      <c r="I15" s="52">
        <v>91.7</v>
      </c>
      <c r="J15" s="52">
        <v>91.7</v>
      </c>
    </row>
    <row r="16" spans="1:10">
      <c r="A16" s="218"/>
      <c r="B16" s="211"/>
      <c r="C16" s="48" t="s">
        <v>1</v>
      </c>
      <c r="D16" s="53">
        <v>80.069999999999993</v>
      </c>
      <c r="E16" s="53">
        <v>90</v>
      </c>
      <c r="F16" s="53">
        <v>93</v>
      </c>
      <c r="G16" s="53">
        <v>97</v>
      </c>
      <c r="H16" s="53">
        <v>100</v>
      </c>
      <c r="I16" s="53">
        <v>101</v>
      </c>
      <c r="J16" s="53">
        <v>102</v>
      </c>
    </row>
    <row r="17" spans="1:10">
      <c r="A17" s="218"/>
      <c r="B17" s="33">
        <v>41317</v>
      </c>
      <c r="C17" s="60" t="s">
        <v>1</v>
      </c>
      <c r="D17" s="82">
        <v>80.099999999999994</v>
      </c>
      <c r="E17" s="82">
        <v>87</v>
      </c>
      <c r="F17" s="82">
        <v>91.4</v>
      </c>
      <c r="G17" s="82">
        <v>94.1</v>
      </c>
      <c r="H17" s="82">
        <v>96</v>
      </c>
      <c r="I17" s="82">
        <v>97.9</v>
      </c>
      <c r="J17" s="82"/>
    </row>
    <row r="18" spans="1:10">
      <c r="A18" s="218"/>
      <c r="B18" s="33">
        <v>41244</v>
      </c>
      <c r="C18" s="60" t="s">
        <v>1</v>
      </c>
      <c r="D18" s="82">
        <v>79.7</v>
      </c>
      <c r="E18" s="82">
        <v>84.119744824999998</v>
      </c>
      <c r="F18" s="82">
        <v>88.406534618000009</v>
      </c>
      <c r="G18" s="82">
        <v>92.434230656539995</v>
      </c>
      <c r="H18" s="82">
        <v>96.132415269670815</v>
      </c>
      <c r="I18" s="82">
        <v>97.6</v>
      </c>
      <c r="J18" s="82">
        <v>97.6</v>
      </c>
    </row>
    <row r="19" spans="1:10">
      <c r="A19" s="218"/>
      <c r="B19" s="40">
        <v>41499</v>
      </c>
      <c r="C19" s="215" t="s">
        <v>16</v>
      </c>
      <c r="D19" s="216"/>
      <c r="E19" s="30">
        <v>0.12401648557512186</v>
      </c>
      <c r="F19" s="30">
        <v>3.3333333333333333E-2</v>
      </c>
      <c r="G19" s="30">
        <v>4.3010752688172046E-2</v>
      </c>
      <c r="H19" s="30">
        <v>3.0927835051546393E-2</v>
      </c>
      <c r="I19" s="30">
        <v>0.01</v>
      </c>
      <c r="J19" s="30">
        <v>9.9009900990099011E-3</v>
      </c>
    </row>
    <row r="20" spans="1:10">
      <c r="A20" s="219"/>
      <c r="B20" s="40">
        <v>41318</v>
      </c>
      <c r="C20" s="215" t="s">
        <v>16</v>
      </c>
      <c r="D20" s="216"/>
      <c r="E20" s="30">
        <v>8.6142322097378349E-2</v>
      </c>
      <c r="F20" s="30">
        <v>5.057471264367823E-2</v>
      </c>
      <c r="G20" s="30">
        <v>2.954048140043751E-2</v>
      </c>
      <c r="H20" s="30">
        <v>2.0191285866099955E-2</v>
      </c>
      <c r="I20" s="30">
        <v>1.9791666666666725E-2</v>
      </c>
      <c r="J20" s="30"/>
    </row>
    <row r="21" spans="1:10">
      <c r="A21" s="9"/>
      <c r="B21" s="66"/>
      <c r="C21" s="67"/>
      <c r="D21" s="67"/>
      <c r="E21" s="68"/>
      <c r="F21" s="68"/>
      <c r="G21" s="68"/>
      <c r="H21" s="68"/>
      <c r="I21" s="68"/>
      <c r="J21" s="68"/>
    </row>
    <row r="22" spans="1:10">
      <c r="A22" s="217" t="s">
        <v>18</v>
      </c>
      <c r="B22" s="212">
        <v>41499</v>
      </c>
      <c r="C22" s="6" t="s">
        <v>2</v>
      </c>
      <c r="D22" s="86"/>
      <c r="E22" s="86">
        <v>4.59</v>
      </c>
      <c r="F22" s="86">
        <v>5.46</v>
      </c>
      <c r="G22" s="86">
        <v>5.51</v>
      </c>
      <c r="H22" s="86">
        <v>5.54</v>
      </c>
      <c r="I22" s="86">
        <v>5.59</v>
      </c>
      <c r="J22" s="87">
        <v>5.72</v>
      </c>
    </row>
    <row r="23" spans="1:10">
      <c r="A23" s="218"/>
      <c r="B23" s="211"/>
      <c r="C23" s="42" t="s">
        <v>0</v>
      </c>
      <c r="D23" s="43"/>
      <c r="E23" s="43">
        <v>4.4000000000000004</v>
      </c>
      <c r="F23" s="43">
        <v>5.2</v>
      </c>
      <c r="G23" s="43">
        <v>5.4</v>
      </c>
      <c r="H23" s="43">
        <v>5.5</v>
      </c>
      <c r="I23" s="43">
        <v>6</v>
      </c>
      <c r="J23" s="43">
        <v>6.2</v>
      </c>
    </row>
    <row r="24" spans="1:10">
      <c r="A24" s="218"/>
      <c r="B24" s="211"/>
      <c r="C24" s="44" t="s">
        <v>3</v>
      </c>
      <c r="D24" s="45"/>
      <c r="E24" s="45">
        <v>4.5999999999999996</v>
      </c>
      <c r="F24" s="45">
        <v>5.05</v>
      </c>
      <c r="G24" s="45">
        <v>5.35</v>
      </c>
      <c r="H24" s="45">
        <v>5.6</v>
      </c>
      <c r="I24" s="45">
        <v>5.6</v>
      </c>
      <c r="J24" s="45">
        <v>4.2</v>
      </c>
    </row>
    <row r="25" spans="1:10">
      <c r="A25" s="218"/>
      <c r="B25" s="211"/>
      <c r="C25" s="48" t="s">
        <v>1</v>
      </c>
      <c r="D25" s="49">
        <v>5</v>
      </c>
      <c r="E25" s="49">
        <v>4.5</v>
      </c>
      <c r="F25" s="49">
        <v>5</v>
      </c>
      <c r="G25" s="49">
        <v>5.4</v>
      </c>
      <c r="H25" s="49">
        <v>5.5</v>
      </c>
      <c r="I25" s="49">
        <v>5.5</v>
      </c>
      <c r="J25" s="49">
        <v>5.5</v>
      </c>
    </row>
    <row r="26" spans="1:10">
      <c r="A26" s="218"/>
      <c r="B26" s="40">
        <v>41317</v>
      </c>
      <c r="C26" s="60" t="s">
        <v>1</v>
      </c>
      <c r="D26" s="81">
        <v>5</v>
      </c>
      <c r="E26" s="81">
        <v>4.5</v>
      </c>
      <c r="F26" s="81">
        <v>5.0999999999999996</v>
      </c>
      <c r="G26" s="81">
        <v>5.25</v>
      </c>
      <c r="H26" s="81">
        <v>5.5</v>
      </c>
      <c r="I26" s="81">
        <v>5.5</v>
      </c>
      <c r="J26" s="81"/>
    </row>
    <row r="27" spans="1:10">
      <c r="A27" s="218"/>
      <c r="B27" s="40">
        <v>41244</v>
      </c>
      <c r="C27" s="60" t="s">
        <v>1</v>
      </c>
      <c r="D27" s="81">
        <v>5</v>
      </c>
      <c r="E27" s="81">
        <v>4.5</v>
      </c>
      <c r="F27" s="81">
        <v>5</v>
      </c>
      <c r="G27" s="81">
        <v>5.4</v>
      </c>
      <c r="H27" s="81">
        <v>5.6</v>
      </c>
      <c r="I27" s="81">
        <v>5.5</v>
      </c>
      <c r="J27" s="81">
        <v>5.5</v>
      </c>
    </row>
    <row r="28" spans="1:10">
      <c r="A28" s="218"/>
      <c r="B28" s="40">
        <v>41499</v>
      </c>
      <c r="C28" s="215" t="s">
        <v>16</v>
      </c>
      <c r="D28" s="216"/>
      <c r="E28" s="30">
        <v>-0.1</v>
      </c>
      <c r="F28" s="30">
        <v>0.1111111111111111</v>
      </c>
      <c r="G28" s="30">
        <v>8.0000000000000071E-2</v>
      </c>
      <c r="H28" s="30">
        <v>1.8518518518518452E-2</v>
      </c>
      <c r="I28" s="30">
        <v>0</v>
      </c>
      <c r="J28" s="30">
        <v>0</v>
      </c>
    </row>
    <row r="29" spans="1:10">
      <c r="A29" s="219"/>
      <c r="B29" s="40">
        <v>41318</v>
      </c>
      <c r="C29" s="215" t="s">
        <v>16</v>
      </c>
      <c r="D29" s="216"/>
      <c r="E29" s="30">
        <v>-0.1</v>
      </c>
      <c r="F29" s="30">
        <v>0.13333333333333325</v>
      </c>
      <c r="G29" s="30">
        <v>2.9411764705882425E-2</v>
      </c>
      <c r="H29" s="30">
        <v>4.7619047619047616E-2</v>
      </c>
      <c r="I29" s="30">
        <v>0</v>
      </c>
      <c r="J29" s="30"/>
    </row>
    <row r="30" spans="1:10">
      <c r="A30" s="65"/>
      <c r="B30" s="65"/>
      <c r="C30" s="65"/>
      <c r="D30" s="65"/>
      <c r="E30" s="65"/>
      <c r="F30" s="65"/>
      <c r="G30" s="65"/>
      <c r="H30" s="65"/>
      <c r="I30" s="65"/>
    </row>
    <row r="31" spans="1:10">
      <c r="A31" s="217" t="s">
        <v>19</v>
      </c>
      <c r="B31" s="212">
        <v>41499</v>
      </c>
      <c r="C31" s="6" t="s">
        <v>2</v>
      </c>
      <c r="D31" s="55"/>
      <c r="E31" s="55">
        <v>1169</v>
      </c>
      <c r="F31" s="55">
        <v>1116</v>
      </c>
      <c r="G31" s="55">
        <v>1076</v>
      </c>
      <c r="H31" s="55">
        <v>1039</v>
      </c>
      <c r="I31" s="55">
        <v>1002</v>
      </c>
      <c r="J31" s="55">
        <v>968</v>
      </c>
    </row>
    <row r="32" spans="1:10">
      <c r="A32" s="218"/>
      <c r="B32" s="211"/>
      <c r="C32" s="42" t="s">
        <v>0</v>
      </c>
      <c r="D32" s="56"/>
      <c r="E32" s="56">
        <v>1168</v>
      </c>
      <c r="F32" s="56">
        <v>1113</v>
      </c>
      <c r="G32" s="56">
        <v>1083</v>
      </c>
      <c r="H32" s="56">
        <v>1049</v>
      </c>
      <c r="I32" s="56">
        <v>1014</v>
      </c>
      <c r="J32" s="56">
        <v>980</v>
      </c>
    </row>
    <row r="33" spans="1:10">
      <c r="A33" s="218"/>
      <c r="B33" s="211"/>
      <c r="C33" s="44" t="s">
        <v>3</v>
      </c>
      <c r="D33" s="57"/>
      <c r="E33" s="57">
        <v>1164</v>
      </c>
      <c r="F33" s="57">
        <v>1097</v>
      </c>
      <c r="G33" s="57">
        <v>1045</v>
      </c>
      <c r="H33" s="57">
        <v>995</v>
      </c>
      <c r="I33" s="57">
        <v>951</v>
      </c>
      <c r="J33" s="57">
        <v>909</v>
      </c>
    </row>
    <row r="34" spans="1:10">
      <c r="A34" s="218"/>
      <c r="B34" s="211"/>
      <c r="C34" s="48" t="s">
        <v>1</v>
      </c>
      <c r="D34" s="58">
        <v>1225.8499999999999</v>
      </c>
      <c r="E34" s="58">
        <v>1165</v>
      </c>
      <c r="F34" s="58">
        <v>1110</v>
      </c>
      <c r="G34" s="58">
        <v>1070</v>
      </c>
      <c r="H34" s="58">
        <v>1030</v>
      </c>
      <c r="I34" s="58">
        <v>1000</v>
      </c>
      <c r="J34" s="58">
        <v>960</v>
      </c>
    </row>
    <row r="35" spans="1:10">
      <c r="A35" s="218"/>
      <c r="B35" s="40">
        <v>41317</v>
      </c>
      <c r="C35" s="60" t="s">
        <v>1</v>
      </c>
      <c r="D35" s="83">
        <v>1226</v>
      </c>
      <c r="E35" s="83">
        <v>1185</v>
      </c>
      <c r="F35" s="83">
        <v>1151</v>
      </c>
      <c r="G35" s="83">
        <v>1121</v>
      </c>
      <c r="H35" s="83">
        <v>1090.1407234210708</v>
      </c>
      <c r="I35" s="83">
        <v>1048</v>
      </c>
      <c r="J35" s="83"/>
    </row>
    <row r="36" spans="1:10">
      <c r="A36" s="218"/>
      <c r="B36" s="40">
        <v>41244</v>
      </c>
      <c r="C36" s="60" t="s">
        <v>1</v>
      </c>
      <c r="D36" s="83">
        <v>1228.5423506666664</v>
      </c>
      <c r="E36" s="83">
        <v>1184.5870287874238</v>
      </c>
      <c r="F36" s="83">
        <v>1151.3778293463738</v>
      </c>
      <c r="G36" s="83">
        <v>1121.0332793283103</v>
      </c>
      <c r="H36" s="83">
        <v>1090.1407234210708</v>
      </c>
      <c r="I36" s="83">
        <v>1048</v>
      </c>
      <c r="J36" s="83">
        <v>1048</v>
      </c>
    </row>
    <row r="37" spans="1:10">
      <c r="A37" s="218"/>
      <c r="B37" s="40">
        <v>41499</v>
      </c>
      <c r="C37" s="215" t="s">
        <v>16</v>
      </c>
      <c r="D37" s="216"/>
      <c r="E37" s="30">
        <v>-4.9639025981971625E-2</v>
      </c>
      <c r="F37" s="30">
        <v>-4.7210300429184553E-2</v>
      </c>
      <c r="G37" s="30">
        <v>-3.6036036036036036E-2</v>
      </c>
      <c r="H37" s="30">
        <v>-3.7383177570093455E-2</v>
      </c>
      <c r="I37" s="30">
        <v>-2.9126213592233011E-2</v>
      </c>
      <c r="J37" s="30">
        <v>-0.04</v>
      </c>
    </row>
    <row r="38" spans="1:10">
      <c r="A38" s="219"/>
      <c r="B38" s="40">
        <v>41318</v>
      </c>
      <c r="C38" s="215" t="s">
        <v>16</v>
      </c>
      <c r="D38" s="216"/>
      <c r="E38" s="30">
        <v>-3.3442088091353996E-2</v>
      </c>
      <c r="F38" s="30">
        <v>-2.8691983122362871E-2</v>
      </c>
      <c r="G38" s="30">
        <v>-2.6064291920069503E-2</v>
      </c>
      <c r="H38" s="30">
        <v>-2.7528346635976104E-2</v>
      </c>
      <c r="I38" s="30">
        <v>-3.8656223472530331E-2</v>
      </c>
      <c r="J38" s="30"/>
    </row>
  </sheetData>
  <mergeCells count="16">
    <mergeCell ref="B31:B34"/>
    <mergeCell ref="C37:D37"/>
    <mergeCell ref="C38:D38"/>
    <mergeCell ref="A31:A38"/>
    <mergeCell ref="A22:A29"/>
    <mergeCell ref="C29:D29"/>
    <mergeCell ref="C20:D20"/>
    <mergeCell ref="B22:B25"/>
    <mergeCell ref="C28:D28"/>
    <mergeCell ref="A13:A20"/>
    <mergeCell ref="A3:A11"/>
    <mergeCell ref="B3:B7"/>
    <mergeCell ref="C10:D10"/>
    <mergeCell ref="C11:D11"/>
    <mergeCell ref="B13:B16"/>
    <mergeCell ref="C19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5"/>
  <sheetViews>
    <sheetView topLeftCell="B1" workbookViewId="0">
      <pane xSplit="2" ySplit="2" topLeftCell="D3" activePane="bottomRight" state="frozen"/>
      <selection activeCell="B1" sqref="B1"/>
      <selection pane="topRight" activeCell="C1" sqref="C1"/>
      <selection pane="bottomLeft" activeCell="B3" sqref="B3"/>
      <selection pane="bottomRight" activeCell="E4" sqref="E4:K6"/>
    </sheetView>
  </sheetViews>
  <sheetFormatPr defaultColWidth="9.140625" defaultRowHeight="15"/>
  <cols>
    <col min="1" max="2" width="9.5703125" style="9" customWidth="1"/>
    <col min="3" max="3" width="11" style="13" bestFit="1" customWidth="1"/>
    <col min="4" max="4" width="7.5703125" customWidth="1"/>
    <col min="5" max="5" width="7.42578125" bestFit="1" customWidth="1"/>
    <col min="6" max="6" width="8.140625" bestFit="1" customWidth="1"/>
    <col min="7" max="11" width="9" customWidth="1"/>
  </cols>
  <sheetData>
    <row r="1" spans="2:12">
      <c r="B1" t="s">
        <v>22</v>
      </c>
      <c r="C1" s="89">
        <v>41593</v>
      </c>
    </row>
    <row r="2" spans="2:12" ht="30.75" customHeight="1">
      <c r="B2" s="8"/>
      <c r="C2" s="11"/>
      <c r="D2" s="1"/>
      <c r="E2" s="2" t="s">
        <v>17</v>
      </c>
      <c r="F2" s="2" t="s">
        <v>23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21</v>
      </c>
    </row>
    <row r="3" spans="2:12" ht="15" customHeight="1">
      <c r="B3" s="217" t="s">
        <v>10</v>
      </c>
      <c r="C3" s="212">
        <v>41609</v>
      </c>
      <c r="D3" s="7" t="s">
        <v>4</v>
      </c>
      <c r="E3" s="17"/>
      <c r="F3" s="17"/>
      <c r="G3" s="17"/>
      <c r="H3" s="17"/>
      <c r="I3" s="17"/>
      <c r="J3" s="17"/>
      <c r="K3" s="17"/>
    </row>
    <row r="4" spans="2:12" ht="15" customHeight="1">
      <c r="B4" s="218"/>
      <c r="C4" s="211"/>
      <c r="D4" s="1" t="s">
        <v>2</v>
      </c>
      <c r="E4" s="29">
        <v>89.65</v>
      </c>
      <c r="F4" s="14">
        <v>85.82</v>
      </c>
      <c r="G4" s="14">
        <v>93.94</v>
      </c>
      <c r="H4" s="14">
        <v>86.88</v>
      </c>
      <c r="I4" s="14">
        <v>85.68</v>
      </c>
      <c r="J4" s="14">
        <v>84.13</v>
      </c>
      <c r="K4" s="14">
        <v>85.2</v>
      </c>
    </row>
    <row r="5" spans="2:12">
      <c r="B5" s="218"/>
      <c r="C5" s="211"/>
      <c r="D5" s="3" t="s">
        <v>0</v>
      </c>
      <c r="E5" s="15"/>
      <c r="F5" s="15">
        <v>85.97</v>
      </c>
      <c r="G5" s="15">
        <f>94.45-0.2</f>
        <v>94.25</v>
      </c>
      <c r="H5" s="15">
        <v>89.92</v>
      </c>
      <c r="I5" s="15">
        <v>87.87</v>
      </c>
      <c r="J5" s="15">
        <v>86.65</v>
      </c>
      <c r="K5" s="15">
        <v>86.33</v>
      </c>
    </row>
    <row r="6" spans="2:12">
      <c r="B6" s="218"/>
      <c r="C6" s="211"/>
      <c r="D6" s="4" t="s">
        <v>3</v>
      </c>
      <c r="E6" s="16"/>
      <c r="F6" s="16">
        <v>85.82</v>
      </c>
      <c r="G6" s="16">
        <v>96.36</v>
      </c>
      <c r="H6" s="16">
        <v>88.08</v>
      </c>
      <c r="I6" s="16">
        <v>84.52</v>
      </c>
      <c r="J6" s="16">
        <v>83.82</v>
      </c>
      <c r="K6" s="16">
        <v>84.75</v>
      </c>
    </row>
    <row r="7" spans="2:12">
      <c r="B7" s="218"/>
      <c r="C7" s="211"/>
      <c r="D7" s="5" t="s">
        <v>1</v>
      </c>
      <c r="E7" s="18">
        <v>89.65</v>
      </c>
      <c r="F7" s="18">
        <v>85.82</v>
      </c>
      <c r="G7" s="18">
        <v>93</v>
      </c>
      <c r="H7" s="18">
        <v>86.5</v>
      </c>
      <c r="I7" s="18">
        <v>84.5</v>
      </c>
      <c r="J7" s="18">
        <v>83.5</v>
      </c>
      <c r="K7" s="18">
        <v>83.5</v>
      </c>
    </row>
    <row r="8" spans="2:12">
      <c r="B8" s="218"/>
      <c r="C8" s="33">
        <v>41499</v>
      </c>
      <c r="D8" s="60" t="s">
        <v>1</v>
      </c>
      <c r="E8" s="71">
        <v>90</v>
      </c>
      <c r="F8" s="71">
        <v>87</v>
      </c>
      <c r="G8" s="71">
        <v>94</v>
      </c>
      <c r="H8" s="71">
        <v>87.5</v>
      </c>
      <c r="I8" s="71">
        <v>85</v>
      </c>
      <c r="J8" s="71">
        <v>84</v>
      </c>
      <c r="K8" s="71">
        <v>84</v>
      </c>
    </row>
    <row r="9" spans="2:12">
      <c r="B9" s="218"/>
      <c r="C9" s="33">
        <v>41306</v>
      </c>
      <c r="D9" s="60" t="s">
        <v>1</v>
      </c>
      <c r="E9" s="61">
        <v>90</v>
      </c>
      <c r="F9" s="61">
        <v>86.5</v>
      </c>
      <c r="G9" s="61">
        <v>88</v>
      </c>
      <c r="H9" s="61">
        <v>87.5</v>
      </c>
      <c r="I9" s="61">
        <v>87</v>
      </c>
      <c r="J9" s="61">
        <v>86.5</v>
      </c>
      <c r="K9" s="61"/>
    </row>
    <row r="10" spans="2:12">
      <c r="B10" s="218"/>
      <c r="C10" s="33">
        <v>41244</v>
      </c>
      <c r="D10" s="60" t="s">
        <v>1</v>
      </c>
      <c r="E10" s="61">
        <v>89.640506965377526</v>
      </c>
      <c r="F10" s="61">
        <v>85</v>
      </c>
      <c r="G10" s="61">
        <v>84.75</v>
      </c>
      <c r="H10" s="61">
        <v>83.5</v>
      </c>
      <c r="I10" s="61">
        <v>82.5</v>
      </c>
      <c r="J10" s="61">
        <v>83</v>
      </c>
      <c r="K10" s="61">
        <v>83</v>
      </c>
    </row>
    <row r="11" spans="2:12">
      <c r="B11" s="218"/>
      <c r="C11" s="40">
        <v>41621</v>
      </c>
      <c r="D11" s="215" t="s">
        <v>16</v>
      </c>
      <c r="E11" s="216"/>
      <c r="F11" s="30">
        <f t="shared" ref="F11:K12" si="0">(F7-E7)/E7</f>
        <v>-4.2721695482431814E-2</v>
      </c>
      <c r="G11" s="30">
        <f t="shared" si="0"/>
        <v>8.3663481705896145E-2</v>
      </c>
      <c r="H11" s="30">
        <f t="shared" si="0"/>
        <v>-6.9892473118279563E-2</v>
      </c>
      <c r="I11" s="30">
        <f t="shared" si="0"/>
        <v>-2.3121387283236993E-2</v>
      </c>
      <c r="J11" s="30">
        <f t="shared" si="0"/>
        <v>-1.1834319526627219E-2</v>
      </c>
      <c r="K11" s="30">
        <f t="shared" si="0"/>
        <v>0</v>
      </c>
    </row>
    <row r="12" spans="2:12">
      <c r="B12" s="219"/>
      <c r="C12" s="33">
        <v>41499</v>
      </c>
      <c r="D12" s="215" t="s">
        <v>16</v>
      </c>
      <c r="E12" s="216"/>
      <c r="F12" s="30">
        <f t="shared" si="0"/>
        <v>-3.3333333333333333E-2</v>
      </c>
      <c r="G12" s="30">
        <f t="shared" si="0"/>
        <v>8.0459770114942528E-2</v>
      </c>
      <c r="H12" s="30">
        <f t="shared" si="0"/>
        <v>-6.9148936170212769E-2</v>
      </c>
      <c r="I12" s="30">
        <f t="shared" si="0"/>
        <v>-2.8571428571428571E-2</v>
      </c>
      <c r="J12" s="30">
        <f t="shared" si="0"/>
        <v>-1.1764705882352941E-2</v>
      </c>
      <c r="K12" s="30">
        <f t="shared" si="0"/>
        <v>0</v>
      </c>
    </row>
    <row r="13" spans="2:12">
      <c r="B13" s="65"/>
      <c r="C13" s="65"/>
      <c r="D13" s="65"/>
      <c r="E13" s="65"/>
      <c r="F13" s="65"/>
      <c r="G13" s="65"/>
      <c r="H13" s="65"/>
      <c r="I13" s="65"/>
      <c r="J13" s="65"/>
      <c r="K13" s="74"/>
    </row>
    <row r="14" spans="2:12" ht="15" customHeight="1">
      <c r="B14" s="217" t="s">
        <v>12</v>
      </c>
      <c r="C14" s="212">
        <v>41609</v>
      </c>
      <c r="D14" s="1" t="s">
        <v>2</v>
      </c>
      <c r="E14" s="90">
        <v>80.3</v>
      </c>
      <c r="F14" s="91">
        <v>93.8</v>
      </c>
      <c r="G14" s="91">
        <v>100</v>
      </c>
      <c r="H14" s="91">
        <v>105.3</v>
      </c>
      <c r="I14" s="91">
        <v>110.5</v>
      </c>
      <c r="J14" s="92">
        <v>115.2</v>
      </c>
      <c r="K14" s="91">
        <v>119.7</v>
      </c>
      <c r="L14" s="73"/>
    </row>
    <row r="15" spans="2:12">
      <c r="B15" s="218"/>
      <c r="C15" s="211"/>
      <c r="D15" s="3" t="s">
        <v>0</v>
      </c>
      <c r="E15" s="20"/>
      <c r="F15" s="20">
        <v>94.2</v>
      </c>
      <c r="G15" s="20">
        <v>97.4</v>
      </c>
      <c r="H15" s="20">
        <v>104</v>
      </c>
      <c r="I15" s="20">
        <v>110.5</v>
      </c>
      <c r="J15" s="20">
        <v>116.4</v>
      </c>
      <c r="K15" s="75">
        <v>123.2</v>
      </c>
      <c r="L15" s="73"/>
    </row>
    <row r="16" spans="2:12">
      <c r="B16" s="218"/>
      <c r="C16" s="211"/>
      <c r="D16" s="4" t="s">
        <v>3</v>
      </c>
      <c r="E16" s="21"/>
      <c r="F16" s="21">
        <v>93.7</v>
      </c>
      <c r="G16" s="21">
        <v>100.9</v>
      </c>
      <c r="H16" s="21">
        <v>107.8</v>
      </c>
      <c r="I16" s="21">
        <v>114.6</v>
      </c>
      <c r="J16" s="21">
        <v>121.6</v>
      </c>
      <c r="K16" s="21">
        <v>128.9</v>
      </c>
      <c r="L16" s="73"/>
    </row>
    <row r="17" spans="2:13">
      <c r="B17" s="218"/>
      <c r="C17" s="211"/>
      <c r="D17" s="5" t="s">
        <v>1</v>
      </c>
      <c r="E17" s="22">
        <f>E14</f>
        <v>80.3</v>
      </c>
      <c r="F17" s="22">
        <v>94.2</v>
      </c>
      <c r="G17" s="22">
        <v>99</v>
      </c>
      <c r="H17" s="22">
        <v>103</v>
      </c>
      <c r="I17" s="22">
        <v>106</v>
      </c>
      <c r="J17" s="22">
        <v>108</v>
      </c>
      <c r="K17" s="22">
        <v>109</v>
      </c>
    </row>
    <row r="18" spans="2:13">
      <c r="B18" s="218"/>
      <c r="C18" s="33">
        <v>41499</v>
      </c>
      <c r="D18" s="60" t="s">
        <v>1</v>
      </c>
      <c r="E18" s="88">
        <v>80.069999999999993</v>
      </c>
      <c r="F18" s="88">
        <v>90</v>
      </c>
      <c r="G18" s="88">
        <v>93</v>
      </c>
      <c r="H18" s="88">
        <v>97</v>
      </c>
      <c r="I18" s="88">
        <v>100</v>
      </c>
      <c r="J18" s="88">
        <v>101</v>
      </c>
      <c r="K18" s="88">
        <v>102</v>
      </c>
    </row>
    <row r="19" spans="2:13">
      <c r="B19" s="218"/>
      <c r="C19" s="33">
        <v>41317</v>
      </c>
      <c r="D19" s="60" t="s">
        <v>1</v>
      </c>
      <c r="E19" s="62">
        <v>80.099999999999994</v>
      </c>
      <c r="F19" s="62">
        <v>87</v>
      </c>
      <c r="G19" s="62">
        <v>91.4</v>
      </c>
      <c r="H19" s="62">
        <v>94.1</v>
      </c>
      <c r="I19" s="62">
        <v>96</v>
      </c>
      <c r="J19" s="62">
        <v>97.9</v>
      </c>
      <c r="K19" s="62"/>
    </row>
    <row r="20" spans="2:13" s="37" customFormat="1">
      <c r="B20" s="218"/>
      <c r="C20" s="33">
        <v>41244</v>
      </c>
      <c r="D20" s="60" t="s">
        <v>1</v>
      </c>
      <c r="E20" s="62">
        <v>79.7</v>
      </c>
      <c r="F20" s="62">
        <v>84.119744824999998</v>
      </c>
      <c r="G20" s="62">
        <v>88.406534618000009</v>
      </c>
      <c r="H20" s="62">
        <v>92.434230656539995</v>
      </c>
      <c r="I20" s="62">
        <v>96.132415269670815</v>
      </c>
      <c r="J20" s="62">
        <v>97.6</v>
      </c>
      <c r="K20" s="62">
        <v>97.6</v>
      </c>
    </row>
    <row r="21" spans="2:13">
      <c r="B21" s="218"/>
      <c r="C21" s="40">
        <v>41621</v>
      </c>
      <c r="D21" s="215" t="s">
        <v>16</v>
      </c>
      <c r="E21" s="216"/>
      <c r="F21" s="30">
        <f t="shared" ref="F21:K21" si="1">(F17-E17)/E17</f>
        <v>0.1731008717310088</v>
      </c>
      <c r="G21" s="30">
        <f t="shared" si="1"/>
        <v>5.0955414012738821E-2</v>
      </c>
      <c r="H21" s="30">
        <f t="shared" si="1"/>
        <v>4.0404040404040407E-2</v>
      </c>
      <c r="I21" s="30">
        <f t="shared" si="1"/>
        <v>2.9126213592233011E-2</v>
      </c>
      <c r="J21" s="30">
        <f t="shared" si="1"/>
        <v>1.8867924528301886E-2</v>
      </c>
      <c r="K21" s="30">
        <f t="shared" si="1"/>
        <v>9.2592592592592587E-3</v>
      </c>
    </row>
    <row r="22" spans="2:13">
      <c r="B22" s="219"/>
      <c r="C22" s="33">
        <v>41499</v>
      </c>
      <c r="D22" s="215" t="s">
        <v>16</v>
      </c>
      <c r="E22" s="216"/>
      <c r="F22" s="30">
        <f t="shared" ref="F22:K22" si="2">(F18-E18)/E18</f>
        <v>0.12401648557512186</v>
      </c>
      <c r="G22" s="30">
        <f t="shared" si="2"/>
        <v>3.3333333333333333E-2</v>
      </c>
      <c r="H22" s="30">
        <f t="shared" si="2"/>
        <v>4.3010752688172046E-2</v>
      </c>
      <c r="I22" s="30">
        <f t="shared" si="2"/>
        <v>3.0927835051546393E-2</v>
      </c>
      <c r="J22" s="30">
        <f t="shared" si="2"/>
        <v>0.01</v>
      </c>
      <c r="K22" s="30">
        <f t="shared" si="2"/>
        <v>9.9009900990099011E-3</v>
      </c>
    </row>
    <row r="23" spans="2:13">
      <c r="C23" s="66"/>
      <c r="D23" s="67"/>
      <c r="E23" s="67"/>
      <c r="F23" s="68"/>
      <c r="G23" s="68"/>
      <c r="H23" s="68"/>
      <c r="I23" s="68"/>
      <c r="J23" s="68"/>
      <c r="K23" s="68"/>
    </row>
    <row r="24" spans="2:13" ht="15" customHeight="1">
      <c r="B24" s="217" t="s">
        <v>18</v>
      </c>
      <c r="C24" s="212">
        <v>41609</v>
      </c>
      <c r="D24" s="1" t="s">
        <v>2</v>
      </c>
      <c r="E24" s="69">
        <v>5.01</v>
      </c>
      <c r="F24" s="69">
        <v>4.37</v>
      </c>
      <c r="G24" s="69">
        <v>5.0199999999999996</v>
      </c>
      <c r="H24" s="69">
        <v>5.18</v>
      </c>
      <c r="I24" s="69">
        <v>5.18</v>
      </c>
      <c r="J24" s="69">
        <v>5.2</v>
      </c>
      <c r="K24" s="70">
        <v>5.25</v>
      </c>
    </row>
    <row r="25" spans="2:13">
      <c r="B25" s="218"/>
      <c r="C25" s="211"/>
      <c r="D25" s="3" t="s">
        <v>0</v>
      </c>
      <c r="E25" s="15"/>
      <c r="F25" s="15">
        <v>4.37</v>
      </c>
      <c r="G25" s="15">
        <v>4.72</v>
      </c>
      <c r="H25" s="15">
        <v>5.04</v>
      </c>
      <c r="I25" s="15">
        <v>5.17</v>
      </c>
      <c r="J25" s="15">
        <v>5.58</v>
      </c>
      <c r="K25" s="15">
        <v>5.75</v>
      </c>
    </row>
    <row r="26" spans="2:13">
      <c r="B26" s="218"/>
      <c r="C26" s="211"/>
      <c r="D26" s="4" t="s">
        <v>3</v>
      </c>
      <c r="E26" s="16"/>
      <c r="F26" s="16">
        <v>4.37</v>
      </c>
      <c r="G26" s="16">
        <v>4.82</v>
      </c>
      <c r="H26" s="16">
        <v>5</v>
      </c>
      <c r="I26" s="16">
        <f>5.34-0.15</f>
        <v>5.1899999999999995</v>
      </c>
      <c r="J26" s="16">
        <v>5.24</v>
      </c>
      <c r="K26" s="16">
        <v>5.1100000000000003</v>
      </c>
    </row>
    <row r="27" spans="2:13">
      <c r="B27" s="218"/>
      <c r="C27" s="211"/>
      <c r="D27" s="5" t="s">
        <v>1</v>
      </c>
      <c r="E27" s="18">
        <f>E24</f>
        <v>5.01</v>
      </c>
      <c r="F27" s="18">
        <v>4.4000000000000004</v>
      </c>
      <c r="G27" s="18">
        <v>4.8499999999999996</v>
      </c>
      <c r="H27" s="18">
        <v>5.0999999999999996</v>
      </c>
      <c r="I27" s="18">
        <v>5.2</v>
      </c>
      <c r="J27" s="18">
        <v>5.3</v>
      </c>
      <c r="K27" s="18">
        <v>5.35</v>
      </c>
      <c r="L27" s="93"/>
      <c r="M27" s="93"/>
    </row>
    <row r="28" spans="2:13">
      <c r="B28" s="218"/>
      <c r="C28" s="33">
        <v>41499</v>
      </c>
      <c r="D28" s="60" t="s">
        <v>1</v>
      </c>
      <c r="E28" s="71">
        <v>5</v>
      </c>
      <c r="F28" s="71">
        <v>4.5</v>
      </c>
      <c r="G28" s="71">
        <v>5</v>
      </c>
      <c r="H28" s="71">
        <v>5.4</v>
      </c>
      <c r="I28" s="71">
        <v>5.5</v>
      </c>
      <c r="J28" s="71">
        <v>5.5</v>
      </c>
      <c r="K28" s="71">
        <v>5.5</v>
      </c>
    </row>
    <row r="29" spans="2:13">
      <c r="B29" s="218"/>
      <c r="C29" s="40">
        <v>41317</v>
      </c>
      <c r="D29" s="60" t="s">
        <v>1</v>
      </c>
      <c r="E29" s="61">
        <v>5</v>
      </c>
      <c r="F29" s="61">
        <v>4.5</v>
      </c>
      <c r="G29" s="61">
        <v>5.0999999999999996</v>
      </c>
      <c r="H29" s="61">
        <v>5.25</v>
      </c>
      <c r="I29" s="61">
        <v>5.5</v>
      </c>
      <c r="J29" s="61">
        <v>5.5</v>
      </c>
      <c r="K29" s="61"/>
    </row>
    <row r="30" spans="2:13">
      <c r="B30" s="218"/>
      <c r="C30" s="40">
        <v>41244</v>
      </c>
      <c r="D30" s="60" t="s">
        <v>1</v>
      </c>
      <c r="E30" s="61">
        <v>5</v>
      </c>
      <c r="F30" s="61">
        <v>4.5</v>
      </c>
      <c r="G30" s="61">
        <v>5</v>
      </c>
      <c r="H30" s="61">
        <v>5.4</v>
      </c>
      <c r="I30" s="61">
        <v>5.6</v>
      </c>
      <c r="J30" s="61">
        <v>5.5</v>
      </c>
      <c r="K30" s="61">
        <v>5.5</v>
      </c>
    </row>
    <row r="31" spans="2:13">
      <c r="B31" s="218"/>
      <c r="C31" s="40">
        <v>41621</v>
      </c>
      <c r="D31" s="215" t="s">
        <v>16</v>
      </c>
      <c r="E31" s="216"/>
      <c r="F31" s="30">
        <f t="shared" ref="F31:K31" si="3">(F27-E27)/E27</f>
        <v>-0.12175648702594799</v>
      </c>
      <c r="G31" s="30">
        <f t="shared" si="3"/>
        <v>0.1022727272727271</v>
      </c>
      <c r="H31" s="30">
        <f t="shared" si="3"/>
        <v>5.1546391752577324E-2</v>
      </c>
      <c r="I31" s="30">
        <f t="shared" si="3"/>
        <v>1.9607843137255009E-2</v>
      </c>
      <c r="J31" s="30">
        <f t="shared" si="3"/>
        <v>1.9230769230769162E-2</v>
      </c>
      <c r="K31" s="30">
        <f t="shared" si="3"/>
        <v>9.4339622641509101E-3</v>
      </c>
    </row>
    <row r="32" spans="2:13">
      <c r="B32" s="219"/>
      <c r="C32" s="33">
        <v>41499</v>
      </c>
      <c r="D32" s="215" t="s">
        <v>16</v>
      </c>
      <c r="E32" s="216"/>
      <c r="F32" s="30">
        <f t="shared" ref="F32:K32" si="4">(F28-E28)/E28</f>
        <v>-0.1</v>
      </c>
      <c r="G32" s="30">
        <f t="shared" si="4"/>
        <v>0.1111111111111111</v>
      </c>
      <c r="H32" s="30">
        <f t="shared" si="4"/>
        <v>8.0000000000000071E-2</v>
      </c>
      <c r="I32" s="30">
        <f t="shared" si="4"/>
        <v>1.8518518518518452E-2</v>
      </c>
      <c r="J32" s="30">
        <f t="shared" si="4"/>
        <v>0</v>
      </c>
      <c r="K32" s="30">
        <f t="shared" si="4"/>
        <v>0</v>
      </c>
    </row>
    <row r="33" spans="2:11">
      <c r="B33" s="65"/>
      <c r="C33" s="65"/>
      <c r="D33" s="65"/>
      <c r="E33" s="76"/>
      <c r="F33" s="76"/>
      <c r="G33" s="76"/>
      <c r="H33" s="76"/>
      <c r="I33" s="76"/>
      <c r="J33" s="76"/>
    </row>
    <row r="34" spans="2:11" ht="15" customHeight="1">
      <c r="B34" s="217" t="s">
        <v>19</v>
      </c>
      <c r="C34" s="212">
        <v>41609</v>
      </c>
      <c r="D34" s="1" t="s">
        <v>2</v>
      </c>
      <c r="E34" s="23">
        <v>1227</v>
      </c>
      <c r="F34" s="78">
        <v>1173</v>
      </c>
      <c r="G34" s="78">
        <v>1131</v>
      </c>
      <c r="H34" s="78">
        <v>1086</v>
      </c>
      <c r="I34" s="78">
        <v>1043</v>
      </c>
      <c r="J34" s="78">
        <v>1000</v>
      </c>
      <c r="K34" s="79">
        <v>957</v>
      </c>
    </row>
    <row r="35" spans="2:11">
      <c r="B35" s="218"/>
      <c r="C35" s="211"/>
      <c r="D35" s="3" t="s">
        <v>0</v>
      </c>
      <c r="E35" s="77"/>
      <c r="F35" s="77">
        <v>1170.4000000000001</v>
      </c>
      <c r="G35" s="77">
        <v>1143</v>
      </c>
      <c r="H35" s="77">
        <v>1121.5999999999999</v>
      </c>
      <c r="I35" s="77">
        <v>1097</v>
      </c>
      <c r="J35" s="77">
        <v>1069.8</v>
      </c>
      <c r="K35" s="77">
        <v>1042.4000000000001</v>
      </c>
    </row>
    <row r="36" spans="2:11">
      <c r="B36" s="218"/>
      <c r="C36" s="211"/>
      <c r="D36" s="4" t="s">
        <v>3</v>
      </c>
      <c r="E36" s="25"/>
      <c r="F36" s="25">
        <v>1173</v>
      </c>
      <c r="G36" s="25">
        <v>1131</v>
      </c>
      <c r="H36" s="25">
        <v>1077</v>
      </c>
      <c r="I36" s="25">
        <v>1029</v>
      </c>
      <c r="J36" s="25">
        <v>980</v>
      </c>
      <c r="K36" s="25">
        <v>932</v>
      </c>
    </row>
    <row r="37" spans="2:11">
      <c r="B37" s="218"/>
      <c r="C37" s="211"/>
      <c r="D37" s="5" t="s">
        <v>1</v>
      </c>
      <c r="E37" s="26">
        <v>1227</v>
      </c>
      <c r="F37" s="26">
        <v>1175</v>
      </c>
      <c r="G37" s="26">
        <v>1130</v>
      </c>
      <c r="H37" s="26">
        <v>1090</v>
      </c>
      <c r="I37" s="26">
        <v>1050</v>
      </c>
      <c r="J37" s="26">
        <v>1010</v>
      </c>
      <c r="K37" s="26">
        <v>970</v>
      </c>
    </row>
    <row r="38" spans="2:11">
      <c r="B38" s="218"/>
      <c r="C38" s="40">
        <v>41499</v>
      </c>
      <c r="D38" s="60" t="s">
        <v>1</v>
      </c>
      <c r="E38" s="72">
        <v>1225.8499999999999</v>
      </c>
      <c r="F38" s="72">
        <v>1165</v>
      </c>
      <c r="G38" s="72">
        <v>1110</v>
      </c>
      <c r="H38" s="72">
        <v>1070</v>
      </c>
      <c r="I38" s="72">
        <v>1030</v>
      </c>
      <c r="J38" s="72">
        <v>1000</v>
      </c>
      <c r="K38" s="72">
        <v>960</v>
      </c>
    </row>
    <row r="39" spans="2:11">
      <c r="B39" s="218"/>
      <c r="C39" s="40">
        <v>41317</v>
      </c>
      <c r="D39" s="60" t="s">
        <v>1</v>
      </c>
      <c r="E39" s="63">
        <v>1226</v>
      </c>
      <c r="F39" s="63">
        <v>1185</v>
      </c>
      <c r="G39" s="63">
        <v>1151</v>
      </c>
      <c r="H39" s="63">
        <v>1121</v>
      </c>
      <c r="I39" s="63">
        <v>1090.1407234210708</v>
      </c>
      <c r="J39" s="63">
        <v>1048</v>
      </c>
      <c r="K39" s="63"/>
    </row>
    <row r="40" spans="2:11">
      <c r="B40" s="218"/>
      <c r="C40" s="40">
        <v>41244</v>
      </c>
      <c r="D40" s="60" t="s">
        <v>1</v>
      </c>
      <c r="E40" s="63">
        <v>1228.5423506666664</v>
      </c>
      <c r="F40" s="63">
        <v>1184.5870287874238</v>
      </c>
      <c r="G40" s="63">
        <v>1151.3778293463738</v>
      </c>
      <c r="H40" s="63">
        <v>1121.0332793283103</v>
      </c>
      <c r="I40" s="63">
        <v>1090.1407234210708</v>
      </c>
      <c r="J40" s="63">
        <v>1048</v>
      </c>
      <c r="K40" s="63">
        <v>1048</v>
      </c>
    </row>
    <row r="41" spans="2:11">
      <c r="B41" s="218"/>
      <c r="C41" s="40">
        <v>41621</v>
      </c>
      <c r="D41" s="215" t="s">
        <v>16</v>
      </c>
      <c r="E41" s="216"/>
      <c r="F41" s="30">
        <f t="shared" ref="F41:K41" si="5">(F37-E37)/E37</f>
        <v>-4.2379788101059496E-2</v>
      </c>
      <c r="G41" s="30">
        <f t="shared" si="5"/>
        <v>-3.8297872340425532E-2</v>
      </c>
      <c r="H41" s="30">
        <f t="shared" si="5"/>
        <v>-3.5398230088495575E-2</v>
      </c>
      <c r="I41" s="30">
        <f t="shared" si="5"/>
        <v>-3.669724770642202E-2</v>
      </c>
      <c r="J41" s="30">
        <f t="shared" si="5"/>
        <v>-3.8095238095238099E-2</v>
      </c>
      <c r="K41" s="30">
        <f t="shared" si="5"/>
        <v>-3.9603960396039604E-2</v>
      </c>
    </row>
    <row r="42" spans="2:11">
      <c r="B42" s="219"/>
      <c r="C42" s="40">
        <v>41499</v>
      </c>
      <c r="D42" s="215" t="s">
        <v>16</v>
      </c>
      <c r="E42" s="216"/>
      <c r="F42" s="30">
        <f t="shared" ref="F42:K42" si="6">(F38-E38)/E38</f>
        <v>-4.9639025981971625E-2</v>
      </c>
      <c r="G42" s="30">
        <f t="shared" si="6"/>
        <v>-4.7210300429184553E-2</v>
      </c>
      <c r="H42" s="30">
        <f t="shared" si="6"/>
        <v>-3.6036036036036036E-2</v>
      </c>
      <c r="I42" s="30">
        <f t="shared" si="6"/>
        <v>-3.7383177570093455E-2</v>
      </c>
      <c r="J42" s="30">
        <f t="shared" si="6"/>
        <v>-2.9126213592233011E-2</v>
      </c>
      <c r="K42" s="30">
        <f t="shared" si="6"/>
        <v>-0.04</v>
      </c>
    </row>
    <row r="43" spans="2:11">
      <c r="B43" s="64"/>
    </row>
    <row r="44" spans="2:11">
      <c r="F44" s="94"/>
      <c r="G44" s="94"/>
      <c r="H44" s="94"/>
      <c r="I44" s="94"/>
      <c r="J44" s="94"/>
      <c r="K44" s="94"/>
    </row>
    <row r="45" spans="2:11">
      <c r="F45" s="94"/>
      <c r="G45" s="94"/>
      <c r="H45" s="94"/>
      <c r="I45" s="94"/>
      <c r="J45" s="94"/>
      <c r="K45" s="94"/>
    </row>
  </sheetData>
  <mergeCells count="16">
    <mergeCell ref="D22:E22"/>
    <mergeCell ref="C24:C27"/>
    <mergeCell ref="D31:E31"/>
    <mergeCell ref="B14:B22"/>
    <mergeCell ref="B3:B12"/>
    <mergeCell ref="C3:C7"/>
    <mergeCell ref="D11:E11"/>
    <mergeCell ref="D12:E12"/>
    <mergeCell ref="C14:C17"/>
    <mergeCell ref="D21:E21"/>
    <mergeCell ref="C34:C37"/>
    <mergeCell ref="D41:E41"/>
    <mergeCell ref="D42:E42"/>
    <mergeCell ref="B34:B42"/>
    <mergeCell ref="B24:B32"/>
    <mergeCell ref="D32:E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60"/>
  <sheetViews>
    <sheetView topLeftCell="B1" zoomScale="175" zoomScaleNormal="175" workbookViewId="0">
      <pane ySplit="1" topLeftCell="A2" activePane="bottomLeft" state="frozen"/>
      <selection pane="bottomLeft" activeCell="G30" sqref="G30"/>
    </sheetView>
  </sheetViews>
  <sheetFormatPr defaultColWidth="9.140625" defaultRowHeight="15"/>
  <cols>
    <col min="1" max="1" width="9.5703125" customWidth="1"/>
    <col min="2" max="2" width="7.85546875" bestFit="1" customWidth="1"/>
    <col min="3" max="3" width="6.85546875" bestFit="1" customWidth="1"/>
    <col min="4" max="5" width="8.42578125" customWidth="1"/>
    <col min="6" max="10" width="8.42578125" bestFit="1" customWidth="1"/>
    <col min="11" max="11" width="8.42578125" customWidth="1"/>
  </cols>
  <sheetData>
    <row r="1" spans="1:11" ht="30">
      <c r="A1" s="8"/>
      <c r="B1" s="11"/>
      <c r="C1" s="6"/>
      <c r="D1" s="96" t="s">
        <v>17</v>
      </c>
      <c r="E1" s="96" t="s">
        <v>25</v>
      </c>
      <c r="F1" s="96" t="s">
        <v>6</v>
      </c>
      <c r="G1" s="96" t="s">
        <v>7</v>
      </c>
      <c r="H1" s="96" t="s">
        <v>8</v>
      </c>
      <c r="I1" s="96" t="s">
        <v>9</v>
      </c>
      <c r="J1" s="96" t="s">
        <v>21</v>
      </c>
      <c r="K1" s="96" t="s">
        <v>24</v>
      </c>
    </row>
    <row r="2" spans="1:11">
      <c r="A2" s="225" t="s">
        <v>10</v>
      </c>
      <c r="B2" s="212">
        <v>41852</v>
      </c>
      <c r="C2" s="100" t="s">
        <v>4</v>
      </c>
      <c r="D2" s="47">
        <v>89.655088649328334</v>
      </c>
      <c r="E2" s="47">
        <v>85.82</v>
      </c>
      <c r="F2" s="47">
        <v>95.237370277219171</v>
      </c>
      <c r="G2" s="47">
        <v>92.804323446666658</v>
      </c>
      <c r="H2" s="47">
        <v>87.904473258333326</v>
      </c>
      <c r="I2" s="47">
        <v>88.926712291666661</v>
      </c>
      <c r="J2" s="47">
        <v>89.077492208333325</v>
      </c>
      <c r="K2" s="47">
        <v>90.366841249999993</v>
      </c>
    </row>
    <row r="3" spans="1:11">
      <c r="A3" s="226"/>
      <c r="B3" s="211"/>
      <c r="C3" s="101" t="s">
        <v>2</v>
      </c>
      <c r="D3" s="29">
        <v>89.65</v>
      </c>
      <c r="E3" s="41">
        <v>85.15</v>
      </c>
      <c r="F3" s="41">
        <v>95.7</v>
      </c>
      <c r="G3" s="41">
        <v>93.1</v>
      </c>
      <c r="H3" s="41">
        <v>88.2</v>
      </c>
      <c r="I3" s="41">
        <v>87.1</v>
      </c>
      <c r="J3" s="41">
        <v>86.2</v>
      </c>
      <c r="K3" s="41">
        <v>86.1</v>
      </c>
    </row>
    <row r="4" spans="1:11">
      <c r="A4" s="226"/>
      <c r="B4" s="211"/>
      <c r="C4" s="102" t="s">
        <v>0</v>
      </c>
      <c r="D4" s="43"/>
      <c r="E4" s="43"/>
      <c r="F4" s="43">
        <v>96.28</v>
      </c>
      <c r="G4" s="43">
        <v>95.01</v>
      </c>
      <c r="H4" s="43">
        <v>89.09</v>
      </c>
      <c r="I4" s="43">
        <v>85.55</v>
      </c>
      <c r="J4" s="43">
        <v>83.9</v>
      </c>
      <c r="K4" s="43">
        <v>83.13</v>
      </c>
    </row>
    <row r="5" spans="1:11">
      <c r="A5" s="226"/>
      <c r="B5" s="211"/>
      <c r="C5" s="103" t="s">
        <v>3</v>
      </c>
      <c r="D5" s="45"/>
      <c r="E5" s="45"/>
      <c r="F5" s="45">
        <v>95.39</v>
      </c>
      <c r="G5" s="45">
        <v>93.13</v>
      </c>
      <c r="H5" s="45">
        <v>87.52</v>
      </c>
      <c r="I5" s="45">
        <v>86.61</v>
      </c>
      <c r="J5" s="45">
        <v>86.66</v>
      </c>
      <c r="K5" s="45">
        <v>87.13</v>
      </c>
    </row>
    <row r="6" spans="1:11">
      <c r="A6" s="226"/>
      <c r="B6" s="211"/>
      <c r="C6" s="98" t="s">
        <v>1</v>
      </c>
      <c r="D6" s="113">
        <v>89.65</v>
      </c>
      <c r="E6" s="113">
        <v>85.82</v>
      </c>
      <c r="F6" s="113">
        <v>95.75</v>
      </c>
      <c r="G6" s="113">
        <v>92</v>
      </c>
      <c r="H6" s="113">
        <v>88</v>
      </c>
      <c r="I6" s="113">
        <f>ROUND(100*AVERAGE(I2:I5),-1)*1/100</f>
        <v>87</v>
      </c>
      <c r="J6" s="113">
        <v>86</v>
      </c>
      <c r="K6" s="113">
        <v>85</v>
      </c>
    </row>
    <row r="7" spans="1:11">
      <c r="A7" s="226"/>
      <c r="B7" s="33">
        <v>41609</v>
      </c>
      <c r="C7" s="6" t="s">
        <v>1</v>
      </c>
      <c r="D7" s="41">
        <v>89.65</v>
      </c>
      <c r="E7" s="41">
        <v>85.82</v>
      </c>
      <c r="F7" s="41">
        <v>93</v>
      </c>
      <c r="G7" s="41">
        <v>86.5</v>
      </c>
      <c r="H7" s="41">
        <v>84.5</v>
      </c>
      <c r="I7" s="41">
        <v>83.5</v>
      </c>
      <c r="J7" s="41">
        <v>83.5</v>
      </c>
      <c r="K7" s="41"/>
    </row>
    <row r="8" spans="1:11">
      <c r="A8" s="226"/>
      <c r="B8" s="33">
        <v>41499</v>
      </c>
      <c r="C8" s="6" t="s">
        <v>1</v>
      </c>
      <c r="D8" s="41">
        <v>90</v>
      </c>
      <c r="E8" s="41">
        <v>87</v>
      </c>
      <c r="F8" s="41">
        <v>94</v>
      </c>
      <c r="G8" s="41">
        <v>87.5</v>
      </c>
      <c r="H8" s="41">
        <v>85</v>
      </c>
      <c r="I8" s="41">
        <v>84</v>
      </c>
      <c r="J8" s="41">
        <v>84</v>
      </c>
      <c r="K8" s="41"/>
    </row>
    <row r="9" spans="1:11" hidden="1">
      <c r="A9" s="226"/>
      <c r="B9" s="33">
        <v>41306</v>
      </c>
      <c r="C9" s="6" t="s">
        <v>1</v>
      </c>
      <c r="D9" s="114">
        <v>90</v>
      </c>
      <c r="E9" s="114">
        <v>86.5</v>
      </c>
      <c r="F9" s="114">
        <v>88</v>
      </c>
      <c r="G9" s="114">
        <v>87.5</v>
      </c>
      <c r="H9" s="114">
        <v>87</v>
      </c>
      <c r="I9" s="114">
        <v>86.5</v>
      </c>
      <c r="J9" s="114"/>
      <c r="K9" s="114"/>
    </row>
    <row r="10" spans="1:11" hidden="1">
      <c r="A10" s="226"/>
      <c r="B10" s="33">
        <v>41244</v>
      </c>
      <c r="C10" s="6" t="s">
        <v>1</v>
      </c>
      <c r="D10" s="114">
        <v>89.640506965377526</v>
      </c>
      <c r="E10" s="114">
        <v>85</v>
      </c>
      <c r="F10" s="114">
        <v>84.75</v>
      </c>
      <c r="G10" s="114">
        <v>83.5</v>
      </c>
      <c r="H10" s="114">
        <v>82.5</v>
      </c>
      <c r="I10" s="114">
        <v>83</v>
      </c>
      <c r="J10" s="114">
        <v>83</v>
      </c>
      <c r="K10" s="114"/>
    </row>
    <row r="11" spans="1:11">
      <c r="A11" s="226"/>
      <c r="B11" s="33">
        <v>41852</v>
      </c>
      <c r="C11" s="215" t="s">
        <v>16</v>
      </c>
      <c r="D11" s="216"/>
      <c r="E11" s="30">
        <f>+E6/D6-1</f>
        <v>-4.2721695482431765E-2</v>
      </c>
      <c r="F11" s="30">
        <f t="shared" ref="F11:K11" si="0">+F6/E6-1</f>
        <v>0.11570729433698457</v>
      </c>
      <c r="G11" s="30">
        <f t="shared" si="0"/>
        <v>-3.9164490861618773E-2</v>
      </c>
      <c r="H11" s="30">
        <f t="shared" si="0"/>
        <v>-4.3478260869565188E-2</v>
      </c>
      <c r="I11" s="30">
        <f t="shared" si="0"/>
        <v>-1.1363636363636354E-2</v>
      </c>
      <c r="J11" s="30">
        <f t="shared" si="0"/>
        <v>-1.1494252873563204E-2</v>
      </c>
      <c r="K11" s="30">
        <f t="shared" si="0"/>
        <v>-1.1627906976744207E-2</v>
      </c>
    </row>
    <row r="12" spans="1:11">
      <c r="A12" s="226"/>
      <c r="B12" s="33">
        <v>41621</v>
      </c>
      <c r="C12" s="223" t="s">
        <v>16</v>
      </c>
      <c r="D12" s="224"/>
      <c r="E12" s="105">
        <f t="shared" ref="E12:J13" si="1">(E7-D7)/D7</f>
        <v>-4.2721695482431814E-2</v>
      </c>
      <c r="F12" s="105">
        <f t="shared" si="1"/>
        <v>8.3663481705896145E-2</v>
      </c>
      <c r="G12" s="105">
        <f t="shared" si="1"/>
        <v>-6.9892473118279563E-2</v>
      </c>
      <c r="H12" s="105">
        <f t="shared" si="1"/>
        <v>-2.3121387283236993E-2</v>
      </c>
      <c r="I12" s="105">
        <f t="shared" si="1"/>
        <v>-1.1834319526627219E-2</v>
      </c>
      <c r="J12" s="105">
        <f t="shared" si="1"/>
        <v>0</v>
      </c>
      <c r="K12" s="105"/>
    </row>
    <row r="13" spans="1:11" hidden="1">
      <c r="A13" s="227"/>
      <c r="B13" s="33">
        <v>41499</v>
      </c>
      <c r="C13" s="215" t="s">
        <v>16</v>
      </c>
      <c r="D13" s="216"/>
      <c r="E13" s="30">
        <f t="shared" si="1"/>
        <v>-3.3333333333333333E-2</v>
      </c>
      <c r="F13" s="30">
        <f t="shared" si="1"/>
        <v>8.0459770114942528E-2</v>
      </c>
      <c r="G13" s="30">
        <f t="shared" si="1"/>
        <v>-6.9148936170212769E-2</v>
      </c>
      <c r="H13" s="30">
        <f t="shared" si="1"/>
        <v>-2.8571428571428571E-2</v>
      </c>
      <c r="I13" s="30">
        <f t="shared" si="1"/>
        <v>-1.1764705882352941E-2</v>
      </c>
      <c r="J13" s="30">
        <f t="shared" si="1"/>
        <v>0</v>
      </c>
      <c r="K13" s="30"/>
    </row>
    <row r="14" spans="1:11">
      <c r="A14" s="65"/>
      <c r="B14" s="65"/>
      <c r="C14" s="65"/>
      <c r="D14" s="65"/>
      <c r="E14" s="65"/>
      <c r="F14" s="65"/>
      <c r="G14" s="65"/>
      <c r="H14" s="65"/>
      <c r="I14" s="65"/>
      <c r="J14" s="74"/>
      <c r="K14" s="65"/>
    </row>
    <row r="15" spans="1:11">
      <c r="A15" s="228" t="s">
        <v>12</v>
      </c>
      <c r="B15" s="212">
        <v>41852</v>
      </c>
      <c r="C15" s="101" t="s">
        <v>2</v>
      </c>
      <c r="D15" s="104">
        <v>80.3</v>
      </c>
      <c r="E15" s="104">
        <v>96.4</v>
      </c>
      <c r="F15" s="104">
        <v>110</v>
      </c>
      <c r="G15" s="104">
        <v>122</v>
      </c>
      <c r="H15" s="104">
        <v>130</v>
      </c>
      <c r="I15" s="104">
        <v>133</v>
      </c>
      <c r="J15" s="104">
        <v>135</v>
      </c>
      <c r="K15" s="104">
        <v>138</v>
      </c>
    </row>
    <row r="16" spans="1:11">
      <c r="A16" s="228"/>
      <c r="B16" s="211"/>
      <c r="C16" s="102" t="s">
        <v>0</v>
      </c>
      <c r="D16" s="115"/>
      <c r="E16" s="115"/>
      <c r="F16" s="115">
        <v>110.7</v>
      </c>
      <c r="G16" s="115">
        <v>116</v>
      </c>
      <c r="H16" s="115">
        <v>121</v>
      </c>
      <c r="I16" s="115">
        <v>125</v>
      </c>
      <c r="J16" s="116">
        <v>128</v>
      </c>
      <c r="K16" s="115">
        <v>129</v>
      </c>
    </row>
    <row r="17" spans="1:11">
      <c r="A17" s="228"/>
      <c r="B17" s="211"/>
      <c r="C17" s="103" t="s">
        <v>3</v>
      </c>
      <c r="D17" s="117"/>
      <c r="E17" s="117"/>
      <c r="F17" s="117">
        <v>110</v>
      </c>
      <c r="G17" s="117">
        <v>115.5</v>
      </c>
      <c r="H17" s="117">
        <v>117.8</v>
      </c>
      <c r="I17" s="117">
        <v>119</v>
      </c>
      <c r="J17" s="117">
        <v>120.2</v>
      </c>
      <c r="K17" s="117">
        <v>121.4</v>
      </c>
    </row>
    <row r="18" spans="1:11">
      <c r="A18" s="228"/>
      <c r="B18" s="211"/>
      <c r="C18" s="98" t="s">
        <v>1</v>
      </c>
      <c r="D18" s="118">
        <v>80.3</v>
      </c>
      <c r="E18" s="118">
        <f>AVERAGE(E15:E17)</f>
        <v>96.4</v>
      </c>
      <c r="F18" s="118">
        <v>110</v>
      </c>
      <c r="G18" s="118">
        <v>117</v>
      </c>
      <c r="H18" s="118">
        <v>122</v>
      </c>
      <c r="I18" s="118">
        <v>125</v>
      </c>
      <c r="J18" s="118">
        <v>127</v>
      </c>
      <c r="K18" s="118">
        <v>129</v>
      </c>
    </row>
    <row r="19" spans="1:11">
      <c r="A19" s="228"/>
      <c r="B19" s="33">
        <v>41609</v>
      </c>
      <c r="C19" s="6" t="s">
        <v>1</v>
      </c>
      <c r="D19" s="119">
        <v>80.3</v>
      </c>
      <c r="E19" s="119">
        <v>94.2</v>
      </c>
      <c r="F19" s="119">
        <v>99</v>
      </c>
      <c r="G19" s="119">
        <v>103</v>
      </c>
      <c r="H19" s="119">
        <v>106</v>
      </c>
      <c r="I19" s="119">
        <v>108</v>
      </c>
      <c r="J19" s="119">
        <v>109</v>
      </c>
      <c r="K19" s="119"/>
    </row>
    <row r="20" spans="1:11">
      <c r="A20" s="228"/>
      <c r="B20" s="33">
        <v>41499</v>
      </c>
      <c r="C20" s="6" t="s">
        <v>1</v>
      </c>
      <c r="D20" s="119">
        <v>80.069999999999993</v>
      </c>
      <c r="E20" s="119">
        <v>90</v>
      </c>
      <c r="F20" s="119">
        <v>93</v>
      </c>
      <c r="G20" s="119">
        <v>97</v>
      </c>
      <c r="H20" s="119">
        <v>100</v>
      </c>
      <c r="I20" s="119">
        <v>101</v>
      </c>
      <c r="J20" s="119">
        <v>102</v>
      </c>
      <c r="K20" s="119"/>
    </row>
    <row r="21" spans="1:11" hidden="1">
      <c r="A21" s="228"/>
      <c r="B21" s="33">
        <v>41317</v>
      </c>
      <c r="C21" s="6" t="s">
        <v>1</v>
      </c>
      <c r="D21" s="120">
        <v>80.099999999999994</v>
      </c>
      <c r="E21" s="120">
        <v>87</v>
      </c>
      <c r="F21" s="120">
        <v>91.4</v>
      </c>
      <c r="G21" s="120">
        <v>94.1</v>
      </c>
      <c r="H21" s="120">
        <v>96</v>
      </c>
      <c r="I21" s="120">
        <v>97.9</v>
      </c>
      <c r="J21" s="120"/>
      <c r="K21" s="120"/>
    </row>
    <row r="22" spans="1:11" hidden="1">
      <c r="A22" s="228"/>
      <c r="B22" s="33">
        <v>41244</v>
      </c>
      <c r="C22" s="6" t="s">
        <v>1</v>
      </c>
      <c r="D22" s="120">
        <v>79.7</v>
      </c>
      <c r="E22" s="120">
        <v>84.119744824999998</v>
      </c>
      <c r="F22" s="120">
        <v>88.406534618000009</v>
      </c>
      <c r="G22" s="120">
        <v>92.434230656539995</v>
      </c>
      <c r="H22" s="120">
        <v>96.132415269670815</v>
      </c>
      <c r="I22" s="120">
        <v>97.6</v>
      </c>
      <c r="J22" s="120">
        <v>97.6</v>
      </c>
      <c r="K22" s="120"/>
    </row>
    <row r="23" spans="1:11">
      <c r="A23" s="228"/>
      <c r="B23" s="33">
        <v>41852</v>
      </c>
      <c r="C23" s="215" t="s">
        <v>16</v>
      </c>
      <c r="D23" s="216"/>
      <c r="E23" s="30">
        <f>(E18-D18)/D18</f>
        <v>0.20049813200498143</v>
      </c>
      <c r="F23" s="30">
        <f t="shared" ref="F23:K24" si="2">(F18-E18)/E18</f>
        <v>0.1410788381742738</v>
      </c>
      <c r="G23" s="30">
        <f t="shared" si="2"/>
        <v>6.363636363636363E-2</v>
      </c>
      <c r="H23" s="30">
        <f t="shared" si="2"/>
        <v>4.2735042735042736E-2</v>
      </c>
      <c r="I23" s="30">
        <f t="shared" si="2"/>
        <v>2.4590163934426229E-2</v>
      </c>
      <c r="J23" s="30">
        <f t="shared" si="2"/>
        <v>1.6E-2</v>
      </c>
      <c r="K23" s="30">
        <f t="shared" si="2"/>
        <v>1.5748031496062992E-2</v>
      </c>
    </row>
    <row r="24" spans="1:11">
      <c r="A24" s="228"/>
      <c r="B24" s="33">
        <v>41621</v>
      </c>
      <c r="C24" s="223" t="s">
        <v>16</v>
      </c>
      <c r="D24" s="224"/>
      <c r="E24" s="105">
        <f>(E19-D19)/D19</f>
        <v>0.1731008717310088</v>
      </c>
      <c r="F24" s="105">
        <f t="shared" si="2"/>
        <v>5.0955414012738821E-2</v>
      </c>
      <c r="G24" s="105">
        <f t="shared" si="2"/>
        <v>4.0404040404040407E-2</v>
      </c>
      <c r="H24" s="105">
        <f t="shared" si="2"/>
        <v>2.9126213592233011E-2</v>
      </c>
      <c r="I24" s="105">
        <f t="shared" si="2"/>
        <v>1.8867924528301886E-2</v>
      </c>
      <c r="J24" s="105">
        <f t="shared" si="2"/>
        <v>9.2592592592592587E-3</v>
      </c>
      <c r="K24" s="30"/>
    </row>
    <row r="25" spans="1:11" hidden="1">
      <c r="A25" s="228"/>
      <c r="B25" s="33">
        <v>41499</v>
      </c>
      <c r="C25" s="215" t="s">
        <v>16</v>
      </c>
      <c r="D25" s="216"/>
      <c r="E25" s="30">
        <f>(E20-D20)/D20</f>
        <v>0.12401648557512186</v>
      </c>
      <c r="F25" s="30">
        <f>(F20-E20)/E20</f>
        <v>3.3333333333333333E-2</v>
      </c>
      <c r="G25" s="30">
        <f>(G20-F20)/F20</f>
        <v>4.3010752688172046E-2</v>
      </c>
      <c r="H25" s="30">
        <f>(H20-G20)/G20</f>
        <v>3.0927835051546393E-2</v>
      </c>
      <c r="I25" s="30">
        <f>(I20-H20)/H20</f>
        <v>0.01</v>
      </c>
      <c r="J25" s="30">
        <f>(J20-I20)/I20</f>
        <v>9.9009900990099011E-3</v>
      </c>
      <c r="K25" s="30"/>
    </row>
    <row r="26" spans="1:11">
      <c r="A26" s="106"/>
      <c r="B26" s="107"/>
      <c r="C26" s="67"/>
      <c r="D26" s="67"/>
      <c r="E26" s="68"/>
      <c r="F26" s="68"/>
      <c r="G26" s="110"/>
      <c r="H26" s="110"/>
      <c r="I26" s="110"/>
      <c r="J26" s="110"/>
      <c r="K26" s="110"/>
    </row>
    <row r="27" spans="1:11">
      <c r="A27" s="220" t="s">
        <v>18</v>
      </c>
      <c r="B27" s="212">
        <v>41852</v>
      </c>
      <c r="C27" s="101" t="s">
        <v>2</v>
      </c>
      <c r="D27" s="86"/>
      <c r="E27" s="86">
        <v>4.38</v>
      </c>
      <c r="F27" s="86">
        <v>5.2</v>
      </c>
      <c r="G27" s="86">
        <v>5.4</v>
      </c>
      <c r="H27" s="86">
        <v>5.3</v>
      </c>
      <c r="I27" s="86">
        <v>5.3</v>
      </c>
      <c r="J27" s="87">
        <v>5.4</v>
      </c>
      <c r="K27" s="86">
        <v>5.45</v>
      </c>
    </row>
    <row r="28" spans="1:11">
      <c r="A28" s="221"/>
      <c r="B28" s="211"/>
      <c r="C28" s="102" t="s">
        <v>0</v>
      </c>
      <c r="D28" s="43"/>
      <c r="E28" s="43"/>
      <c r="F28" s="43">
        <v>5.48</v>
      </c>
      <c r="G28" s="43">
        <f>5.42-0.19</f>
        <v>5.2299999999999995</v>
      </c>
      <c r="H28" s="43">
        <v>5.3</v>
      </c>
      <c r="I28" s="43">
        <v>5.51</v>
      </c>
      <c r="J28" s="43">
        <v>5.72</v>
      </c>
      <c r="K28" s="43">
        <v>5.95</v>
      </c>
    </row>
    <row r="29" spans="1:11">
      <c r="A29" s="221"/>
      <c r="B29" s="211"/>
      <c r="C29" s="103" t="s">
        <v>3</v>
      </c>
      <c r="D29" s="45"/>
      <c r="E29" s="45"/>
      <c r="F29" s="45">
        <v>5.31</v>
      </c>
      <c r="G29" s="45">
        <v>5.59</v>
      </c>
      <c r="H29" s="45">
        <v>5.18</v>
      </c>
      <c r="I29" s="45">
        <v>5.38</v>
      </c>
      <c r="J29" s="45">
        <v>5.84</v>
      </c>
      <c r="K29" s="45">
        <v>5.82</v>
      </c>
    </row>
    <row r="30" spans="1:11">
      <c r="A30" s="221"/>
      <c r="B30" s="211"/>
      <c r="C30" s="98" t="s">
        <v>1</v>
      </c>
      <c r="D30" s="113">
        <v>5.01</v>
      </c>
      <c r="E30" s="113">
        <f>AVERAGE(E27:E29)</f>
        <v>4.38</v>
      </c>
      <c r="F30" s="113">
        <f>5.2*0+5.15</f>
        <v>5.15</v>
      </c>
      <c r="G30" s="113">
        <f>5.25*0+5.2</f>
        <v>5.2</v>
      </c>
      <c r="H30" s="113">
        <v>5.25</v>
      </c>
      <c r="I30" s="113">
        <v>5.3</v>
      </c>
      <c r="J30" s="113">
        <v>5.35</v>
      </c>
      <c r="K30" s="113">
        <v>5.4</v>
      </c>
    </row>
    <row r="31" spans="1:11">
      <c r="A31" s="221"/>
      <c r="B31" s="33">
        <v>41609</v>
      </c>
      <c r="C31" s="6" t="s">
        <v>1</v>
      </c>
      <c r="D31" s="41">
        <v>5.01</v>
      </c>
      <c r="E31" s="41">
        <v>4.4000000000000004</v>
      </c>
      <c r="F31" s="41">
        <v>4.8499999999999996</v>
      </c>
      <c r="G31" s="41">
        <v>5.0999999999999996</v>
      </c>
      <c r="H31" s="41">
        <v>5.2</v>
      </c>
      <c r="I31" s="41">
        <v>5.3</v>
      </c>
      <c r="J31" s="41">
        <v>5.35</v>
      </c>
      <c r="K31" s="41"/>
    </row>
    <row r="32" spans="1:11">
      <c r="A32" s="221"/>
      <c r="B32" s="33">
        <v>41499</v>
      </c>
      <c r="C32" s="6" t="s">
        <v>1</v>
      </c>
      <c r="D32" s="41">
        <v>5</v>
      </c>
      <c r="E32" s="41">
        <v>4.5</v>
      </c>
      <c r="F32" s="41">
        <v>5</v>
      </c>
      <c r="G32" s="41">
        <v>5.4</v>
      </c>
      <c r="H32" s="41">
        <v>5.5</v>
      </c>
      <c r="I32" s="41">
        <v>5.5</v>
      </c>
      <c r="J32" s="41">
        <v>5.5</v>
      </c>
      <c r="K32" s="41"/>
    </row>
    <row r="33" spans="1:11" hidden="1">
      <c r="A33" s="221"/>
      <c r="B33" s="33">
        <v>41317</v>
      </c>
      <c r="C33" s="6" t="s">
        <v>1</v>
      </c>
      <c r="D33" s="114">
        <v>5</v>
      </c>
      <c r="E33" s="114">
        <v>4.5</v>
      </c>
      <c r="F33" s="114">
        <v>5.0999999999999996</v>
      </c>
      <c r="G33" s="114">
        <v>5.25</v>
      </c>
      <c r="H33" s="114">
        <v>5.5</v>
      </c>
      <c r="I33" s="114">
        <v>5.5</v>
      </c>
      <c r="J33" s="114"/>
      <c r="K33" s="114"/>
    </row>
    <row r="34" spans="1:11" hidden="1">
      <c r="A34" s="221"/>
      <c r="B34" s="33">
        <v>41244</v>
      </c>
      <c r="C34" s="6" t="s">
        <v>1</v>
      </c>
      <c r="D34" s="114">
        <v>5</v>
      </c>
      <c r="E34" s="114">
        <v>4.5</v>
      </c>
      <c r="F34" s="114">
        <v>5</v>
      </c>
      <c r="G34" s="114">
        <v>5.4</v>
      </c>
      <c r="H34" s="114">
        <v>5.6</v>
      </c>
      <c r="I34" s="114">
        <v>5.5</v>
      </c>
      <c r="J34" s="114">
        <v>5.5</v>
      </c>
      <c r="K34" s="114"/>
    </row>
    <row r="35" spans="1:11">
      <c r="A35" s="221"/>
      <c r="B35" s="33">
        <v>41852</v>
      </c>
      <c r="C35" s="215" t="s">
        <v>16</v>
      </c>
      <c r="D35" s="216"/>
      <c r="E35" s="30">
        <f>(E30-D30)/D30</f>
        <v>-0.12574850299401197</v>
      </c>
      <c r="F35" s="30">
        <f t="shared" ref="F35:K36" si="3">(F30-E30)/E30</f>
        <v>0.17579908675799097</v>
      </c>
      <c r="G35" s="30">
        <f t="shared" si="3"/>
        <v>9.7087378640776344E-3</v>
      </c>
      <c r="H35" s="30">
        <f t="shared" si="3"/>
        <v>9.6153846153845812E-3</v>
      </c>
      <c r="I35" s="30">
        <f t="shared" si="3"/>
        <v>9.52380952380949E-3</v>
      </c>
      <c r="J35" s="30">
        <f t="shared" si="3"/>
        <v>9.4339622641509101E-3</v>
      </c>
      <c r="K35" s="30">
        <f t="shared" si="3"/>
        <v>9.3457943925234974E-3</v>
      </c>
    </row>
    <row r="36" spans="1:11">
      <c r="A36" s="221"/>
      <c r="B36" s="33">
        <v>41621</v>
      </c>
      <c r="C36" s="223" t="s">
        <v>16</v>
      </c>
      <c r="D36" s="224"/>
      <c r="E36" s="105">
        <f>(E31-D31)/D31</f>
        <v>-0.12175648702594799</v>
      </c>
      <c r="F36" s="105">
        <f t="shared" si="3"/>
        <v>0.1022727272727271</v>
      </c>
      <c r="G36" s="105">
        <f t="shared" si="3"/>
        <v>5.1546391752577324E-2</v>
      </c>
      <c r="H36" s="105">
        <f t="shared" si="3"/>
        <v>1.9607843137255009E-2</v>
      </c>
      <c r="I36" s="105">
        <f t="shared" si="3"/>
        <v>1.9230769230769162E-2</v>
      </c>
      <c r="J36" s="105">
        <f t="shared" si="3"/>
        <v>9.4339622641509101E-3</v>
      </c>
      <c r="K36" s="30"/>
    </row>
    <row r="37" spans="1:11" hidden="1">
      <c r="A37" s="222"/>
      <c r="B37" s="33">
        <v>41499</v>
      </c>
      <c r="C37" s="215" t="s">
        <v>16</v>
      </c>
      <c r="D37" s="216"/>
      <c r="E37" s="30">
        <f>(E32-D32)/D32</f>
        <v>-0.1</v>
      </c>
      <c r="F37" s="30">
        <f>(F32-E32)/E32</f>
        <v>0.1111111111111111</v>
      </c>
      <c r="G37" s="30">
        <f>(G32-F32)/F32</f>
        <v>8.0000000000000071E-2</v>
      </c>
      <c r="H37" s="30">
        <f>(H32-G32)/G32</f>
        <v>1.8518518518518452E-2</v>
      </c>
      <c r="I37" s="30">
        <f>(I32-H32)/H32</f>
        <v>0</v>
      </c>
      <c r="J37" s="30">
        <f>(J32-I32)/I32</f>
        <v>0</v>
      </c>
      <c r="K37" s="30"/>
    </row>
    <row r="38" spans="1:11">
      <c r="A38" s="65"/>
      <c r="B38" s="65"/>
      <c r="C38" s="65"/>
      <c r="D38" s="76"/>
      <c r="E38" s="76"/>
      <c r="F38" s="76"/>
      <c r="G38" s="76"/>
      <c r="H38" s="76"/>
      <c r="I38" s="76"/>
      <c r="K38" s="76"/>
    </row>
    <row r="39" spans="1:11">
      <c r="A39" s="220" t="s">
        <v>19</v>
      </c>
      <c r="B39" s="212">
        <v>41852</v>
      </c>
      <c r="C39" s="101" t="s">
        <v>2</v>
      </c>
      <c r="D39" s="55"/>
      <c r="E39" s="111">
        <v>1177.5</v>
      </c>
      <c r="F39" s="111">
        <v>1162</v>
      </c>
      <c r="G39" s="111">
        <v>1149</v>
      </c>
      <c r="H39" s="111">
        <v>1116</v>
      </c>
      <c r="I39" s="111">
        <v>1083</v>
      </c>
      <c r="J39" s="111">
        <v>1050</v>
      </c>
      <c r="K39" s="111">
        <v>1018</v>
      </c>
    </row>
    <row r="40" spans="1:11">
      <c r="A40" s="221"/>
      <c r="B40" s="211"/>
      <c r="C40" s="102" t="s">
        <v>0</v>
      </c>
      <c r="D40" s="121"/>
      <c r="E40" s="121"/>
      <c r="F40" s="121">
        <v>1175.5</v>
      </c>
      <c r="G40" s="121">
        <v>1187.3</v>
      </c>
      <c r="H40" s="121">
        <v>1182</v>
      </c>
      <c r="I40" s="121">
        <v>1174.4000000000001</v>
      </c>
      <c r="J40" s="121">
        <v>1165.8</v>
      </c>
      <c r="K40" s="121">
        <v>1153</v>
      </c>
    </row>
    <row r="41" spans="1:11">
      <c r="A41" s="221"/>
      <c r="B41" s="211"/>
      <c r="C41" s="103" t="s">
        <v>3</v>
      </c>
      <c r="D41" s="57"/>
      <c r="E41" s="57"/>
      <c r="F41" s="57"/>
      <c r="G41" s="57"/>
      <c r="H41" s="57"/>
      <c r="I41" s="57"/>
      <c r="J41" s="57"/>
      <c r="K41" s="57"/>
    </row>
    <row r="42" spans="1:11">
      <c r="A42" s="221"/>
      <c r="B42" s="211"/>
      <c r="C42" s="98" t="s">
        <v>1</v>
      </c>
      <c r="D42" s="122">
        <v>1227</v>
      </c>
      <c r="E42" s="122">
        <f>AVERAGE(E39:E41)</f>
        <v>1177.5</v>
      </c>
      <c r="F42" s="122">
        <v>1170</v>
      </c>
      <c r="G42" s="122">
        <f>F42*0.99</f>
        <v>1158.3</v>
      </c>
      <c r="H42" s="122">
        <f>G42*0.97</f>
        <v>1123.5509999999999</v>
      </c>
      <c r="I42" s="122">
        <f>H42*0.97</f>
        <v>1089.84447</v>
      </c>
      <c r="J42" s="122">
        <f>I42*0.97</f>
        <v>1057.1491358999999</v>
      </c>
      <c r="K42" s="122">
        <f>J42*0.97</f>
        <v>1025.4346618229999</v>
      </c>
    </row>
    <row r="43" spans="1:11">
      <c r="A43" s="221"/>
      <c r="B43" s="33">
        <v>41609</v>
      </c>
      <c r="C43" s="6" t="s">
        <v>1</v>
      </c>
      <c r="D43" s="55">
        <v>1227</v>
      </c>
      <c r="E43" s="55">
        <v>1175</v>
      </c>
      <c r="F43" s="55">
        <v>1130</v>
      </c>
      <c r="G43" s="55">
        <v>1090</v>
      </c>
      <c r="H43" s="55">
        <v>1050</v>
      </c>
      <c r="I43" s="55">
        <v>1010</v>
      </c>
      <c r="J43" s="55">
        <v>970</v>
      </c>
      <c r="K43" s="123"/>
    </row>
    <row r="44" spans="1:11">
      <c r="A44" s="221"/>
      <c r="B44" s="33">
        <v>41499</v>
      </c>
      <c r="C44" s="6" t="s">
        <v>1</v>
      </c>
      <c r="D44" s="55">
        <v>1225.8499999999999</v>
      </c>
      <c r="E44" s="55">
        <v>1165</v>
      </c>
      <c r="F44" s="55">
        <v>1110</v>
      </c>
      <c r="G44" s="55">
        <v>1070</v>
      </c>
      <c r="H44" s="55">
        <v>1030</v>
      </c>
      <c r="I44" s="55">
        <v>1000</v>
      </c>
      <c r="J44" s="55">
        <v>960</v>
      </c>
      <c r="K44" s="123"/>
    </row>
    <row r="45" spans="1:11" hidden="1">
      <c r="A45" s="221"/>
      <c r="B45" s="33">
        <v>41317</v>
      </c>
      <c r="C45" s="6" t="s">
        <v>1</v>
      </c>
      <c r="D45" s="123">
        <v>1226</v>
      </c>
      <c r="E45" s="123">
        <v>1185</v>
      </c>
      <c r="F45" s="123">
        <v>1151</v>
      </c>
      <c r="G45" s="123">
        <v>1121</v>
      </c>
      <c r="H45" s="123">
        <v>1090.1407234210708</v>
      </c>
      <c r="I45" s="123">
        <v>1048</v>
      </c>
      <c r="J45" s="123"/>
      <c r="K45" s="123"/>
    </row>
    <row r="46" spans="1:11" hidden="1">
      <c r="A46" s="221"/>
      <c r="B46" s="33">
        <v>41244</v>
      </c>
      <c r="C46" s="6" t="s">
        <v>1</v>
      </c>
      <c r="D46" s="123">
        <v>1228.5423506666664</v>
      </c>
      <c r="E46" s="123">
        <v>1184.5870287874238</v>
      </c>
      <c r="F46" s="123">
        <v>1151.3778293463738</v>
      </c>
      <c r="G46" s="123">
        <v>1121.0332793283103</v>
      </c>
      <c r="H46" s="123">
        <v>1090.1407234210708</v>
      </c>
      <c r="I46" s="123">
        <v>1048</v>
      </c>
      <c r="J46" s="123">
        <v>1048</v>
      </c>
      <c r="K46" s="123"/>
    </row>
    <row r="47" spans="1:11">
      <c r="A47" s="221"/>
      <c r="B47" s="33">
        <v>41852</v>
      </c>
      <c r="C47" s="215" t="s">
        <v>16</v>
      </c>
      <c r="D47" s="216"/>
      <c r="E47" s="30">
        <f>(E42-D42)/D42</f>
        <v>-4.0342298288508556E-2</v>
      </c>
      <c r="F47" s="30">
        <f t="shared" ref="F47:K48" si="4">(F42-E42)/E42</f>
        <v>-6.369426751592357E-3</v>
      </c>
      <c r="G47" s="30">
        <f t="shared" si="4"/>
        <v>-1.0000000000000038E-2</v>
      </c>
      <c r="H47" s="30">
        <f t="shared" si="4"/>
        <v>-3.0000000000000023E-2</v>
      </c>
      <c r="I47" s="30">
        <f t="shared" si="4"/>
        <v>-2.999999999999994E-2</v>
      </c>
      <c r="J47" s="30">
        <f t="shared" si="4"/>
        <v>-3.0000000000000075E-2</v>
      </c>
      <c r="K47" s="30">
        <f t="shared" si="4"/>
        <v>-2.9999999999999982E-2</v>
      </c>
    </row>
    <row r="48" spans="1:11">
      <c r="A48" s="221"/>
      <c r="B48" s="33">
        <v>41621</v>
      </c>
      <c r="C48" s="223" t="s">
        <v>16</v>
      </c>
      <c r="D48" s="224"/>
      <c r="E48" s="105">
        <f>(E43-D43)/D43</f>
        <v>-4.2379788101059496E-2</v>
      </c>
      <c r="F48" s="105">
        <f t="shared" si="4"/>
        <v>-3.8297872340425532E-2</v>
      </c>
      <c r="G48" s="105">
        <f t="shared" si="4"/>
        <v>-3.5398230088495575E-2</v>
      </c>
      <c r="H48" s="105">
        <f t="shared" si="4"/>
        <v>-3.669724770642202E-2</v>
      </c>
      <c r="I48" s="105">
        <f t="shared" si="4"/>
        <v>-3.8095238095238099E-2</v>
      </c>
      <c r="J48" s="105">
        <f t="shared" si="4"/>
        <v>-3.9603960396039604E-2</v>
      </c>
      <c r="K48" s="105"/>
    </row>
    <row r="49" spans="1:11" hidden="1">
      <c r="A49" s="222"/>
      <c r="B49" s="33">
        <v>41499</v>
      </c>
      <c r="C49" s="215" t="s">
        <v>16</v>
      </c>
      <c r="D49" s="216"/>
      <c r="E49" s="30">
        <f>(E44-D44)/D44</f>
        <v>-4.9639025981971625E-2</v>
      </c>
      <c r="F49" s="30">
        <f>(F44-E44)/E44</f>
        <v>-4.7210300429184553E-2</v>
      </c>
      <c r="G49" s="30">
        <f>(G44-F44)/F44</f>
        <v>-3.6036036036036036E-2</v>
      </c>
      <c r="H49" s="30">
        <f>(H44-G44)/G44</f>
        <v>-3.7383177570093455E-2</v>
      </c>
      <c r="I49" s="30">
        <f>(I44-H44)/H44</f>
        <v>-2.9126213592233011E-2</v>
      </c>
      <c r="J49" s="30">
        <f>(J44-I44)/I44</f>
        <v>-0.04</v>
      </c>
      <c r="K49" s="30"/>
    </row>
    <row r="50" spans="1:11">
      <c r="A50" s="108"/>
      <c r="B50" s="13"/>
      <c r="F50" s="112"/>
      <c r="G50" s="112"/>
      <c r="H50" s="112"/>
      <c r="I50" s="112"/>
      <c r="J50" s="112"/>
      <c r="K50" s="112"/>
    </row>
    <row r="51" spans="1:11">
      <c r="A51" s="9"/>
      <c r="B51" s="13"/>
      <c r="E51" s="94"/>
      <c r="F51" s="94"/>
      <c r="G51" s="112"/>
      <c r="H51" s="112"/>
      <c r="I51" s="112"/>
      <c r="J51" s="112"/>
      <c r="K51" s="112"/>
    </row>
    <row r="52" spans="1:11">
      <c r="A52" s="9"/>
      <c r="B52" s="13"/>
      <c r="E52" s="94"/>
      <c r="F52" s="94"/>
      <c r="G52" s="94"/>
      <c r="H52" s="94"/>
      <c r="I52" s="94"/>
      <c r="J52" s="94"/>
    </row>
    <row r="53" spans="1:11">
      <c r="A53" s="9"/>
      <c r="B53" s="13"/>
    </row>
    <row r="54" spans="1:11">
      <c r="A54" s="9"/>
      <c r="B54" s="13"/>
    </row>
    <row r="55" spans="1:11">
      <c r="A55" s="9"/>
      <c r="B55" s="13"/>
    </row>
    <row r="56" spans="1:11">
      <c r="A56" s="9"/>
      <c r="B56" s="13"/>
    </row>
    <row r="57" spans="1:11">
      <c r="A57" s="9"/>
      <c r="B57" s="13"/>
    </row>
    <row r="58" spans="1:11">
      <c r="A58" s="9"/>
      <c r="B58" s="13"/>
    </row>
    <row r="59" spans="1:11">
      <c r="A59" s="9"/>
      <c r="B59" s="13"/>
    </row>
    <row r="60" spans="1:11">
      <c r="A60" s="9"/>
      <c r="B60" s="13"/>
    </row>
  </sheetData>
  <mergeCells count="20">
    <mergeCell ref="A15:A25"/>
    <mergeCell ref="B15:B18"/>
    <mergeCell ref="C23:D23"/>
    <mergeCell ref="C24:D24"/>
    <mergeCell ref="C25:D25"/>
    <mergeCell ref="A2:A13"/>
    <mergeCell ref="B2:B6"/>
    <mergeCell ref="C11:D11"/>
    <mergeCell ref="C12:D12"/>
    <mergeCell ref="C13:D13"/>
    <mergeCell ref="A39:A49"/>
    <mergeCell ref="B39:B42"/>
    <mergeCell ref="C47:D47"/>
    <mergeCell ref="C48:D48"/>
    <mergeCell ref="C49:D49"/>
    <mergeCell ref="A27:A37"/>
    <mergeCell ref="B27:B30"/>
    <mergeCell ref="C35:D35"/>
    <mergeCell ref="C36:D36"/>
    <mergeCell ref="C37:D37"/>
  </mergeCells>
  <pageMargins left="0.5" right="0.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65"/>
  <sheetViews>
    <sheetView zoomScale="120" zoomScaleNormal="120" workbookViewId="0">
      <pane ySplit="1" topLeftCell="A2" activePane="bottomLeft" state="frozen"/>
      <selection pane="bottomLeft" activeCell="B8" sqref="B8"/>
    </sheetView>
  </sheetViews>
  <sheetFormatPr defaultColWidth="9.140625" defaultRowHeight="15"/>
  <cols>
    <col min="1" max="1" width="9.5703125" customWidth="1"/>
    <col min="2" max="2" width="11.140625" customWidth="1"/>
    <col min="3" max="3" width="6.85546875" bestFit="1" customWidth="1"/>
    <col min="4" max="5" width="8.42578125" customWidth="1"/>
    <col min="6" max="6" width="9.42578125" bestFit="1" customWidth="1"/>
    <col min="7" max="7" width="8.5703125" customWidth="1"/>
    <col min="8" max="8" width="9.42578125" bestFit="1" customWidth="1"/>
    <col min="9" max="10" width="9.140625" bestFit="1" customWidth="1"/>
    <col min="11" max="11" width="8.42578125" customWidth="1"/>
  </cols>
  <sheetData>
    <row r="1" spans="1:14" ht="30">
      <c r="A1" s="8"/>
      <c r="B1" s="11"/>
      <c r="C1" s="6"/>
      <c r="D1" s="96" t="s">
        <v>17</v>
      </c>
      <c r="E1" s="96" t="s">
        <v>25</v>
      </c>
      <c r="F1" s="96" t="s">
        <v>6</v>
      </c>
      <c r="G1" s="96" t="s">
        <v>7</v>
      </c>
      <c r="H1" s="96" t="s">
        <v>8</v>
      </c>
      <c r="I1" s="96" t="s">
        <v>9</v>
      </c>
      <c r="J1" s="96" t="s">
        <v>21</v>
      </c>
      <c r="K1" s="96" t="s">
        <v>24</v>
      </c>
    </row>
    <row r="2" spans="1:14">
      <c r="A2" s="225" t="s">
        <v>10</v>
      </c>
      <c r="B2" s="212" t="s">
        <v>26</v>
      </c>
      <c r="C2" s="100" t="s">
        <v>4</v>
      </c>
      <c r="D2" s="17"/>
      <c r="E2" s="17"/>
      <c r="F2" s="17">
        <v>95.21</v>
      </c>
      <c r="G2" s="17">
        <v>72.27</v>
      </c>
      <c r="H2" s="17">
        <v>65.319999999999993</v>
      </c>
      <c r="I2" s="17">
        <v>71.959999999999994</v>
      </c>
      <c r="J2" s="17">
        <v>76.959999999999994</v>
      </c>
      <c r="K2" s="17">
        <v>81.680000000000007</v>
      </c>
    </row>
    <row r="3" spans="1:14">
      <c r="A3" s="226"/>
      <c r="B3" s="211"/>
      <c r="C3" s="101" t="s">
        <v>2</v>
      </c>
      <c r="D3" s="29"/>
      <c r="E3" s="14"/>
      <c r="F3" s="14">
        <v>95.13</v>
      </c>
      <c r="G3" s="14">
        <v>70</v>
      </c>
      <c r="H3" s="14">
        <v>65.5</v>
      </c>
      <c r="I3" s="14">
        <v>69</v>
      </c>
      <c r="J3" s="14">
        <v>73</v>
      </c>
      <c r="K3" s="14">
        <v>76</v>
      </c>
    </row>
    <row r="4" spans="1:14">
      <c r="A4" s="226"/>
      <c r="B4" s="211"/>
      <c r="C4" s="102" t="s">
        <v>0</v>
      </c>
      <c r="D4" s="15"/>
      <c r="E4" s="15"/>
      <c r="F4" s="15">
        <v>95.09</v>
      </c>
      <c r="G4" s="15">
        <v>69.06</v>
      </c>
      <c r="H4" s="15">
        <v>62.33</v>
      </c>
      <c r="I4" s="15">
        <v>73.760000000000005</v>
      </c>
      <c r="J4" s="15">
        <v>77.44</v>
      </c>
      <c r="K4" s="15">
        <v>79.78</v>
      </c>
    </row>
    <row r="5" spans="1:14">
      <c r="A5" s="226"/>
      <c r="B5" s="211"/>
      <c r="C5" s="103" t="s">
        <v>3</v>
      </c>
      <c r="D5" s="16"/>
      <c r="E5" s="16"/>
      <c r="F5" s="16">
        <v>95.13</v>
      </c>
      <c r="G5" s="16">
        <v>72</v>
      </c>
      <c r="H5" s="16">
        <v>67.5</v>
      </c>
      <c r="I5" s="16">
        <v>74</v>
      </c>
      <c r="J5" s="16">
        <v>78</v>
      </c>
      <c r="K5" s="16">
        <v>81.5</v>
      </c>
    </row>
    <row r="6" spans="1:14">
      <c r="A6" s="226"/>
      <c r="B6" s="211"/>
      <c r="C6" s="103"/>
      <c r="D6" s="16"/>
      <c r="E6" s="16"/>
      <c r="F6" s="16"/>
      <c r="G6" s="16">
        <f>AVERAGE(G2:G5)</f>
        <v>70.832499999999996</v>
      </c>
      <c r="H6" s="16">
        <f>AVERAGE(H2:H5)</f>
        <v>65.162499999999994</v>
      </c>
      <c r="I6" s="16">
        <f>AVERAGE(I2:I5)</f>
        <v>72.179999999999993</v>
      </c>
      <c r="J6" s="16">
        <f>AVERAGE(J2:J5)</f>
        <v>76.349999999999994</v>
      </c>
      <c r="K6" s="16">
        <f>AVERAGE(K2:K5)</f>
        <v>79.740000000000009</v>
      </c>
    </row>
    <row r="7" spans="1:14">
      <c r="A7" s="226"/>
      <c r="B7" s="211"/>
      <c r="C7" s="98" t="s">
        <v>1</v>
      </c>
      <c r="D7" s="99">
        <v>89.65</v>
      </c>
      <c r="E7" s="99">
        <v>85.82</v>
      </c>
      <c r="F7" s="99">
        <f>ROUND(AVERAGE(F2:F5),2)</f>
        <v>95.14</v>
      </c>
      <c r="G7" s="99">
        <v>71</v>
      </c>
      <c r="H7" s="99">
        <v>66</v>
      </c>
      <c r="I7" s="99">
        <v>72</v>
      </c>
      <c r="J7" s="99">
        <v>76</v>
      </c>
      <c r="K7" s="99">
        <v>80</v>
      </c>
    </row>
    <row r="8" spans="1:14">
      <c r="A8" s="226"/>
      <c r="B8" s="33">
        <v>41852</v>
      </c>
      <c r="C8" s="6" t="s">
        <v>1</v>
      </c>
      <c r="D8" s="14">
        <v>89.65</v>
      </c>
      <c r="E8" s="14">
        <v>85.82</v>
      </c>
      <c r="F8" s="14">
        <v>95.75</v>
      </c>
      <c r="G8" s="14">
        <v>92</v>
      </c>
      <c r="H8" s="14">
        <v>88</v>
      </c>
      <c r="I8" s="14">
        <v>87</v>
      </c>
      <c r="J8" s="14">
        <v>86</v>
      </c>
      <c r="K8" s="14">
        <v>85</v>
      </c>
      <c r="M8" s="112">
        <f>G7/G8-1</f>
        <v>-0.22826086956521741</v>
      </c>
      <c r="N8" s="112">
        <f>H7/H8-1</f>
        <v>-0.25</v>
      </c>
    </row>
    <row r="9" spans="1:14">
      <c r="A9" s="226"/>
      <c r="B9" s="33">
        <v>41609</v>
      </c>
      <c r="C9" s="6" t="s">
        <v>1</v>
      </c>
      <c r="D9" s="14">
        <v>89.65</v>
      </c>
      <c r="E9" s="14">
        <v>85.82</v>
      </c>
      <c r="F9" s="14">
        <v>93</v>
      </c>
      <c r="G9" s="14">
        <v>86.5</v>
      </c>
      <c r="H9" s="14">
        <v>84.5</v>
      </c>
      <c r="I9" s="14">
        <v>83.5</v>
      </c>
      <c r="J9" s="14">
        <v>83.5</v>
      </c>
      <c r="K9" s="14"/>
    </row>
    <row r="10" spans="1:14" hidden="1">
      <c r="A10" s="226"/>
      <c r="B10" s="33">
        <v>41499</v>
      </c>
      <c r="C10" s="6" t="s">
        <v>1</v>
      </c>
      <c r="D10" s="14">
        <v>90</v>
      </c>
      <c r="E10" s="14">
        <v>87</v>
      </c>
      <c r="F10" s="14">
        <v>94</v>
      </c>
      <c r="G10" s="14">
        <v>87.5</v>
      </c>
      <c r="H10" s="14">
        <v>85</v>
      </c>
      <c r="I10" s="14">
        <v>84</v>
      </c>
      <c r="J10" s="14">
        <v>84</v>
      </c>
      <c r="K10" s="14"/>
    </row>
    <row r="11" spans="1:14" hidden="1">
      <c r="A11" s="226"/>
      <c r="B11" s="33">
        <v>41306</v>
      </c>
      <c r="C11" s="6" t="s">
        <v>1</v>
      </c>
      <c r="D11" s="71">
        <v>90</v>
      </c>
      <c r="E11" s="71">
        <v>86.5</v>
      </c>
      <c r="F11" s="71">
        <v>88</v>
      </c>
      <c r="G11" s="71">
        <v>87.5</v>
      </c>
      <c r="H11" s="71">
        <v>87</v>
      </c>
      <c r="I11" s="71">
        <v>86.5</v>
      </c>
      <c r="J11" s="71"/>
      <c r="K11" s="71"/>
    </row>
    <row r="12" spans="1:14" hidden="1">
      <c r="A12" s="226"/>
      <c r="B12" s="33">
        <v>41244</v>
      </c>
      <c r="C12" s="6" t="s">
        <v>1</v>
      </c>
      <c r="D12" s="71">
        <v>89.640506965377526</v>
      </c>
      <c r="E12" s="71">
        <v>85</v>
      </c>
      <c r="F12" s="71">
        <v>84.75</v>
      </c>
      <c r="G12" s="71">
        <v>83.5</v>
      </c>
      <c r="H12" s="71">
        <v>82.5</v>
      </c>
      <c r="I12" s="71">
        <v>83</v>
      </c>
      <c r="J12" s="71">
        <v>83</v>
      </c>
      <c r="K12" s="71"/>
    </row>
    <row r="13" spans="1:14">
      <c r="A13" s="226"/>
      <c r="B13" s="33">
        <v>41974</v>
      </c>
      <c r="C13" s="215" t="s">
        <v>16</v>
      </c>
      <c r="D13" s="216"/>
      <c r="E13" s="30">
        <f t="shared" ref="E13:K13" si="0">+E7/D7-1</f>
        <v>-4.2721695482431765E-2</v>
      </c>
      <c r="F13" s="30">
        <f t="shared" si="0"/>
        <v>0.10859939408063402</v>
      </c>
      <c r="G13" s="30">
        <f t="shared" si="0"/>
        <v>-0.25373134328358204</v>
      </c>
      <c r="H13" s="30">
        <f t="shared" si="0"/>
        <v>-7.0422535211267623E-2</v>
      </c>
      <c r="I13" s="30">
        <f t="shared" si="0"/>
        <v>9.0909090909090828E-2</v>
      </c>
      <c r="J13" s="30">
        <f t="shared" si="0"/>
        <v>5.555555555555558E-2</v>
      </c>
      <c r="K13" s="30">
        <f t="shared" si="0"/>
        <v>5.2631578947368363E-2</v>
      </c>
    </row>
    <row r="14" spans="1:14">
      <c r="A14" s="226"/>
      <c r="B14" s="33">
        <v>41487</v>
      </c>
      <c r="C14" s="223" t="s">
        <v>16</v>
      </c>
      <c r="D14" s="224"/>
      <c r="E14" s="105">
        <f t="shared" ref="E14:J14" si="1">(E8-D8)/D8</f>
        <v>-4.2721695482431814E-2</v>
      </c>
      <c r="F14" s="105">
        <f t="shared" si="1"/>
        <v>0.11570729433698447</v>
      </c>
      <c r="G14" s="105">
        <f t="shared" si="1"/>
        <v>-3.91644908616188E-2</v>
      </c>
      <c r="H14" s="105">
        <f t="shared" si="1"/>
        <v>-4.3478260869565216E-2</v>
      </c>
      <c r="I14" s="105">
        <f t="shared" si="1"/>
        <v>-1.1363636363636364E-2</v>
      </c>
      <c r="J14" s="105">
        <f t="shared" si="1"/>
        <v>-1.1494252873563218E-2</v>
      </c>
      <c r="K14" s="105"/>
    </row>
    <row r="15" spans="1:14" hidden="1">
      <c r="A15" s="227"/>
      <c r="B15" s="33">
        <v>41499</v>
      </c>
      <c r="C15" s="215" t="s">
        <v>16</v>
      </c>
      <c r="D15" s="216"/>
      <c r="E15" s="30">
        <f t="shared" ref="E15:J15" si="2">(E10-D10)/D10</f>
        <v>-3.3333333333333333E-2</v>
      </c>
      <c r="F15" s="30">
        <f t="shared" si="2"/>
        <v>8.0459770114942528E-2</v>
      </c>
      <c r="G15" s="30">
        <f t="shared" si="2"/>
        <v>-6.9148936170212769E-2</v>
      </c>
      <c r="H15" s="30">
        <f t="shared" si="2"/>
        <v>-2.8571428571428571E-2</v>
      </c>
      <c r="I15" s="30">
        <f t="shared" si="2"/>
        <v>-1.1764705882352941E-2</v>
      </c>
      <c r="J15" s="30">
        <f t="shared" si="2"/>
        <v>0</v>
      </c>
      <c r="K15" s="30"/>
    </row>
    <row r="16" spans="1:14">
      <c r="A16" s="65"/>
      <c r="B16" s="65"/>
      <c r="C16" s="65"/>
      <c r="D16" s="65"/>
      <c r="E16" s="65"/>
      <c r="F16" s="65"/>
      <c r="G16" s="126"/>
      <c r="H16" s="126"/>
      <c r="I16" s="126"/>
      <c r="J16" s="126"/>
      <c r="K16" s="126"/>
    </row>
    <row r="17" spans="1:14">
      <c r="A17" s="228" t="s">
        <v>12</v>
      </c>
      <c r="B17" s="212">
        <v>41974</v>
      </c>
      <c r="C17" s="101" t="s">
        <v>2</v>
      </c>
      <c r="D17" s="104"/>
      <c r="E17" s="104"/>
      <c r="F17" s="104">
        <v>113.4</v>
      </c>
      <c r="G17" s="104">
        <v>123.5</v>
      </c>
      <c r="H17" s="104">
        <v>131.30000000000001</v>
      </c>
      <c r="I17" s="104">
        <v>137.30000000000001</v>
      </c>
      <c r="J17" s="104">
        <v>142.30000000000001</v>
      </c>
      <c r="K17" s="104">
        <v>146.19999999999999</v>
      </c>
    </row>
    <row r="18" spans="1:14">
      <c r="A18" s="228"/>
      <c r="B18" s="211"/>
      <c r="C18" s="102" t="s">
        <v>0</v>
      </c>
      <c r="D18" s="20"/>
      <c r="E18" s="20"/>
      <c r="F18" s="20">
        <v>113.1</v>
      </c>
      <c r="G18" s="20">
        <v>118.8</v>
      </c>
      <c r="H18" s="20">
        <v>123.5</v>
      </c>
      <c r="I18" s="20">
        <v>127.2</v>
      </c>
      <c r="J18" s="75">
        <v>129.80000000000001</v>
      </c>
      <c r="K18" s="20">
        <v>131.1</v>
      </c>
    </row>
    <row r="19" spans="1:14">
      <c r="A19" s="228"/>
      <c r="B19" s="211"/>
      <c r="C19" s="103" t="s">
        <v>3</v>
      </c>
      <c r="D19" s="21"/>
      <c r="E19" s="21"/>
      <c r="F19" s="21">
        <v>113.5</v>
      </c>
      <c r="G19" s="21">
        <v>123.8</v>
      </c>
      <c r="H19" s="21">
        <v>131.80000000000001</v>
      </c>
      <c r="I19" s="21">
        <v>140.9</v>
      </c>
      <c r="J19" s="21">
        <v>150.80000000000001</v>
      </c>
      <c r="K19" s="21">
        <v>161.69999999999999</v>
      </c>
    </row>
    <row r="20" spans="1:14">
      <c r="A20" s="228"/>
      <c r="B20" s="211"/>
      <c r="C20" s="98" t="s">
        <v>1</v>
      </c>
      <c r="D20" s="97">
        <v>80.3</v>
      </c>
      <c r="E20" s="97">
        <v>96.4</v>
      </c>
      <c r="F20" s="124">
        <v>113.4</v>
      </c>
      <c r="G20" s="124">
        <v>122</v>
      </c>
      <c r="H20" s="124">
        <v>127</v>
      </c>
      <c r="I20" s="124">
        <v>131</v>
      </c>
      <c r="J20" s="124">
        <v>133</v>
      </c>
      <c r="K20" s="124">
        <v>135</v>
      </c>
    </row>
    <row r="21" spans="1:14">
      <c r="A21" s="228"/>
      <c r="B21" s="33">
        <v>41852</v>
      </c>
      <c r="C21" s="6" t="s">
        <v>1</v>
      </c>
      <c r="D21" s="109">
        <v>80.3</v>
      </c>
      <c r="E21" s="109">
        <v>96.4</v>
      </c>
      <c r="F21" s="109">
        <v>110</v>
      </c>
      <c r="G21" s="109">
        <v>117</v>
      </c>
      <c r="H21" s="109">
        <v>122</v>
      </c>
      <c r="I21" s="109">
        <v>125</v>
      </c>
      <c r="J21" s="109">
        <v>127</v>
      </c>
      <c r="K21" s="109">
        <v>129</v>
      </c>
      <c r="M21" s="112">
        <f>G20/G21-1</f>
        <v>4.2735042735042805E-2</v>
      </c>
      <c r="N21" s="112">
        <f>H20/H21-1</f>
        <v>4.0983606557376984E-2</v>
      </c>
    </row>
    <row r="22" spans="1:14">
      <c r="A22" s="228"/>
      <c r="B22" s="33">
        <v>41609</v>
      </c>
      <c r="C22" s="6" t="s">
        <v>1</v>
      </c>
      <c r="D22" s="109">
        <v>80.3</v>
      </c>
      <c r="E22" s="109">
        <v>94.2</v>
      </c>
      <c r="F22" s="109">
        <v>99</v>
      </c>
      <c r="G22" s="109">
        <v>103</v>
      </c>
      <c r="H22" s="109">
        <v>106</v>
      </c>
      <c r="I22" s="109">
        <v>108</v>
      </c>
      <c r="J22" s="109">
        <v>109</v>
      </c>
      <c r="K22" s="109"/>
    </row>
    <row r="23" spans="1:14" hidden="1">
      <c r="A23" s="228"/>
      <c r="B23" s="33">
        <v>41499</v>
      </c>
      <c r="C23" s="6" t="s">
        <v>1</v>
      </c>
      <c r="D23" s="109">
        <v>80.069999999999993</v>
      </c>
      <c r="E23" s="109">
        <v>90</v>
      </c>
      <c r="F23" s="109">
        <v>93</v>
      </c>
      <c r="G23" s="109">
        <v>97</v>
      </c>
      <c r="H23" s="109">
        <v>100</v>
      </c>
      <c r="I23" s="109">
        <v>101</v>
      </c>
      <c r="J23" s="109">
        <v>102</v>
      </c>
      <c r="K23" s="109"/>
    </row>
    <row r="24" spans="1:14" hidden="1">
      <c r="A24" s="228"/>
      <c r="B24" s="33">
        <v>41317</v>
      </c>
      <c r="C24" s="6" t="s">
        <v>1</v>
      </c>
      <c r="D24" s="88">
        <v>80.099999999999994</v>
      </c>
      <c r="E24" s="88">
        <v>87</v>
      </c>
      <c r="F24" s="88">
        <v>91.4</v>
      </c>
      <c r="G24" s="88">
        <v>94.1</v>
      </c>
      <c r="H24" s="88">
        <v>96</v>
      </c>
      <c r="I24" s="88">
        <v>97.9</v>
      </c>
      <c r="J24" s="88"/>
      <c r="K24" s="88"/>
    </row>
    <row r="25" spans="1:14" hidden="1">
      <c r="A25" s="228"/>
      <c r="B25" s="33">
        <v>41244</v>
      </c>
      <c r="C25" s="6" t="s">
        <v>1</v>
      </c>
      <c r="D25" s="88">
        <v>79.7</v>
      </c>
      <c r="E25" s="88">
        <v>84.119744824999998</v>
      </c>
      <c r="F25" s="88">
        <v>88.406534618000009</v>
      </c>
      <c r="G25" s="88">
        <v>92.434230656539995</v>
      </c>
      <c r="H25" s="88">
        <v>96.132415269670815</v>
      </c>
      <c r="I25" s="88">
        <v>97.6</v>
      </c>
      <c r="J25" s="88">
        <v>97.6</v>
      </c>
      <c r="K25" s="88"/>
    </row>
    <row r="26" spans="1:14">
      <c r="A26" s="228"/>
      <c r="B26" s="33">
        <v>41974</v>
      </c>
      <c r="C26" s="215" t="s">
        <v>16</v>
      </c>
      <c r="D26" s="216"/>
      <c r="E26" s="30">
        <f>(E20-D20)/D20</f>
        <v>0.20049813200498143</v>
      </c>
      <c r="F26" s="30">
        <f t="shared" ref="F26:K26" si="3">(F20-E20)/E20</f>
        <v>0.17634854771784231</v>
      </c>
      <c r="G26" s="30">
        <f t="shared" si="3"/>
        <v>7.5837742504409111E-2</v>
      </c>
      <c r="H26" s="30">
        <f t="shared" si="3"/>
        <v>4.0983606557377046E-2</v>
      </c>
      <c r="I26" s="30">
        <f t="shared" si="3"/>
        <v>3.1496062992125984E-2</v>
      </c>
      <c r="J26" s="30">
        <f t="shared" si="3"/>
        <v>1.5267175572519083E-2</v>
      </c>
      <c r="K26" s="30">
        <f t="shared" si="3"/>
        <v>1.5037593984962405E-2</v>
      </c>
    </row>
    <row r="27" spans="1:14">
      <c r="A27" s="228"/>
      <c r="B27" s="33">
        <v>41852</v>
      </c>
      <c r="C27" s="223" t="s">
        <v>16</v>
      </c>
      <c r="D27" s="224"/>
      <c r="E27" s="105">
        <f>(E21-D21)/D21</f>
        <v>0.20049813200498143</v>
      </c>
      <c r="F27" s="105">
        <f t="shared" ref="F27:K27" si="4">(F21-E21)/E21</f>
        <v>0.1410788381742738</v>
      </c>
      <c r="G27" s="105">
        <f t="shared" si="4"/>
        <v>6.363636363636363E-2</v>
      </c>
      <c r="H27" s="105">
        <f t="shared" si="4"/>
        <v>4.2735042735042736E-2</v>
      </c>
      <c r="I27" s="105">
        <f t="shared" si="4"/>
        <v>2.4590163934426229E-2</v>
      </c>
      <c r="J27" s="105">
        <f t="shared" si="4"/>
        <v>1.6E-2</v>
      </c>
      <c r="K27" s="105">
        <f t="shared" si="4"/>
        <v>1.5748031496062992E-2</v>
      </c>
    </row>
    <row r="28" spans="1:14" hidden="1">
      <c r="A28" s="228"/>
      <c r="B28" s="33">
        <v>41499</v>
      </c>
      <c r="C28" s="215" t="s">
        <v>16</v>
      </c>
      <c r="D28" s="216"/>
      <c r="E28" s="30">
        <f t="shared" ref="E28:J28" si="5">(E23-D23)/D23</f>
        <v>0.12401648557512186</v>
      </c>
      <c r="F28" s="30">
        <f t="shared" si="5"/>
        <v>3.3333333333333333E-2</v>
      </c>
      <c r="G28" s="30">
        <f t="shared" si="5"/>
        <v>4.3010752688172046E-2</v>
      </c>
      <c r="H28" s="30">
        <f t="shared" si="5"/>
        <v>3.0927835051546393E-2</v>
      </c>
      <c r="I28" s="30">
        <f t="shared" si="5"/>
        <v>0.01</v>
      </c>
      <c r="J28" s="30">
        <f t="shared" si="5"/>
        <v>9.9009900990099011E-3</v>
      </c>
      <c r="K28" s="30"/>
    </row>
    <row r="29" spans="1:14">
      <c r="A29" s="106"/>
      <c r="B29" s="107"/>
      <c r="C29" s="67"/>
      <c r="D29" s="67"/>
      <c r="E29" s="68"/>
      <c r="F29" s="68"/>
      <c r="G29" s="125"/>
      <c r="H29" s="125"/>
      <c r="I29" s="125"/>
      <c r="J29" s="125"/>
      <c r="K29" s="125"/>
    </row>
    <row r="30" spans="1:14">
      <c r="A30" s="220" t="s">
        <v>18</v>
      </c>
      <c r="B30" s="212">
        <v>41974</v>
      </c>
      <c r="C30" s="101" t="s">
        <v>2</v>
      </c>
      <c r="D30" s="86"/>
      <c r="E30" s="86"/>
      <c r="F30" s="86">
        <v>5.13</v>
      </c>
      <c r="G30" s="86">
        <v>4.9000000000000004</v>
      </c>
      <c r="H30" s="86">
        <v>4.8499999999999996</v>
      </c>
      <c r="I30" s="86">
        <v>4.9000000000000004</v>
      </c>
      <c r="J30" s="87">
        <v>5</v>
      </c>
      <c r="K30" s="86">
        <v>5.0999999999999996</v>
      </c>
    </row>
    <row r="31" spans="1:14">
      <c r="A31" s="221"/>
      <c r="B31" s="211"/>
      <c r="C31" s="102" t="s">
        <v>0</v>
      </c>
      <c r="D31" s="15"/>
      <c r="E31" s="15"/>
      <c r="F31" s="15">
        <v>5.13</v>
      </c>
      <c r="G31" s="15">
        <v>4.9000000000000004</v>
      </c>
      <c r="H31" s="15">
        <v>4.95</v>
      </c>
      <c r="I31" s="15">
        <v>5</v>
      </c>
      <c r="J31" s="15">
        <v>5.2</v>
      </c>
      <c r="K31" s="15">
        <v>5.4</v>
      </c>
    </row>
    <row r="32" spans="1:14">
      <c r="A32" s="221"/>
      <c r="B32" s="211"/>
      <c r="C32" s="103" t="s">
        <v>3</v>
      </c>
      <c r="D32" s="16"/>
      <c r="E32" s="16"/>
      <c r="F32" s="16">
        <v>5.13</v>
      </c>
      <c r="G32" s="16">
        <v>4.97</v>
      </c>
      <c r="H32" s="16">
        <v>4.8</v>
      </c>
      <c r="I32" s="16">
        <v>4.97</v>
      </c>
      <c r="J32" s="16">
        <v>5.09</v>
      </c>
      <c r="K32" s="16">
        <v>5.22</v>
      </c>
    </row>
    <row r="33" spans="1:14">
      <c r="A33" s="221"/>
      <c r="B33" s="211"/>
      <c r="C33" s="98" t="s">
        <v>1</v>
      </c>
      <c r="D33" s="99">
        <v>5.01</v>
      </c>
      <c r="E33" s="99">
        <v>4.38</v>
      </c>
      <c r="F33" s="99">
        <v>5.13</v>
      </c>
      <c r="G33" s="99">
        <v>4.9000000000000004</v>
      </c>
      <c r="H33" s="99">
        <v>4.9000000000000004</v>
      </c>
      <c r="I33" s="99">
        <v>4.95</v>
      </c>
      <c r="J33" s="99">
        <v>5.0999999999999996</v>
      </c>
      <c r="K33" s="99">
        <v>5.2</v>
      </c>
    </row>
    <row r="34" spans="1:14">
      <c r="A34" s="221"/>
      <c r="B34" s="33">
        <v>41852</v>
      </c>
      <c r="C34" s="6" t="s">
        <v>1</v>
      </c>
      <c r="D34" s="14">
        <v>5.01</v>
      </c>
      <c r="E34" s="14">
        <v>4.38</v>
      </c>
      <c r="F34" s="14">
        <v>5.15</v>
      </c>
      <c r="G34" s="14">
        <v>5.2</v>
      </c>
      <c r="H34" s="14">
        <v>5.25</v>
      </c>
      <c r="I34" s="14">
        <v>5.3</v>
      </c>
      <c r="J34" s="14">
        <v>5.35</v>
      </c>
      <c r="K34" s="14">
        <v>5.4</v>
      </c>
      <c r="M34" s="112">
        <f>G33/G34-1</f>
        <v>-5.7692307692307709E-2</v>
      </c>
      <c r="N34" s="112">
        <f>H33/H34-1</f>
        <v>-6.6666666666666652E-2</v>
      </c>
    </row>
    <row r="35" spans="1:14">
      <c r="A35" s="221"/>
      <c r="B35" s="33">
        <v>41609</v>
      </c>
      <c r="C35" s="6" t="s">
        <v>1</v>
      </c>
      <c r="D35" s="14">
        <v>5.01</v>
      </c>
      <c r="E35" s="14">
        <v>4.4000000000000004</v>
      </c>
      <c r="F35" s="14">
        <v>4.8499999999999996</v>
      </c>
      <c r="G35" s="14">
        <v>5.0999999999999996</v>
      </c>
      <c r="H35" s="14">
        <v>5.2</v>
      </c>
      <c r="I35" s="14">
        <v>5.3</v>
      </c>
      <c r="J35" s="14">
        <v>5.35</v>
      </c>
      <c r="K35" s="14"/>
    </row>
    <row r="36" spans="1:14" hidden="1">
      <c r="A36" s="221"/>
      <c r="B36" s="33">
        <v>41499</v>
      </c>
      <c r="C36" s="6" t="s">
        <v>1</v>
      </c>
      <c r="D36" s="14">
        <v>5</v>
      </c>
      <c r="E36" s="14">
        <v>4.5</v>
      </c>
      <c r="F36" s="14">
        <v>5</v>
      </c>
      <c r="G36" s="14">
        <v>5.4</v>
      </c>
      <c r="H36" s="14">
        <v>5.5</v>
      </c>
      <c r="I36" s="14">
        <v>5.5</v>
      </c>
      <c r="J36" s="14">
        <v>5.5</v>
      </c>
      <c r="K36" s="14"/>
    </row>
    <row r="37" spans="1:14" hidden="1">
      <c r="A37" s="221"/>
      <c r="B37" s="33">
        <v>41317</v>
      </c>
      <c r="C37" s="6" t="s">
        <v>1</v>
      </c>
      <c r="D37" s="71">
        <v>5</v>
      </c>
      <c r="E37" s="71">
        <v>4.5</v>
      </c>
      <c r="F37" s="71">
        <v>5.0999999999999996</v>
      </c>
      <c r="G37" s="71">
        <v>5.25</v>
      </c>
      <c r="H37" s="71">
        <v>5.5</v>
      </c>
      <c r="I37" s="71">
        <v>5.5</v>
      </c>
      <c r="J37" s="71"/>
      <c r="K37" s="71"/>
    </row>
    <row r="38" spans="1:14" hidden="1">
      <c r="A38" s="221"/>
      <c r="B38" s="33">
        <v>41244</v>
      </c>
      <c r="C38" s="6" t="s">
        <v>1</v>
      </c>
      <c r="D38" s="71">
        <v>5</v>
      </c>
      <c r="E38" s="71">
        <v>4.5</v>
      </c>
      <c r="F38" s="71">
        <v>5</v>
      </c>
      <c r="G38" s="71">
        <v>5.4</v>
      </c>
      <c r="H38" s="71">
        <v>5.6</v>
      </c>
      <c r="I38" s="71">
        <v>5.5</v>
      </c>
      <c r="J38" s="71">
        <v>5.5</v>
      </c>
      <c r="K38" s="71"/>
    </row>
    <row r="39" spans="1:14">
      <c r="A39" s="221"/>
      <c r="B39" s="33">
        <v>41974</v>
      </c>
      <c r="C39" s="215" t="s">
        <v>16</v>
      </c>
      <c r="D39" s="216"/>
      <c r="E39" s="30">
        <f t="shared" ref="E39:K39" si="6">(E33-D33)/D33</f>
        <v>-0.12574850299401197</v>
      </c>
      <c r="F39" s="30">
        <f t="shared" si="6"/>
        <v>0.17123287671232876</v>
      </c>
      <c r="G39" s="30">
        <f t="shared" si="6"/>
        <v>-4.4834307992202643E-2</v>
      </c>
      <c r="H39" s="30">
        <f t="shared" si="6"/>
        <v>0</v>
      </c>
      <c r="I39" s="30">
        <f t="shared" si="6"/>
        <v>1.0204081632653024E-2</v>
      </c>
      <c r="J39" s="30">
        <f t="shared" si="6"/>
        <v>3.0303030303030193E-2</v>
      </c>
      <c r="K39" s="30">
        <f t="shared" si="6"/>
        <v>1.9607843137255009E-2</v>
      </c>
    </row>
    <row r="40" spans="1:14">
      <c r="A40" s="221"/>
      <c r="B40" s="33">
        <v>41852</v>
      </c>
      <c r="C40" s="223" t="s">
        <v>16</v>
      </c>
      <c r="D40" s="224"/>
      <c r="E40" s="105">
        <f t="shared" ref="E40:K40" si="7">(E34-D34)/D34</f>
        <v>-0.12574850299401197</v>
      </c>
      <c r="F40" s="105">
        <f t="shared" si="7"/>
        <v>0.17579908675799097</v>
      </c>
      <c r="G40" s="105">
        <f t="shared" si="7"/>
        <v>9.7087378640776344E-3</v>
      </c>
      <c r="H40" s="105">
        <f t="shared" si="7"/>
        <v>9.6153846153845812E-3</v>
      </c>
      <c r="I40" s="105">
        <f t="shared" si="7"/>
        <v>9.52380952380949E-3</v>
      </c>
      <c r="J40" s="105">
        <f t="shared" si="7"/>
        <v>9.4339622641509101E-3</v>
      </c>
      <c r="K40" s="105">
        <f t="shared" si="7"/>
        <v>9.3457943925234974E-3</v>
      </c>
    </row>
    <row r="41" spans="1:14" hidden="1">
      <c r="A41" s="222"/>
      <c r="B41" s="33">
        <v>41499</v>
      </c>
      <c r="C41" s="215" t="s">
        <v>16</v>
      </c>
      <c r="D41" s="216"/>
      <c r="E41" s="30">
        <f t="shared" ref="E41:J41" si="8">(E36-D36)/D36</f>
        <v>-0.1</v>
      </c>
      <c r="F41" s="30">
        <f t="shared" si="8"/>
        <v>0.1111111111111111</v>
      </c>
      <c r="G41" s="30">
        <f t="shared" si="8"/>
        <v>8.0000000000000071E-2</v>
      </c>
      <c r="H41" s="30">
        <f t="shared" si="8"/>
        <v>1.8518518518518452E-2</v>
      </c>
      <c r="I41" s="30">
        <f t="shared" si="8"/>
        <v>0</v>
      </c>
      <c r="J41" s="30">
        <f t="shared" si="8"/>
        <v>0</v>
      </c>
      <c r="K41" s="30"/>
    </row>
    <row r="42" spans="1:14">
      <c r="A42" s="65"/>
      <c r="B42" s="65"/>
      <c r="C42" s="65"/>
      <c r="D42" s="76"/>
      <c r="E42" s="76"/>
      <c r="F42" s="76"/>
      <c r="G42" s="76"/>
      <c r="H42" s="76"/>
      <c r="I42" s="76"/>
      <c r="K42" s="76"/>
    </row>
    <row r="43" spans="1:14">
      <c r="A43" s="220" t="s">
        <v>19</v>
      </c>
      <c r="B43" s="212">
        <v>41974</v>
      </c>
      <c r="C43" s="101" t="s">
        <v>2</v>
      </c>
      <c r="D43" s="23"/>
      <c r="E43" s="111"/>
      <c r="F43" s="111">
        <v>1186</v>
      </c>
      <c r="G43" s="111">
        <v>1180</v>
      </c>
      <c r="H43" s="111">
        <v>1160</v>
      </c>
      <c r="I43" s="111">
        <v>1130</v>
      </c>
      <c r="J43" s="111">
        <v>1100</v>
      </c>
      <c r="K43" s="111">
        <v>1050</v>
      </c>
    </row>
    <row r="44" spans="1:14">
      <c r="A44" s="221"/>
      <c r="B44" s="211"/>
      <c r="C44" s="102" t="s">
        <v>0</v>
      </c>
      <c r="D44" s="77"/>
      <c r="E44" s="77"/>
      <c r="F44" s="77">
        <v>1188</v>
      </c>
      <c r="G44" s="77">
        <v>1176</v>
      </c>
      <c r="H44" s="77">
        <v>1152</v>
      </c>
      <c r="I44" s="77">
        <v>1118</v>
      </c>
      <c r="J44" s="77">
        <v>1084</v>
      </c>
      <c r="K44" s="77">
        <v>1052</v>
      </c>
    </row>
    <row r="45" spans="1:14">
      <c r="A45" s="221"/>
      <c r="B45" s="211"/>
      <c r="C45" s="103" t="s">
        <v>3</v>
      </c>
      <c r="D45" s="25"/>
      <c r="E45" s="25"/>
      <c r="F45" s="25">
        <v>1188</v>
      </c>
      <c r="G45" s="25">
        <v>1186</v>
      </c>
      <c r="H45" s="25">
        <v>1138.9058319039452</v>
      </c>
      <c r="I45" s="25">
        <v>1107.1706689536879</v>
      </c>
      <c r="J45" s="25">
        <v>1079.6058319039453</v>
      </c>
      <c r="K45" s="25">
        <v>1054.380445969125</v>
      </c>
    </row>
    <row r="46" spans="1:14">
      <c r="A46" s="221"/>
      <c r="B46" s="211"/>
      <c r="C46" s="98" t="s">
        <v>1</v>
      </c>
      <c r="D46" s="95">
        <v>1227</v>
      </c>
      <c r="E46" s="95">
        <v>1177.5</v>
      </c>
      <c r="F46" s="95">
        <f>ROUND(100*AVERAGE(F43:F45),-1)*1/100</f>
        <v>1187.3</v>
      </c>
      <c r="G46" s="95">
        <v>1181</v>
      </c>
      <c r="H46" s="95">
        <v>1150</v>
      </c>
      <c r="I46" s="95">
        <v>1118</v>
      </c>
      <c r="J46" s="95">
        <v>1088</v>
      </c>
      <c r="K46" s="95">
        <v>1052</v>
      </c>
    </row>
    <row r="47" spans="1:14">
      <c r="A47" s="221"/>
      <c r="B47" s="33">
        <v>41852</v>
      </c>
      <c r="C47" s="6" t="s">
        <v>1</v>
      </c>
      <c r="D47" s="23">
        <v>1227</v>
      </c>
      <c r="E47" s="23">
        <v>1177.5</v>
      </c>
      <c r="F47" s="23">
        <v>1170</v>
      </c>
      <c r="G47" s="23">
        <v>1158.3</v>
      </c>
      <c r="H47" s="23">
        <v>1123.5509999999999</v>
      </c>
      <c r="I47" s="23">
        <v>1089.84447</v>
      </c>
      <c r="J47" s="23">
        <v>1057.1491358999999</v>
      </c>
      <c r="K47" s="23">
        <v>1025.4346618229999</v>
      </c>
      <c r="M47" s="112">
        <f>G46/G47-1</f>
        <v>1.9597686264352987E-2</v>
      </c>
      <c r="N47" s="112">
        <f>H46/H47-1</f>
        <v>2.3540542440886103E-2</v>
      </c>
    </row>
    <row r="48" spans="1:14">
      <c r="A48" s="221"/>
      <c r="B48" s="33">
        <v>41609</v>
      </c>
      <c r="C48" s="6" t="s">
        <v>1</v>
      </c>
      <c r="D48" s="23">
        <v>1227</v>
      </c>
      <c r="E48" s="23">
        <v>1175</v>
      </c>
      <c r="F48" s="23">
        <v>1130</v>
      </c>
      <c r="G48" s="23">
        <v>1090</v>
      </c>
      <c r="H48" s="23">
        <v>1050</v>
      </c>
      <c r="I48" s="23">
        <v>1010</v>
      </c>
      <c r="J48" s="23">
        <v>970</v>
      </c>
      <c r="K48" s="72"/>
    </row>
    <row r="49" spans="1:11" hidden="1">
      <c r="A49" s="221"/>
      <c r="B49" s="33">
        <v>41499</v>
      </c>
      <c r="C49" s="6" t="s">
        <v>1</v>
      </c>
      <c r="D49" s="23">
        <v>1225.8499999999999</v>
      </c>
      <c r="E49" s="23">
        <v>1165</v>
      </c>
      <c r="F49" s="23">
        <v>1110</v>
      </c>
      <c r="G49" s="23">
        <v>1070</v>
      </c>
      <c r="H49" s="23">
        <v>1030</v>
      </c>
      <c r="I49" s="23">
        <v>1000</v>
      </c>
      <c r="J49" s="23">
        <v>960</v>
      </c>
      <c r="K49" s="72"/>
    </row>
    <row r="50" spans="1:11" hidden="1">
      <c r="A50" s="221"/>
      <c r="B50" s="33">
        <v>41317</v>
      </c>
      <c r="C50" s="6" t="s">
        <v>1</v>
      </c>
      <c r="D50" s="72">
        <v>1226</v>
      </c>
      <c r="E50" s="72">
        <v>1185</v>
      </c>
      <c r="F50" s="72">
        <v>1151</v>
      </c>
      <c r="G50" s="72">
        <v>1121</v>
      </c>
      <c r="H50" s="72">
        <v>1090.1407234210708</v>
      </c>
      <c r="I50" s="72">
        <v>1048</v>
      </c>
      <c r="J50" s="72"/>
      <c r="K50" s="72"/>
    </row>
    <row r="51" spans="1:11" hidden="1">
      <c r="A51" s="221"/>
      <c r="B51" s="33">
        <v>41244</v>
      </c>
      <c r="C51" s="6" t="s">
        <v>1</v>
      </c>
      <c r="D51" s="72">
        <v>1228.5423506666664</v>
      </c>
      <c r="E51" s="72">
        <v>1184.5870287874238</v>
      </c>
      <c r="F51" s="72">
        <v>1151.3778293463738</v>
      </c>
      <c r="G51" s="72">
        <v>1121.0332793283103</v>
      </c>
      <c r="H51" s="72">
        <v>1090.1407234210708</v>
      </c>
      <c r="I51" s="72">
        <v>1048</v>
      </c>
      <c r="J51" s="72">
        <v>1048</v>
      </c>
      <c r="K51" s="72"/>
    </row>
    <row r="52" spans="1:11">
      <c r="A52" s="221"/>
      <c r="B52" s="33">
        <v>41974</v>
      </c>
      <c r="C52" s="215" t="s">
        <v>16</v>
      </c>
      <c r="D52" s="216"/>
      <c r="E52" s="30">
        <f>(E46-D46)/D46</f>
        <v>-4.0342298288508556E-2</v>
      </c>
      <c r="F52" s="30">
        <f t="shared" ref="F52:K53" si="9">(F46-E46)/E46</f>
        <v>8.3227176220806408E-3</v>
      </c>
      <c r="G52" s="30">
        <f t="shared" si="9"/>
        <v>-5.3061568264128316E-3</v>
      </c>
      <c r="H52" s="30">
        <f t="shared" si="9"/>
        <v>-2.6248941574936496E-2</v>
      </c>
      <c r="I52" s="30">
        <f t="shared" si="9"/>
        <v>-2.782608695652174E-2</v>
      </c>
      <c r="J52" s="30">
        <f t="shared" si="9"/>
        <v>-2.6833631484794274E-2</v>
      </c>
      <c r="K52" s="30">
        <f t="shared" si="9"/>
        <v>-3.3088235294117647E-2</v>
      </c>
    </row>
    <row r="53" spans="1:11">
      <c r="A53" s="221"/>
      <c r="B53" s="33">
        <v>41852</v>
      </c>
      <c r="C53" s="223" t="s">
        <v>16</v>
      </c>
      <c r="D53" s="224"/>
      <c r="E53" s="105">
        <f>(E47-D47)/D47</f>
        <v>-4.0342298288508556E-2</v>
      </c>
      <c r="F53" s="105">
        <f t="shared" si="9"/>
        <v>-6.369426751592357E-3</v>
      </c>
      <c r="G53" s="105">
        <f t="shared" si="9"/>
        <v>-1.0000000000000038E-2</v>
      </c>
      <c r="H53" s="105">
        <f t="shared" si="9"/>
        <v>-3.0000000000000023E-2</v>
      </c>
      <c r="I53" s="105">
        <f t="shared" si="9"/>
        <v>-2.999999999999994E-2</v>
      </c>
      <c r="J53" s="105">
        <f t="shared" si="9"/>
        <v>-3.0000000000000075E-2</v>
      </c>
      <c r="K53" s="105"/>
    </row>
    <row r="54" spans="1:11" hidden="1">
      <c r="A54" s="222"/>
      <c r="B54" s="33">
        <v>41499</v>
      </c>
      <c r="C54" s="215" t="s">
        <v>16</v>
      </c>
      <c r="D54" s="216"/>
      <c r="E54" s="30">
        <f t="shared" ref="E54:J54" si="10">(E49-D49)/D49</f>
        <v>-4.9639025981971625E-2</v>
      </c>
      <c r="F54" s="30">
        <f t="shared" si="10"/>
        <v>-4.7210300429184553E-2</v>
      </c>
      <c r="G54" s="30">
        <f t="shared" si="10"/>
        <v>-3.6036036036036036E-2</v>
      </c>
      <c r="H54" s="30">
        <f t="shared" si="10"/>
        <v>-3.7383177570093455E-2</v>
      </c>
      <c r="I54" s="30">
        <f t="shared" si="10"/>
        <v>-2.9126213592233011E-2</v>
      </c>
      <c r="J54" s="30">
        <f t="shared" si="10"/>
        <v>-0.04</v>
      </c>
      <c r="K54" s="30"/>
    </row>
    <row r="55" spans="1:11">
      <c r="A55" s="108"/>
      <c r="B55" s="13"/>
      <c r="F55" s="112"/>
      <c r="G55" s="112"/>
      <c r="H55" s="112"/>
      <c r="I55" s="112"/>
      <c r="J55" s="112"/>
      <c r="K55" s="112"/>
    </row>
    <row r="56" spans="1:11">
      <c r="A56" s="9"/>
      <c r="B56" s="13"/>
      <c r="E56" s="94"/>
      <c r="F56" s="94"/>
      <c r="G56" s="112"/>
      <c r="H56" s="112"/>
      <c r="I56" s="112"/>
      <c r="J56" s="112"/>
      <c r="K56" s="112"/>
    </row>
    <row r="57" spans="1:11">
      <c r="A57" s="9"/>
      <c r="B57" s="13"/>
      <c r="E57" s="94"/>
      <c r="F57" s="94"/>
      <c r="G57" s="94"/>
      <c r="H57" s="112"/>
      <c r="I57" s="112"/>
      <c r="J57" s="112"/>
      <c r="K57" s="112"/>
    </row>
    <row r="58" spans="1:11">
      <c r="A58" s="9"/>
      <c r="B58" s="13"/>
    </row>
    <row r="59" spans="1:11">
      <c r="A59" s="9"/>
      <c r="B59" s="13"/>
    </row>
    <row r="60" spans="1:11">
      <c r="A60" s="9"/>
      <c r="B60" s="13"/>
    </row>
    <row r="61" spans="1:11">
      <c r="A61" s="9"/>
      <c r="B61" s="13"/>
    </row>
    <row r="62" spans="1:11">
      <c r="A62" s="9"/>
      <c r="B62" s="13"/>
    </row>
    <row r="63" spans="1:11">
      <c r="A63" s="9"/>
      <c r="B63" s="13"/>
    </row>
    <row r="64" spans="1:11">
      <c r="A64" s="9"/>
      <c r="B64" s="13"/>
    </row>
    <row r="65" spans="1:2">
      <c r="A65" s="9"/>
      <c r="B65" s="13"/>
    </row>
  </sheetData>
  <mergeCells count="20">
    <mergeCell ref="A2:A15"/>
    <mergeCell ref="B2:B7"/>
    <mergeCell ref="C14:D14"/>
    <mergeCell ref="C15:D15"/>
    <mergeCell ref="A17:A28"/>
    <mergeCell ref="B17:B20"/>
    <mergeCell ref="C27:D27"/>
    <mergeCell ref="C28:D28"/>
    <mergeCell ref="C13:D13"/>
    <mergeCell ref="C26:D26"/>
    <mergeCell ref="C52:D52"/>
    <mergeCell ref="A30:A41"/>
    <mergeCell ref="B30:B33"/>
    <mergeCell ref="C40:D40"/>
    <mergeCell ref="C41:D41"/>
    <mergeCell ref="A43:A54"/>
    <mergeCell ref="B43:B46"/>
    <mergeCell ref="C53:D53"/>
    <mergeCell ref="C54:D54"/>
    <mergeCell ref="C39:D39"/>
  </mergeCells>
  <pageMargins left="0.5" right="0.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64"/>
  <sheetViews>
    <sheetView zoomScaleNormal="100" workbookViewId="0">
      <pane ySplit="1" topLeftCell="A5" activePane="bottomLeft" state="frozen"/>
      <selection pane="bottomLeft" activeCell="N13" sqref="N13"/>
    </sheetView>
  </sheetViews>
  <sheetFormatPr defaultColWidth="9.140625" defaultRowHeight="15"/>
  <cols>
    <col min="1" max="1" width="9.5703125" customWidth="1"/>
    <col min="2" max="2" width="11.140625" customWidth="1"/>
    <col min="3" max="3" width="6.85546875" bestFit="1" customWidth="1"/>
    <col min="4" max="5" width="8.42578125" customWidth="1"/>
    <col min="6" max="6" width="9.42578125" bestFit="1" customWidth="1"/>
    <col min="7" max="7" width="8.5703125" customWidth="1"/>
    <col min="8" max="8" width="9.42578125" bestFit="1" customWidth="1"/>
    <col min="9" max="10" width="9.140625" bestFit="1" customWidth="1"/>
    <col min="11" max="11" width="8.42578125" customWidth="1"/>
  </cols>
  <sheetData>
    <row r="1" spans="1:21" ht="34.5" customHeight="1">
      <c r="A1" s="8"/>
      <c r="B1" s="11"/>
      <c r="C1" s="6"/>
      <c r="D1" s="96" t="s">
        <v>17</v>
      </c>
      <c r="E1" s="96" t="s">
        <v>25</v>
      </c>
      <c r="F1" s="96" t="s">
        <v>6</v>
      </c>
      <c r="G1" s="96" t="s">
        <v>7</v>
      </c>
      <c r="H1" s="96" t="s">
        <v>8</v>
      </c>
      <c r="I1" s="96" t="s">
        <v>9</v>
      </c>
      <c r="J1" s="96" t="s">
        <v>21</v>
      </c>
      <c r="K1" s="96" t="s">
        <v>24</v>
      </c>
    </row>
    <row r="2" spans="1:21">
      <c r="A2" s="225" t="s">
        <v>10</v>
      </c>
      <c r="B2" s="212">
        <v>42031</v>
      </c>
      <c r="C2" s="100" t="s">
        <v>4</v>
      </c>
      <c r="D2" s="17"/>
      <c r="E2" s="17"/>
      <c r="F2" s="17"/>
      <c r="G2" s="17">
        <v>61.65</v>
      </c>
      <c r="H2" s="17">
        <v>55.75</v>
      </c>
      <c r="I2" s="17">
        <v>61.88</v>
      </c>
      <c r="J2" s="17">
        <v>66.88</v>
      </c>
      <c r="K2" s="17">
        <v>72.349999999999994</v>
      </c>
    </row>
    <row r="3" spans="1:21">
      <c r="A3" s="226"/>
      <c r="B3" s="211"/>
      <c r="C3" s="101" t="s">
        <v>2</v>
      </c>
      <c r="D3" s="29"/>
      <c r="E3" s="14"/>
      <c r="F3" s="14"/>
      <c r="G3" s="14">
        <v>61</v>
      </c>
      <c r="H3" s="14">
        <v>52.5</v>
      </c>
      <c r="I3" s="14">
        <v>59</v>
      </c>
      <c r="J3" s="14">
        <v>63</v>
      </c>
      <c r="K3" s="14">
        <v>67</v>
      </c>
    </row>
    <row r="4" spans="1:21">
      <c r="A4" s="226"/>
      <c r="B4" s="211"/>
      <c r="C4" s="102" t="s">
        <v>0</v>
      </c>
      <c r="D4" s="15"/>
      <c r="E4" s="15"/>
      <c r="F4" s="15"/>
      <c r="G4" s="15">
        <v>62.18</v>
      </c>
      <c r="H4" s="15">
        <v>59.92</v>
      </c>
      <c r="I4" s="15">
        <v>70.459999999999994</v>
      </c>
      <c r="J4" s="15">
        <v>75.87</v>
      </c>
      <c r="K4" s="15">
        <v>81.39</v>
      </c>
    </row>
    <row r="5" spans="1:21">
      <c r="A5" s="226"/>
      <c r="B5" s="211"/>
      <c r="C5" s="103" t="s">
        <v>3</v>
      </c>
      <c r="D5" s="16"/>
      <c r="E5" s="16"/>
      <c r="F5" s="16"/>
      <c r="G5" s="16">
        <v>60</v>
      </c>
      <c r="H5" s="16">
        <v>51</v>
      </c>
      <c r="I5" s="16">
        <v>58</v>
      </c>
      <c r="J5" s="16">
        <v>70</v>
      </c>
      <c r="K5" s="16">
        <v>74</v>
      </c>
    </row>
    <row r="6" spans="1:21">
      <c r="A6" s="226"/>
      <c r="B6" s="211"/>
      <c r="C6" s="98" t="s">
        <v>1</v>
      </c>
      <c r="D6" s="99">
        <v>89.65</v>
      </c>
      <c r="E6" s="99">
        <v>85.82</v>
      </c>
      <c r="F6" s="99">
        <v>95.13</v>
      </c>
      <c r="G6" s="99">
        <v>61</v>
      </c>
      <c r="H6" s="99">
        <v>56</v>
      </c>
      <c r="I6" s="99">
        <v>65</v>
      </c>
      <c r="J6" s="99">
        <f>I6+5</f>
        <v>70</v>
      </c>
      <c r="K6" s="99">
        <f>J6+5</f>
        <v>75</v>
      </c>
      <c r="Q6" s="93">
        <f>-(G7-G6)*7.5</f>
        <v>-75</v>
      </c>
      <c r="R6" s="93">
        <f>-(H7-H6)*7.5</f>
        <v>-75</v>
      </c>
      <c r="S6" s="93">
        <f>-(I7-I6)*7.5</f>
        <v>-52.5</v>
      </c>
      <c r="T6" s="93">
        <f>-(J7-J6)*7.5</f>
        <v>-45</v>
      </c>
      <c r="U6" s="93"/>
    </row>
    <row r="7" spans="1:21">
      <c r="A7" s="226"/>
      <c r="B7" s="33">
        <v>41974</v>
      </c>
      <c r="C7" s="6" t="s">
        <v>1</v>
      </c>
      <c r="D7" s="14">
        <v>89.65</v>
      </c>
      <c r="E7" s="14">
        <v>85.82</v>
      </c>
      <c r="F7" s="14">
        <v>95.14</v>
      </c>
      <c r="G7" s="14">
        <v>71</v>
      </c>
      <c r="H7" s="14">
        <v>66</v>
      </c>
      <c r="I7" s="14">
        <v>72</v>
      </c>
      <c r="J7" s="14">
        <v>76</v>
      </c>
      <c r="K7" s="14">
        <v>80</v>
      </c>
      <c r="M7" s="112">
        <f>G6/G7-1</f>
        <v>-0.14084507042253525</v>
      </c>
      <c r="N7" s="112">
        <f>H6/H7-1</f>
        <v>-0.15151515151515149</v>
      </c>
    </row>
    <row r="8" spans="1:21">
      <c r="A8" s="226"/>
      <c r="B8" s="33">
        <v>41852</v>
      </c>
      <c r="C8" s="6" t="s">
        <v>1</v>
      </c>
      <c r="D8" s="14">
        <v>89.65</v>
      </c>
      <c r="E8" s="14">
        <v>85.82</v>
      </c>
      <c r="F8" s="14">
        <v>95.75</v>
      </c>
      <c r="G8" s="14">
        <v>92</v>
      </c>
      <c r="H8" s="14">
        <v>88</v>
      </c>
      <c r="I8" s="14">
        <v>87</v>
      </c>
      <c r="J8" s="14">
        <v>86</v>
      </c>
      <c r="K8" s="14">
        <v>85</v>
      </c>
    </row>
    <row r="9" spans="1:21" hidden="1">
      <c r="A9" s="226"/>
      <c r="B9" s="33">
        <v>41499</v>
      </c>
      <c r="C9" s="6" t="s">
        <v>1</v>
      </c>
      <c r="D9" s="14">
        <v>90</v>
      </c>
      <c r="E9" s="14">
        <v>87</v>
      </c>
      <c r="F9" s="14">
        <v>94</v>
      </c>
      <c r="G9" s="14">
        <v>87.5</v>
      </c>
      <c r="H9" s="14">
        <v>85</v>
      </c>
      <c r="I9" s="14">
        <v>84</v>
      </c>
      <c r="J9" s="14">
        <v>84</v>
      </c>
      <c r="K9" s="14"/>
    </row>
    <row r="10" spans="1:21" hidden="1">
      <c r="A10" s="226"/>
      <c r="B10" s="33">
        <v>41306</v>
      </c>
      <c r="C10" s="6" t="s">
        <v>1</v>
      </c>
      <c r="D10" s="71">
        <v>90</v>
      </c>
      <c r="E10" s="71">
        <v>86.5</v>
      </c>
      <c r="F10" s="71">
        <v>88</v>
      </c>
      <c r="G10" s="71">
        <v>87.5</v>
      </c>
      <c r="H10" s="71">
        <v>87</v>
      </c>
      <c r="I10" s="71">
        <v>86.5</v>
      </c>
      <c r="J10" s="71"/>
      <c r="K10" s="71"/>
    </row>
    <row r="11" spans="1:21" hidden="1">
      <c r="A11" s="226"/>
      <c r="B11" s="33">
        <v>41244</v>
      </c>
      <c r="C11" s="6" t="s">
        <v>1</v>
      </c>
      <c r="D11" s="71">
        <v>89.640506965377526</v>
      </c>
      <c r="E11" s="71">
        <v>85</v>
      </c>
      <c r="F11" s="71">
        <v>84.75</v>
      </c>
      <c r="G11" s="71">
        <v>83.5</v>
      </c>
      <c r="H11" s="71">
        <v>82.5</v>
      </c>
      <c r="I11" s="71">
        <v>83</v>
      </c>
      <c r="J11" s="71">
        <v>83</v>
      </c>
      <c r="K11" s="71"/>
    </row>
    <row r="12" spans="1:21">
      <c r="A12" s="226"/>
      <c r="B12" s="33">
        <v>42031</v>
      </c>
      <c r="C12" s="215" t="s">
        <v>16</v>
      </c>
      <c r="D12" s="216"/>
      <c r="E12" s="30">
        <f t="shared" ref="E12:K12" si="0">+E6/D6-1</f>
        <v>-4.2721695482431765E-2</v>
      </c>
      <c r="F12" s="30">
        <f t="shared" si="0"/>
        <v>0.10848287112561183</v>
      </c>
      <c r="G12" s="30">
        <f t="shared" si="0"/>
        <v>-0.35877220645432562</v>
      </c>
      <c r="H12" s="30">
        <f t="shared" si="0"/>
        <v>-8.1967213114754078E-2</v>
      </c>
      <c r="I12" s="30">
        <f t="shared" si="0"/>
        <v>0.16071428571428581</v>
      </c>
      <c r="J12" s="30">
        <f t="shared" si="0"/>
        <v>7.6923076923076872E-2</v>
      </c>
      <c r="K12" s="30">
        <f t="shared" si="0"/>
        <v>7.1428571428571397E-2</v>
      </c>
    </row>
    <row r="13" spans="1:21">
      <c r="A13" s="226"/>
      <c r="B13" s="33">
        <v>41974</v>
      </c>
      <c r="C13" s="223" t="s">
        <v>16</v>
      </c>
      <c r="D13" s="224"/>
      <c r="E13" s="105">
        <f t="shared" ref="E13:J13" si="1">(E7-D7)/D7</f>
        <v>-4.2721695482431814E-2</v>
      </c>
      <c r="F13" s="105">
        <f t="shared" si="1"/>
        <v>0.10859939408063397</v>
      </c>
      <c r="G13" s="105">
        <f t="shared" si="1"/>
        <v>-0.2537313432835821</v>
      </c>
      <c r="H13" s="105">
        <f t="shared" si="1"/>
        <v>-7.0422535211267609E-2</v>
      </c>
      <c r="I13" s="105">
        <f t="shared" si="1"/>
        <v>9.0909090909090912E-2</v>
      </c>
      <c r="J13" s="105">
        <f t="shared" si="1"/>
        <v>5.5555555555555552E-2</v>
      </c>
      <c r="K13" s="105"/>
    </row>
    <row r="14" spans="1:21" hidden="1">
      <c r="A14" s="227"/>
      <c r="B14" s="33">
        <v>41499</v>
      </c>
      <c r="C14" s="215" t="s">
        <v>16</v>
      </c>
      <c r="D14" s="216"/>
      <c r="E14" s="30">
        <f t="shared" ref="E14:J14" si="2">(E9-D9)/D9</f>
        <v>-3.3333333333333333E-2</v>
      </c>
      <c r="F14" s="30">
        <f t="shared" si="2"/>
        <v>8.0459770114942528E-2</v>
      </c>
      <c r="G14" s="30">
        <f t="shared" si="2"/>
        <v>-6.9148936170212769E-2</v>
      </c>
      <c r="H14" s="30">
        <f t="shared" si="2"/>
        <v>-2.8571428571428571E-2</v>
      </c>
      <c r="I14" s="30">
        <f t="shared" si="2"/>
        <v>-1.1764705882352941E-2</v>
      </c>
      <c r="J14" s="30">
        <f t="shared" si="2"/>
        <v>0</v>
      </c>
      <c r="K14" s="30"/>
    </row>
    <row r="15" spans="1:21">
      <c r="A15" s="65"/>
      <c r="B15" s="65"/>
      <c r="C15" s="65"/>
      <c r="D15" s="65"/>
      <c r="E15" s="65"/>
      <c r="F15" s="65"/>
      <c r="G15" s="126"/>
      <c r="H15" s="128"/>
      <c r="I15" s="128"/>
      <c r="J15" s="128"/>
      <c r="K15" s="128"/>
    </row>
    <row r="16" spans="1:21">
      <c r="A16" s="228" t="s">
        <v>12</v>
      </c>
      <c r="B16" s="212">
        <v>42031</v>
      </c>
      <c r="C16" s="101" t="s">
        <v>2</v>
      </c>
      <c r="D16" s="104"/>
      <c r="E16" s="104"/>
      <c r="F16" s="104"/>
      <c r="G16" s="104">
        <v>122</v>
      </c>
      <c r="H16" s="104">
        <v>127</v>
      </c>
      <c r="I16" s="104">
        <v>131</v>
      </c>
      <c r="J16" s="104">
        <v>133</v>
      </c>
      <c r="K16" s="104">
        <v>135</v>
      </c>
    </row>
    <row r="17" spans="1:20">
      <c r="A17" s="228"/>
      <c r="B17" s="211"/>
      <c r="C17" s="102" t="s">
        <v>0</v>
      </c>
      <c r="D17" s="20"/>
      <c r="E17" s="20"/>
      <c r="F17" s="20"/>
      <c r="G17" s="20">
        <v>128.69999999999999</v>
      </c>
      <c r="H17" s="20">
        <v>133.80000000000001</v>
      </c>
      <c r="I17" s="20">
        <v>137.80000000000001</v>
      </c>
      <c r="J17" s="20">
        <v>140.6</v>
      </c>
      <c r="K17" s="75">
        <v>142</v>
      </c>
      <c r="L17" s="127"/>
    </row>
    <row r="18" spans="1:20">
      <c r="A18" s="228"/>
      <c r="B18" s="211"/>
      <c r="C18" s="103" t="s">
        <v>3</v>
      </c>
      <c r="D18" s="21"/>
      <c r="E18" s="21"/>
      <c r="F18" s="21"/>
      <c r="G18" s="21">
        <v>120.4</v>
      </c>
      <c r="H18" s="21">
        <v>122.4</v>
      </c>
      <c r="I18" s="21">
        <v>126.5</v>
      </c>
      <c r="J18" s="21">
        <v>133.5</v>
      </c>
      <c r="K18" s="21">
        <v>141.69999999999999</v>
      </c>
    </row>
    <row r="19" spans="1:20">
      <c r="A19" s="228"/>
      <c r="B19" s="211"/>
      <c r="C19" s="98" t="s">
        <v>1</v>
      </c>
      <c r="D19" s="97">
        <v>80.3</v>
      </c>
      <c r="E19" s="97">
        <v>96.4</v>
      </c>
      <c r="F19" s="124">
        <v>113.9</v>
      </c>
      <c r="G19" s="124">
        <v>125</v>
      </c>
      <c r="H19" s="124">
        <v>128</v>
      </c>
      <c r="I19" s="124">
        <v>131</v>
      </c>
      <c r="J19" s="124">
        <v>133</v>
      </c>
      <c r="K19" s="124">
        <v>135</v>
      </c>
      <c r="L19" s="93"/>
    </row>
    <row r="20" spans="1:20">
      <c r="A20" s="228"/>
      <c r="B20" s="33">
        <v>41974</v>
      </c>
      <c r="C20" s="6" t="s">
        <v>1</v>
      </c>
      <c r="D20" s="109">
        <v>80.3</v>
      </c>
      <c r="E20" s="109">
        <v>96.4</v>
      </c>
      <c r="F20" s="109">
        <v>113.4</v>
      </c>
      <c r="G20" s="109">
        <v>122</v>
      </c>
      <c r="H20" s="109">
        <v>127</v>
      </c>
      <c r="I20" s="109">
        <v>131</v>
      </c>
      <c r="J20" s="109">
        <v>133</v>
      </c>
      <c r="K20" s="109">
        <v>135</v>
      </c>
      <c r="M20" s="112">
        <f>G19/G20-1</f>
        <v>2.4590163934426146E-2</v>
      </c>
      <c r="N20" s="112">
        <f>H19/H20-1</f>
        <v>7.8740157480314821E-3</v>
      </c>
    </row>
    <row r="21" spans="1:20">
      <c r="A21" s="228"/>
      <c r="B21" s="33">
        <v>41852</v>
      </c>
      <c r="C21" s="6" t="s">
        <v>1</v>
      </c>
      <c r="D21" s="109">
        <v>80.3</v>
      </c>
      <c r="E21" s="109">
        <v>96.4</v>
      </c>
      <c r="F21" s="109">
        <v>110</v>
      </c>
      <c r="G21" s="109">
        <v>117</v>
      </c>
      <c r="H21" s="109">
        <v>122</v>
      </c>
      <c r="I21" s="109">
        <v>125</v>
      </c>
      <c r="J21" s="109">
        <v>127</v>
      </c>
      <c r="K21" s="109">
        <v>129</v>
      </c>
    </row>
    <row r="22" spans="1:20" hidden="1">
      <c r="A22" s="228"/>
      <c r="B22" s="33">
        <v>41499</v>
      </c>
      <c r="C22" s="6" t="s">
        <v>1</v>
      </c>
      <c r="D22" s="109">
        <v>80.069999999999993</v>
      </c>
      <c r="E22" s="109">
        <v>90</v>
      </c>
      <c r="F22" s="109">
        <v>93</v>
      </c>
      <c r="G22" s="109">
        <v>97</v>
      </c>
      <c r="H22" s="109">
        <v>100</v>
      </c>
      <c r="I22" s="109">
        <v>101</v>
      </c>
      <c r="J22" s="109">
        <v>102</v>
      </c>
      <c r="K22" s="109"/>
    </row>
    <row r="23" spans="1:20" hidden="1">
      <c r="A23" s="228"/>
      <c r="B23" s="33">
        <v>41317</v>
      </c>
      <c r="C23" s="6" t="s">
        <v>1</v>
      </c>
      <c r="D23" s="88">
        <v>80.099999999999994</v>
      </c>
      <c r="E23" s="88">
        <v>87</v>
      </c>
      <c r="F23" s="88">
        <v>91.4</v>
      </c>
      <c r="G23" s="88">
        <v>94.1</v>
      </c>
      <c r="H23" s="88">
        <v>96</v>
      </c>
      <c r="I23" s="88">
        <v>97.9</v>
      </c>
      <c r="J23" s="88"/>
      <c r="K23" s="88"/>
    </row>
    <row r="24" spans="1:20" hidden="1">
      <c r="A24" s="228"/>
      <c r="B24" s="33">
        <v>41244</v>
      </c>
      <c r="C24" s="6" t="s">
        <v>1</v>
      </c>
      <c r="D24" s="88">
        <v>79.7</v>
      </c>
      <c r="E24" s="88">
        <v>84.119744824999998</v>
      </c>
      <c r="F24" s="88">
        <v>88.406534618000009</v>
      </c>
      <c r="G24" s="88">
        <v>92.434230656539995</v>
      </c>
      <c r="H24" s="88">
        <v>96.132415269670815</v>
      </c>
      <c r="I24" s="88">
        <v>97.6</v>
      </c>
      <c r="J24" s="88">
        <v>97.6</v>
      </c>
      <c r="K24" s="88"/>
    </row>
    <row r="25" spans="1:20">
      <c r="A25" s="228"/>
      <c r="B25" s="33">
        <v>42031</v>
      </c>
      <c r="C25" s="215" t="s">
        <v>16</v>
      </c>
      <c r="D25" s="216"/>
      <c r="E25" s="30">
        <f>(E19-D19)/D19</f>
        <v>0.20049813200498143</v>
      </c>
      <c r="F25" s="30">
        <f t="shared" ref="F25:K26" si="3">(F19-E19)/E19</f>
        <v>0.18153526970954356</v>
      </c>
      <c r="G25" s="30">
        <f t="shared" si="3"/>
        <v>9.7453906935908635E-2</v>
      </c>
      <c r="H25" s="30">
        <f t="shared" si="3"/>
        <v>2.4E-2</v>
      </c>
      <c r="I25" s="30">
        <f t="shared" si="3"/>
        <v>2.34375E-2</v>
      </c>
      <c r="J25" s="30">
        <f t="shared" si="3"/>
        <v>1.5267175572519083E-2</v>
      </c>
      <c r="K25" s="30">
        <f t="shared" si="3"/>
        <v>1.5037593984962405E-2</v>
      </c>
    </row>
    <row r="26" spans="1:20">
      <c r="A26" s="228"/>
      <c r="B26" s="33">
        <v>41974</v>
      </c>
      <c r="C26" s="223" t="s">
        <v>16</v>
      </c>
      <c r="D26" s="224"/>
      <c r="E26" s="105">
        <f>(E20-D20)/D20</f>
        <v>0.20049813200498143</v>
      </c>
      <c r="F26" s="105">
        <f t="shared" si="3"/>
        <v>0.17634854771784231</v>
      </c>
      <c r="G26" s="105">
        <f t="shared" si="3"/>
        <v>7.5837742504409111E-2</v>
      </c>
      <c r="H26" s="105">
        <f t="shared" si="3"/>
        <v>4.0983606557377046E-2</v>
      </c>
      <c r="I26" s="105">
        <f t="shared" si="3"/>
        <v>3.1496062992125984E-2</v>
      </c>
      <c r="J26" s="105">
        <f t="shared" si="3"/>
        <v>1.5267175572519083E-2</v>
      </c>
      <c r="K26" s="105">
        <f t="shared" si="3"/>
        <v>1.5037593984962405E-2</v>
      </c>
    </row>
    <row r="27" spans="1:20" hidden="1">
      <c r="A27" s="228"/>
      <c r="B27" s="33">
        <v>41499</v>
      </c>
      <c r="C27" s="215" t="s">
        <v>16</v>
      </c>
      <c r="D27" s="216"/>
      <c r="E27" s="30">
        <f t="shared" ref="E27:J27" si="4">(E22-D22)/D22</f>
        <v>0.12401648557512186</v>
      </c>
      <c r="F27" s="30">
        <f t="shared" si="4"/>
        <v>3.3333333333333333E-2</v>
      </c>
      <c r="G27" s="30">
        <f t="shared" si="4"/>
        <v>4.3010752688172046E-2</v>
      </c>
      <c r="H27" s="30">
        <f t="shared" si="4"/>
        <v>3.0927835051546393E-2</v>
      </c>
      <c r="I27" s="30">
        <f t="shared" si="4"/>
        <v>0.01</v>
      </c>
      <c r="J27" s="30">
        <f t="shared" si="4"/>
        <v>9.9009900990099011E-3</v>
      </c>
      <c r="K27" s="30"/>
    </row>
    <row r="28" spans="1:20">
      <c r="A28" s="106"/>
      <c r="B28" s="107"/>
      <c r="C28" s="67"/>
      <c r="D28" s="67"/>
      <c r="E28" s="68"/>
      <c r="F28" s="68"/>
      <c r="G28" s="129"/>
      <c r="H28" s="129"/>
      <c r="I28" s="129"/>
      <c r="J28" s="129"/>
      <c r="K28" s="129"/>
    </row>
    <row r="29" spans="1:20">
      <c r="A29" s="220" t="s">
        <v>18</v>
      </c>
      <c r="B29" s="212">
        <v>42031</v>
      </c>
      <c r="C29" s="101" t="s">
        <v>2</v>
      </c>
      <c r="D29" s="86"/>
      <c r="E29" s="86"/>
      <c r="F29" s="86"/>
      <c r="G29" s="86">
        <v>3.9</v>
      </c>
      <c r="H29" s="86">
        <v>3.6</v>
      </c>
      <c r="I29" s="86">
        <v>3.95</v>
      </c>
      <c r="J29" s="87">
        <v>4.0999999999999996</v>
      </c>
      <c r="K29" s="86">
        <v>4.3</v>
      </c>
    </row>
    <row r="30" spans="1:20">
      <c r="A30" s="221"/>
      <c r="B30" s="211"/>
      <c r="C30" s="102" t="s">
        <v>0</v>
      </c>
      <c r="D30" s="15"/>
      <c r="E30" s="15"/>
      <c r="F30" s="15"/>
      <c r="G30" s="15">
        <v>4.2</v>
      </c>
      <c r="H30" s="15">
        <v>4.28</v>
      </c>
      <c r="I30" s="15">
        <v>4.5199999999999996</v>
      </c>
      <c r="J30" s="15">
        <v>4.8099999999999996</v>
      </c>
      <c r="K30" s="15">
        <v>5.03</v>
      </c>
    </row>
    <row r="31" spans="1:20">
      <c r="A31" s="221"/>
      <c r="B31" s="211"/>
      <c r="C31" s="103" t="s">
        <v>3</v>
      </c>
      <c r="D31" s="16"/>
      <c r="E31" s="16"/>
      <c r="F31" s="16"/>
      <c r="G31" s="16">
        <v>4.5</v>
      </c>
      <c r="H31" s="16">
        <v>4.2</v>
      </c>
      <c r="I31" s="16">
        <v>4.4000000000000004</v>
      </c>
      <c r="J31" s="16">
        <v>4.5999999999999996</v>
      </c>
      <c r="K31" s="16">
        <v>4.7</v>
      </c>
    </row>
    <row r="32" spans="1:20">
      <c r="A32" s="221"/>
      <c r="B32" s="211"/>
      <c r="C32" s="98" t="s">
        <v>1</v>
      </c>
      <c r="D32" s="99">
        <v>5.01</v>
      </c>
      <c r="E32" s="99">
        <v>4.38</v>
      </c>
      <c r="F32" s="99">
        <v>5.14</v>
      </c>
      <c r="G32" s="99">
        <v>4.3</v>
      </c>
      <c r="H32" s="99">
        <v>4.0999999999999996</v>
      </c>
      <c r="I32" s="99">
        <v>4.3</v>
      </c>
      <c r="J32" s="99">
        <v>4.5</v>
      </c>
      <c r="K32" s="99">
        <v>4.7</v>
      </c>
      <c r="Q32" s="93">
        <f>(G32-G33)/0.1*10</f>
        <v>-60.000000000000057</v>
      </c>
      <c r="R32" s="93">
        <f>(H32-H33)/0.1*10</f>
        <v>-80.000000000000071</v>
      </c>
      <c r="S32" s="93">
        <f>(I32-I33)/0.1*10</f>
        <v>-65.000000000000028</v>
      </c>
      <c r="T32" s="93">
        <f>(J32-J33)/0.1*10</f>
        <v>-59.999999999999964</v>
      </c>
    </row>
    <row r="33" spans="1:20">
      <c r="A33" s="221"/>
      <c r="B33" s="33">
        <v>41974</v>
      </c>
      <c r="C33" s="6" t="s">
        <v>1</v>
      </c>
      <c r="D33" s="14">
        <v>5.01</v>
      </c>
      <c r="E33" s="14">
        <v>4.38</v>
      </c>
      <c r="F33" s="14">
        <v>5.13</v>
      </c>
      <c r="G33" s="14">
        <v>4.9000000000000004</v>
      </c>
      <c r="H33" s="14">
        <v>4.9000000000000004</v>
      </c>
      <c r="I33" s="14">
        <v>4.95</v>
      </c>
      <c r="J33" s="14">
        <v>5.0999999999999996</v>
      </c>
      <c r="K33" s="14">
        <v>5.2</v>
      </c>
      <c r="M33" s="112">
        <f>G32/G33-1</f>
        <v>-0.12244897959183687</v>
      </c>
      <c r="N33" s="112">
        <f>H32/H33-1</f>
        <v>-0.16326530612244916</v>
      </c>
    </row>
    <row r="34" spans="1:20">
      <c r="A34" s="221"/>
      <c r="B34" s="33">
        <v>41852</v>
      </c>
      <c r="C34" s="6" t="s">
        <v>1</v>
      </c>
      <c r="D34" s="14">
        <v>5.01</v>
      </c>
      <c r="E34" s="14">
        <v>4.38</v>
      </c>
      <c r="F34" s="14">
        <v>5.15</v>
      </c>
      <c r="G34" s="14">
        <v>5.2</v>
      </c>
      <c r="H34" s="14">
        <v>5.25</v>
      </c>
      <c r="I34" s="14">
        <v>5.3</v>
      </c>
      <c r="J34" s="14">
        <v>5.35</v>
      </c>
      <c r="K34" s="14">
        <v>5.4</v>
      </c>
      <c r="Q34" s="93">
        <f>Q6+Q32</f>
        <v>-135.00000000000006</v>
      </c>
      <c r="R34" s="93">
        <f>R6+R32</f>
        <v>-155.00000000000006</v>
      </c>
      <c r="S34" s="93">
        <f>S6+S32</f>
        <v>-117.50000000000003</v>
      </c>
      <c r="T34" s="93">
        <f>T6+T32</f>
        <v>-104.99999999999997</v>
      </c>
    </row>
    <row r="35" spans="1:20" hidden="1">
      <c r="A35" s="221"/>
      <c r="B35" s="33">
        <v>41499</v>
      </c>
      <c r="C35" s="6" t="s">
        <v>1</v>
      </c>
      <c r="D35" s="14">
        <v>5</v>
      </c>
      <c r="E35" s="14">
        <v>4.5</v>
      </c>
      <c r="F35" s="14">
        <v>5</v>
      </c>
      <c r="G35" s="14">
        <v>5.4</v>
      </c>
      <c r="H35" s="14">
        <v>5.5</v>
      </c>
      <c r="I35" s="14">
        <v>5.5</v>
      </c>
      <c r="J35" s="14">
        <v>5.5</v>
      </c>
      <c r="K35" s="14"/>
    </row>
    <row r="36" spans="1:20" hidden="1">
      <c r="A36" s="221"/>
      <c r="B36" s="33">
        <v>41317</v>
      </c>
      <c r="C36" s="6" t="s">
        <v>1</v>
      </c>
      <c r="D36" s="71">
        <v>5</v>
      </c>
      <c r="E36" s="71">
        <v>4.5</v>
      </c>
      <c r="F36" s="71">
        <v>5.0999999999999996</v>
      </c>
      <c r="G36" s="71">
        <v>5.25</v>
      </c>
      <c r="H36" s="71">
        <v>5.5</v>
      </c>
      <c r="I36" s="71">
        <v>5.5</v>
      </c>
      <c r="J36" s="71"/>
      <c r="K36" s="71"/>
    </row>
    <row r="37" spans="1:20" hidden="1">
      <c r="A37" s="221"/>
      <c r="B37" s="33">
        <v>41244</v>
      </c>
      <c r="C37" s="6" t="s">
        <v>1</v>
      </c>
      <c r="D37" s="71">
        <v>5</v>
      </c>
      <c r="E37" s="71">
        <v>4.5</v>
      </c>
      <c r="F37" s="71">
        <v>5</v>
      </c>
      <c r="G37" s="71">
        <v>5.4</v>
      </c>
      <c r="H37" s="71">
        <v>5.6</v>
      </c>
      <c r="I37" s="71">
        <v>5.5</v>
      </c>
      <c r="J37" s="71">
        <v>5.5</v>
      </c>
      <c r="K37" s="71"/>
    </row>
    <row r="38" spans="1:20">
      <c r="A38" s="221"/>
      <c r="B38" s="33">
        <v>42031</v>
      </c>
      <c r="C38" s="215" t="s">
        <v>16</v>
      </c>
      <c r="D38" s="216"/>
      <c r="E38" s="30">
        <f t="shared" ref="E38:K39" si="5">(E32-D32)/D32</f>
        <v>-0.12574850299401197</v>
      </c>
      <c r="F38" s="30">
        <f t="shared" si="5"/>
        <v>0.17351598173515978</v>
      </c>
      <c r="G38" s="30">
        <f t="shared" si="5"/>
        <v>-0.16342412451361865</v>
      </c>
      <c r="H38" s="30">
        <f t="shared" si="5"/>
        <v>-4.6511627906976785E-2</v>
      </c>
      <c r="I38" s="30">
        <f t="shared" si="5"/>
        <v>4.8780487804878099E-2</v>
      </c>
      <c r="J38" s="30">
        <f t="shared" si="5"/>
        <v>4.6511627906976785E-2</v>
      </c>
      <c r="K38" s="30">
        <f t="shared" si="5"/>
        <v>4.4444444444444481E-2</v>
      </c>
    </row>
    <row r="39" spans="1:20">
      <c r="A39" s="221"/>
      <c r="B39" s="33">
        <v>41974</v>
      </c>
      <c r="C39" s="223" t="s">
        <v>16</v>
      </c>
      <c r="D39" s="224"/>
      <c r="E39" s="105">
        <f t="shared" si="5"/>
        <v>-0.12574850299401197</v>
      </c>
      <c r="F39" s="105">
        <f t="shared" si="5"/>
        <v>0.17123287671232876</v>
      </c>
      <c r="G39" s="105">
        <f t="shared" si="5"/>
        <v>-4.4834307992202643E-2</v>
      </c>
      <c r="H39" s="105">
        <f t="shared" si="5"/>
        <v>0</v>
      </c>
      <c r="I39" s="105">
        <f t="shared" si="5"/>
        <v>1.0204081632653024E-2</v>
      </c>
      <c r="J39" s="105">
        <f t="shared" si="5"/>
        <v>3.0303030303030193E-2</v>
      </c>
      <c r="K39" s="105">
        <f t="shared" si="5"/>
        <v>1.9607843137255009E-2</v>
      </c>
    </row>
    <row r="40" spans="1:20" hidden="1">
      <c r="A40" s="222"/>
      <c r="B40" s="33">
        <v>41499</v>
      </c>
      <c r="C40" s="215" t="s">
        <v>16</v>
      </c>
      <c r="D40" s="216"/>
      <c r="E40" s="30">
        <f t="shared" ref="E40:J40" si="6">(E35-D35)/D35</f>
        <v>-0.1</v>
      </c>
      <c r="F40" s="30">
        <f t="shared" si="6"/>
        <v>0.1111111111111111</v>
      </c>
      <c r="G40" s="30">
        <f t="shared" si="6"/>
        <v>8.0000000000000071E-2</v>
      </c>
      <c r="H40" s="30">
        <f t="shared" si="6"/>
        <v>1.8518518518518452E-2</v>
      </c>
      <c r="I40" s="30">
        <f t="shared" si="6"/>
        <v>0</v>
      </c>
      <c r="J40" s="30">
        <f t="shared" si="6"/>
        <v>0</v>
      </c>
      <c r="K40" s="30"/>
    </row>
    <row r="41" spans="1:20">
      <c r="A41" s="65"/>
      <c r="B41" s="65"/>
      <c r="C41" s="65"/>
      <c r="D41" s="76"/>
      <c r="E41" s="76"/>
      <c r="F41" s="76"/>
      <c r="G41" s="130"/>
      <c r="H41" s="130"/>
      <c r="I41" s="130"/>
      <c r="J41" s="130"/>
      <c r="K41" s="130"/>
    </row>
    <row r="42" spans="1:20">
      <c r="A42" s="220" t="s">
        <v>19</v>
      </c>
      <c r="B42" s="212">
        <v>42031</v>
      </c>
      <c r="C42" s="101" t="s">
        <v>2</v>
      </c>
      <c r="D42" s="23"/>
      <c r="E42" s="111"/>
      <c r="F42" s="111"/>
      <c r="G42" s="111">
        <v>1175</v>
      </c>
      <c r="H42" s="111">
        <v>1138</v>
      </c>
      <c r="I42" s="111">
        <v>1108</v>
      </c>
      <c r="J42" s="111">
        <v>1078</v>
      </c>
      <c r="K42" s="111">
        <v>1048</v>
      </c>
    </row>
    <row r="43" spans="1:20">
      <c r="A43" s="221"/>
      <c r="B43" s="211"/>
      <c r="C43" s="102" t="s">
        <v>0</v>
      </c>
      <c r="D43" s="77"/>
      <c r="E43" s="77"/>
      <c r="F43" s="77"/>
      <c r="G43" s="77">
        <v>1187</v>
      </c>
      <c r="H43" s="77">
        <v>1146</v>
      </c>
      <c r="I43" s="77">
        <v>1129</v>
      </c>
      <c r="J43" s="77">
        <v>1111</v>
      </c>
      <c r="K43" s="77">
        <v>1093</v>
      </c>
    </row>
    <row r="44" spans="1:20">
      <c r="A44" s="221"/>
      <c r="B44" s="211"/>
      <c r="C44" s="103" t="s">
        <v>3</v>
      </c>
      <c r="D44" s="25"/>
      <c r="E44" s="25"/>
      <c r="F44" s="25"/>
      <c r="G44" s="25">
        <v>1159.5999999999999</v>
      </c>
      <c r="H44" s="25">
        <v>1106.7</v>
      </c>
      <c r="I44" s="25">
        <v>1074.8</v>
      </c>
      <c r="J44" s="25">
        <v>1045.9000000000001</v>
      </c>
      <c r="K44" s="25">
        <v>1010.5</v>
      </c>
    </row>
    <row r="45" spans="1:20">
      <c r="A45" s="221"/>
      <c r="B45" s="211"/>
      <c r="C45" s="98" t="s">
        <v>1</v>
      </c>
      <c r="D45" s="95">
        <v>1227</v>
      </c>
      <c r="E45" s="95">
        <v>1177.5</v>
      </c>
      <c r="F45" s="95">
        <v>1184.7</v>
      </c>
      <c r="G45" s="95">
        <v>1181</v>
      </c>
      <c r="H45" s="95">
        <v>1150</v>
      </c>
      <c r="I45" s="95">
        <v>1118</v>
      </c>
      <c r="J45" s="95">
        <v>1088</v>
      </c>
      <c r="K45" s="95">
        <v>1052</v>
      </c>
    </row>
    <row r="46" spans="1:20">
      <c r="A46" s="221"/>
      <c r="B46" s="33">
        <v>41974</v>
      </c>
      <c r="C46" s="6" t="s">
        <v>1</v>
      </c>
      <c r="D46" s="23">
        <v>1227</v>
      </c>
      <c r="E46" s="23">
        <v>1177.5</v>
      </c>
      <c r="F46" s="23">
        <v>1187.3</v>
      </c>
      <c r="G46" s="23">
        <v>1181</v>
      </c>
      <c r="H46" s="23">
        <v>1150</v>
      </c>
      <c r="I46" s="23">
        <v>1118</v>
      </c>
      <c r="J46" s="23">
        <v>1088</v>
      </c>
      <c r="K46" s="23">
        <v>1052</v>
      </c>
      <c r="M46" s="112">
        <f>G45/G46-1</f>
        <v>0</v>
      </c>
      <c r="N46" s="112">
        <f>H45/H46-1</f>
        <v>0</v>
      </c>
    </row>
    <row r="47" spans="1:20">
      <c r="A47" s="221"/>
      <c r="B47" s="33">
        <v>41852</v>
      </c>
      <c r="C47" s="6" t="s">
        <v>1</v>
      </c>
      <c r="D47" s="23">
        <v>1227</v>
      </c>
      <c r="E47" s="23">
        <v>1177.5</v>
      </c>
      <c r="F47" s="23">
        <v>1170</v>
      </c>
      <c r="G47" s="23">
        <v>1158.3</v>
      </c>
      <c r="H47" s="23">
        <v>1123.5509999999999</v>
      </c>
      <c r="I47" s="23">
        <v>1089.84447</v>
      </c>
      <c r="J47" s="23">
        <v>1057.1491358999999</v>
      </c>
      <c r="K47" s="23">
        <v>1025.4346618229999</v>
      </c>
    </row>
    <row r="48" spans="1:20" hidden="1">
      <c r="A48" s="221"/>
      <c r="B48" s="33">
        <v>41499</v>
      </c>
      <c r="C48" s="6" t="s">
        <v>1</v>
      </c>
      <c r="D48" s="23">
        <v>1225.8499999999999</v>
      </c>
      <c r="E48" s="23">
        <v>1165</v>
      </c>
      <c r="F48" s="23">
        <v>1110</v>
      </c>
      <c r="G48" s="23">
        <v>1070</v>
      </c>
      <c r="H48" s="23">
        <v>1030</v>
      </c>
      <c r="I48" s="23">
        <v>1000</v>
      </c>
      <c r="J48" s="23">
        <v>960</v>
      </c>
      <c r="K48" s="72"/>
    </row>
    <row r="49" spans="1:11" hidden="1">
      <c r="A49" s="221"/>
      <c r="B49" s="33">
        <v>41317</v>
      </c>
      <c r="C49" s="6" t="s">
        <v>1</v>
      </c>
      <c r="D49" s="72">
        <v>1226</v>
      </c>
      <c r="E49" s="72">
        <v>1185</v>
      </c>
      <c r="F49" s="72">
        <v>1151</v>
      </c>
      <c r="G49" s="72">
        <v>1121</v>
      </c>
      <c r="H49" s="72">
        <v>1090.1407234210708</v>
      </c>
      <c r="I49" s="72">
        <v>1048</v>
      </c>
      <c r="J49" s="72"/>
      <c r="K49" s="72"/>
    </row>
    <row r="50" spans="1:11" hidden="1">
      <c r="A50" s="221"/>
      <c r="B50" s="33">
        <v>41244</v>
      </c>
      <c r="C50" s="6" t="s">
        <v>1</v>
      </c>
      <c r="D50" s="72">
        <v>1228.5423506666664</v>
      </c>
      <c r="E50" s="72">
        <v>1184.5870287874238</v>
      </c>
      <c r="F50" s="72">
        <v>1151.3778293463738</v>
      </c>
      <c r="G50" s="72">
        <v>1121.0332793283103</v>
      </c>
      <c r="H50" s="72">
        <v>1090.1407234210708</v>
      </c>
      <c r="I50" s="72">
        <v>1048</v>
      </c>
      <c r="J50" s="72">
        <v>1048</v>
      </c>
      <c r="K50" s="72"/>
    </row>
    <row r="51" spans="1:11">
      <c r="A51" s="221"/>
      <c r="B51" s="33">
        <v>42031</v>
      </c>
      <c r="C51" s="215" t="s">
        <v>16</v>
      </c>
      <c r="D51" s="216"/>
      <c r="E51" s="30">
        <f>(E45-D45)/D45</f>
        <v>-4.0342298288508556E-2</v>
      </c>
      <c r="F51" s="30">
        <f t="shared" ref="F51:K52" si="7">(F45-E45)/E45</f>
        <v>6.1146496815287013E-3</v>
      </c>
      <c r="G51" s="30">
        <f t="shared" si="7"/>
        <v>-3.1231535409808773E-3</v>
      </c>
      <c r="H51" s="30">
        <f t="shared" si="7"/>
        <v>-2.6248941574936496E-2</v>
      </c>
      <c r="I51" s="30">
        <f t="shared" si="7"/>
        <v>-2.782608695652174E-2</v>
      </c>
      <c r="J51" s="30">
        <f t="shared" si="7"/>
        <v>-2.6833631484794274E-2</v>
      </c>
      <c r="K51" s="30">
        <f t="shared" si="7"/>
        <v>-3.3088235294117647E-2</v>
      </c>
    </row>
    <row r="52" spans="1:11">
      <c r="A52" s="221"/>
      <c r="B52" s="33">
        <v>41974</v>
      </c>
      <c r="C52" s="223" t="s">
        <v>16</v>
      </c>
      <c r="D52" s="224"/>
      <c r="E52" s="105">
        <f>(E46-D46)/D46</f>
        <v>-4.0342298288508556E-2</v>
      </c>
      <c r="F52" s="105">
        <f t="shared" si="7"/>
        <v>8.3227176220806408E-3</v>
      </c>
      <c r="G52" s="105">
        <f t="shared" si="7"/>
        <v>-5.3061568264128316E-3</v>
      </c>
      <c r="H52" s="105">
        <f t="shared" si="7"/>
        <v>-2.6248941574936496E-2</v>
      </c>
      <c r="I52" s="105">
        <f t="shared" si="7"/>
        <v>-2.782608695652174E-2</v>
      </c>
      <c r="J52" s="105">
        <f t="shared" si="7"/>
        <v>-2.6833631484794274E-2</v>
      </c>
      <c r="K52" s="105">
        <f t="shared" si="7"/>
        <v>-3.3088235294117647E-2</v>
      </c>
    </row>
    <row r="53" spans="1:11" hidden="1">
      <c r="A53" s="222"/>
      <c r="B53" s="33">
        <v>41499</v>
      </c>
      <c r="C53" s="215" t="s">
        <v>16</v>
      </c>
      <c r="D53" s="216"/>
      <c r="E53" s="30">
        <f t="shared" ref="E53:J53" si="8">(E48-D48)/D48</f>
        <v>-4.9639025981971625E-2</v>
      </c>
      <c r="F53" s="30">
        <f t="shared" si="8"/>
        <v>-4.7210300429184553E-2</v>
      </c>
      <c r="G53" s="30">
        <f t="shared" si="8"/>
        <v>-3.6036036036036036E-2</v>
      </c>
      <c r="H53" s="30">
        <f t="shared" si="8"/>
        <v>-3.7383177570093455E-2</v>
      </c>
      <c r="I53" s="30">
        <f t="shared" si="8"/>
        <v>-2.9126213592233011E-2</v>
      </c>
      <c r="J53" s="30">
        <f t="shared" si="8"/>
        <v>-0.04</v>
      </c>
      <c r="K53" s="30"/>
    </row>
    <row r="54" spans="1:11">
      <c r="A54" s="108"/>
      <c r="B54" s="13"/>
      <c r="F54" s="112"/>
      <c r="G54" s="112"/>
      <c r="H54" s="112"/>
      <c r="I54" s="112"/>
      <c r="J54" s="112"/>
      <c r="K54" s="112"/>
    </row>
    <row r="55" spans="1:11">
      <c r="A55" s="9"/>
      <c r="B55" s="13"/>
      <c r="E55" s="94"/>
      <c r="F55" s="94"/>
      <c r="G55" s="112"/>
      <c r="H55" s="112"/>
      <c r="I55" s="112"/>
      <c r="J55" s="112"/>
      <c r="K55" s="112"/>
    </row>
    <row r="56" spans="1:11">
      <c r="A56" s="9"/>
      <c r="B56" s="13"/>
      <c r="E56" s="94"/>
      <c r="F56" s="94"/>
      <c r="G56" s="94"/>
      <c r="H56" s="112"/>
      <c r="I56" s="112"/>
      <c r="J56" s="112"/>
      <c r="K56" s="112"/>
    </row>
    <row r="57" spans="1:11">
      <c r="A57" s="9"/>
      <c r="B57" s="13"/>
    </row>
    <row r="58" spans="1:11">
      <c r="A58" s="9"/>
      <c r="B58" s="13"/>
    </row>
    <row r="59" spans="1:11">
      <c r="A59" s="9"/>
      <c r="B59" s="13"/>
    </row>
    <row r="60" spans="1:11">
      <c r="A60" s="9"/>
      <c r="B60" s="13"/>
    </row>
    <row r="61" spans="1:11">
      <c r="A61" s="9"/>
      <c r="B61" s="13"/>
    </row>
    <row r="62" spans="1:11">
      <c r="A62" s="9"/>
      <c r="B62" s="13"/>
    </row>
    <row r="63" spans="1:11">
      <c r="A63" s="9"/>
      <c r="B63" s="13"/>
    </row>
    <row r="64" spans="1:11">
      <c r="A64" s="9"/>
      <c r="B64" s="13"/>
    </row>
  </sheetData>
  <mergeCells count="20">
    <mergeCell ref="A29:A40"/>
    <mergeCell ref="B29:B32"/>
    <mergeCell ref="C38:D38"/>
    <mergeCell ref="C39:D39"/>
    <mergeCell ref="C40:D40"/>
    <mergeCell ref="A42:A53"/>
    <mergeCell ref="B42:B45"/>
    <mergeCell ref="C51:D51"/>
    <mergeCell ref="C52:D52"/>
    <mergeCell ref="C53:D53"/>
    <mergeCell ref="A2:A14"/>
    <mergeCell ref="B2:B6"/>
    <mergeCell ref="C12:D12"/>
    <mergeCell ref="C13:D13"/>
    <mergeCell ref="C14:D14"/>
    <mergeCell ref="A16:A27"/>
    <mergeCell ref="B16:B19"/>
    <mergeCell ref="C25:D25"/>
    <mergeCell ref="C26:D26"/>
    <mergeCell ref="C27:D27"/>
  </mergeCells>
  <pageMargins left="0.5" right="0.17" top="0.63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V72"/>
  <sheetViews>
    <sheetView zoomScale="137" zoomScaleNormal="137" workbookViewId="0">
      <pane ySplit="1" topLeftCell="A3" activePane="bottomLeft" state="frozen"/>
      <selection pane="bottomLeft" activeCell="N18" sqref="N18"/>
    </sheetView>
  </sheetViews>
  <sheetFormatPr defaultColWidth="9.140625" defaultRowHeight="15"/>
  <cols>
    <col min="1" max="1" width="9.42578125" customWidth="1"/>
    <col min="2" max="2" width="7.140625" bestFit="1" customWidth="1"/>
    <col min="3" max="3" width="12.85546875" customWidth="1"/>
    <col min="4" max="12" width="7.5703125" customWidth="1"/>
    <col min="14" max="15" width="9.42578125" bestFit="1" customWidth="1"/>
  </cols>
  <sheetData>
    <row r="1" spans="1:22" ht="34.5" customHeight="1">
      <c r="A1" s="8"/>
      <c r="B1" s="11"/>
      <c r="C1" s="133"/>
      <c r="D1" s="132" t="s">
        <v>17</v>
      </c>
      <c r="E1" s="132" t="s">
        <v>25</v>
      </c>
      <c r="F1" s="132" t="s">
        <v>6</v>
      </c>
      <c r="G1" s="132" t="s">
        <v>7</v>
      </c>
      <c r="H1" s="132" t="s">
        <v>8</v>
      </c>
      <c r="I1" s="132" t="s">
        <v>9</v>
      </c>
      <c r="J1" s="132" t="s">
        <v>21</v>
      </c>
      <c r="K1" s="132" t="s">
        <v>24</v>
      </c>
      <c r="L1" s="132" t="s">
        <v>27</v>
      </c>
    </row>
    <row r="2" spans="1:22">
      <c r="A2" s="225" t="s">
        <v>10</v>
      </c>
      <c r="B2" s="212">
        <v>42217</v>
      </c>
      <c r="C2" s="134" t="s">
        <v>4</v>
      </c>
      <c r="D2" s="135"/>
      <c r="E2" s="135"/>
      <c r="F2" s="135"/>
      <c r="G2" s="135">
        <v>61.7</v>
      </c>
      <c r="H2" s="135">
        <v>49.63</v>
      </c>
      <c r="I2" s="135">
        <v>53.59</v>
      </c>
      <c r="J2" s="135">
        <v>59.29</v>
      </c>
      <c r="K2" s="135">
        <v>65.88</v>
      </c>
      <c r="L2" s="135">
        <v>67.84</v>
      </c>
    </row>
    <row r="3" spans="1:22">
      <c r="A3" s="226"/>
      <c r="B3" s="211"/>
      <c r="C3" s="136" t="s">
        <v>2</v>
      </c>
      <c r="D3" s="137"/>
      <c r="E3" s="138"/>
      <c r="F3" s="138"/>
      <c r="G3" s="170"/>
      <c r="H3" s="170"/>
      <c r="I3" s="170"/>
      <c r="J3" s="170"/>
      <c r="K3" s="170"/>
      <c r="L3" s="170"/>
    </row>
    <row r="4" spans="1:22">
      <c r="A4" s="226"/>
      <c r="B4" s="211"/>
      <c r="C4" s="139" t="s">
        <v>0</v>
      </c>
      <c r="D4" s="140"/>
      <c r="E4" s="140"/>
      <c r="F4" s="140"/>
      <c r="G4" s="140">
        <v>61.7</v>
      </c>
      <c r="H4" s="140">
        <v>53.75</v>
      </c>
      <c r="I4" s="140">
        <v>57.5</v>
      </c>
      <c r="J4" s="140">
        <v>60.5</v>
      </c>
      <c r="K4" s="140">
        <v>63</v>
      </c>
      <c r="L4" s="140">
        <v>65</v>
      </c>
      <c r="N4" t="s">
        <v>30</v>
      </c>
    </row>
    <row r="5" spans="1:22">
      <c r="A5" s="226"/>
      <c r="B5" s="211"/>
      <c r="C5" s="141" t="s">
        <v>3</v>
      </c>
      <c r="D5" s="142"/>
      <c r="E5" s="142"/>
      <c r="F5" s="142"/>
      <c r="G5" s="142">
        <v>61.75</v>
      </c>
      <c r="H5" s="142">
        <v>51.24</v>
      </c>
      <c r="I5" s="142">
        <v>58.48</v>
      </c>
      <c r="J5" s="142">
        <v>63.9</v>
      </c>
      <c r="K5" s="142">
        <v>69.42</v>
      </c>
      <c r="L5" s="142">
        <v>71.349999999999994</v>
      </c>
      <c r="N5" t="s">
        <v>28</v>
      </c>
      <c r="O5" t="s">
        <v>29</v>
      </c>
    </row>
    <row r="6" spans="1:22">
      <c r="A6" s="226"/>
      <c r="B6" s="211"/>
      <c r="C6" s="143" t="s">
        <v>1</v>
      </c>
      <c r="D6" s="144">
        <v>89.65</v>
      </c>
      <c r="E6" s="144">
        <v>85.82</v>
      </c>
      <c r="F6" s="144">
        <v>95.13</v>
      </c>
      <c r="G6" s="144">
        <f t="shared" ref="G6:L6" si="0">AVERAGE(G2:G5)</f>
        <v>61.716666666666669</v>
      </c>
      <c r="H6" s="144">
        <f t="shared" si="0"/>
        <v>51.54</v>
      </c>
      <c r="I6" s="144">
        <f t="shared" si="0"/>
        <v>56.523333333333333</v>
      </c>
      <c r="J6" s="144">
        <f t="shared" si="0"/>
        <v>61.23</v>
      </c>
      <c r="K6" s="144">
        <f t="shared" si="0"/>
        <v>66.100000000000009</v>
      </c>
      <c r="L6" s="144">
        <f t="shared" si="0"/>
        <v>68.063333333333333</v>
      </c>
      <c r="N6" s="169">
        <f>(H6-H7)*(H21-H22)*(1-0.11)+(H36-H37*(H51-H52)*(1-0.24))</f>
        <v>-28.914946666666609</v>
      </c>
      <c r="O6" s="169">
        <f>(I6-I7)*(I21-I22)*(1-0.11)+(I36-I37*(I51-I52)*(1-0.24))</f>
        <v>-92.182839911110563</v>
      </c>
      <c r="V6" s="93"/>
    </row>
    <row r="7" spans="1:22">
      <c r="A7" s="226"/>
      <c r="B7" s="33">
        <v>42036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61</v>
      </c>
      <c r="H7" s="138">
        <v>56</v>
      </c>
      <c r="I7" s="138">
        <v>65</v>
      </c>
      <c r="J7" s="138">
        <v>70</v>
      </c>
      <c r="K7" s="138">
        <v>75</v>
      </c>
      <c r="L7" s="138"/>
      <c r="N7" s="171"/>
      <c r="O7" s="171"/>
      <c r="V7" s="93"/>
    </row>
    <row r="8" spans="1:22" hidden="1">
      <c r="A8" s="226"/>
      <c r="B8" s="33">
        <v>41974</v>
      </c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</row>
    <row r="9" spans="1:22" hidden="1">
      <c r="A9" s="226"/>
      <c r="B9" s="33">
        <v>41852</v>
      </c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</row>
    <row r="10" spans="1:22" hidden="1">
      <c r="A10" s="226"/>
      <c r="B10" s="33">
        <v>41499</v>
      </c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</row>
    <row r="11" spans="1:22" hidden="1">
      <c r="A11" s="226"/>
      <c r="B11" s="33">
        <v>41306</v>
      </c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</row>
    <row r="12" spans="1:22" hidden="1">
      <c r="A12" s="226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</row>
    <row r="13" spans="1:22" hidden="1">
      <c r="A13" s="226"/>
      <c r="B13" s="33">
        <v>42217</v>
      </c>
      <c r="C13" s="229" t="s">
        <v>16</v>
      </c>
      <c r="D13" s="230"/>
      <c r="E13" s="146">
        <f t="shared" ref="E13:L13" si="1">+E6/D6-1</f>
        <v>-4.2721695482431765E-2</v>
      </c>
      <c r="F13" s="146">
        <f>+F6/E6-1</f>
        <v>0.10848287112561183</v>
      </c>
      <c r="G13" s="166">
        <f>+G6/F6-1</f>
        <v>-0.35123865587441738</v>
      </c>
      <c r="H13" s="146">
        <f t="shared" si="1"/>
        <v>-0.16489332973264925</v>
      </c>
      <c r="I13" s="146">
        <f t="shared" si="1"/>
        <v>9.6688656060018197E-2</v>
      </c>
      <c r="J13" s="146">
        <f t="shared" si="1"/>
        <v>8.3269446246387879E-2</v>
      </c>
      <c r="K13" s="146">
        <f t="shared" si="1"/>
        <v>7.9536175077576488E-2</v>
      </c>
      <c r="L13" s="146">
        <f t="shared" si="1"/>
        <v>2.9702471003529851E-2</v>
      </c>
    </row>
    <row r="14" spans="1:22" hidden="1">
      <c r="A14" s="226"/>
      <c r="B14" s="33">
        <v>42031</v>
      </c>
      <c r="C14" s="231" t="s">
        <v>16</v>
      </c>
      <c r="D14" s="232"/>
      <c r="E14" s="147">
        <f t="shared" ref="E14:K14" si="2">(E7-D7)/D7</f>
        <v>-4.2721695482431814E-2</v>
      </c>
      <c r="F14" s="147">
        <f t="shared" si="2"/>
        <v>0.10848287112561178</v>
      </c>
      <c r="G14" s="147">
        <f t="shared" si="2"/>
        <v>-0.35877220645432562</v>
      </c>
      <c r="H14" s="147">
        <f t="shared" si="2"/>
        <v>-8.1967213114754092E-2</v>
      </c>
      <c r="I14" s="147">
        <f t="shared" si="2"/>
        <v>0.16071428571428573</v>
      </c>
      <c r="J14" s="147">
        <f t="shared" si="2"/>
        <v>7.6923076923076927E-2</v>
      </c>
      <c r="K14" s="147">
        <f t="shared" si="2"/>
        <v>7.1428571428571425E-2</v>
      </c>
      <c r="L14" s="147"/>
    </row>
    <row r="15" spans="1:22" hidden="1">
      <c r="A15" s="226"/>
      <c r="B15" s="33">
        <v>41974</v>
      </c>
      <c r="C15" s="231" t="s">
        <v>16</v>
      </c>
      <c r="D15" s="232"/>
      <c r="E15" s="147">
        <f t="shared" ref="E15:J15" si="3">(E8-D8)/D8</f>
        <v>-4.2721695482431814E-2</v>
      </c>
      <c r="F15" s="147">
        <f t="shared" si="3"/>
        <v>0.10859939408063397</v>
      </c>
      <c r="G15" s="147">
        <f t="shared" si="3"/>
        <v>-0.2537313432835821</v>
      </c>
      <c r="H15" s="147">
        <f t="shared" si="3"/>
        <v>-7.0422535211267609E-2</v>
      </c>
      <c r="I15" s="147">
        <f t="shared" si="3"/>
        <v>9.0909090909090912E-2</v>
      </c>
      <c r="J15" s="147">
        <f t="shared" si="3"/>
        <v>5.5555555555555552E-2</v>
      </c>
      <c r="K15" s="147"/>
      <c r="L15" s="147"/>
    </row>
    <row r="16" spans="1:22" hidden="1">
      <c r="A16" s="227"/>
      <c r="B16" s="33">
        <v>41499</v>
      </c>
      <c r="C16" s="229" t="s">
        <v>16</v>
      </c>
      <c r="D16" s="230"/>
      <c r="E16" s="146">
        <f t="shared" ref="E16:J16" si="4">(E10-D10)/D10</f>
        <v>-3.3333333333333333E-2</v>
      </c>
      <c r="F16" s="146">
        <f t="shared" si="4"/>
        <v>8.0459770114942528E-2</v>
      </c>
      <c r="G16" s="146">
        <f t="shared" si="4"/>
        <v>-6.9148936170212769E-2</v>
      </c>
      <c r="H16" s="146">
        <f t="shared" si="4"/>
        <v>-2.8571428571428571E-2</v>
      </c>
      <c r="I16" s="146">
        <f t="shared" si="4"/>
        <v>-1.1764705882352941E-2</v>
      </c>
      <c r="J16" s="146">
        <f t="shared" si="4"/>
        <v>0</v>
      </c>
      <c r="K16" s="146"/>
      <c r="L16" s="146"/>
    </row>
    <row r="17" spans="1:15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</row>
    <row r="18" spans="1:15">
      <c r="A18" s="228" t="s">
        <v>12</v>
      </c>
      <c r="B18" s="212">
        <v>42217</v>
      </c>
      <c r="C18" s="136" t="s">
        <v>2</v>
      </c>
      <c r="D18" s="148"/>
      <c r="E18" s="148"/>
      <c r="F18" s="148"/>
      <c r="G18" s="148" t="s">
        <v>31</v>
      </c>
      <c r="H18" s="148">
        <v>142</v>
      </c>
      <c r="I18" s="148">
        <v>155</v>
      </c>
      <c r="J18" s="148">
        <v>167</v>
      </c>
      <c r="K18" s="148">
        <v>180</v>
      </c>
      <c r="L18" s="148">
        <v>158</v>
      </c>
    </row>
    <row r="19" spans="1:15">
      <c r="A19" s="228"/>
      <c r="B19" s="211"/>
      <c r="C19" s="139" t="s">
        <v>0</v>
      </c>
      <c r="D19" s="149"/>
      <c r="E19" s="149"/>
      <c r="F19" s="149"/>
      <c r="G19" s="149">
        <v>139.4</v>
      </c>
      <c r="H19" s="149">
        <v>146.4</v>
      </c>
      <c r="I19" s="149">
        <v>152.19999999999999</v>
      </c>
      <c r="J19" s="149">
        <v>156.80000000000001</v>
      </c>
      <c r="K19" s="150">
        <v>159.9</v>
      </c>
      <c r="L19" s="150">
        <v>161.5</v>
      </c>
      <c r="M19" s="127"/>
    </row>
    <row r="20" spans="1:15">
      <c r="A20" s="228"/>
      <c r="B20" s="211"/>
      <c r="C20" s="141" t="s">
        <v>3</v>
      </c>
      <c r="D20" s="151"/>
      <c r="E20" s="151"/>
      <c r="F20" s="151"/>
      <c r="G20" s="151">
        <v>135</v>
      </c>
      <c r="H20" s="151">
        <v>138.19999999999999</v>
      </c>
      <c r="I20" s="151">
        <v>141.4</v>
      </c>
      <c r="J20" s="151">
        <v>143.5</v>
      </c>
      <c r="K20" s="151">
        <v>145.69999999999999</v>
      </c>
      <c r="L20" s="151">
        <v>147.9</v>
      </c>
    </row>
    <row r="21" spans="1:15">
      <c r="A21" s="228"/>
      <c r="B21" s="211"/>
      <c r="C21" s="143" t="s">
        <v>1</v>
      </c>
      <c r="D21" s="152">
        <v>80.3</v>
      </c>
      <c r="E21" s="152">
        <v>96.4</v>
      </c>
      <c r="F21" s="153">
        <v>113.9</v>
      </c>
      <c r="G21" s="153">
        <f>AVERAGE(G18:G20)</f>
        <v>137.19999999999999</v>
      </c>
      <c r="H21" s="153">
        <v>145</v>
      </c>
      <c r="I21" s="153">
        <f>AVERAGE(I18:I20)</f>
        <v>149.53333333333333</v>
      </c>
      <c r="J21" s="153">
        <v>153</v>
      </c>
      <c r="K21" s="153">
        <v>155</v>
      </c>
      <c r="L21" s="153">
        <v>156</v>
      </c>
      <c r="M21" s="93"/>
    </row>
    <row r="22" spans="1:15">
      <c r="A22" s="228"/>
      <c r="B22" s="33">
        <f>B7</f>
        <v>42036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125</v>
      </c>
      <c r="H22" s="154">
        <v>128</v>
      </c>
      <c r="I22" s="154">
        <v>131</v>
      </c>
      <c r="J22" s="154">
        <v>133</v>
      </c>
      <c r="K22" s="154">
        <v>135</v>
      </c>
      <c r="L22" s="154"/>
      <c r="M22" s="93"/>
      <c r="N22" s="131"/>
      <c r="O22" s="131"/>
    </row>
    <row r="23" spans="1:15" hidden="1">
      <c r="A23" s="228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</row>
    <row r="24" spans="1:15" hidden="1">
      <c r="A24" s="228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</row>
    <row r="25" spans="1:15" hidden="1">
      <c r="A25" s="228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</row>
    <row r="26" spans="1:15" hidden="1">
      <c r="A26" s="228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</row>
    <row r="27" spans="1:15" hidden="1">
      <c r="A27" s="228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</row>
    <row r="28" spans="1:15">
      <c r="A28" s="228"/>
      <c r="B28" s="33">
        <v>42217</v>
      </c>
      <c r="C28" s="229" t="s">
        <v>16</v>
      </c>
      <c r="D28" s="230"/>
      <c r="E28" s="167">
        <f t="shared" ref="E28:K28" si="5">(E21-D21)/D21</f>
        <v>0.20049813200498143</v>
      </c>
      <c r="F28" s="167">
        <f>(F21-E21)/E21</f>
        <v>0.18153526970954356</v>
      </c>
      <c r="G28" s="167">
        <f t="shared" si="5"/>
        <v>0.20456540825285321</v>
      </c>
      <c r="H28" s="167">
        <f t="shared" si="5"/>
        <v>5.6851311953352857E-2</v>
      </c>
      <c r="I28" s="167">
        <f t="shared" si="5"/>
        <v>3.1264367816091938E-2</v>
      </c>
      <c r="J28" s="167">
        <f t="shared" si="5"/>
        <v>2.318323673651361E-2</v>
      </c>
      <c r="K28" s="167">
        <f t="shared" si="5"/>
        <v>1.3071895424836602E-2</v>
      </c>
      <c r="L28" s="167">
        <f>(L21-K21)/K21</f>
        <v>6.4516129032258064E-3</v>
      </c>
    </row>
    <row r="29" spans="1:15">
      <c r="A29" s="228"/>
      <c r="B29" s="33">
        <f>B7</f>
        <v>42036</v>
      </c>
      <c r="C29" s="231" t="s">
        <v>16</v>
      </c>
      <c r="D29" s="232"/>
      <c r="E29" s="168">
        <f>(E22-D22)/D22</f>
        <v>0.20049813200498143</v>
      </c>
      <c r="F29" s="168">
        <f>(F22-E22)/E22</f>
        <v>0.18153526970954356</v>
      </c>
      <c r="G29" s="168">
        <f>(G22-F22)/F22</f>
        <v>9.7453906935908635E-2</v>
      </c>
      <c r="H29" s="168">
        <f>(H22-G22)/G22</f>
        <v>2.4E-2</v>
      </c>
      <c r="I29" s="168">
        <f>(I22-H22)/H22</f>
        <v>2.34375E-2</v>
      </c>
      <c r="J29" s="168">
        <f>(J22-I22)/I22</f>
        <v>1.5267175572519083E-2</v>
      </c>
      <c r="K29" s="168">
        <f>(K22-J22)/J22</f>
        <v>1.5037593984962405E-2</v>
      </c>
      <c r="L29" s="168"/>
    </row>
    <row r="30" spans="1:15" hidden="1">
      <c r="A30" s="228"/>
      <c r="B30" s="33">
        <v>41974</v>
      </c>
      <c r="C30" s="231" t="s">
        <v>16</v>
      </c>
      <c r="D30" s="232"/>
      <c r="E30" s="147">
        <f>(E23-D23)/D23</f>
        <v>0.20049813200498143</v>
      </c>
      <c r="F30" s="147">
        <f t="shared" ref="F30:L30" si="6">(F23-E23)/E23</f>
        <v>0.17634854771784231</v>
      </c>
      <c r="G30" s="147">
        <f t="shared" si="6"/>
        <v>7.5837742504409111E-2</v>
      </c>
      <c r="H30" s="147">
        <f t="shared" si="6"/>
        <v>4.0983606557377046E-2</v>
      </c>
      <c r="I30" s="147">
        <f t="shared" si="6"/>
        <v>3.1496062992125984E-2</v>
      </c>
      <c r="J30" s="147">
        <f t="shared" si="6"/>
        <v>1.5267175572519083E-2</v>
      </c>
      <c r="K30" s="147">
        <f t="shared" si="6"/>
        <v>1.5037593984962405E-2</v>
      </c>
      <c r="L30" s="147">
        <f t="shared" si="6"/>
        <v>-1</v>
      </c>
    </row>
    <row r="31" spans="1:15" hidden="1">
      <c r="A31" s="228"/>
      <c r="B31" s="33">
        <v>41499</v>
      </c>
      <c r="C31" s="229" t="s">
        <v>16</v>
      </c>
      <c r="D31" s="230"/>
      <c r="E31" s="146">
        <f t="shared" ref="E31:J31" si="7">(E25-D25)/D25</f>
        <v>0.12401648557512186</v>
      </c>
      <c r="F31" s="146">
        <f t="shared" si="7"/>
        <v>3.3333333333333333E-2</v>
      </c>
      <c r="G31" s="146">
        <f t="shared" si="7"/>
        <v>4.3010752688172046E-2</v>
      </c>
      <c r="H31" s="146">
        <f t="shared" si="7"/>
        <v>3.0927835051546393E-2</v>
      </c>
      <c r="I31" s="146">
        <f t="shared" si="7"/>
        <v>0.01</v>
      </c>
      <c r="J31" s="146">
        <f t="shared" si="7"/>
        <v>9.9009900990099011E-3</v>
      </c>
      <c r="K31" s="146"/>
      <c r="L31" s="146"/>
    </row>
    <row r="32" spans="1:15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</row>
    <row r="33" spans="1:15">
      <c r="A33" s="220" t="s">
        <v>18</v>
      </c>
      <c r="B33" s="212">
        <v>42217</v>
      </c>
      <c r="C33" s="136" t="s">
        <v>2</v>
      </c>
      <c r="D33" s="159"/>
      <c r="E33" s="159"/>
      <c r="F33" s="159"/>
      <c r="G33" s="159">
        <v>3.76</v>
      </c>
      <c r="H33" s="159">
        <v>3.62</v>
      </c>
      <c r="I33" s="159">
        <v>3.98</v>
      </c>
      <c r="J33" s="159">
        <v>4.1900000000000004</v>
      </c>
      <c r="K33" s="159">
        <v>4.3</v>
      </c>
      <c r="L33" s="159">
        <v>4.3</v>
      </c>
    </row>
    <row r="34" spans="1:15">
      <c r="A34" s="221"/>
      <c r="B34" s="211"/>
      <c r="C34" s="139" t="s">
        <v>0</v>
      </c>
      <c r="D34" s="140"/>
      <c r="E34" s="140"/>
      <c r="F34" s="140"/>
      <c r="G34" s="140">
        <v>3.82</v>
      </c>
      <c r="H34" s="140">
        <v>3.55</v>
      </c>
      <c r="I34" s="140">
        <v>3.85</v>
      </c>
      <c r="J34" s="140">
        <v>4.1500000000000004</v>
      </c>
      <c r="K34" s="140">
        <v>4.5</v>
      </c>
      <c r="L34" s="140">
        <v>4.7</v>
      </c>
    </row>
    <row r="35" spans="1:15">
      <c r="A35" s="221"/>
      <c r="B35" s="211"/>
      <c r="C35" s="141" t="s">
        <v>3</v>
      </c>
      <c r="D35" s="142"/>
      <c r="E35" s="142"/>
      <c r="F35" s="142"/>
      <c r="G35" s="142">
        <v>3.85</v>
      </c>
      <c r="H35" s="142">
        <v>3.64</v>
      </c>
      <c r="I35" s="142">
        <v>3.87</v>
      </c>
      <c r="J35" s="142">
        <v>4.05</v>
      </c>
      <c r="K35" s="142">
        <v>4.0199999999999996</v>
      </c>
      <c r="L35" s="142">
        <v>4.3099999999999996</v>
      </c>
    </row>
    <row r="36" spans="1:15">
      <c r="A36" s="221"/>
      <c r="B36" s="211"/>
      <c r="C36" s="143" t="s">
        <v>1</v>
      </c>
      <c r="D36" s="144">
        <v>5.01</v>
      </c>
      <c r="E36" s="144">
        <v>4.38</v>
      </c>
      <c r="F36" s="144">
        <v>5.14</v>
      </c>
      <c r="G36" s="144">
        <v>3.8</v>
      </c>
      <c r="H36" s="144">
        <f>AVERAGE(H33:H35)</f>
        <v>3.6033333333333335</v>
      </c>
      <c r="I36" s="144">
        <f>AVERAGE(I33:I35)</f>
        <v>3.9</v>
      </c>
      <c r="J36" s="144">
        <v>4.1500000000000004</v>
      </c>
      <c r="K36" s="144">
        <v>4.25</v>
      </c>
      <c r="L36" s="144">
        <v>4.45</v>
      </c>
    </row>
    <row r="37" spans="1:15">
      <c r="A37" s="221"/>
      <c r="B37" s="33">
        <f>B22</f>
        <v>42036</v>
      </c>
      <c r="C37" s="133" t="s">
        <v>1</v>
      </c>
      <c r="D37" s="138">
        <v>5.01</v>
      </c>
      <c r="E37" s="138">
        <v>4.38</v>
      </c>
      <c r="F37" s="138">
        <v>5.14</v>
      </c>
      <c r="G37" s="138">
        <v>4.3</v>
      </c>
      <c r="H37" s="138">
        <v>4.0999999999999996</v>
      </c>
      <c r="I37" s="138">
        <v>4.3</v>
      </c>
      <c r="J37" s="138">
        <v>4.5</v>
      </c>
      <c r="K37" s="138">
        <v>4.7</v>
      </c>
      <c r="L37" s="138"/>
      <c r="N37" s="112"/>
      <c r="O37" s="112"/>
    </row>
    <row r="38" spans="1:15" hidden="1">
      <c r="A38" s="221"/>
      <c r="B38" s="33">
        <v>41974</v>
      </c>
      <c r="C38" s="133" t="s">
        <v>1</v>
      </c>
      <c r="D38" s="138">
        <v>5.01</v>
      </c>
      <c r="E38" s="138">
        <v>4.38</v>
      </c>
      <c r="F38" s="138">
        <v>5.13</v>
      </c>
      <c r="G38" s="138">
        <v>4.9000000000000004</v>
      </c>
      <c r="H38" s="138">
        <v>4.9000000000000004</v>
      </c>
      <c r="I38" s="138">
        <v>4.95</v>
      </c>
      <c r="J38" s="138">
        <v>5.0999999999999996</v>
      </c>
      <c r="K38" s="138">
        <v>5.2</v>
      </c>
      <c r="L38" s="138"/>
    </row>
    <row r="39" spans="1:15" hidden="1">
      <c r="A39" s="221"/>
      <c r="B39" s="33">
        <v>41852</v>
      </c>
      <c r="C39" s="133" t="s">
        <v>1</v>
      </c>
      <c r="D39" s="138">
        <v>5.01</v>
      </c>
      <c r="E39" s="138">
        <v>4.38</v>
      </c>
      <c r="F39" s="138">
        <v>5.15</v>
      </c>
      <c r="G39" s="138">
        <v>5.2</v>
      </c>
      <c r="H39" s="138">
        <v>5.25</v>
      </c>
      <c r="I39" s="138">
        <v>5.3</v>
      </c>
      <c r="J39" s="138">
        <v>5.35</v>
      </c>
      <c r="K39" s="138">
        <v>5.4</v>
      </c>
      <c r="L39" s="138"/>
    </row>
    <row r="40" spans="1:15" hidden="1">
      <c r="A40" s="221"/>
      <c r="B40" s="33">
        <v>41499</v>
      </c>
      <c r="C40" s="133" t="s">
        <v>1</v>
      </c>
      <c r="D40" s="138">
        <v>5</v>
      </c>
      <c r="E40" s="138">
        <v>4.5</v>
      </c>
      <c r="F40" s="138">
        <v>5</v>
      </c>
      <c r="G40" s="138">
        <v>5.4</v>
      </c>
      <c r="H40" s="138">
        <v>5.5</v>
      </c>
      <c r="I40" s="138">
        <v>5.5</v>
      </c>
      <c r="J40" s="138">
        <v>5.5</v>
      </c>
      <c r="K40" s="138"/>
      <c r="L40" s="138"/>
    </row>
    <row r="41" spans="1:15" hidden="1">
      <c r="A41" s="221"/>
      <c r="B41" s="33">
        <v>41317</v>
      </c>
      <c r="C41" s="133" t="s">
        <v>1</v>
      </c>
      <c r="D41" s="145">
        <v>5</v>
      </c>
      <c r="E41" s="145">
        <v>4.5</v>
      </c>
      <c r="F41" s="145">
        <v>5.0999999999999996</v>
      </c>
      <c r="G41" s="145">
        <v>5.25</v>
      </c>
      <c r="H41" s="145">
        <v>5.5</v>
      </c>
      <c r="I41" s="145">
        <v>5.5</v>
      </c>
      <c r="J41" s="145"/>
      <c r="K41" s="145"/>
      <c r="L41" s="145"/>
    </row>
    <row r="42" spans="1:15" hidden="1">
      <c r="A42" s="221"/>
      <c r="B42" s="33">
        <v>41244</v>
      </c>
      <c r="C42" s="133" t="s">
        <v>1</v>
      </c>
      <c r="D42" s="145">
        <v>5</v>
      </c>
      <c r="E42" s="145">
        <v>4.5</v>
      </c>
      <c r="F42" s="145">
        <v>5</v>
      </c>
      <c r="G42" s="145">
        <v>5.4</v>
      </c>
      <c r="H42" s="145">
        <v>5.6</v>
      </c>
      <c r="I42" s="145">
        <v>5.5</v>
      </c>
      <c r="J42" s="145">
        <v>5.5</v>
      </c>
      <c r="K42" s="145"/>
      <c r="L42" s="145"/>
    </row>
    <row r="43" spans="1:15" hidden="1">
      <c r="A43" s="221"/>
      <c r="B43" s="33">
        <v>42217</v>
      </c>
      <c r="C43" s="229" t="s">
        <v>16</v>
      </c>
      <c r="D43" s="230"/>
      <c r="E43" s="146">
        <f t="shared" ref="E43:L43" si="8">(E36-D36)/D36</f>
        <v>-0.12574850299401197</v>
      </c>
      <c r="F43" s="146">
        <f t="shared" si="8"/>
        <v>0.17351598173515978</v>
      </c>
      <c r="G43" s="146">
        <f t="shared" si="8"/>
        <v>-0.26070038910505833</v>
      </c>
      <c r="H43" s="146">
        <f t="shared" si="8"/>
        <v>-5.1754385964912192E-2</v>
      </c>
      <c r="I43" s="146">
        <f t="shared" si="8"/>
        <v>8.2331174838112781E-2</v>
      </c>
      <c r="J43" s="146">
        <f t="shared" si="8"/>
        <v>6.4102564102564222E-2</v>
      </c>
      <c r="K43" s="146">
        <f t="shared" si="8"/>
        <v>2.4096385542168586E-2</v>
      </c>
      <c r="L43" s="146">
        <f t="shared" si="8"/>
        <v>4.7058823529411806E-2</v>
      </c>
    </row>
    <row r="44" spans="1:15" hidden="1">
      <c r="A44" s="221"/>
      <c r="B44" s="33">
        <f>B29</f>
        <v>42036</v>
      </c>
      <c r="C44" s="231" t="s">
        <v>16</v>
      </c>
      <c r="D44" s="232"/>
      <c r="E44" s="147">
        <f t="shared" ref="E44:K44" si="9">(E37-D37)/D37</f>
        <v>-0.12574850299401197</v>
      </c>
      <c r="F44" s="147">
        <f t="shared" si="9"/>
        <v>0.17351598173515978</v>
      </c>
      <c r="G44" s="147">
        <f t="shared" si="9"/>
        <v>-0.16342412451361865</v>
      </c>
      <c r="H44" s="147">
        <f t="shared" si="9"/>
        <v>-4.6511627906976785E-2</v>
      </c>
      <c r="I44" s="147">
        <f t="shared" si="9"/>
        <v>4.8780487804878099E-2</v>
      </c>
      <c r="J44" s="147">
        <f t="shared" si="9"/>
        <v>4.6511627906976785E-2</v>
      </c>
      <c r="K44" s="147">
        <f t="shared" si="9"/>
        <v>4.4444444444444481E-2</v>
      </c>
      <c r="L44" s="147"/>
    </row>
    <row r="45" spans="1:15" hidden="1">
      <c r="A45" s="221"/>
      <c r="B45" s="33">
        <v>41974</v>
      </c>
      <c r="C45" s="231" t="s">
        <v>16</v>
      </c>
      <c r="D45" s="232"/>
      <c r="E45" s="147">
        <f t="shared" ref="E45:L45" si="10">(E38-D38)/D38</f>
        <v>-0.12574850299401197</v>
      </c>
      <c r="F45" s="147">
        <f t="shared" si="10"/>
        <v>0.17123287671232876</v>
      </c>
      <c r="G45" s="147">
        <f t="shared" si="10"/>
        <v>-4.4834307992202643E-2</v>
      </c>
      <c r="H45" s="147">
        <f t="shared" si="10"/>
        <v>0</v>
      </c>
      <c r="I45" s="147">
        <f t="shared" si="10"/>
        <v>1.0204081632653024E-2</v>
      </c>
      <c r="J45" s="147">
        <f t="shared" si="10"/>
        <v>3.0303030303030193E-2</v>
      </c>
      <c r="K45" s="147">
        <f t="shared" si="10"/>
        <v>1.9607843137255009E-2</v>
      </c>
      <c r="L45" s="147">
        <f t="shared" si="10"/>
        <v>-1</v>
      </c>
    </row>
    <row r="46" spans="1:15" hidden="1">
      <c r="A46" s="222"/>
      <c r="B46" s="33">
        <v>41499</v>
      </c>
      <c r="C46" s="229" t="s">
        <v>16</v>
      </c>
      <c r="D46" s="230"/>
      <c r="E46" s="146">
        <f t="shared" ref="E46:J46" si="11">(E40-D40)/D40</f>
        <v>-0.1</v>
      </c>
      <c r="F46" s="146">
        <f t="shared" si="11"/>
        <v>0.1111111111111111</v>
      </c>
      <c r="G46" s="146">
        <f t="shared" si="11"/>
        <v>8.0000000000000071E-2</v>
      </c>
      <c r="H46" s="146">
        <f t="shared" si="11"/>
        <v>1.8518518518518452E-2</v>
      </c>
      <c r="I46" s="146">
        <f t="shared" si="11"/>
        <v>0</v>
      </c>
      <c r="J46" s="146">
        <f t="shared" si="11"/>
        <v>0</v>
      </c>
      <c r="K46" s="146"/>
      <c r="L46" s="146"/>
    </row>
    <row r="47" spans="1:15">
      <c r="A47" s="65"/>
      <c r="B47" s="65"/>
      <c r="C47" s="65"/>
      <c r="D47" s="76"/>
      <c r="E47" s="76"/>
      <c r="F47" s="76"/>
      <c r="G47" s="130"/>
      <c r="H47" s="130"/>
      <c r="I47" s="130"/>
      <c r="J47" s="130"/>
      <c r="K47" s="130"/>
      <c r="L47" s="130"/>
    </row>
    <row r="48" spans="1:15">
      <c r="A48" s="220" t="s">
        <v>19</v>
      </c>
      <c r="B48" s="212">
        <v>42217</v>
      </c>
      <c r="C48" s="136" t="s">
        <v>2</v>
      </c>
      <c r="D48" s="160"/>
      <c r="E48" s="161"/>
      <c r="F48" s="161"/>
      <c r="G48" s="161"/>
      <c r="H48" s="161">
        <v>1138</v>
      </c>
      <c r="I48" s="161">
        <v>1108</v>
      </c>
      <c r="J48" s="161">
        <v>1079</v>
      </c>
      <c r="K48" s="161">
        <v>1049</v>
      </c>
      <c r="L48" s="161"/>
    </row>
    <row r="49" spans="1:15">
      <c r="A49" s="221"/>
      <c r="B49" s="211"/>
      <c r="C49" s="139" t="s">
        <v>0</v>
      </c>
      <c r="D49" s="162"/>
      <c r="E49" s="162"/>
      <c r="F49" s="162"/>
      <c r="G49" s="162">
        <v>1174</v>
      </c>
      <c r="H49" s="162">
        <v>1139</v>
      </c>
      <c r="I49" s="162">
        <v>1105</v>
      </c>
      <c r="J49" s="162">
        <v>1071</v>
      </c>
      <c r="K49" s="162">
        <v>1039</v>
      </c>
      <c r="L49" s="162">
        <v>1008</v>
      </c>
    </row>
    <row r="50" spans="1:15">
      <c r="A50" s="221"/>
      <c r="B50" s="211"/>
      <c r="C50" s="141" t="s">
        <v>3</v>
      </c>
      <c r="D50" s="163"/>
      <c r="E50" s="163"/>
      <c r="F50" s="163"/>
      <c r="G50" s="163">
        <v>1161</v>
      </c>
      <c r="H50" s="163">
        <v>1119.7</v>
      </c>
      <c r="I50" s="163">
        <v>1099.9000000000001</v>
      </c>
      <c r="J50" s="163">
        <v>1080.5999999999999</v>
      </c>
      <c r="K50" s="163">
        <v>1056.3</v>
      </c>
      <c r="L50" s="163">
        <v>1035.5</v>
      </c>
    </row>
    <row r="51" spans="1:15">
      <c r="A51" s="221"/>
      <c r="B51" s="211"/>
      <c r="C51" s="143" t="s">
        <v>1</v>
      </c>
      <c r="D51" s="164">
        <v>1227</v>
      </c>
      <c r="E51" s="164">
        <v>1177.5</v>
      </c>
      <c r="F51" s="164">
        <v>1184.7</v>
      </c>
      <c r="G51" s="164">
        <v>1174</v>
      </c>
      <c r="H51" s="164">
        <f>G51*0.97</f>
        <v>1138.78</v>
      </c>
      <c r="I51" s="164">
        <f>H51*0.97</f>
        <v>1104.6165999999998</v>
      </c>
      <c r="J51" s="164">
        <f>I51*0.97</f>
        <v>1071.4781019999998</v>
      </c>
      <c r="K51" s="164">
        <f>J51*0.97</f>
        <v>1039.3337589399998</v>
      </c>
      <c r="L51" s="164">
        <f>K51*0.97</f>
        <v>1008.1537461717998</v>
      </c>
    </row>
    <row r="52" spans="1:15">
      <c r="A52" s="221"/>
      <c r="B52" s="33">
        <f>B37</f>
        <v>42036</v>
      </c>
      <c r="C52" s="133" t="s">
        <v>1</v>
      </c>
      <c r="D52" s="160">
        <v>1227</v>
      </c>
      <c r="E52" s="160">
        <v>1177.5</v>
      </c>
      <c r="F52" s="160">
        <v>1184.7</v>
      </c>
      <c r="G52" s="160">
        <v>1181</v>
      </c>
      <c r="H52" s="160">
        <v>1150</v>
      </c>
      <c r="I52" s="160">
        <v>1118</v>
      </c>
      <c r="J52" s="160">
        <v>1088</v>
      </c>
      <c r="K52" s="160">
        <v>1052</v>
      </c>
      <c r="L52" s="160"/>
      <c r="N52" s="112"/>
      <c r="O52" s="112"/>
    </row>
    <row r="53" spans="1:15" hidden="1">
      <c r="A53" s="221"/>
      <c r="B53" s="33">
        <v>41974</v>
      </c>
      <c r="C53" s="133" t="s">
        <v>1</v>
      </c>
      <c r="D53" s="160">
        <v>1227</v>
      </c>
      <c r="E53" s="160">
        <v>1177.5</v>
      </c>
      <c r="F53" s="160">
        <v>1187.3</v>
      </c>
      <c r="G53" s="160">
        <v>1181</v>
      </c>
      <c r="H53" s="160">
        <v>1150</v>
      </c>
      <c r="I53" s="160">
        <v>1118</v>
      </c>
      <c r="J53" s="160">
        <v>1088</v>
      </c>
      <c r="K53" s="160">
        <v>1052</v>
      </c>
      <c r="L53" s="160"/>
    </row>
    <row r="54" spans="1:15" hidden="1">
      <c r="A54" s="221"/>
      <c r="B54" s="33">
        <v>41852</v>
      </c>
      <c r="C54" s="133" t="s">
        <v>1</v>
      </c>
      <c r="D54" s="160">
        <v>1227</v>
      </c>
      <c r="E54" s="160">
        <v>1177.5</v>
      </c>
      <c r="F54" s="160">
        <v>1170</v>
      </c>
      <c r="G54" s="160">
        <v>1158.3</v>
      </c>
      <c r="H54" s="160">
        <v>1123.5509999999999</v>
      </c>
      <c r="I54" s="160">
        <v>1089.84447</v>
      </c>
      <c r="J54" s="160">
        <v>1057.1491358999999</v>
      </c>
      <c r="K54" s="160">
        <v>1025.4346618229999</v>
      </c>
      <c r="L54" s="160"/>
    </row>
    <row r="55" spans="1:15" hidden="1">
      <c r="A55" s="221"/>
      <c r="B55" s="33">
        <v>41499</v>
      </c>
      <c r="C55" s="133" t="s">
        <v>1</v>
      </c>
      <c r="D55" s="160">
        <v>1225.8499999999999</v>
      </c>
      <c r="E55" s="160">
        <v>1165</v>
      </c>
      <c r="F55" s="160">
        <v>1110</v>
      </c>
      <c r="G55" s="160">
        <v>1070</v>
      </c>
      <c r="H55" s="160">
        <v>1030</v>
      </c>
      <c r="I55" s="160">
        <v>1000</v>
      </c>
      <c r="J55" s="160">
        <v>960</v>
      </c>
      <c r="K55" s="165"/>
      <c r="L55" s="165"/>
    </row>
    <row r="56" spans="1:15" hidden="1">
      <c r="A56" s="221"/>
      <c r="B56" s="33">
        <v>41317</v>
      </c>
      <c r="C56" s="133" t="s">
        <v>1</v>
      </c>
      <c r="D56" s="165">
        <v>1226</v>
      </c>
      <c r="E56" s="165">
        <v>1185</v>
      </c>
      <c r="F56" s="165">
        <v>1151</v>
      </c>
      <c r="G56" s="165">
        <v>1121</v>
      </c>
      <c r="H56" s="165">
        <v>1090.1407234210708</v>
      </c>
      <c r="I56" s="165">
        <v>1048</v>
      </c>
      <c r="J56" s="165"/>
      <c r="K56" s="165"/>
      <c r="L56" s="165"/>
    </row>
    <row r="57" spans="1:15" hidden="1">
      <c r="A57" s="221"/>
      <c r="B57" s="33">
        <v>41244</v>
      </c>
      <c r="C57" s="133" t="s">
        <v>1</v>
      </c>
      <c r="D57" s="165">
        <v>1228.5423506666664</v>
      </c>
      <c r="E57" s="165">
        <v>1184.5870287874238</v>
      </c>
      <c r="F57" s="165">
        <v>1151.3778293463738</v>
      </c>
      <c r="G57" s="165">
        <v>1121.0332793283103</v>
      </c>
      <c r="H57" s="165">
        <v>1090.1407234210708</v>
      </c>
      <c r="I57" s="165">
        <v>1048</v>
      </c>
      <c r="J57" s="165">
        <v>1048</v>
      </c>
      <c r="K57" s="165"/>
      <c r="L57" s="165"/>
    </row>
    <row r="58" spans="1:15">
      <c r="A58" s="221"/>
      <c r="B58" s="33">
        <v>42217</v>
      </c>
      <c r="C58" s="229" t="s">
        <v>16</v>
      </c>
      <c r="D58" s="230"/>
      <c r="E58" s="167">
        <f t="shared" ref="E58:L58" si="12">(E51-D51)/D51</f>
        <v>-4.0342298288508556E-2</v>
      </c>
      <c r="F58" s="167">
        <f t="shared" si="12"/>
        <v>6.1146496815287013E-3</v>
      </c>
      <c r="G58" s="167">
        <f t="shared" si="12"/>
        <v>-9.0318224022959779E-3</v>
      </c>
      <c r="H58" s="167">
        <f t="shared" si="12"/>
        <v>-3.0000000000000023E-2</v>
      </c>
      <c r="I58" s="167">
        <f t="shared" si="12"/>
        <v>-3.000000000000012E-2</v>
      </c>
      <c r="J58" s="167">
        <f t="shared" si="12"/>
        <v>-3.000000000000003E-2</v>
      </c>
      <c r="K58" s="167">
        <f t="shared" si="12"/>
        <v>-2.9999999999999988E-2</v>
      </c>
      <c r="L58" s="167">
        <f t="shared" si="12"/>
        <v>-3.0000000000000075E-2</v>
      </c>
    </row>
    <row r="59" spans="1:15">
      <c r="A59" s="221"/>
      <c r="B59" s="33">
        <f>B44</f>
        <v>42036</v>
      </c>
      <c r="C59" s="231" t="s">
        <v>16</v>
      </c>
      <c r="D59" s="232"/>
      <c r="E59" s="168">
        <f t="shared" ref="E59:K59" si="13">(E52-D52)/D52</f>
        <v>-4.0342298288508556E-2</v>
      </c>
      <c r="F59" s="168">
        <f t="shared" si="13"/>
        <v>6.1146496815287013E-3</v>
      </c>
      <c r="G59" s="168">
        <f t="shared" si="13"/>
        <v>-3.1231535409808773E-3</v>
      </c>
      <c r="H59" s="168">
        <f t="shared" si="13"/>
        <v>-2.6248941574936496E-2</v>
      </c>
      <c r="I59" s="168">
        <f t="shared" si="13"/>
        <v>-2.782608695652174E-2</v>
      </c>
      <c r="J59" s="168">
        <f t="shared" si="13"/>
        <v>-2.6833631484794274E-2</v>
      </c>
      <c r="K59" s="168">
        <f t="shared" si="13"/>
        <v>-3.3088235294117647E-2</v>
      </c>
      <c r="L59" s="168"/>
    </row>
    <row r="60" spans="1:15" hidden="1">
      <c r="A60" s="221"/>
      <c r="B60" s="33">
        <v>41974</v>
      </c>
      <c r="C60" s="231" t="s">
        <v>16</v>
      </c>
      <c r="D60" s="232"/>
      <c r="E60" s="147">
        <f>(E53-D53)/D53</f>
        <v>-4.0342298288508556E-2</v>
      </c>
      <c r="F60" s="147">
        <f t="shared" ref="F60:L60" si="14">(F53-E53)/E53</f>
        <v>8.3227176220806408E-3</v>
      </c>
      <c r="G60" s="147">
        <f t="shared" si="14"/>
        <v>-5.3061568264128316E-3</v>
      </c>
      <c r="H60" s="147">
        <f t="shared" si="14"/>
        <v>-2.6248941574936496E-2</v>
      </c>
      <c r="I60" s="147">
        <f t="shared" si="14"/>
        <v>-2.782608695652174E-2</v>
      </c>
      <c r="J60" s="147">
        <f t="shared" si="14"/>
        <v>-2.6833631484794274E-2</v>
      </c>
      <c r="K60" s="147">
        <f t="shared" si="14"/>
        <v>-3.3088235294117647E-2</v>
      </c>
      <c r="L60" s="147">
        <f t="shared" si="14"/>
        <v>-1</v>
      </c>
    </row>
    <row r="61" spans="1:15" hidden="1">
      <c r="A61" s="222"/>
      <c r="B61" s="33">
        <v>41499</v>
      </c>
      <c r="C61" s="229" t="s">
        <v>16</v>
      </c>
      <c r="D61" s="230"/>
      <c r="E61" s="146">
        <f t="shared" ref="E61:J61" si="15">(E55-D55)/D55</f>
        <v>-4.9639025981971625E-2</v>
      </c>
      <c r="F61" s="146">
        <f t="shared" si="15"/>
        <v>-4.7210300429184553E-2</v>
      </c>
      <c r="G61" s="146">
        <f t="shared" si="15"/>
        <v>-3.6036036036036036E-2</v>
      </c>
      <c r="H61" s="146">
        <f t="shared" si="15"/>
        <v>-3.7383177570093455E-2</v>
      </c>
      <c r="I61" s="146">
        <f t="shared" si="15"/>
        <v>-2.9126213592233011E-2</v>
      </c>
      <c r="J61" s="146">
        <f t="shared" si="15"/>
        <v>-0.04</v>
      </c>
      <c r="K61" s="146"/>
      <c r="L61" s="146"/>
    </row>
    <row r="62" spans="1:15">
      <c r="A62" s="108"/>
      <c r="B62" s="13"/>
      <c r="F62" s="112"/>
      <c r="G62" s="112"/>
      <c r="H62" s="112"/>
      <c r="I62" s="112"/>
      <c r="J62" s="112"/>
      <c r="K62" s="112"/>
      <c r="L62" s="112"/>
    </row>
    <row r="63" spans="1:15">
      <c r="A63" s="9"/>
      <c r="B63" s="13"/>
      <c r="E63" s="94"/>
      <c r="F63" s="94"/>
      <c r="G63" s="112"/>
      <c r="H63" s="112"/>
      <c r="I63" s="112"/>
      <c r="J63" s="112"/>
      <c r="K63" s="112"/>
      <c r="L63" s="112"/>
    </row>
    <row r="64" spans="1:15">
      <c r="A64" s="9"/>
      <c r="B64" s="13"/>
      <c r="E64" s="94"/>
      <c r="F64" s="94"/>
      <c r="G64" s="94"/>
      <c r="H64" s="112"/>
      <c r="I64" s="112"/>
      <c r="J64" s="112"/>
      <c r="K64" s="112"/>
      <c r="L64" s="112"/>
    </row>
    <row r="65" spans="1:2">
      <c r="A65" s="9"/>
      <c r="B65" s="13"/>
    </row>
    <row r="66" spans="1:2">
      <c r="A66" s="9"/>
      <c r="B66" s="13"/>
    </row>
    <row r="67" spans="1:2">
      <c r="A67" s="9"/>
      <c r="B67" s="13"/>
    </row>
    <row r="68" spans="1:2">
      <c r="A68" s="9"/>
      <c r="B68" s="13"/>
    </row>
    <row r="69" spans="1:2">
      <c r="A69" s="9"/>
      <c r="B69" s="13"/>
    </row>
    <row r="70" spans="1:2">
      <c r="A70" s="9"/>
      <c r="B70" s="13"/>
    </row>
    <row r="71" spans="1:2">
      <c r="A71" s="9"/>
      <c r="B71" s="13"/>
    </row>
    <row r="72" spans="1:2">
      <c r="A72" s="9"/>
      <c r="B72" s="13"/>
    </row>
  </sheetData>
  <mergeCells count="24">
    <mergeCell ref="C44:D44"/>
    <mergeCell ref="C59:D59"/>
    <mergeCell ref="A33:A46"/>
    <mergeCell ref="B33:B36"/>
    <mergeCell ref="C43:D43"/>
    <mergeCell ref="C45:D45"/>
    <mergeCell ref="C46:D46"/>
    <mergeCell ref="A48:A61"/>
    <mergeCell ref="B48:B51"/>
    <mergeCell ref="C58:D58"/>
    <mergeCell ref="C60:D60"/>
    <mergeCell ref="C61:D61"/>
    <mergeCell ref="C13:D13"/>
    <mergeCell ref="C15:D15"/>
    <mergeCell ref="C16:D16"/>
    <mergeCell ref="A18:A31"/>
    <mergeCell ref="B18:B21"/>
    <mergeCell ref="C28:D28"/>
    <mergeCell ref="C30:D30"/>
    <mergeCell ref="C31:D31"/>
    <mergeCell ref="C14:D14"/>
    <mergeCell ref="C29:D29"/>
    <mergeCell ref="A2:A16"/>
    <mergeCell ref="B2:B6"/>
  </mergeCells>
  <pageMargins left="0.5" right="0.17" top="0.63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V72"/>
  <sheetViews>
    <sheetView zoomScale="137" zoomScaleNormal="137" workbookViewId="0">
      <pane ySplit="1" topLeftCell="A2" activePane="bottomLeft" state="frozen"/>
      <selection pane="bottomLeft" activeCell="I6" sqref="I6"/>
    </sheetView>
  </sheetViews>
  <sheetFormatPr defaultColWidth="9.140625" defaultRowHeight="15"/>
  <cols>
    <col min="1" max="1" width="9.42578125" customWidth="1"/>
    <col min="2" max="2" width="7.140625" bestFit="1" customWidth="1"/>
    <col min="3" max="3" width="8" customWidth="1"/>
    <col min="4" max="12" width="7.5703125" customWidth="1"/>
    <col min="14" max="15" width="9.42578125" bestFit="1" customWidth="1"/>
  </cols>
  <sheetData>
    <row r="1" spans="1:22" ht="34.5" customHeight="1">
      <c r="A1" s="8"/>
      <c r="B1" s="11"/>
      <c r="C1" s="133"/>
      <c r="D1" s="132" t="s">
        <v>17</v>
      </c>
      <c r="E1" s="132" t="s">
        <v>25</v>
      </c>
      <c r="F1" s="132" t="s">
        <v>6</v>
      </c>
      <c r="G1" s="132" t="s">
        <v>7</v>
      </c>
      <c r="H1" s="132" t="s">
        <v>8</v>
      </c>
      <c r="I1" s="132" t="s">
        <v>9</v>
      </c>
      <c r="J1" s="132" t="s">
        <v>21</v>
      </c>
      <c r="K1" s="132" t="s">
        <v>24</v>
      </c>
      <c r="L1" s="132" t="s">
        <v>27</v>
      </c>
    </row>
    <row r="2" spans="1:22">
      <c r="A2" s="225" t="s">
        <v>10</v>
      </c>
      <c r="B2" s="212">
        <v>42339</v>
      </c>
      <c r="C2" s="134" t="s">
        <v>4</v>
      </c>
      <c r="D2" s="135"/>
      <c r="E2" s="135"/>
      <c r="F2" s="135"/>
      <c r="G2" s="135"/>
      <c r="H2" s="135"/>
      <c r="I2" s="135"/>
      <c r="J2" s="135"/>
      <c r="K2" s="135"/>
      <c r="L2" s="135"/>
      <c r="N2" t="s">
        <v>32</v>
      </c>
    </row>
    <row r="3" spans="1:22">
      <c r="A3" s="226"/>
      <c r="B3" s="211"/>
      <c r="C3" s="136" t="s">
        <v>2</v>
      </c>
      <c r="D3" s="137"/>
      <c r="E3" s="138"/>
      <c r="F3" s="138"/>
      <c r="G3" s="138"/>
      <c r="H3" s="138">
        <v>45.95</v>
      </c>
      <c r="I3" s="138">
        <v>51.95</v>
      </c>
      <c r="J3" s="138">
        <v>56.3</v>
      </c>
      <c r="K3" s="138">
        <v>57.71</v>
      </c>
      <c r="L3" s="138">
        <v>57.73</v>
      </c>
    </row>
    <row r="4" spans="1:22">
      <c r="A4" s="226"/>
      <c r="B4" s="211"/>
      <c r="C4" s="139" t="s">
        <v>0</v>
      </c>
      <c r="D4" s="140"/>
      <c r="E4" s="140"/>
      <c r="F4" s="140"/>
      <c r="G4" s="140"/>
      <c r="H4" s="140">
        <v>44.53</v>
      </c>
      <c r="I4" s="140">
        <v>50.65</v>
      </c>
      <c r="J4" s="140">
        <v>56.11</v>
      </c>
      <c r="K4" s="140">
        <v>59.95</v>
      </c>
      <c r="L4" s="140">
        <v>62.66</v>
      </c>
      <c r="N4" t="s">
        <v>30</v>
      </c>
    </row>
    <row r="5" spans="1:22">
      <c r="A5" s="226"/>
      <c r="B5" s="211"/>
      <c r="C5" s="141" t="s">
        <v>3</v>
      </c>
      <c r="D5" s="142"/>
      <c r="E5" s="142"/>
      <c r="F5" s="142"/>
      <c r="G5" s="142"/>
      <c r="H5" s="142">
        <v>42.33</v>
      </c>
      <c r="I5" s="142">
        <v>50.08</v>
      </c>
      <c r="J5" s="142">
        <v>54.91</v>
      </c>
      <c r="K5" s="142">
        <v>58.8</v>
      </c>
      <c r="L5" s="142">
        <v>60.23</v>
      </c>
      <c r="N5" t="s">
        <v>28</v>
      </c>
      <c r="O5" t="s">
        <v>29</v>
      </c>
    </row>
    <row r="6" spans="1:22">
      <c r="A6" s="226"/>
      <c r="B6" s="211"/>
      <c r="C6" s="143" t="s">
        <v>1</v>
      </c>
      <c r="D6" s="144">
        <v>89.65</v>
      </c>
      <c r="E6" s="144">
        <v>85.82</v>
      </c>
      <c r="F6" s="144">
        <v>95.13</v>
      </c>
      <c r="G6" s="144">
        <v>60.67</v>
      </c>
      <c r="H6" s="144">
        <f>45-1</f>
        <v>44</v>
      </c>
      <c r="I6" s="144">
        <f>51.5-2</f>
        <v>49.5</v>
      </c>
      <c r="J6" s="144">
        <v>56</v>
      </c>
      <c r="K6" s="144">
        <v>59</v>
      </c>
      <c r="L6" s="144">
        <v>60</v>
      </c>
      <c r="N6" s="169">
        <f>(H6-H7)*(H21-H22)*(1-0.11)+(H36-H37*(H51-H52)*(1-0.24))</f>
        <v>-198.30601066666677</v>
      </c>
      <c r="O6" s="169">
        <f>(I6-I7)*(I21-I22)*(1-0.11)+(I36-I37*(I51-I52)*(1-0.24))</f>
        <v>-224.7672553777783</v>
      </c>
      <c r="V6" s="93"/>
    </row>
    <row r="7" spans="1:22">
      <c r="A7" s="226"/>
      <c r="B7" s="33">
        <v>42217</v>
      </c>
      <c r="C7" s="133" t="s">
        <v>1</v>
      </c>
      <c r="D7" s="138">
        <v>89.65</v>
      </c>
      <c r="E7" s="138">
        <v>85.82</v>
      </c>
      <c r="F7" s="138">
        <v>95.13</v>
      </c>
      <c r="G7" s="138">
        <v>61.716666666666669</v>
      </c>
      <c r="H7" s="138">
        <v>51.54</v>
      </c>
      <c r="I7" s="138">
        <v>56.523333333333333</v>
      </c>
      <c r="J7" s="138">
        <v>61.23</v>
      </c>
      <c r="K7" s="138">
        <v>66.100000000000009</v>
      </c>
      <c r="L7" s="138">
        <v>68.063333333333333</v>
      </c>
      <c r="N7" s="171"/>
      <c r="O7" s="171"/>
      <c r="V7" s="93"/>
    </row>
    <row r="8" spans="1:22" hidden="1">
      <c r="A8" s="226"/>
      <c r="B8" s="33">
        <v>41974</v>
      </c>
      <c r="C8" s="133" t="s">
        <v>1</v>
      </c>
      <c r="D8" s="138">
        <v>89.65</v>
      </c>
      <c r="E8" s="138">
        <v>85.82</v>
      </c>
      <c r="F8" s="138">
        <v>95.14</v>
      </c>
      <c r="G8" s="138">
        <v>71</v>
      </c>
      <c r="H8" s="138">
        <v>66</v>
      </c>
      <c r="I8" s="138">
        <v>72</v>
      </c>
      <c r="J8" s="138">
        <v>76</v>
      </c>
      <c r="K8" s="138">
        <v>80</v>
      </c>
      <c r="L8" s="138"/>
    </row>
    <row r="9" spans="1:22" hidden="1">
      <c r="A9" s="226"/>
      <c r="B9" s="33">
        <v>41852</v>
      </c>
      <c r="C9" s="133" t="s">
        <v>1</v>
      </c>
      <c r="D9" s="138">
        <v>89.65</v>
      </c>
      <c r="E9" s="138">
        <v>85.82</v>
      </c>
      <c r="F9" s="138">
        <v>95.75</v>
      </c>
      <c r="G9" s="138">
        <v>92</v>
      </c>
      <c r="H9" s="138">
        <v>88</v>
      </c>
      <c r="I9" s="138">
        <v>87</v>
      </c>
      <c r="J9" s="138">
        <v>86</v>
      </c>
      <c r="K9" s="138">
        <v>85</v>
      </c>
      <c r="L9" s="138"/>
    </row>
    <row r="10" spans="1:22" hidden="1">
      <c r="A10" s="226"/>
      <c r="B10" s="33">
        <v>41499</v>
      </c>
      <c r="C10" s="133" t="s">
        <v>1</v>
      </c>
      <c r="D10" s="138">
        <v>90</v>
      </c>
      <c r="E10" s="138">
        <v>87</v>
      </c>
      <c r="F10" s="138">
        <v>94</v>
      </c>
      <c r="G10" s="138">
        <v>87.5</v>
      </c>
      <c r="H10" s="138">
        <v>85</v>
      </c>
      <c r="I10" s="138">
        <v>84</v>
      </c>
      <c r="J10" s="138">
        <v>84</v>
      </c>
      <c r="K10" s="138"/>
      <c r="L10" s="138"/>
    </row>
    <row r="11" spans="1:22" hidden="1">
      <c r="A11" s="226"/>
      <c r="B11" s="33">
        <v>41306</v>
      </c>
      <c r="C11" s="133" t="s">
        <v>1</v>
      </c>
      <c r="D11" s="145">
        <v>90</v>
      </c>
      <c r="E11" s="145">
        <v>86.5</v>
      </c>
      <c r="F11" s="145">
        <v>88</v>
      </c>
      <c r="G11" s="145">
        <v>87.5</v>
      </c>
      <c r="H11" s="145">
        <v>87</v>
      </c>
      <c r="I11" s="145">
        <v>86.5</v>
      </c>
      <c r="J11" s="145"/>
      <c r="K11" s="145"/>
      <c r="L11" s="145"/>
    </row>
    <row r="12" spans="1:22" hidden="1">
      <c r="A12" s="226"/>
      <c r="B12" s="33">
        <v>41244</v>
      </c>
      <c r="C12" s="133" t="s">
        <v>1</v>
      </c>
      <c r="D12" s="145">
        <v>89.640506965377526</v>
      </c>
      <c r="E12" s="145">
        <v>85</v>
      </c>
      <c r="F12" s="145">
        <v>84.75</v>
      </c>
      <c r="G12" s="145">
        <v>83.5</v>
      </c>
      <c r="H12" s="145">
        <v>82.5</v>
      </c>
      <c r="I12" s="145">
        <v>83</v>
      </c>
      <c r="J12" s="145">
        <v>83</v>
      </c>
      <c r="K12" s="145"/>
      <c r="L12" s="145"/>
    </row>
    <row r="13" spans="1:22" hidden="1">
      <c r="A13" s="226"/>
      <c r="B13" s="33">
        <v>42217</v>
      </c>
      <c r="C13" s="229" t="s">
        <v>16</v>
      </c>
      <c r="D13" s="230"/>
      <c r="E13" s="146">
        <f t="shared" ref="E13:L13" si="0">+E6/D6-1</f>
        <v>-4.2721695482431765E-2</v>
      </c>
      <c r="F13" s="146">
        <f>+F6/E6-1</f>
        <v>0.10848287112561183</v>
      </c>
      <c r="G13" s="166">
        <f>+G6/F6-1</f>
        <v>-0.36224114369809735</v>
      </c>
      <c r="H13" s="146">
        <f t="shared" si="0"/>
        <v>-0.27476512279545084</v>
      </c>
      <c r="I13" s="146">
        <f t="shared" si="0"/>
        <v>0.125</v>
      </c>
      <c r="J13" s="146">
        <f t="shared" si="0"/>
        <v>0.13131313131313127</v>
      </c>
      <c r="K13" s="146">
        <f t="shared" si="0"/>
        <v>5.3571428571428603E-2</v>
      </c>
      <c r="L13" s="146">
        <f t="shared" si="0"/>
        <v>1.6949152542372836E-2</v>
      </c>
    </row>
    <row r="14" spans="1:22" hidden="1">
      <c r="A14" s="226"/>
      <c r="B14" s="33">
        <v>42031</v>
      </c>
      <c r="C14" s="231" t="s">
        <v>16</v>
      </c>
      <c r="D14" s="232"/>
      <c r="E14" s="147">
        <f t="shared" ref="E14:K15" si="1">(E7-D7)/D7</f>
        <v>-4.2721695482431814E-2</v>
      </c>
      <c r="F14" s="147">
        <f t="shared" si="1"/>
        <v>0.10848287112561178</v>
      </c>
      <c r="G14" s="147">
        <f t="shared" si="1"/>
        <v>-0.35123865587441744</v>
      </c>
      <c r="H14" s="147">
        <f t="shared" si="1"/>
        <v>-0.16489332973264925</v>
      </c>
      <c r="I14" s="147">
        <f t="shared" si="1"/>
        <v>9.6688656060018127E-2</v>
      </c>
      <c r="J14" s="147">
        <f t="shared" si="1"/>
        <v>8.3269446246387865E-2</v>
      </c>
      <c r="K14" s="147">
        <f t="shared" si="1"/>
        <v>7.9536175077576543E-2</v>
      </c>
      <c r="L14" s="147"/>
    </row>
    <row r="15" spans="1:22" hidden="1">
      <c r="A15" s="226"/>
      <c r="B15" s="33">
        <v>41974</v>
      </c>
      <c r="C15" s="231" t="s">
        <v>16</v>
      </c>
      <c r="D15" s="232"/>
      <c r="E15" s="147">
        <f t="shared" si="1"/>
        <v>-4.2721695482431814E-2</v>
      </c>
      <c r="F15" s="147">
        <f t="shared" si="1"/>
        <v>0.10859939408063397</v>
      </c>
      <c r="G15" s="147">
        <f t="shared" si="1"/>
        <v>-0.2537313432835821</v>
      </c>
      <c r="H15" s="147">
        <f t="shared" si="1"/>
        <v>-7.0422535211267609E-2</v>
      </c>
      <c r="I15" s="147">
        <f t="shared" si="1"/>
        <v>9.0909090909090912E-2</v>
      </c>
      <c r="J15" s="147">
        <f t="shared" si="1"/>
        <v>5.5555555555555552E-2</v>
      </c>
      <c r="K15" s="147"/>
      <c r="L15" s="147"/>
    </row>
    <row r="16" spans="1:22" hidden="1">
      <c r="A16" s="227"/>
      <c r="B16" s="33">
        <v>41499</v>
      </c>
      <c r="C16" s="229" t="s">
        <v>16</v>
      </c>
      <c r="D16" s="230"/>
      <c r="E16" s="146">
        <f t="shared" ref="E16:J16" si="2">(E10-D10)/D10</f>
        <v>-3.3333333333333333E-2</v>
      </c>
      <c r="F16" s="146">
        <f t="shared" si="2"/>
        <v>8.0459770114942528E-2</v>
      </c>
      <c r="G16" s="146">
        <f t="shared" si="2"/>
        <v>-6.9148936170212769E-2</v>
      </c>
      <c r="H16" s="146">
        <f t="shared" si="2"/>
        <v>-2.8571428571428571E-2</v>
      </c>
      <c r="I16" s="146">
        <f t="shared" si="2"/>
        <v>-1.1764705882352941E-2</v>
      </c>
      <c r="J16" s="146">
        <f t="shared" si="2"/>
        <v>0</v>
      </c>
      <c r="K16" s="146"/>
      <c r="L16" s="146"/>
    </row>
    <row r="17" spans="1:15">
      <c r="A17" s="65"/>
      <c r="B17" s="65"/>
      <c r="C17" s="65"/>
      <c r="D17" s="65"/>
      <c r="E17" s="65"/>
      <c r="F17" s="65"/>
      <c r="G17" s="126"/>
      <c r="H17" s="128"/>
      <c r="I17" s="128"/>
      <c r="J17" s="128"/>
      <c r="K17" s="128"/>
      <c r="L17" s="128"/>
    </row>
    <row r="18" spans="1:15">
      <c r="A18" s="228" t="s">
        <v>12</v>
      </c>
      <c r="B18" s="212">
        <f>B2</f>
        <v>42339</v>
      </c>
      <c r="C18" s="136" t="s">
        <v>2</v>
      </c>
      <c r="D18" s="148"/>
      <c r="E18" s="148"/>
      <c r="F18" s="148"/>
      <c r="G18" s="148">
        <v>141.1</v>
      </c>
      <c r="H18" s="148">
        <v>141.6</v>
      </c>
      <c r="I18" s="148">
        <v>143.69999999999999</v>
      </c>
      <c r="J18" s="148">
        <v>157.30000000000001</v>
      </c>
      <c r="K18" s="148">
        <v>172.2</v>
      </c>
      <c r="L18" s="148">
        <v>178</v>
      </c>
      <c r="N18" s="127"/>
    </row>
    <row r="19" spans="1:15">
      <c r="A19" s="228"/>
      <c r="B19" s="211"/>
      <c r="C19" s="139" t="s">
        <v>0</v>
      </c>
      <c r="D19" s="149"/>
      <c r="E19" s="149"/>
      <c r="F19" s="149"/>
      <c r="G19" s="149">
        <v>141.4</v>
      </c>
      <c r="H19" s="149">
        <v>146</v>
      </c>
      <c r="I19" s="149">
        <v>150</v>
      </c>
      <c r="J19" s="149">
        <v>153</v>
      </c>
      <c r="K19" s="150">
        <v>155</v>
      </c>
      <c r="L19" s="150">
        <v>156</v>
      </c>
      <c r="M19" s="127"/>
    </row>
    <row r="20" spans="1:15">
      <c r="A20" s="228"/>
      <c r="B20" s="211"/>
      <c r="C20" s="141" t="s">
        <v>3</v>
      </c>
      <c r="D20" s="151"/>
      <c r="E20" s="151"/>
      <c r="F20" s="151"/>
      <c r="G20" s="151">
        <v>141.19999999999999</v>
      </c>
      <c r="H20" s="151">
        <v>148</v>
      </c>
      <c r="I20" s="151">
        <v>152.4</v>
      </c>
      <c r="J20" s="151">
        <v>152</v>
      </c>
      <c r="K20" s="151">
        <v>150</v>
      </c>
      <c r="L20" s="151">
        <v>146</v>
      </c>
    </row>
    <row r="21" spans="1:15">
      <c r="A21" s="228"/>
      <c r="B21" s="211"/>
      <c r="C21" s="143" t="s">
        <v>1</v>
      </c>
      <c r="D21" s="152">
        <v>80.3</v>
      </c>
      <c r="E21" s="152">
        <v>96.4</v>
      </c>
      <c r="F21" s="153">
        <v>113.9</v>
      </c>
      <c r="G21" s="153">
        <v>141.4</v>
      </c>
      <c r="H21" s="153">
        <v>150</v>
      </c>
      <c r="I21" s="153">
        <v>155</v>
      </c>
      <c r="J21" s="153">
        <v>158</v>
      </c>
      <c r="K21" s="153">
        <v>160</v>
      </c>
      <c r="L21" s="153">
        <v>161</v>
      </c>
      <c r="M21" s="93"/>
    </row>
    <row r="22" spans="1:15">
      <c r="A22" s="228"/>
      <c r="B22" s="33">
        <f>B7</f>
        <v>42217</v>
      </c>
      <c r="C22" s="133" t="s">
        <v>1</v>
      </c>
      <c r="D22" s="154">
        <v>80.3</v>
      </c>
      <c r="E22" s="154">
        <v>96.4</v>
      </c>
      <c r="F22" s="154">
        <v>113.9</v>
      </c>
      <c r="G22" s="154">
        <v>137.19999999999999</v>
      </c>
      <c r="H22" s="154">
        <v>145</v>
      </c>
      <c r="I22" s="154">
        <v>149.53333333333333</v>
      </c>
      <c r="J22" s="154">
        <v>153</v>
      </c>
      <c r="K22" s="154">
        <v>155</v>
      </c>
      <c r="L22" s="154">
        <v>156</v>
      </c>
      <c r="M22" s="93"/>
      <c r="N22" s="131"/>
      <c r="O22" s="131"/>
    </row>
    <row r="23" spans="1:15" hidden="1">
      <c r="A23" s="228"/>
      <c r="B23" s="33">
        <v>41974</v>
      </c>
      <c r="C23" s="133" t="s">
        <v>1</v>
      </c>
      <c r="D23" s="154">
        <v>80.3</v>
      </c>
      <c r="E23" s="154">
        <v>96.4</v>
      </c>
      <c r="F23" s="154">
        <v>113.4</v>
      </c>
      <c r="G23" s="154">
        <v>122</v>
      </c>
      <c r="H23" s="154">
        <v>127</v>
      </c>
      <c r="I23" s="154">
        <v>131</v>
      </c>
      <c r="J23" s="154">
        <v>133</v>
      </c>
      <c r="K23" s="154">
        <v>135</v>
      </c>
      <c r="L23" s="154"/>
    </row>
    <row r="24" spans="1:15" hidden="1">
      <c r="A24" s="228"/>
      <c r="B24" s="33">
        <v>41852</v>
      </c>
      <c r="C24" s="133" t="s">
        <v>1</v>
      </c>
      <c r="D24" s="154">
        <v>80.3</v>
      </c>
      <c r="E24" s="154">
        <v>96.4</v>
      </c>
      <c r="F24" s="154">
        <v>110</v>
      </c>
      <c r="G24" s="154">
        <v>117</v>
      </c>
      <c r="H24" s="154">
        <v>122</v>
      </c>
      <c r="I24" s="154">
        <v>125</v>
      </c>
      <c r="J24" s="154">
        <v>127</v>
      </c>
      <c r="K24" s="154">
        <v>129</v>
      </c>
      <c r="L24" s="154"/>
    </row>
    <row r="25" spans="1:15" hidden="1">
      <c r="A25" s="228"/>
      <c r="B25" s="33">
        <v>41499</v>
      </c>
      <c r="C25" s="133" t="s">
        <v>1</v>
      </c>
      <c r="D25" s="154">
        <v>80.069999999999993</v>
      </c>
      <c r="E25" s="154">
        <v>90</v>
      </c>
      <c r="F25" s="154">
        <v>93</v>
      </c>
      <c r="G25" s="154">
        <v>97</v>
      </c>
      <c r="H25" s="154">
        <v>100</v>
      </c>
      <c r="I25" s="154">
        <v>101</v>
      </c>
      <c r="J25" s="154">
        <v>102</v>
      </c>
      <c r="K25" s="154"/>
      <c r="L25" s="154"/>
    </row>
    <row r="26" spans="1:15" hidden="1">
      <c r="A26" s="228"/>
      <c r="B26" s="33">
        <v>41317</v>
      </c>
      <c r="C26" s="133" t="s">
        <v>1</v>
      </c>
      <c r="D26" s="155">
        <v>80.099999999999994</v>
      </c>
      <c r="E26" s="155">
        <v>87</v>
      </c>
      <c r="F26" s="155">
        <v>91.4</v>
      </c>
      <c r="G26" s="155">
        <v>94.1</v>
      </c>
      <c r="H26" s="155">
        <v>96</v>
      </c>
      <c r="I26" s="155">
        <v>97.9</v>
      </c>
      <c r="J26" s="155"/>
      <c r="K26" s="155"/>
      <c r="L26" s="155"/>
    </row>
    <row r="27" spans="1:15" hidden="1">
      <c r="A27" s="228"/>
      <c r="B27" s="33">
        <v>41244</v>
      </c>
      <c r="C27" s="133" t="s">
        <v>1</v>
      </c>
      <c r="D27" s="155">
        <v>79.7</v>
      </c>
      <c r="E27" s="155">
        <v>84.119744824999998</v>
      </c>
      <c r="F27" s="155">
        <v>88.406534618000009</v>
      </c>
      <c r="G27" s="155">
        <v>92.434230656539995</v>
      </c>
      <c r="H27" s="155">
        <v>96.132415269670815</v>
      </c>
      <c r="I27" s="155">
        <v>97.6</v>
      </c>
      <c r="J27" s="155">
        <v>97.6</v>
      </c>
      <c r="K27" s="155"/>
      <c r="L27" s="155"/>
    </row>
    <row r="28" spans="1:15">
      <c r="A28" s="228"/>
      <c r="B28" s="33">
        <f>B18</f>
        <v>42339</v>
      </c>
      <c r="C28" s="229" t="s">
        <v>16</v>
      </c>
      <c r="D28" s="230"/>
      <c r="E28" s="167">
        <f t="shared" ref="E28:K29" si="3">(E21-D21)/D21</f>
        <v>0.20049813200498143</v>
      </c>
      <c r="F28" s="167">
        <f>(F21-E21)/E21</f>
        <v>0.18153526970954356</v>
      </c>
      <c r="G28" s="167">
        <f t="shared" si="3"/>
        <v>0.24143985952589991</v>
      </c>
      <c r="H28" s="167">
        <f t="shared" si="3"/>
        <v>6.0820367751060776E-2</v>
      </c>
      <c r="I28" s="167">
        <f t="shared" si="3"/>
        <v>3.3333333333333333E-2</v>
      </c>
      <c r="J28" s="167">
        <f t="shared" si="3"/>
        <v>1.935483870967742E-2</v>
      </c>
      <c r="K28" s="167">
        <f t="shared" si="3"/>
        <v>1.2658227848101266E-2</v>
      </c>
      <c r="L28" s="167">
        <f>(L21-K21)/K21</f>
        <v>6.2500000000000003E-3</v>
      </c>
    </row>
    <row r="29" spans="1:15">
      <c r="A29" s="228"/>
      <c r="B29" s="33">
        <f>B7</f>
        <v>42217</v>
      </c>
      <c r="C29" s="231" t="s">
        <v>16</v>
      </c>
      <c r="D29" s="232"/>
      <c r="E29" s="168">
        <f>(E22-D22)/D22</f>
        <v>0.20049813200498143</v>
      </c>
      <c r="F29" s="168">
        <f t="shared" ref="F29:L30" si="4">(F22-E22)/E22</f>
        <v>0.18153526970954356</v>
      </c>
      <c r="G29" s="168">
        <f>(G22-F22)/F22</f>
        <v>0.20456540825285321</v>
      </c>
      <c r="H29" s="168">
        <f t="shared" si="3"/>
        <v>5.6851311953352857E-2</v>
      </c>
      <c r="I29" s="168">
        <f t="shared" si="3"/>
        <v>3.1264367816091938E-2</v>
      </c>
      <c r="J29" s="168">
        <f t="shared" si="3"/>
        <v>2.318323673651361E-2</v>
      </c>
      <c r="K29" s="168">
        <f t="shared" si="3"/>
        <v>1.3071895424836602E-2</v>
      </c>
      <c r="L29" s="168"/>
    </row>
    <row r="30" spans="1:15" hidden="1">
      <c r="A30" s="228"/>
      <c r="B30" s="33">
        <v>41974</v>
      </c>
      <c r="C30" s="231" t="s">
        <v>16</v>
      </c>
      <c r="D30" s="232"/>
      <c r="E30" s="147">
        <f>(E23-D23)/D23</f>
        <v>0.20049813200498143</v>
      </c>
      <c r="F30" s="147">
        <f t="shared" si="4"/>
        <v>0.17634854771784231</v>
      </c>
      <c r="G30" s="147">
        <f t="shared" si="4"/>
        <v>7.5837742504409111E-2</v>
      </c>
      <c r="H30" s="147">
        <f t="shared" si="4"/>
        <v>4.0983606557377046E-2</v>
      </c>
      <c r="I30" s="147">
        <f t="shared" si="4"/>
        <v>3.1496062992125984E-2</v>
      </c>
      <c r="J30" s="147">
        <f t="shared" si="4"/>
        <v>1.5267175572519083E-2</v>
      </c>
      <c r="K30" s="147">
        <f t="shared" si="4"/>
        <v>1.5037593984962405E-2</v>
      </c>
      <c r="L30" s="147">
        <f t="shared" si="4"/>
        <v>-1</v>
      </c>
    </row>
    <row r="31" spans="1:15" hidden="1">
      <c r="A31" s="228"/>
      <c r="B31" s="33">
        <v>41499</v>
      </c>
      <c r="C31" s="229" t="s">
        <v>16</v>
      </c>
      <c r="D31" s="230"/>
      <c r="E31" s="146">
        <f t="shared" ref="E31:J31" si="5">(E25-D25)/D25</f>
        <v>0.12401648557512186</v>
      </c>
      <c r="F31" s="146">
        <f t="shared" si="5"/>
        <v>3.3333333333333333E-2</v>
      </c>
      <c r="G31" s="146">
        <f t="shared" si="5"/>
        <v>4.3010752688172046E-2</v>
      </c>
      <c r="H31" s="146">
        <f t="shared" si="5"/>
        <v>3.0927835051546393E-2</v>
      </c>
      <c r="I31" s="146">
        <f t="shared" si="5"/>
        <v>0.01</v>
      </c>
      <c r="J31" s="146">
        <f t="shared" si="5"/>
        <v>9.9009900990099011E-3</v>
      </c>
      <c r="K31" s="146"/>
      <c r="L31" s="146"/>
    </row>
    <row r="32" spans="1:15">
      <c r="A32" s="106"/>
      <c r="B32" s="107"/>
      <c r="C32" s="156"/>
      <c r="D32" s="156"/>
      <c r="E32" s="157"/>
      <c r="F32" s="157"/>
      <c r="G32" s="158"/>
      <c r="H32" s="158"/>
      <c r="I32" s="158"/>
      <c r="J32" s="158"/>
      <c r="K32" s="158"/>
      <c r="L32" s="158"/>
    </row>
    <row r="33" spans="1:15">
      <c r="A33" s="220" t="s">
        <v>18</v>
      </c>
      <c r="B33" s="212">
        <f>B2</f>
        <v>42339</v>
      </c>
      <c r="C33" s="136" t="s">
        <v>2</v>
      </c>
      <c r="D33" s="159"/>
      <c r="E33" s="159"/>
      <c r="F33" s="159"/>
      <c r="G33" s="159"/>
      <c r="H33" s="159">
        <v>3.01</v>
      </c>
      <c r="I33" s="159">
        <v>3.5</v>
      </c>
      <c r="J33" s="159">
        <v>3.74</v>
      </c>
      <c r="K33" s="159">
        <v>3.65</v>
      </c>
      <c r="L33" s="159">
        <v>3.65</v>
      </c>
      <c r="N33" t="s">
        <v>33</v>
      </c>
    </row>
    <row r="34" spans="1:15">
      <c r="A34" s="221"/>
      <c r="B34" s="211"/>
      <c r="C34" s="139" t="s">
        <v>0</v>
      </c>
      <c r="D34" s="140"/>
      <c r="E34" s="140"/>
      <c r="F34" s="140"/>
      <c r="G34" s="140"/>
      <c r="H34" s="140">
        <v>2.85</v>
      </c>
      <c r="I34" s="140">
        <v>3.18</v>
      </c>
      <c r="J34" s="140">
        <v>3.56</v>
      </c>
      <c r="K34" s="140">
        <v>3.55</v>
      </c>
      <c r="L34" s="140">
        <v>3.63</v>
      </c>
    </row>
    <row r="35" spans="1:15">
      <c r="A35" s="221"/>
      <c r="B35" s="211"/>
      <c r="C35" s="141" t="s">
        <v>3</v>
      </c>
      <c r="D35" s="142"/>
      <c r="E35" s="142"/>
      <c r="F35" s="142"/>
      <c r="G35" s="142"/>
      <c r="H35" s="142">
        <v>2.63</v>
      </c>
      <c r="I35" s="142">
        <v>2.87</v>
      </c>
      <c r="J35" s="142">
        <v>2.94</v>
      </c>
      <c r="K35" s="142">
        <v>3.01</v>
      </c>
      <c r="L35" s="142">
        <v>3.17</v>
      </c>
    </row>
    <row r="36" spans="1:15">
      <c r="A36" s="221"/>
      <c r="B36" s="211"/>
      <c r="C36" s="143" t="s">
        <v>1</v>
      </c>
      <c r="D36" s="144">
        <v>5.01</v>
      </c>
      <c r="E36" s="144">
        <v>4.38</v>
      </c>
      <c r="F36" s="144">
        <v>5.14</v>
      </c>
      <c r="G36" s="144">
        <v>3.78</v>
      </c>
      <c r="H36" s="144">
        <v>2.9</v>
      </c>
      <c r="I36" s="144">
        <v>3.2</v>
      </c>
      <c r="J36" s="144">
        <v>3.4</v>
      </c>
      <c r="K36" s="144">
        <v>3.45</v>
      </c>
      <c r="L36" s="144">
        <v>3.5</v>
      </c>
    </row>
    <row r="37" spans="1:15">
      <c r="A37" s="221"/>
      <c r="B37" s="33">
        <f>B7</f>
        <v>42217</v>
      </c>
      <c r="C37" s="133" t="s">
        <v>1</v>
      </c>
      <c r="D37" s="138">
        <v>5.01</v>
      </c>
      <c r="E37" s="138">
        <v>4.38</v>
      </c>
      <c r="F37" s="138">
        <v>5.14</v>
      </c>
      <c r="G37" s="138">
        <v>3.8</v>
      </c>
      <c r="H37" s="138">
        <v>3.6033333333333335</v>
      </c>
      <c r="I37" s="138">
        <v>3.9</v>
      </c>
      <c r="J37" s="138">
        <v>4.1500000000000004</v>
      </c>
      <c r="K37" s="138">
        <v>4.25</v>
      </c>
      <c r="L37" s="138">
        <v>4.45</v>
      </c>
      <c r="N37" s="112"/>
      <c r="O37" s="112"/>
    </row>
    <row r="38" spans="1:15" hidden="1">
      <c r="A38" s="221"/>
      <c r="B38" s="33">
        <v>41974</v>
      </c>
      <c r="C38" s="133" t="s">
        <v>1</v>
      </c>
      <c r="D38" s="138">
        <v>5.01</v>
      </c>
      <c r="E38" s="138">
        <v>4.38</v>
      </c>
      <c r="F38" s="138">
        <v>5.13</v>
      </c>
      <c r="G38" s="138">
        <v>4.9000000000000004</v>
      </c>
      <c r="H38" s="138">
        <v>4.9000000000000004</v>
      </c>
      <c r="I38" s="138">
        <v>4.95</v>
      </c>
      <c r="J38" s="138">
        <v>5.0999999999999996</v>
      </c>
      <c r="K38" s="138">
        <v>5.2</v>
      </c>
      <c r="L38" s="138"/>
    </row>
    <row r="39" spans="1:15" hidden="1">
      <c r="A39" s="221"/>
      <c r="B39" s="33">
        <v>41852</v>
      </c>
      <c r="C39" s="133" t="s">
        <v>1</v>
      </c>
      <c r="D39" s="138">
        <v>5.01</v>
      </c>
      <c r="E39" s="138">
        <v>4.38</v>
      </c>
      <c r="F39" s="138">
        <v>5.15</v>
      </c>
      <c r="G39" s="138">
        <v>5.2</v>
      </c>
      <c r="H39" s="138">
        <v>5.25</v>
      </c>
      <c r="I39" s="138">
        <v>5.3</v>
      </c>
      <c r="J39" s="138">
        <v>5.35</v>
      </c>
      <c r="K39" s="138">
        <v>5.4</v>
      </c>
      <c r="L39" s="138"/>
    </row>
    <row r="40" spans="1:15" hidden="1">
      <c r="A40" s="221"/>
      <c r="B40" s="33">
        <v>41499</v>
      </c>
      <c r="C40" s="133" t="s">
        <v>1</v>
      </c>
      <c r="D40" s="138">
        <v>5</v>
      </c>
      <c r="E40" s="138">
        <v>4.5</v>
      </c>
      <c r="F40" s="138">
        <v>5</v>
      </c>
      <c r="G40" s="138">
        <v>5.4</v>
      </c>
      <c r="H40" s="138">
        <v>5.5</v>
      </c>
      <c r="I40" s="138">
        <v>5.5</v>
      </c>
      <c r="J40" s="138">
        <v>5.5</v>
      </c>
      <c r="K40" s="138"/>
      <c r="L40" s="138"/>
    </row>
    <row r="41" spans="1:15" hidden="1">
      <c r="A41" s="221"/>
      <c r="B41" s="33">
        <v>41317</v>
      </c>
      <c r="C41" s="133" t="s">
        <v>1</v>
      </c>
      <c r="D41" s="145">
        <v>5</v>
      </c>
      <c r="E41" s="145">
        <v>4.5</v>
      </c>
      <c r="F41" s="145">
        <v>5.0999999999999996</v>
      </c>
      <c r="G41" s="145">
        <v>5.25</v>
      </c>
      <c r="H41" s="145">
        <v>5.5</v>
      </c>
      <c r="I41" s="145">
        <v>5.5</v>
      </c>
      <c r="J41" s="145"/>
      <c r="K41" s="145"/>
      <c r="L41" s="145"/>
    </row>
    <row r="42" spans="1:15" hidden="1">
      <c r="A42" s="221"/>
      <c r="B42" s="33">
        <v>41244</v>
      </c>
      <c r="C42" s="133" t="s">
        <v>1</v>
      </c>
      <c r="D42" s="145">
        <v>5</v>
      </c>
      <c r="E42" s="145">
        <v>4.5</v>
      </c>
      <c r="F42" s="145">
        <v>5</v>
      </c>
      <c r="G42" s="145">
        <v>5.4</v>
      </c>
      <c r="H42" s="145">
        <v>5.6</v>
      </c>
      <c r="I42" s="145">
        <v>5.5</v>
      </c>
      <c r="J42" s="145">
        <v>5.5</v>
      </c>
      <c r="K42" s="145"/>
      <c r="L42" s="145"/>
    </row>
    <row r="43" spans="1:15" hidden="1">
      <c r="A43" s="221"/>
      <c r="B43" s="33">
        <v>42217</v>
      </c>
      <c r="C43" s="229" t="s">
        <v>16</v>
      </c>
      <c r="D43" s="230"/>
      <c r="E43" s="146">
        <f t="shared" ref="E43:L45" si="6">(E36-D36)/D36</f>
        <v>-0.12574850299401197</v>
      </c>
      <c r="F43" s="146">
        <f t="shared" si="6"/>
        <v>0.17351598173515978</v>
      </c>
      <c r="G43" s="146">
        <f t="shared" si="6"/>
        <v>-0.26459143968871596</v>
      </c>
      <c r="H43" s="146">
        <f t="shared" si="6"/>
        <v>-0.23280423280423279</v>
      </c>
      <c r="I43" s="146">
        <f t="shared" si="6"/>
        <v>0.10344827586206906</v>
      </c>
      <c r="J43" s="146">
        <f t="shared" si="6"/>
        <v>6.2499999999999917E-2</v>
      </c>
      <c r="K43" s="146">
        <f t="shared" si="6"/>
        <v>1.4705882352941256E-2</v>
      </c>
      <c r="L43" s="146">
        <f t="shared" si="6"/>
        <v>1.4492753623188354E-2</v>
      </c>
    </row>
    <row r="44" spans="1:15" hidden="1">
      <c r="A44" s="221"/>
      <c r="B44" s="33">
        <f>B29</f>
        <v>42217</v>
      </c>
      <c r="C44" s="231" t="s">
        <v>16</v>
      </c>
      <c r="D44" s="232"/>
      <c r="E44" s="147">
        <f t="shared" si="6"/>
        <v>-0.12574850299401197</v>
      </c>
      <c r="F44" s="147">
        <f t="shared" si="6"/>
        <v>0.17351598173515978</v>
      </c>
      <c r="G44" s="147">
        <f t="shared" si="6"/>
        <v>-0.26070038910505833</v>
      </c>
      <c r="H44" s="147">
        <f t="shared" si="6"/>
        <v>-5.1754385964912192E-2</v>
      </c>
      <c r="I44" s="147">
        <f t="shared" si="6"/>
        <v>8.2331174838112781E-2</v>
      </c>
      <c r="J44" s="147">
        <f t="shared" si="6"/>
        <v>6.4102564102564222E-2</v>
      </c>
      <c r="K44" s="147">
        <f t="shared" si="6"/>
        <v>2.4096385542168586E-2</v>
      </c>
      <c r="L44" s="147"/>
    </row>
    <row r="45" spans="1:15" hidden="1">
      <c r="A45" s="221"/>
      <c r="B45" s="33">
        <v>41974</v>
      </c>
      <c r="C45" s="231" t="s">
        <v>16</v>
      </c>
      <c r="D45" s="232"/>
      <c r="E45" s="147">
        <f t="shared" si="6"/>
        <v>-0.12574850299401197</v>
      </c>
      <c r="F45" s="147">
        <f t="shared" si="6"/>
        <v>0.17123287671232876</v>
      </c>
      <c r="G45" s="147">
        <f t="shared" si="6"/>
        <v>-4.4834307992202643E-2</v>
      </c>
      <c r="H45" s="147">
        <f t="shared" si="6"/>
        <v>0</v>
      </c>
      <c r="I45" s="147">
        <f t="shared" si="6"/>
        <v>1.0204081632653024E-2</v>
      </c>
      <c r="J45" s="147">
        <f t="shared" si="6"/>
        <v>3.0303030303030193E-2</v>
      </c>
      <c r="K45" s="147">
        <f t="shared" si="6"/>
        <v>1.9607843137255009E-2</v>
      </c>
      <c r="L45" s="147">
        <f t="shared" si="6"/>
        <v>-1</v>
      </c>
    </row>
    <row r="46" spans="1:15" hidden="1">
      <c r="A46" s="222"/>
      <c r="B46" s="33">
        <v>41499</v>
      </c>
      <c r="C46" s="229" t="s">
        <v>16</v>
      </c>
      <c r="D46" s="230"/>
      <c r="E46" s="146">
        <f t="shared" ref="E46:J46" si="7">(E40-D40)/D40</f>
        <v>-0.1</v>
      </c>
      <c r="F46" s="146">
        <f t="shared" si="7"/>
        <v>0.1111111111111111</v>
      </c>
      <c r="G46" s="146">
        <f t="shared" si="7"/>
        <v>8.0000000000000071E-2</v>
      </c>
      <c r="H46" s="146">
        <f t="shared" si="7"/>
        <v>1.8518518518518452E-2</v>
      </c>
      <c r="I46" s="146">
        <f t="shared" si="7"/>
        <v>0</v>
      </c>
      <c r="J46" s="146">
        <f t="shared" si="7"/>
        <v>0</v>
      </c>
      <c r="K46" s="146"/>
      <c r="L46" s="146"/>
    </row>
    <row r="47" spans="1:15">
      <c r="A47" s="65"/>
      <c r="B47" s="65"/>
      <c r="C47" s="65"/>
      <c r="D47" s="76"/>
      <c r="E47" s="76"/>
      <c r="F47" s="76"/>
      <c r="G47" s="130"/>
      <c r="H47" s="130"/>
      <c r="I47" s="130"/>
      <c r="J47" s="130"/>
      <c r="K47" s="130"/>
      <c r="L47" s="130"/>
    </row>
    <row r="48" spans="1:15">
      <c r="A48" s="220" t="s">
        <v>19</v>
      </c>
      <c r="B48" s="212">
        <f>B2</f>
        <v>42339</v>
      </c>
      <c r="C48" s="136" t="s">
        <v>2</v>
      </c>
      <c r="D48" s="160"/>
      <c r="E48" s="161"/>
      <c r="F48" s="161"/>
      <c r="G48" s="161">
        <v>1184.4000000000001</v>
      </c>
      <c r="H48" s="161">
        <v>1260.7</v>
      </c>
      <c r="I48" s="161">
        <v>1189.5999999999999</v>
      </c>
      <c r="J48" s="161">
        <v>1179.5</v>
      </c>
      <c r="K48" s="161">
        <v>1164.4000000000001</v>
      </c>
      <c r="L48" s="161">
        <v>1147.2</v>
      </c>
    </row>
    <row r="49" spans="1:15">
      <c r="A49" s="221"/>
      <c r="B49" s="211"/>
      <c r="C49" s="139" t="s">
        <v>0</v>
      </c>
      <c r="D49" s="162"/>
      <c r="E49" s="162"/>
      <c r="F49" s="162"/>
      <c r="G49" s="162">
        <v>1176</v>
      </c>
      <c r="H49" s="162">
        <v>1140</v>
      </c>
      <c r="I49" s="162">
        <v>1105</v>
      </c>
      <c r="J49" s="162">
        <v>1070</v>
      </c>
      <c r="K49" s="162">
        <v>1037</v>
      </c>
      <c r="L49" s="162">
        <v>1005</v>
      </c>
    </row>
    <row r="50" spans="1:15">
      <c r="A50" s="221"/>
      <c r="B50" s="211"/>
      <c r="C50" s="141" t="s">
        <v>3</v>
      </c>
      <c r="D50" s="163"/>
      <c r="E50" s="163"/>
      <c r="F50" s="163"/>
      <c r="G50" s="163"/>
      <c r="H50" s="163">
        <v>1162</v>
      </c>
      <c r="I50" s="163">
        <v>1136</v>
      </c>
      <c r="J50" s="163">
        <v>1121</v>
      </c>
      <c r="K50" s="163">
        <v>1090</v>
      </c>
      <c r="L50" s="163">
        <v>1062</v>
      </c>
    </row>
    <row r="51" spans="1:15">
      <c r="A51" s="221"/>
      <c r="B51" s="211"/>
      <c r="C51" s="143" t="s">
        <v>1</v>
      </c>
      <c r="D51" s="164">
        <v>1227</v>
      </c>
      <c r="E51" s="164">
        <v>1177.5</v>
      </c>
      <c r="F51" s="164">
        <v>1184.7</v>
      </c>
      <c r="G51" s="164">
        <v>1184.8</v>
      </c>
      <c r="H51" s="164">
        <v>1200</v>
      </c>
      <c r="I51" s="164">
        <v>1170</v>
      </c>
      <c r="J51" s="164">
        <v>1140</v>
      </c>
      <c r="K51" s="164">
        <v>1120</v>
      </c>
      <c r="L51" s="164">
        <v>1100</v>
      </c>
    </row>
    <row r="52" spans="1:15">
      <c r="A52" s="221"/>
      <c r="B52" s="33">
        <f>B37</f>
        <v>42217</v>
      </c>
      <c r="C52" s="133" t="s">
        <v>1</v>
      </c>
      <c r="D52" s="160">
        <v>1227</v>
      </c>
      <c r="E52" s="160">
        <v>1177.5</v>
      </c>
      <c r="F52" s="160">
        <v>1184.7</v>
      </c>
      <c r="G52" s="160">
        <v>1174</v>
      </c>
      <c r="H52" s="160">
        <v>1138.78</v>
      </c>
      <c r="I52" s="160">
        <v>1104.6165999999998</v>
      </c>
      <c r="J52" s="160">
        <v>1071.4781019999998</v>
      </c>
      <c r="K52" s="160">
        <v>1039.3337589399998</v>
      </c>
      <c r="L52" s="160">
        <v>1008.1537461717998</v>
      </c>
      <c r="N52" s="112"/>
      <c r="O52" s="112"/>
    </row>
    <row r="53" spans="1:15" hidden="1">
      <c r="A53" s="221"/>
      <c r="B53" s="33">
        <v>41974</v>
      </c>
      <c r="C53" s="133" t="s">
        <v>1</v>
      </c>
      <c r="D53" s="160">
        <v>1227</v>
      </c>
      <c r="E53" s="160">
        <v>1177.5</v>
      </c>
      <c r="F53" s="160">
        <v>1187.3</v>
      </c>
      <c r="G53" s="160">
        <v>1181</v>
      </c>
      <c r="H53" s="160">
        <v>1150</v>
      </c>
      <c r="I53" s="160">
        <v>1118</v>
      </c>
      <c r="J53" s="160">
        <v>1088</v>
      </c>
      <c r="K53" s="160">
        <v>1052</v>
      </c>
      <c r="L53" s="160"/>
    </row>
    <row r="54" spans="1:15" hidden="1">
      <c r="A54" s="221"/>
      <c r="B54" s="33">
        <v>41852</v>
      </c>
      <c r="C54" s="133" t="s">
        <v>1</v>
      </c>
      <c r="D54" s="160">
        <v>1227</v>
      </c>
      <c r="E54" s="160">
        <v>1177.5</v>
      </c>
      <c r="F54" s="160">
        <v>1170</v>
      </c>
      <c r="G54" s="160">
        <v>1158.3</v>
      </c>
      <c r="H54" s="160">
        <v>1123.5509999999999</v>
      </c>
      <c r="I54" s="160">
        <v>1089.84447</v>
      </c>
      <c r="J54" s="160">
        <v>1057.1491358999999</v>
      </c>
      <c r="K54" s="160">
        <v>1025.4346618229999</v>
      </c>
      <c r="L54" s="160"/>
    </row>
    <row r="55" spans="1:15" hidden="1">
      <c r="A55" s="221"/>
      <c r="B55" s="33">
        <v>41499</v>
      </c>
      <c r="C55" s="133" t="s">
        <v>1</v>
      </c>
      <c r="D55" s="160">
        <v>1225.8499999999999</v>
      </c>
      <c r="E55" s="160">
        <v>1165</v>
      </c>
      <c r="F55" s="160">
        <v>1110</v>
      </c>
      <c r="G55" s="160">
        <v>1070</v>
      </c>
      <c r="H55" s="160">
        <v>1030</v>
      </c>
      <c r="I55" s="160">
        <v>1000</v>
      </c>
      <c r="J55" s="160">
        <v>960</v>
      </c>
      <c r="K55" s="165"/>
      <c r="L55" s="165"/>
    </row>
    <row r="56" spans="1:15" hidden="1">
      <c r="A56" s="221"/>
      <c r="B56" s="33">
        <v>41317</v>
      </c>
      <c r="C56" s="133" t="s">
        <v>1</v>
      </c>
      <c r="D56" s="165">
        <v>1226</v>
      </c>
      <c r="E56" s="165">
        <v>1185</v>
      </c>
      <c r="F56" s="165">
        <v>1151</v>
      </c>
      <c r="G56" s="165">
        <v>1121</v>
      </c>
      <c r="H56" s="165">
        <v>1090.1407234210708</v>
      </c>
      <c r="I56" s="165">
        <v>1048</v>
      </c>
      <c r="J56" s="165"/>
      <c r="K56" s="165"/>
      <c r="L56" s="165"/>
    </row>
    <row r="57" spans="1:15" hidden="1">
      <c r="A57" s="221"/>
      <c r="B57" s="33">
        <v>41244</v>
      </c>
      <c r="C57" s="133" t="s">
        <v>1</v>
      </c>
      <c r="D57" s="165">
        <v>1228.5423506666664</v>
      </c>
      <c r="E57" s="165">
        <v>1184.5870287874238</v>
      </c>
      <c r="F57" s="165">
        <v>1151.3778293463738</v>
      </c>
      <c r="G57" s="165">
        <v>1121.0332793283103</v>
      </c>
      <c r="H57" s="165">
        <v>1090.1407234210708</v>
      </c>
      <c r="I57" s="165">
        <v>1048</v>
      </c>
      <c r="J57" s="165">
        <v>1048</v>
      </c>
      <c r="K57" s="165"/>
      <c r="L57" s="165"/>
    </row>
    <row r="58" spans="1:15">
      <c r="A58" s="221"/>
      <c r="B58" s="33">
        <f>B48</f>
        <v>42339</v>
      </c>
      <c r="C58" s="229" t="s">
        <v>16</v>
      </c>
      <c r="D58" s="230"/>
      <c r="E58" s="167">
        <f t="shared" ref="E58:L60" si="8">(E51-D51)/D51</f>
        <v>-4.0342298288508556E-2</v>
      </c>
      <c r="F58" s="167">
        <f t="shared" si="8"/>
        <v>6.1146496815287013E-3</v>
      </c>
      <c r="G58" s="167">
        <f>(G51-F51)/F51</f>
        <v>8.4409555161567526E-5</v>
      </c>
      <c r="H58" s="167">
        <f t="shared" si="8"/>
        <v>1.2829169480081065E-2</v>
      </c>
      <c r="I58" s="167">
        <f t="shared" si="8"/>
        <v>-2.5000000000000001E-2</v>
      </c>
      <c r="J58" s="167">
        <f t="shared" si="8"/>
        <v>-2.564102564102564E-2</v>
      </c>
      <c r="K58" s="167">
        <f t="shared" si="8"/>
        <v>-1.7543859649122806E-2</v>
      </c>
      <c r="L58" s="167">
        <f t="shared" si="8"/>
        <v>-1.7857142857142856E-2</v>
      </c>
    </row>
    <row r="59" spans="1:15">
      <c r="A59" s="221"/>
      <c r="B59" s="33">
        <f>B44</f>
        <v>42217</v>
      </c>
      <c r="C59" s="231" t="s">
        <v>16</v>
      </c>
      <c r="D59" s="232"/>
      <c r="E59" s="168">
        <f>(E52-D52)/D52</f>
        <v>-4.0342298288508556E-2</v>
      </c>
      <c r="F59" s="168">
        <f t="shared" si="8"/>
        <v>6.1146496815287013E-3</v>
      </c>
      <c r="G59" s="168">
        <f>(G52-F52)/F52</f>
        <v>-9.0318224022959779E-3</v>
      </c>
      <c r="H59" s="168">
        <f t="shared" si="8"/>
        <v>-3.0000000000000023E-2</v>
      </c>
      <c r="I59" s="168">
        <f t="shared" si="8"/>
        <v>-3.000000000000012E-2</v>
      </c>
      <c r="J59" s="168">
        <f t="shared" si="8"/>
        <v>-3.000000000000003E-2</v>
      </c>
      <c r="K59" s="168">
        <f t="shared" si="8"/>
        <v>-2.9999999999999988E-2</v>
      </c>
      <c r="L59" s="168"/>
    </row>
    <row r="60" spans="1:15" hidden="1">
      <c r="A60" s="221"/>
      <c r="B60" s="33">
        <v>41974</v>
      </c>
      <c r="C60" s="231" t="s">
        <v>16</v>
      </c>
      <c r="D60" s="232"/>
      <c r="E60" s="147">
        <f>(E53-D53)/D53</f>
        <v>-4.0342298288508556E-2</v>
      </c>
      <c r="F60" s="147">
        <f t="shared" si="8"/>
        <v>8.3227176220806408E-3</v>
      </c>
      <c r="G60" s="147">
        <f t="shared" si="8"/>
        <v>-5.3061568264128316E-3</v>
      </c>
      <c r="H60" s="147">
        <f t="shared" si="8"/>
        <v>-2.6248941574936496E-2</v>
      </c>
      <c r="I60" s="147">
        <f t="shared" si="8"/>
        <v>-2.782608695652174E-2</v>
      </c>
      <c r="J60" s="147">
        <f t="shared" si="8"/>
        <v>-2.6833631484794274E-2</v>
      </c>
      <c r="K60" s="147">
        <f t="shared" si="8"/>
        <v>-3.3088235294117647E-2</v>
      </c>
      <c r="L60" s="147">
        <f t="shared" si="8"/>
        <v>-1</v>
      </c>
    </row>
    <row r="61" spans="1:15" hidden="1">
      <c r="A61" s="222"/>
      <c r="B61" s="33">
        <v>41499</v>
      </c>
      <c r="C61" s="229" t="s">
        <v>16</v>
      </c>
      <c r="D61" s="230"/>
      <c r="E61" s="146">
        <f t="shared" ref="E61:J61" si="9">(E55-D55)/D55</f>
        <v>-4.9639025981971625E-2</v>
      </c>
      <c r="F61" s="146">
        <f t="shared" si="9"/>
        <v>-4.7210300429184553E-2</v>
      </c>
      <c r="G61" s="146">
        <f t="shared" si="9"/>
        <v>-3.6036036036036036E-2</v>
      </c>
      <c r="H61" s="146">
        <f t="shared" si="9"/>
        <v>-3.7383177570093455E-2</v>
      </c>
      <c r="I61" s="146">
        <f t="shared" si="9"/>
        <v>-2.9126213592233011E-2</v>
      </c>
      <c r="J61" s="146">
        <f t="shared" si="9"/>
        <v>-0.04</v>
      </c>
      <c r="K61" s="146"/>
      <c r="L61" s="146"/>
    </row>
    <row r="62" spans="1:15">
      <c r="A62" s="108"/>
      <c r="B62" s="13"/>
      <c r="F62" s="112"/>
      <c r="G62" s="112"/>
      <c r="H62" s="112"/>
      <c r="I62" s="112"/>
      <c r="J62" s="112"/>
      <c r="K62" s="112"/>
      <c r="L62" s="112"/>
    </row>
    <row r="63" spans="1:15">
      <c r="A63" s="9"/>
      <c r="B63" s="13"/>
      <c r="E63" s="94"/>
      <c r="F63" s="94"/>
      <c r="G63" s="112"/>
      <c r="H63" s="112"/>
      <c r="I63" s="112"/>
      <c r="J63" s="112"/>
      <c r="K63" s="112"/>
      <c r="L63" s="112"/>
    </row>
    <row r="64" spans="1:15">
      <c r="A64" s="9"/>
      <c r="B64" s="13"/>
      <c r="E64" s="94"/>
      <c r="F64" s="94"/>
      <c r="G64" s="94"/>
      <c r="H64" s="112"/>
      <c r="I64" s="112"/>
      <c r="J64" s="112"/>
      <c r="K64" s="112"/>
      <c r="L64" s="112"/>
    </row>
    <row r="65" spans="1:2">
      <c r="A65" s="9"/>
      <c r="B65" s="13"/>
    </row>
    <row r="66" spans="1:2">
      <c r="A66" s="9"/>
      <c r="B66" s="13"/>
    </row>
    <row r="67" spans="1:2">
      <c r="A67" s="9"/>
      <c r="B67" s="13"/>
    </row>
    <row r="68" spans="1:2">
      <c r="A68" s="9"/>
      <c r="B68" s="13"/>
    </row>
    <row r="69" spans="1:2">
      <c r="A69" s="9"/>
      <c r="B69" s="13"/>
    </row>
    <row r="70" spans="1:2">
      <c r="A70" s="9"/>
      <c r="B70" s="13"/>
    </row>
    <row r="71" spans="1:2">
      <c r="A71" s="9"/>
      <c r="B71" s="13"/>
    </row>
    <row r="72" spans="1:2">
      <c r="A72" s="9"/>
      <c r="B72" s="13"/>
    </row>
  </sheetData>
  <mergeCells count="24">
    <mergeCell ref="A48:A61"/>
    <mergeCell ref="B48:B51"/>
    <mergeCell ref="C58:D58"/>
    <mergeCell ref="C59:D59"/>
    <mergeCell ref="C60:D60"/>
    <mergeCell ref="C61:D61"/>
    <mergeCell ref="A33:A46"/>
    <mergeCell ref="B33:B36"/>
    <mergeCell ref="C43:D43"/>
    <mergeCell ref="C44:D44"/>
    <mergeCell ref="C45:D45"/>
    <mergeCell ref="C46:D46"/>
    <mergeCell ref="A18:A31"/>
    <mergeCell ref="B18:B21"/>
    <mergeCell ref="C28:D28"/>
    <mergeCell ref="C29:D29"/>
    <mergeCell ref="C30:D30"/>
    <mergeCell ref="C31:D31"/>
    <mergeCell ref="A2:A16"/>
    <mergeCell ref="B2:B6"/>
    <mergeCell ref="C13:D13"/>
    <mergeCell ref="C14:D14"/>
    <mergeCell ref="C15:D15"/>
    <mergeCell ref="C16:D16"/>
  </mergeCells>
  <pageMargins left="0.5" right="0.17" top="0.6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</vt:i4>
      </vt:variant>
    </vt:vector>
  </HeadingPairs>
  <TitlesOfParts>
    <vt:vector size="25" baseType="lpstr">
      <vt:lpstr>Dec 12</vt:lpstr>
      <vt:lpstr>Jan 13</vt:lpstr>
      <vt:lpstr>Aug 13</vt:lpstr>
      <vt:lpstr>Dec 13</vt:lpstr>
      <vt:lpstr>Jul 14</vt:lpstr>
      <vt:lpstr>Dec 14</vt:lpstr>
      <vt:lpstr>Jan 15</vt:lpstr>
      <vt:lpstr>Aug15</vt:lpstr>
      <vt:lpstr>Dec15</vt:lpstr>
      <vt:lpstr>Jan16</vt:lpstr>
      <vt:lpstr>Aug16 Oil</vt:lpstr>
      <vt:lpstr>Aug16 NG</vt:lpstr>
      <vt:lpstr>Dec16</vt:lpstr>
      <vt:lpstr>Aug17</vt:lpstr>
      <vt:lpstr>Dec17</vt:lpstr>
      <vt:lpstr>Aug18</vt:lpstr>
      <vt:lpstr>Dec18</vt:lpstr>
      <vt:lpstr>'Aug15'!Print_Area</vt:lpstr>
      <vt:lpstr>'Aug17'!Print_Area</vt:lpstr>
      <vt:lpstr>'Aug18'!Print_Area</vt:lpstr>
      <vt:lpstr>'Dec15'!Print_Area</vt:lpstr>
      <vt:lpstr>'Dec16'!Print_Area</vt:lpstr>
      <vt:lpstr>'Dec17'!Print_Area</vt:lpstr>
      <vt:lpstr>'Dec18'!Print_Area</vt:lpstr>
      <vt:lpstr>'Jan16'!Print_Area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TRD Economist</dc:creator>
  <cp:lastModifiedBy>Asif Rasool</cp:lastModifiedBy>
  <cp:lastPrinted>2018-11-28T00:40:34Z</cp:lastPrinted>
  <dcterms:created xsi:type="dcterms:W3CDTF">2013-01-26T20:05:50Z</dcterms:created>
  <dcterms:modified xsi:type="dcterms:W3CDTF">2023-09-08T20:49:53Z</dcterms:modified>
</cp:coreProperties>
</file>