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nmgov-my.sharepoint.com/personal/asif_rasool_tax_nm_gov/Documents/Documents/Project Oil Price/evaluation/"/>
    </mc:Choice>
  </mc:AlternateContent>
  <xr:revisionPtr revIDLastSave="0" documentId="8_{77CD7222-519F-4645-8416-553A98CA993E}" xr6:coauthVersionLast="47" xr6:coauthVersionMax="47" xr10:uidLastSave="{00000000-0000-0000-0000-000000000000}"/>
  <bookViews>
    <workbookView xWindow="28680" yWindow="-135" windowWidth="29040" windowHeight="15720" tabRatio="828" firstSheet="27" activeTab="27" xr2:uid="{00000000-000D-0000-FFFF-FFFF00000000}"/>
  </bookViews>
  <sheets>
    <sheet name="Dec 12" sheetId="1" state="hidden" r:id="rId1"/>
    <sheet name="Jan 13" sheetId="4" state="hidden" r:id="rId2"/>
    <sheet name="Aug 13" sheetId="3" state="hidden" r:id="rId3"/>
    <sheet name="Dec 13" sheetId="5" state="hidden" r:id="rId4"/>
    <sheet name="Jul 14" sheetId="7" state="hidden" r:id="rId5"/>
    <sheet name="Dec 14" sheetId="6" state="hidden" r:id="rId6"/>
    <sheet name="Jan 15" sheetId="8" state="hidden" r:id="rId7"/>
    <sheet name="Aug15" sheetId="10" state="hidden" r:id="rId8"/>
    <sheet name="Dec15" sheetId="11" state="hidden" r:id="rId9"/>
    <sheet name="Jan16" sheetId="12" state="hidden" r:id="rId10"/>
    <sheet name="Aug16 Oil" sheetId="13" state="hidden" r:id="rId11"/>
    <sheet name="Aug16 NG" sheetId="14" state="hidden" r:id="rId12"/>
    <sheet name="Dec16" sheetId="15" state="hidden" r:id="rId13"/>
    <sheet name="Aug17" sheetId="16" state="hidden" r:id="rId14"/>
    <sheet name="Dec17" sheetId="17" state="hidden" r:id="rId15"/>
    <sheet name="Aug18" sheetId="18" state="hidden" r:id="rId16"/>
    <sheet name="Dec18" sheetId="19" state="hidden" r:id="rId17"/>
    <sheet name="Feb19" sheetId="20" state="hidden" r:id="rId18"/>
    <sheet name="Aug19" sheetId="21" state="hidden" r:id="rId19"/>
    <sheet name="Dec19" sheetId="22" state="hidden" r:id="rId20"/>
    <sheet name="Jan20" sheetId="23" state="hidden" r:id="rId21"/>
    <sheet name="Mar 20" sheetId="24" state="hidden" r:id="rId22"/>
    <sheet name="Apr 20" sheetId="25" state="hidden" r:id="rId23"/>
    <sheet name="June 20" sheetId="26" state="hidden" r:id="rId24"/>
    <sheet name="Sep 20" sheetId="27" state="hidden" r:id="rId25"/>
    <sheet name="Dec 20" sheetId="28" state="hidden" r:id="rId26"/>
    <sheet name="Feb21" sheetId="29" state="hidden" r:id="rId27"/>
    <sheet name="Aug21" sheetId="30" r:id="rId28"/>
    <sheet name="Aug 22" sheetId="31" r:id="rId29"/>
    <sheet name="Dec 22" sheetId="32" r:id="rId30"/>
    <sheet name="Jan 22" sheetId="33" r:id="rId31"/>
    <sheet name="Aug 23" sheetId="34" r:id="rId32"/>
    <sheet name="Sheet1" sheetId="35" r:id="rId33"/>
  </sheets>
  <definedNames>
    <definedName name="_xlnm.Print_Area" localSheetId="22">'Apr 20'!$A$1:$N$64</definedName>
    <definedName name="_xlnm.Print_Area" localSheetId="28">'Aug 22'!$A$1:$N$60</definedName>
    <definedName name="_xlnm.Print_Area" localSheetId="7">'Aug15'!$A$1:$L$62</definedName>
    <definedName name="_xlnm.Print_Area" localSheetId="13">'Aug17'!$A$1:$N$63</definedName>
    <definedName name="_xlnm.Print_Area" localSheetId="15">'Aug18'!$A$1:$N$63</definedName>
    <definedName name="_xlnm.Print_Area" localSheetId="18">'Aug19'!$A$1:$N$63</definedName>
    <definedName name="_xlnm.Print_Area" localSheetId="27">'Aug21'!$A$1:$N$56</definedName>
    <definedName name="_xlnm.Print_Area" localSheetId="25">'Dec 20'!$A$1:$N$56</definedName>
    <definedName name="_xlnm.Print_Area" localSheetId="8">'Dec15'!$A$1:$L$62</definedName>
    <definedName name="_xlnm.Print_Area" localSheetId="12">'Dec16'!$A$1:$L$62</definedName>
    <definedName name="_xlnm.Print_Area" localSheetId="14">'Dec17'!$A$1:$N$63</definedName>
    <definedName name="_xlnm.Print_Area" localSheetId="16">'Dec18'!$A$1:$N$63</definedName>
    <definedName name="_xlnm.Print_Area" localSheetId="19">'Dec19'!$A$1:$N$63</definedName>
    <definedName name="_xlnm.Print_Area" localSheetId="17">'Feb19'!$A$1:$N$63</definedName>
    <definedName name="_xlnm.Print_Area" localSheetId="26">'Feb21'!$A$1:$N$56</definedName>
    <definedName name="_xlnm.Print_Area" localSheetId="9">'Jan16'!$A$1:$L$62</definedName>
    <definedName name="_xlnm.Print_Area" localSheetId="20">'Jan20'!$A$1:$N$63</definedName>
    <definedName name="_xlnm.Print_Area" localSheetId="23">'June 20'!$A$1:$N$56</definedName>
    <definedName name="_xlnm.Print_Area" localSheetId="21">'Mar 20'!$A$1:$N$64</definedName>
    <definedName name="_xlnm.Print_Area" localSheetId="24">'Sep 20'!$A$1:$N$56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3" i="34" l="1"/>
  <c r="O6" i="34"/>
  <c r="L12" i="35" l="1"/>
  <c r="L13" i="35"/>
  <c r="L14" i="35"/>
  <c r="L15" i="35"/>
  <c r="L16" i="35"/>
  <c r="L11" i="35"/>
  <c r="T6" i="34" l="1"/>
  <c r="T23" i="34"/>
  <c r="T31" i="34"/>
  <c r="T40" i="34"/>
  <c r="T48" i="34"/>
  <c r="S84" i="34"/>
  <c r="R84" i="34"/>
  <c r="Q84" i="34"/>
  <c r="P84" i="34"/>
  <c r="O84" i="34"/>
  <c r="S80" i="34"/>
  <c r="R80" i="34"/>
  <c r="Q80" i="34"/>
  <c r="P80" i="34"/>
  <c r="O80" i="34"/>
  <c r="AB72" i="34"/>
  <c r="AA72" i="34"/>
  <c r="Z72" i="34"/>
  <c r="Q72" i="34"/>
  <c r="P72" i="34"/>
  <c r="O72" i="34"/>
  <c r="N72" i="34"/>
  <c r="M72" i="34"/>
  <c r="J72" i="34"/>
  <c r="J71" i="34" s="1"/>
  <c r="I72" i="34"/>
  <c r="H72" i="34"/>
  <c r="G72" i="34"/>
  <c r="F72" i="34"/>
  <c r="E72" i="34"/>
  <c r="D72" i="34"/>
  <c r="AB71" i="34"/>
  <c r="AA71" i="34"/>
  <c r="Z71" i="34"/>
  <c r="N71" i="34"/>
  <c r="AB70" i="34"/>
  <c r="AA70" i="34"/>
  <c r="Z70" i="34"/>
  <c r="S70" i="34"/>
  <c r="R70" i="34"/>
  <c r="Q70" i="34"/>
  <c r="P70" i="34"/>
  <c r="O70" i="34"/>
  <c r="N70" i="34"/>
  <c r="S69" i="34"/>
  <c r="S71" i="34" s="1"/>
  <c r="R69" i="34"/>
  <c r="R71" i="34" s="1"/>
  <c r="Q69" i="34"/>
  <c r="Q71" i="34" s="1"/>
  <c r="P69" i="34"/>
  <c r="P71" i="34" s="1"/>
  <c r="O69" i="34"/>
  <c r="O71" i="34" s="1"/>
  <c r="N69" i="34"/>
  <c r="Q62" i="34"/>
  <c r="P62" i="34"/>
  <c r="O62" i="34"/>
  <c r="N62" i="34"/>
  <c r="M62" i="34"/>
  <c r="Q61" i="34"/>
  <c r="P61" i="34"/>
  <c r="P63" i="34" s="1"/>
  <c r="O61" i="34"/>
  <c r="O63" i="34" s="1"/>
  <c r="N61" i="34"/>
  <c r="N63" i="34" s="1"/>
  <c r="M61" i="34"/>
  <c r="M63" i="34" s="1"/>
  <c r="J58" i="34"/>
  <c r="I58" i="34"/>
  <c r="H58" i="34"/>
  <c r="G58" i="34"/>
  <c r="F58" i="34"/>
  <c r="E58" i="34"/>
  <c r="M57" i="34"/>
  <c r="L57" i="34"/>
  <c r="K57" i="34"/>
  <c r="J57" i="34"/>
  <c r="I57" i="34"/>
  <c r="H57" i="34"/>
  <c r="G57" i="34"/>
  <c r="F57" i="34"/>
  <c r="E57" i="34"/>
  <c r="Q56" i="34"/>
  <c r="P56" i="34"/>
  <c r="O56" i="34"/>
  <c r="L56" i="34"/>
  <c r="K55" i="34"/>
  <c r="H55" i="34"/>
  <c r="G55" i="34"/>
  <c r="F55" i="34"/>
  <c r="E55" i="34"/>
  <c r="M49" i="34"/>
  <c r="N56" i="34" s="1"/>
  <c r="L49" i="34"/>
  <c r="M56" i="34" s="1"/>
  <c r="J49" i="34"/>
  <c r="J56" i="34" s="1"/>
  <c r="I49" i="34"/>
  <c r="H49" i="34"/>
  <c r="G49" i="34"/>
  <c r="G56" i="34" s="1"/>
  <c r="F49" i="34"/>
  <c r="E49" i="34"/>
  <c r="D49" i="34"/>
  <c r="S48" i="34"/>
  <c r="R48" i="34"/>
  <c r="Q48" i="34"/>
  <c r="P48" i="34"/>
  <c r="O48" i="34"/>
  <c r="M48" i="34"/>
  <c r="M55" i="34" s="1"/>
  <c r="I48" i="34"/>
  <c r="J55" i="34" s="1"/>
  <c r="M41" i="34"/>
  <c r="L41" i="34"/>
  <c r="J41" i="34"/>
  <c r="I41" i="34"/>
  <c r="H41" i="34"/>
  <c r="G41" i="34"/>
  <c r="F41" i="34"/>
  <c r="E41" i="34"/>
  <c r="D41" i="34"/>
  <c r="B41" i="34"/>
  <c r="B49" i="34" s="1"/>
  <c r="S40" i="34"/>
  <c r="R40" i="34"/>
  <c r="Q40" i="34"/>
  <c r="P40" i="34"/>
  <c r="O40" i="34"/>
  <c r="M40" i="34"/>
  <c r="L40" i="34"/>
  <c r="K40" i="34"/>
  <c r="J40" i="34"/>
  <c r="I40" i="34"/>
  <c r="J33" i="34"/>
  <c r="I33" i="34"/>
  <c r="H33" i="34"/>
  <c r="G33" i="34"/>
  <c r="F33" i="34"/>
  <c r="E33" i="34"/>
  <c r="Q32" i="34"/>
  <c r="P32" i="34"/>
  <c r="O32" i="34"/>
  <c r="N32" i="34"/>
  <c r="M32" i="34"/>
  <c r="L32" i="34"/>
  <c r="K32" i="34"/>
  <c r="J32" i="34"/>
  <c r="I32" i="34"/>
  <c r="H32" i="34"/>
  <c r="G32" i="34"/>
  <c r="F32" i="34"/>
  <c r="E32" i="34"/>
  <c r="S31" i="34"/>
  <c r="R31" i="34"/>
  <c r="Q31" i="34"/>
  <c r="P31" i="34"/>
  <c r="O31" i="34"/>
  <c r="I30" i="34"/>
  <c r="H30" i="34"/>
  <c r="G30" i="34"/>
  <c r="F30" i="34"/>
  <c r="E30" i="34"/>
  <c r="AF24" i="34"/>
  <c r="AE24" i="34"/>
  <c r="AD24" i="34"/>
  <c r="AD49" i="34" s="1"/>
  <c r="AB24" i="34"/>
  <c r="AB49" i="34" s="1"/>
  <c r="AA24" i="34"/>
  <c r="AA49" i="34" s="1"/>
  <c r="Z24" i="34"/>
  <c r="Z49" i="34" s="1"/>
  <c r="X24" i="34"/>
  <c r="X49" i="34" s="1"/>
  <c r="W24" i="34"/>
  <c r="W49" i="34" s="1"/>
  <c r="V24" i="34"/>
  <c r="V49" i="34" s="1"/>
  <c r="M24" i="34"/>
  <c r="N31" i="34" s="1"/>
  <c r="L24" i="34"/>
  <c r="M31" i="34" s="1"/>
  <c r="J24" i="34"/>
  <c r="J23" i="34" s="1"/>
  <c r="I24" i="34"/>
  <c r="H24" i="34"/>
  <c r="G24" i="34"/>
  <c r="G31" i="34" s="1"/>
  <c r="F24" i="34"/>
  <c r="F31" i="34" s="1"/>
  <c r="E24" i="34"/>
  <c r="D24" i="34"/>
  <c r="B24" i="34"/>
  <c r="B31" i="34" s="1"/>
  <c r="AH23" i="34"/>
  <c r="S23" i="34"/>
  <c r="R23" i="34"/>
  <c r="Q23" i="34"/>
  <c r="P23" i="34"/>
  <c r="M23" i="34"/>
  <c r="N30" i="34" s="1"/>
  <c r="L23" i="34"/>
  <c r="M69" i="34" s="1"/>
  <c r="B19" i="34"/>
  <c r="B36" i="34" s="1"/>
  <c r="B44" i="34" s="1"/>
  <c r="AF17" i="34"/>
  <c r="AE17" i="34"/>
  <c r="AD17" i="34"/>
  <c r="AB17" i="34"/>
  <c r="AA17" i="34"/>
  <c r="Z17" i="34"/>
  <c r="X17" i="34"/>
  <c r="W17" i="34"/>
  <c r="V17" i="34"/>
  <c r="J16" i="34"/>
  <c r="I16" i="34"/>
  <c r="H16" i="34"/>
  <c r="G16" i="34"/>
  <c r="F16" i="34"/>
  <c r="E16" i="34"/>
  <c r="J15" i="34"/>
  <c r="I15" i="34"/>
  <c r="H15" i="34"/>
  <c r="G15" i="34"/>
  <c r="F15" i="34"/>
  <c r="E15" i="34"/>
  <c r="K13" i="34"/>
  <c r="H13" i="34"/>
  <c r="G13" i="34"/>
  <c r="F13" i="34"/>
  <c r="E13" i="34"/>
  <c r="M7" i="34"/>
  <c r="L7" i="34"/>
  <c r="J7" i="34"/>
  <c r="K14" i="34" s="1"/>
  <c r="I7" i="34"/>
  <c r="I14" i="34" s="1"/>
  <c r="H7" i="34"/>
  <c r="H14" i="34" s="1"/>
  <c r="G7" i="34"/>
  <c r="G14" i="34" s="1"/>
  <c r="F7" i="34"/>
  <c r="E7" i="34"/>
  <c r="F14" i="34" s="1"/>
  <c r="D7" i="34"/>
  <c r="S6" i="34"/>
  <c r="R6" i="34"/>
  <c r="Q6" i="34"/>
  <c r="P6" i="34"/>
  <c r="M6" i="34"/>
  <c r="M13" i="34" s="1"/>
  <c r="K6" i="34"/>
  <c r="L13" i="34" s="1"/>
  <c r="I6" i="34"/>
  <c r="J13" i="34" s="1"/>
  <c r="O55" i="33"/>
  <c r="P84" i="33"/>
  <c r="Q84" i="33"/>
  <c r="R84" i="33"/>
  <c r="S84" i="33"/>
  <c r="O84" i="33"/>
  <c r="B84" i="33"/>
  <c r="P79" i="33"/>
  <c r="Q79" i="33"/>
  <c r="R79" i="33"/>
  <c r="S79" i="33"/>
  <c r="P80" i="33"/>
  <c r="Q80" i="33"/>
  <c r="R80" i="33"/>
  <c r="S80" i="33"/>
  <c r="O79" i="33"/>
  <c r="O80" i="33"/>
  <c r="B80" i="33"/>
  <c r="AG23" i="33"/>
  <c r="N7" i="32"/>
  <c r="O7" i="32"/>
  <c r="P7" i="32"/>
  <c r="Q7" i="32"/>
  <c r="R7" i="32"/>
  <c r="S7" i="32"/>
  <c r="N24" i="32"/>
  <c r="O24" i="32"/>
  <c r="P24" i="32"/>
  <c r="Q24" i="32"/>
  <c r="R24" i="32"/>
  <c r="S24" i="32"/>
  <c r="N41" i="32"/>
  <c r="O41" i="32"/>
  <c r="P41" i="32"/>
  <c r="Q41" i="32"/>
  <c r="R41" i="32"/>
  <c r="S41" i="32"/>
  <c r="N49" i="32"/>
  <c r="O49" i="32"/>
  <c r="P49" i="32"/>
  <c r="Q49" i="32"/>
  <c r="R49" i="32"/>
  <c r="S49" i="32"/>
  <c r="AA72" i="33"/>
  <c r="Z72" i="33"/>
  <c r="Y72" i="33"/>
  <c r="Q72" i="33"/>
  <c r="P72" i="33"/>
  <c r="O72" i="33"/>
  <c r="N72" i="33"/>
  <c r="M72" i="33"/>
  <c r="J72" i="33"/>
  <c r="J71" i="33" s="1"/>
  <c r="I72" i="33"/>
  <c r="H72" i="33"/>
  <c r="G72" i="33"/>
  <c r="F72" i="33"/>
  <c r="E72" i="33"/>
  <c r="D72" i="33"/>
  <c r="AA71" i="33"/>
  <c r="Z71" i="33"/>
  <c r="Y71" i="33"/>
  <c r="O71" i="33"/>
  <c r="AA70" i="33"/>
  <c r="Z70" i="33"/>
  <c r="Y70" i="33"/>
  <c r="S70" i="33"/>
  <c r="R70" i="33"/>
  <c r="Q70" i="33"/>
  <c r="P70" i="33"/>
  <c r="O70" i="33"/>
  <c r="N70" i="33"/>
  <c r="S69" i="33"/>
  <c r="S71" i="33" s="1"/>
  <c r="R69" i="33"/>
  <c r="R71" i="33" s="1"/>
  <c r="Q69" i="33"/>
  <c r="Q71" i="33" s="1"/>
  <c r="P69" i="33"/>
  <c r="P71" i="33" s="1"/>
  <c r="O69" i="33"/>
  <c r="N69" i="33"/>
  <c r="N71" i="33" s="1"/>
  <c r="N63" i="33"/>
  <c r="Q62" i="33"/>
  <c r="P62" i="33"/>
  <c r="O62" i="33"/>
  <c r="N62" i="33"/>
  <c r="M62" i="33"/>
  <c r="Q61" i="33"/>
  <c r="Q63" i="33" s="1"/>
  <c r="P61" i="33"/>
  <c r="P63" i="33" s="1"/>
  <c r="O61" i="33"/>
  <c r="O63" i="33" s="1"/>
  <c r="N61" i="33"/>
  <c r="M61" i="33"/>
  <c r="M63" i="33" s="1"/>
  <c r="J58" i="33"/>
  <c r="I58" i="33"/>
  <c r="H58" i="33"/>
  <c r="G58" i="33"/>
  <c r="F58" i="33"/>
  <c r="E58" i="33"/>
  <c r="M57" i="33"/>
  <c r="L57" i="33"/>
  <c r="K57" i="33"/>
  <c r="J57" i="33"/>
  <c r="I57" i="33"/>
  <c r="H57" i="33"/>
  <c r="G57" i="33"/>
  <c r="F57" i="33"/>
  <c r="E57" i="33"/>
  <c r="Q56" i="33"/>
  <c r="P56" i="33"/>
  <c r="O56" i="33"/>
  <c r="N56" i="33"/>
  <c r="M56" i="33"/>
  <c r="L56" i="33"/>
  <c r="E56" i="33"/>
  <c r="K55" i="33"/>
  <c r="H55" i="33"/>
  <c r="G55" i="33"/>
  <c r="F55" i="33"/>
  <c r="E55" i="33"/>
  <c r="M49" i="33"/>
  <c r="L49" i="33"/>
  <c r="J49" i="33"/>
  <c r="J56" i="33" s="1"/>
  <c r="I49" i="33"/>
  <c r="I56" i="33" s="1"/>
  <c r="H49" i="33"/>
  <c r="H56" i="33" s="1"/>
  <c r="G49" i="33"/>
  <c r="G56" i="33" s="1"/>
  <c r="F49" i="33"/>
  <c r="F56" i="33" s="1"/>
  <c r="E49" i="33"/>
  <c r="D49" i="33"/>
  <c r="S48" i="33"/>
  <c r="S83" i="33" s="1"/>
  <c r="R48" i="33"/>
  <c r="R55" i="33" s="1"/>
  <c r="Q48" i="33"/>
  <c r="Q83" i="33" s="1"/>
  <c r="P48" i="33"/>
  <c r="P83" i="33" s="1"/>
  <c r="O48" i="33"/>
  <c r="N55" i="33"/>
  <c r="M48" i="33"/>
  <c r="M55" i="33" s="1"/>
  <c r="I48" i="33"/>
  <c r="J55" i="33" s="1"/>
  <c r="T42" i="33"/>
  <c r="T34" i="33" s="1"/>
  <c r="T17" i="33" s="1"/>
  <c r="M41" i="33"/>
  <c r="L41" i="33"/>
  <c r="J41" i="33"/>
  <c r="I41" i="33"/>
  <c r="H41" i="33"/>
  <c r="G41" i="33"/>
  <c r="F41" i="33"/>
  <c r="E41" i="33"/>
  <c r="D41" i="33"/>
  <c r="B41" i="33"/>
  <c r="B56" i="33" s="1"/>
  <c r="S40" i="33"/>
  <c r="R40" i="33"/>
  <c r="Q40" i="33"/>
  <c r="P40" i="33"/>
  <c r="O40" i="33"/>
  <c r="M40" i="33"/>
  <c r="L40" i="33"/>
  <c r="K40" i="33"/>
  <c r="J40" i="33"/>
  <c r="I40" i="33"/>
  <c r="J33" i="33"/>
  <c r="I33" i="33"/>
  <c r="H33" i="33"/>
  <c r="G33" i="33"/>
  <c r="F33" i="33"/>
  <c r="E33" i="33"/>
  <c r="Q32" i="33"/>
  <c r="P32" i="33"/>
  <c r="O32" i="33"/>
  <c r="N32" i="33"/>
  <c r="M32" i="33"/>
  <c r="L32" i="33"/>
  <c r="K32" i="33"/>
  <c r="J32" i="33"/>
  <c r="I32" i="33"/>
  <c r="H32" i="33"/>
  <c r="G32" i="33"/>
  <c r="F32" i="33"/>
  <c r="E32" i="33"/>
  <c r="S31" i="33"/>
  <c r="R31" i="33"/>
  <c r="Q31" i="33"/>
  <c r="P31" i="33"/>
  <c r="O31" i="33"/>
  <c r="J31" i="33"/>
  <c r="B31" i="33"/>
  <c r="L30" i="33"/>
  <c r="L55" i="33" s="1"/>
  <c r="J30" i="33"/>
  <c r="I30" i="33"/>
  <c r="H30" i="33"/>
  <c r="G30" i="33"/>
  <c r="F30" i="33"/>
  <c r="E30" i="33"/>
  <c r="B30" i="33"/>
  <c r="AE24" i="33"/>
  <c r="AD24" i="33"/>
  <c r="AA24" i="33"/>
  <c r="AA49" i="33" s="1"/>
  <c r="Z24" i="33"/>
  <c r="Z49" i="33" s="1"/>
  <c r="W24" i="33"/>
  <c r="W49" i="33" s="1"/>
  <c r="V24" i="33"/>
  <c r="V49" i="33" s="1"/>
  <c r="M24" i="33"/>
  <c r="N31" i="33" s="1"/>
  <c r="L24" i="33"/>
  <c r="L31" i="33" s="1"/>
  <c r="J24" i="33"/>
  <c r="I24" i="33"/>
  <c r="I31" i="33" s="1"/>
  <c r="H24" i="33"/>
  <c r="H31" i="33" s="1"/>
  <c r="G24" i="33"/>
  <c r="G31" i="33" s="1"/>
  <c r="F24" i="33"/>
  <c r="F31" i="33" s="1"/>
  <c r="E24" i="33"/>
  <c r="E31" i="33" s="1"/>
  <c r="D24" i="33"/>
  <c r="B24" i="33"/>
  <c r="S23" i="33"/>
  <c r="R23" i="33"/>
  <c r="Q23" i="33"/>
  <c r="P23" i="33"/>
  <c r="O23" i="33"/>
  <c r="O30" i="33" s="1"/>
  <c r="AC24" i="33"/>
  <c r="AC49" i="33" s="1"/>
  <c r="M23" i="33"/>
  <c r="M30" i="33" s="1"/>
  <c r="L23" i="33"/>
  <c r="M69" i="33" s="1"/>
  <c r="J23" i="33"/>
  <c r="K30" i="33" s="1"/>
  <c r="B19" i="33"/>
  <c r="B36" i="33" s="1"/>
  <c r="B44" i="33" s="1"/>
  <c r="AE17" i="33"/>
  <c r="AD17" i="33"/>
  <c r="AA17" i="33"/>
  <c r="Z17" i="33"/>
  <c r="W17" i="33"/>
  <c r="V17" i="33"/>
  <c r="J16" i="33"/>
  <c r="I16" i="33"/>
  <c r="H16" i="33"/>
  <c r="G16" i="33"/>
  <c r="F16" i="33"/>
  <c r="E16" i="33"/>
  <c r="J15" i="33"/>
  <c r="I15" i="33"/>
  <c r="H15" i="33"/>
  <c r="G15" i="33"/>
  <c r="F15" i="33"/>
  <c r="E15" i="33"/>
  <c r="E14" i="33"/>
  <c r="J13" i="33"/>
  <c r="I13" i="33"/>
  <c r="H13" i="33"/>
  <c r="G13" i="33"/>
  <c r="F13" i="33"/>
  <c r="E13" i="33"/>
  <c r="M7" i="33"/>
  <c r="L7" i="33"/>
  <c r="J7" i="33"/>
  <c r="K14" i="33" s="1"/>
  <c r="I7" i="33"/>
  <c r="I14" i="33" s="1"/>
  <c r="H7" i="33"/>
  <c r="H14" i="33" s="1"/>
  <c r="G7" i="33"/>
  <c r="G14" i="33" s="1"/>
  <c r="F7" i="33"/>
  <c r="F14" i="33" s="1"/>
  <c r="E7" i="33"/>
  <c r="D7" i="33"/>
  <c r="S6" i="33"/>
  <c r="R6" i="33"/>
  <c r="Q6" i="33"/>
  <c r="P6" i="33"/>
  <c r="O6" i="33"/>
  <c r="Y17" i="33"/>
  <c r="M6" i="33"/>
  <c r="M13" i="33" s="1"/>
  <c r="K6" i="33"/>
  <c r="L13" i="33" s="1"/>
  <c r="I6" i="33"/>
  <c r="Q63" i="34" l="1"/>
  <c r="S79" i="34"/>
  <c r="Q30" i="34"/>
  <c r="P30" i="34"/>
  <c r="O30" i="34"/>
  <c r="T55" i="34"/>
  <c r="S55" i="34"/>
  <c r="R83" i="34"/>
  <c r="T30" i="34"/>
  <c r="R79" i="34"/>
  <c r="Q79" i="34"/>
  <c r="P79" i="34"/>
  <c r="O79" i="34"/>
  <c r="P83" i="34"/>
  <c r="O83" i="34"/>
  <c r="R55" i="34"/>
  <c r="H31" i="34"/>
  <c r="R30" i="34"/>
  <c r="H56" i="34"/>
  <c r="S30" i="34"/>
  <c r="I31" i="34"/>
  <c r="Q83" i="34"/>
  <c r="I56" i="34"/>
  <c r="S83" i="34"/>
  <c r="J14" i="34"/>
  <c r="E31" i="34"/>
  <c r="E56" i="34"/>
  <c r="F56" i="34"/>
  <c r="B56" i="34"/>
  <c r="B68" i="34"/>
  <c r="B55" i="34"/>
  <c r="K30" i="34"/>
  <c r="J30" i="34"/>
  <c r="B80" i="34"/>
  <c r="B84" i="34" s="1"/>
  <c r="B72" i="34"/>
  <c r="E14" i="34"/>
  <c r="J31" i="34"/>
  <c r="N55" i="34"/>
  <c r="L31" i="34"/>
  <c r="O55" i="34"/>
  <c r="AE49" i="34" s="1"/>
  <c r="B30" i="34"/>
  <c r="L30" i="34"/>
  <c r="L55" i="34" s="1"/>
  <c r="P55" i="34"/>
  <c r="AF49" i="34" s="1"/>
  <c r="M68" i="34"/>
  <c r="M71" i="34" s="1"/>
  <c r="M70" i="34"/>
  <c r="I13" i="34"/>
  <c r="M30" i="34"/>
  <c r="I55" i="34"/>
  <c r="Q55" i="34"/>
  <c r="AD49" i="33"/>
  <c r="R83" i="33"/>
  <c r="O83" i="33"/>
  <c r="R30" i="33"/>
  <c r="S30" i="33"/>
  <c r="P55" i="33"/>
  <c r="AE49" i="33" s="1"/>
  <c r="Q55" i="33"/>
  <c r="S55" i="33"/>
  <c r="P30" i="33"/>
  <c r="B55" i="33"/>
  <c r="B68" i="33"/>
  <c r="U24" i="33"/>
  <c r="U49" i="33" s="1"/>
  <c r="M31" i="33"/>
  <c r="Y24" i="33"/>
  <c r="Y49" i="33" s="1"/>
  <c r="N30" i="33"/>
  <c r="M68" i="33"/>
  <c r="M71" i="33" s="1"/>
  <c r="M70" i="33"/>
  <c r="K13" i="33"/>
  <c r="J14" i="33"/>
  <c r="B49" i="33"/>
  <c r="B72" i="33" s="1"/>
  <c r="I55" i="33"/>
  <c r="AC17" i="33"/>
  <c r="U17" i="33"/>
  <c r="Q30" i="33"/>
  <c r="S48" i="32" l="1"/>
  <c r="R48" i="32"/>
  <c r="Q48" i="32"/>
  <c r="P48" i="32"/>
  <c r="P40" i="32"/>
  <c r="S23" i="32" l="1"/>
  <c r="R23" i="32"/>
  <c r="Q23" i="32"/>
  <c r="P23" i="32"/>
  <c r="O23" i="32"/>
  <c r="O6" i="32"/>
  <c r="P6" i="32"/>
  <c r="Q6" i="32"/>
  <c r="R6" i="32"/>
  <c r="S6" i="32"/>
  <c r="O40" i="32"/>
  <c r="Q40" i="32"/>
  <c r="R40" i="32"/>
  <c r="S40" i="32"/>
  <c r="O48" i="32"/>
  <c r="Q56" i="32" l="1"/>
  <c r="T42" i="32"/>
  <c r="T34" i="32" s="1"/>
  <c r="T17" i="32" s="1"/>
  <c r="S31" i="32"/>
  <c r="AA72" i="32"/>
  <c r="Z72" i="32"/>
  <c r="Y72" i="32"/>
  <c r="Q72" i="32"/>
  <c r="P72" i="32"/>
  <c r="O72" i="32"/>
  <c r="N72" i="32"/>
  <c r="M72" i="32"/>
  <c r="J72" i="32"/>
  <c r="J71" i="32" s="1"/>
  <c r="I72" i="32"/>
  <c r="H72" i="32"/>
  <c r="G72" i="32"/>
  <c r="F72" i="32"/>
  <c r="E72" i="32"/>
  <c r="D72" i="32"/>
  <c r="AA71" i="32"/>
  <c r="Z71" i="32"/>
  <c r="Y71" i="32"/>
  <c r="AA70" i="32"/>
  <c r="Z70" i="32"/>
  <c r="Y70" i="32"/>
  <c r="S70" i="32"/>
  <c r="R70" i="32"/>
  <c r="R71" i="32" s="1"/>
  <c r="Q70" i="32"/>
  <c r="P70" i="32"/>
  <c r="O70" i="32"/>
  <c r="N70" i="32"/>
  <c r="N71" i="32" s="1"/>
  <c r="S69" i="32"/>
  <c r="R69" i="32"/>
  <c r="Q69" i="32"/>
  <c r="Q71" i="32" s="1"/>
  <c r="P69" i="32"/>
  <c r="P71" i="32" s="1"/>
  <c r="O69" i="32"/>
  <c r="N69" i="32"/>
  <c r="Q62" i="32"/>
  <c r="P62" i="32"/>
  <c r="O62" i="32"/>
  <c r="N62" i="32"/>
  <c r="M62" i="32"/>
  <c r="Q61" i="32"/>
  <c r="Q63" i="32" s="1"/>
  <c r="P61" i="32"/>
  <c r="O61" i="32"/>
  <c r="N61" i="32"/>
  <c r="N63" i="32" s="1"/>
  <c r="M61" i="32"/>
  <c r="M63" i="32" s="1"/>
  <c r="J58" i="32"/>
  <c r="I58" i="32"/>
  <c r="H58" i="32"/>
  <c r="G58" i="32"/>
  <c r="F58" i="32"/>
  <c r="E58" i="32"/>
  <c r="M57" i="32"/>
  <c r="L57" i="32"/>
  <c r="K57" i="32"/>
  <c r="J57" i="32"/>
  <c r="I57" i="32"/>
  <c r="H57" i="32"/>
  <c r="G57" i="32"/>
  <c r="F57" i="32"/>
  <c r="E57" i="32"/>
  <c r="P56" i="32"/>
  <c r="K55" i="32"/>
  <c r="H55" i="32"/>
  <c r="G55" i="32"/>
  <c r="F55" i="32"/>
  <c r="E55" i="32"/>
  <c r="M49" i="32"/>
  <c r="M56" i="32" s="1"/>
  <c r="L49" i="32"/>
  <c r="L56" i="32" s="1"/>
  <c r="J49" i="32"/>
  <c r="I49" i="32"/>
  <c r="I56" i="32" s="1"/>
  <c r="H49" i="32"/>
  <c r="G49" i="32"/>
  <c r="H56" i="32" s="1"/>
  <c r="F49" i="32"/>
  <c r="E49" i="32"/>
  <c r="E56" i="32" s="1"/>
  <c r="D49" i="32"/>
  <c r="N48" i="32"/>
  <c r="M48" i="32"/>
  <c r="I48" i="32"/>
  <c r="J55" i="32" s="1"/>
  <c r="M41" i="32"/>
  <c r="L41" i="32"/>
  <c r="J41" i="32"/>
  <c r="I41" i="32"/>
  <c r="H41" i="32"/>
  <c r="G41" i="32"/>
  <c r="F41" i="32"/>
  <c r="E41" i="32"/>
  <c r="D41" i="32"/>
  <c r="B41" i="32"/>
  <c r="B56" i="32" s="1"/>
  <c r="N40" i="32"/>
  <c r="M40" i="32"/>
  <c r="L40" i="32"/>
  <c r="K40" i="32"/>
  <c r="J40" i="32"/>
  <c r="I40" i="32"/>
  <c r="J33" i="32"/>
  <c r="I33" i="32"/>
  <c r="H33" i="32"/>
  <c r="G33" i="32"/>
  <c r="F33" i="32"/>
  <c r="E33" i="32"/>
  <c r="Q32" i="32"/>
  <c r="P32" i="32"/>
  <c r="O32" i="32"/>
  <c r="N32" i="32"/>
  <c r="M32" i="32"/>
  <c r="L32" i="32"/>
  <c r="K32" i="32"/>
  <c r="J32" i="32"/>
  <c r="I32" i="32"/>
  <c r="H32" i="32"/>
  <c r="G32" i="32"/>
  <c r="F32" i="32"/>
  <c r="E32" i="32"/>
  <c r="J30" i="32"/>
  <c r="I30" i="32"/>
  <c r="H30" i="32"/>
  <c r="G30" i="32"/>
  <c r="F30" i="32"/>
  <c r="E30" i="32"/>
  <c r="AE24" i="32"/>
  <c r="AD24" i="32"/>
  <c r="AA24" i="32"/>
  <c r="AA49" i="32" s="1"/>
  <c r="Z24" i="32"/>
  <c r="Z49" i="32" s="1"/>
  <c r="W24" i="32"/>
  <c r="W49" i="32" s="1"/>
  <c r="V24" i="32"/>
  <c r="V49" i="32" s="1"/>
  <c r="M24" i="32"/>
  <c r="L24" i="32"/>
  <c r="L31" i="32" s="1"/>
  <c r="J24" i="32"/>
  <c r="J31" i="32" s="1"/>
  <c r="I24" i="32"/>
  <c r="I31" i="32" s="1"/>
  <c r="H24" i="32"/>
  <c r="H31" i="32" s="1"/>
  <c r="G24" i="32"/>
  <c r="F24" i="32"/>
  <c r="E24" i="32"/>
  <c r="D24" i="32"/>
  <c r="B24" i="32"/>
  <c r="B31" i="32" s="1"/>
  <c r="N23" i="32"/>
  <c r="Y24" i="32" s="1"/>
  <c r="Y49" i="32" s="1"/>
  <c r="M23" i="32"/>
  <c r="L23" i="32"/>
  <c r="M68" i="32" s="1"/>
  <c r="J23" i="32"/>
  <c r="K30" i="32" s="1"/>
  <c r="B19" i="32"/>
  <c r="B30" i="32" s="1"/>
  <c r="AE17" i="32"/>
  <c r="AD17" i="32"/>
  <c r="AA17" i="32"/>
  <c r="Z17" i="32"/>
  <c r="W17" i="32"/>
  <c r="V17" i="32"/>
  <c r="J16" i="32"/>
  <c r="I16" i="32"/>
  <c r="H16" i="32"/>
  <c r="G16" i="32"/>
  <c r="F16" i="32"/>
  <c r="E16" i="32"/>
  <c r="J15" i="32"/>
  <c r="I15" i="32"/>
  <c r="H15" i="32"/>
  <c r="G15" i="32"/>
  <c r="F15" i="32"/>
  <c r="E15" i="32"/>
  <c r="H13" i="32"/>
  <c r="G13" i="32"/>
  <c r="F13" i="32"/>
  <c r="E13" i="32"/>
  <c r="M7" i="32"/>
  <c r="L7" i="32"/>
  <c r="J7" i="32"/>
  <c r="I7" i="32"/>
  <c r="I14" i="32" s="1"/>
  <c r="H7" i="32"/>
  <c r="H14" i="32" s="1"/>
  <c r="G7" i="32"/>
  <c r="F7" i="32"/>
  <c r="G14" i="32" s="1"/>
  <c r="E7" i="32"/>
  <c r="D7" i="32"/>
  <c r="N6" i="32"/>
  <c r="U17" i="32" s="1"/>
  <c r="M6" i="32"/>
  <c r="M13" i="32" s="1"/>
  <c r="K6" i="32"/>
  <c r="K13" i="32" s="1"/>
  <c r="I6" i="32"/>
  <c r="J13" i="32" s="1"/>
  <c r="O49" i="31"/>
  <c r="P49" i="31"/>
  <c r="Q49" i="31"/>
  <c r="R49" i="31"/>
  <c r="S49" i="31"/>
  <c r="N49" i="31"/>
  <c r="P63" i="32" l="1"/>
  <c r="O71" i="32"/>
  <c r="S71" i="32"/>
  <c r="S55" i="32"/>
  <c r="S30" i="32"/>
  <c r="R30" i="32"/>
  <c r="E14" i="32"/>
  <c r="G31" i="32"/>
  <c r="N55" i="32"/>
  <c r="F56" i="32"/>
  <c r="R31" i="32"/>
  <c r="Q30" i="32"/>
  <c r="P31" i="32"/>
  <c r="O31" i="32"/>
  <c r="M55" i="32"/>
  <c r="I13" i="32"/>
  <c r="Y17" i="32"/>
  <c r="M30" i="32"/>
  <c r="J14" i="32"/>
  <c r="K14" i="32"/>
  <c r="F31" i="32"/>
  <c r="J56" i="32"/>
  <c r="O56" i="32"/>
  <c r="N56" i="32"/>
  <c r="P55" i="32"/>
  <c r="AE49" i="32" s="1"/>
  <c r="Q55" i="32"/>
  <c r="R55" i="32"/>
  <c r="O63" i="32"/>
  <c r="O30" i="32"/>
  <c r="P30" i="32"/>
  <c r="AC24" i="32"/>
  <c r="AC49" i="32" s="1"/>
  <c r="Q31" i="32"/>
  <c r="N31" i="32"/>
  <c r="B36" i="32"/>
  <c r="B44" i="32" s="1"/>
  <c r="B68" i="32" s="1"/>
  <c r="M71" i="32"/>
  <c r="U24" i="32"/>
  <c r="U49" i="32" s="1"/>
  <c r="F14" i="32"/>
  <c r="AC17" i="32"/>
  <c r="L30" i="32"/>
  <c r="L55" i="32" s="1"/>
  <c r="M31" i="32"/>
  <c r="E31" i="32"/>
  <c r="O55" i="32"/>
  <c r="AD49" i="32" s="1"/>
  <c r="G56" i="32"/>
  <c r="N30" i="32"/>
  <c r="M70" i="32"/>
  <c r="B49" i="32"/>
  <c r="B72" i="32" s="1"/>
  <c r="I55" i="32"/>
  <c r="M69" i="32"/>
  <c r="L13" i="32"/>
  <c r="Q31" i="31"/>
  <c r="R31" i="31"/>
  <c r="N23" i="31"/>
  <c r="O23" i="31"/>
  <c r="P23" i="31"/>
  <c r="Q23" i="31"/>
  <c r="R23" i="31"/>
  <c r="B20" i="31"/>
  <c r="B30" i="31" s="1"/>
  <c r="B41" i="31"/>
  <c r="B50" i="31" s="1"/>
  <c r="B73" i="31" s="1"/>
  <c r="B24" i="31"/>
  <c r="B31" i="31" s="1"/>
  <c r="S6" i="31"/>
  <c r="S23" i="31"/>
  <c r="S40" i="31"/>
  <c r="S70" i="31"/>
  <c r="S71" i="31"/>
  <c r="B55" i="32" l="1"/>
  <c r="B36" i="31"/>
  <c r="B45" i="31" s="1"/>
  <c r="S72" i="31"/>
  <c r="B56" i="31"/>
  <c r="B69" i="31"/>
  <c r="Y71" i="31"/>
  <c r="Z71" i="31"/>
  <c r="AA71" i="31"/>
  <c r="Y72" i="31"/>
  <c r="Z72" i="31"/>
  <c r="AA72" i="31"/>
  <c r="Y73" i="31"/>
  <c r="Z73" i="31"/>
  <c r="AA73" i="31"/>
  <c r="AC24" i="31" l="1"/>
  <c r="AC50" i="31" s="1"/>
  <c r="S30" i="31"/>
  <c r="S56" i="31" l="1"/>
  <c r="M23" i="31"/>
  <c r="Q40" i="31"/>
  <c r="P40" i="31"/>
  <c r="O40" i="31"/>
  <c r="T34" i="31"/>
  <c r="T43" i="31" s="1"/>
  <c r="R40" i="31"/>
  <c r="J73" i="31" l="1"/>
  <c r="J72" i="31" s="1"/>
  <c r="I73" i="31"/>
  <c r="H73" i="31"/>
  <c r="G73" i="31"/>
  <c r="F73" i="31"/>
  <c r="E73" i="31"/>
  <c r="D73" i="31"/>
  <c r="R71" i="31"/>
  <c r="Q71" i="31"/>
  <c r="P71" i="31"/>
  <c r="O71" i="31"/>
  <c r="N71" i="31"/>
  <c r="R70" i="31"/>
  <c r="Q70" i="31"/>
  <c r="P70" i="31"/>
  <c r="O70" i="31"/>
  <c r="N70" i="31"/>
  <c r="Q63" i="31"/>
  <c r="P63" i="31"/>
  <c r="O63" i="31"/>
  <c r="N63" i="31"/>
  <c r="M63" i="31"/>
  <c r="Q62" i="31"/>
  <c r="P62" i="31"/>
  <c r="O62" i="31"/>
  <c r="N62" i="31"/>
  <c r="M62" i="31"/>
  <c r="J59" i="31"/>
  <c r="I59" i="31"/>
  <c r="H59" i="31"/>
  <c r="G59" i="31"/>
  <c r="F59" i="31"/>
  <c r="E59" i="31"/>
  <c r="M58" i="31"/>
  <c r="L58" i="31"/>
  <c r="K58" i="31"/>
  <c r="J58" i="31"/>
  <c r="I58" i="31"/>
  <c r="H58" i="31"/>
  <c r="G58" i="31"/>
  <c r="F58" i="31"/>
  <c r="E58" i="31"/>
  <c r="B57" i="31"/>
  <c r="K56" i="31"/>
  <c r="H56" i="31"/>
  <c r="G56" i="31"/>
  <c r="F56" i="31"/>
  <c r="E56" i="31"/>
  <c r="M50" i="31"/>
  <c r="L50" i="31"/>
  <c r="L57" i="31" s="1"/>
  <c r="H50" i="31"/>
  <c r="G50" i="31"/>
  <c r="F50" i="31"/>
  <c r="E50" i="31"/>
  <c r="D50" i="31"/>
  <c r="M49" i="31"/>
  <c r="I49" i="31"/>
  <c r="J56" i="31" s="1"/>
  <c r="H41" i="31"/>
  <c r="G41" i="31"/>
  <c r="F41" i="31"/>
  <c r="E41" i="31"/>
  <c r="D41" i="31"/>
  <c r="N40" i="31"/>
  <c r="M40" i="31"/>
  <c r="L40" i="31"/>
  <c r="K40" i="31"/>
  <c r="J40" i="31"/>
  <c r="I40" i="31"/>
  <c r="J33" i="31"/>
  <c r="I33" i="31"/>
  <c r="H33" i="31"/>
  <c r="G33" i="31"/>
  <c r="F33" i="31"/>
  <c r="E33" i="31"/>
  <c r="Q32" i="31"/>
  <c r="P32" i="31"/>
  <c r="O32" i="31"/>
  <c r="N32" i="31"/>
  <c r="M32" i="31"/>
  <c r="L32" i="31"/>
  <c r="K32" i="31"/>
  <c r="J32" i="31"/>
  <c r="I32" i="31"/>
  <c r="H32" i="31"/>
  <c r="G32" i="31"/>
  <c r="F32" i="31"/>
  <c r="E32" i="31"/>
  <c r="I30" i="31"/>
  <c r="H30" i="31"/>
  <c r="G30" i="31"/>
  <c r="F30" i="31"/>
  <c r="E30" i="31"/>
  <c r="AE24" i="31"/>
  <c r="AD24" i="31"/>
  <c r="AA24" i="31"/>
  <c r="AA50" i="31" s="1"/>
  <c r="Z24" i="31"/>
  <c r="Z50" i="31" s="1"/>
  <c r="W24" i="31"/>
  <c r="W50" i="31" s="1"/>
  <c r="V24" i="31"/>
  <c r="V50" i="31" s="1"/>
  <c r="I24" i="31"/>
  <c r="H24" i="31"/>
  <c r="G24" i="31"/>
  <c r="F24" i="31"/>
  <c r="E24" i="31"/>
  <c r="D24" i="31"/>
  <c r="U24" i="31"/>
  <c r="U50" i="31" s="1"/>
  <c r="L23" i="31"/>
  <c r="M71" i="31" s="1"/>
  <c r="AE17" i="31"/>
  <c r="AD17" i="31"/>
  <c r="AA17" i="31"/>
  <c r="Z17" i="31"/>
  <c r="W17" i="31"/>
  <c r="V17" i="31"/>
  <c r="J16" i="31"/>
  <c r="I16" i="31"/>
  <c r="H16" i="31"/>
  <c r="G16" i="31"/>
  <c r="F16" i="31"/>
  <c r="E16" i="31"/>
  <c r="J15" i="31"/>
  <c r="I15" i="31"/>
  <c r="H15" i="31"/>
  <c r="G15" i="31"/>
  <c r="F15" i="31"/>
  <c r="E15" i="31"/>
  <c r="H13" i="31"/>
  <c r="G13" i="31"/>
  <c r="F13" i="31"/>
  <c r="E13" i="31"/>
  <c r="L7" i="31"/>
  <c r="J7" i="31"/>
  <c r="K14" i="31" s="1"/>
  <c r="H7" i="31"/>
  <c r="G7" i="31"/>
  <c r="F7" i="31"/>
  <c r="E7" i="31"/>
  <c r="D7" i="31"/>
  <c r="R6" i="31"/>
  <c r="Q6" i="31"/>
  <c r="P6" i="31"/>
  <c r="O6" i="31"/>
  <c r="N6" i="31"/>
  <c r="U17" i="31" s="1"/>
  <c r="M6" i="31"/>
  <c r="M13" i="31" s="1"/>
  <c r="K6" i="31"/>
  <c r="L13" i="31" s="1"/>
  <c r="I6" i="31"/>
  <c r="J13" i="31" s="1"/>
  <c r="U49" i="31" l="1"/>
  <c r="V49" i="31" s="1"/>
  <c r="W49" i="31" s="1"/>
  <c r="AC49" i="31"/>
  <c r="AD49" i="31" s="1"/>
  <c r="AE49" i="31" s="1"/>
  <c r="Y49" i="31"/>
  <c r="Z49" i="31" s="1"/>
  <c r="AA49" i="31" s="1"/>
  <c r="M56" i="31"/>
  <c r="R72" i="31"/>
  <c r="Q72" i="31"/>
  <c r="G57" i="31"/>
  <c r="M30" i="31"/>
  <c r="H31" i="31"/>
  <c r="M57" i="31"/>
  <c r="O72" i="31"/>
  <c r="P64" i="31"/>
  <c r="Q64" i="31"/>
  <c r="N64" i="31"/>
  <c r="O64" i="31"/>
  <c r="K13" i="31"/>
  <c r="I56" i="31"/>
  <c r="H14" i="31"/>
  <c r="F31" i="31"/>
  <c r="F14" i="31"/>
  <c r="Q57" i="31"/>
  <c r="E31" i="31"/>
  <c r="P57" i="31"/>
  <c r="H57" i="31"/>
  <c r="F57" i="31"/>
  <c r="O57" i="31"/>
  <c r="G14" i="31"/>
  <c r="E57" i="31"/>
  <c r="G31" i="31"/>
  <c r="E14" i="31"/>
  <c r="N72" i="31"/>
  <c r="M64" i="31"/>
  <c r="R56" i="31"/>
  <c r="Q56" i="31"/>
  <c r="O56" i="31"/>
  <c r="AD50" i="31" s="1"/>
  <c r="Q30" i="31"/>
  <c r="O30" i="31"/>
  <c r="P56" i="31"/>
  <c r="AE50" i="31" s="1"/>
  <c r="P30" i="31"/>
  <c r="R30" i="31"/>
  <c r="P72" i="31"/>
  <c r="I13" i="31"/>
  <c r="Y24" i="31"/>
  <c r="Y50" i="31" s="1"/>
  <c r="N30" i="31"/>
  <c r="N56" i="31"/>
  <c r="M69" i="31"/>
  <c r="M70" i="31"/>
  <c r="Y17" i="31"/>
  <c r="I31" i="31"/>
  <c r="AC17" i="31"/>
  <c r="L30" i="31"/>
  <c r="L56" i="31" s="1"/>
  <c r="N57" i="31"/>
  <c r="AD17" i="30"/>
  <c r="AC17" i="30"/>
  <c r="Z17" i="30"/>
  <c r="Y17" i="30"/>
  <c r="V17" i="30"/>
  <c r="U17" i="30"/>
  <c r="M72" i="31" l="1"/>
  <c r="O38" i="30" l="1"/>
  <c r="N38" i="30"/>
  <c r="P38" i="30"/>
  <c r="Q38" i="30"/>
  <c r="R38" i="30"/>
  <c r="M38" i="30" l="1"/>
  <c r="M41" i="31" s="1"/>
  <c r="M6" i="30"/>
  <c r="M7" i="31" s="1"/>
  <c r="O45" i="30" l="1"/>
  <c r="P45" i="30"/>
  <c r="Q45" i="30"/>
  <c r="R45" i="30"/>
  <c r="R66" i="30"/>
  <c r="R67" i="30"/>
  <c r="R52" i="30" l="1"/>
  <c r="N45" i="30"/>
  <c r="M45" i="30"/>
  <c r="M52" i="30" s="1"/>
  <c r="N22" i="30"/>
  <c r="O22" i="30"/>
  <c r="P22" i="30"/>
  <c r="Q22" i="30"/>
  <c r="R22" i="30"/>
  <c r="M22" i="30"/>
  <c r="M24" i="31" s="1"/>
  <c r="R68" i="30"/>
  <c r="R6" i="30"/>
  <c r="M46" i="30"/>
  <c r="N46" i="30"/>
  <c r="O46" i="30"/>
  <c r="P46" i="30"/>
  <c r="Q46" i="30"/>
  <c r="Q53" i="30" s="1"/>
  <c r="L46" i="30"/>
  <c r="L53" i="30" s="1"/>
  <c r="M23" i="30"/>
  <c r="N23" i="30"/>
  <c r="O23" i="30"/>
  <c r="P23" i="30"/>
  <c r="Q23" i="30"/>
  <c r="L7" i="30"/>
  <c r="J69" i="30"/>
  <c r="J68" i="30" s="1"/>
  <c r="I69" i="30"/>
  <c r="H69" i="30"/>
  <c r="G69" i="30"/>
  <c r="F69" i="30"/>
  <c r="E69" i="30"/>
  <c r="D69" i="30"/>
  <c r="Q67" i="30"/>
  <c r="Q68" i="30" s="1"/>
  <c r="P67" i="30"/>
  <c r="O67" i="30"/>
  <c r="N67" i="30"/>
  <c r="Q66" i="30"/>
  <c r="P66" i="30"/>
  <c r="O66" i="30"/>
  <c r="N66" i="30"/>
  <c r="N68" i="30" s="1"/>
  <c r="Q59" i="30"/>
  <c r="P59" i="30"/>
  <c r="O59" i="30"/>
  <c r="N59" i="30"/>
  <c r="M59" i="30"/>
  <c r="Q58" i="30"/>
  <c r="P58" i="30"/>
  <c r="O58" i="30"/>
  <c r="N58" i="30"/>
  <c r="M58" i="30"/>
  <c r="J55" i="30"/>
  <c r="I55" i="30"/>
  <c r="H55" i="30"/>
  <c r="G55" i="30"/>
  <c r="F55" i="30"/>
  <c r="E55" i="30"/>
  <c r="M54" i="30"/>
  <c r="L54" i="30"/>
  <c r="K54" i="30"/>
  <c r="J54" i="30"/>
  <c r="I54" i="30"/>
  <c r="H54" i="30"/>
  <c r="G54" i="30"/>
  <c r="F54" i="30"/>
  <c r="E54" i="30"/>
  <c r="P53" i="30"/>
  <c r="B53" i="30"/>
  <c r="K52" i="30"/>
  <c r="H52" i="30"/>
  <c r="G52" i="30"/>
  <c r="F52" i="30"/>
  <c r="E52" i="30"/>
  <c r="H46" i="30"/>
  <c r="H53" i="30" s="1"/>
  <c r="G46" i="30"/>
  <c r="G53" i="30" s="1"/>
  <c r="F46" i="30"/>
  <c r="E46" i="30"/>
  <c r="E53" i="30" s="1"/>
  <c r="D46" i="30"/>
  <c r="I45" i="30"/>
  <c r="J52" i="30" s="1"/>
  <c r="H39" i="30"/>
  <c r="G39" i="30"/>
  <c r="F39" i="30"/>
  <c r="E39" i="30"/>
  <c r="D39" i="30"/>
  <c r="L38" i="30"/>
  <c r="K38" i="30"/>
  <c r="J38" i="30"/>
  <c r="I38" i="30"/>
  <c r="J32" i="30"/>
  <c r="I32" i="30"/>
  <c r="H32" i="30"/>
  <c r="G32" i="30"/>
  <c r="F32" i="30"/>
  <c r="E32" i="30"/>
  <c r="Q31" i="30"/>
  <c r="P31" i="30"/>
  <c r="O31" i="30"/>
  <c r="N31" i="30"/>
  <c r="M31" i="30"/>
  <c r="L31" i="30"/>
  <c r="K31" i="30"/>
  <c r="J31" i="30"/>
  <c r="I31" i="30"/>
  <c r="H31" i="30"/>
  <c r="G31" i="30"/>
  <c r="F31" i="30"/>
  <c r="E31" i="30"/>
  <c r="B30" i="30"/>
  <c r="I29" i="30"/>
  <c r="H29" i="30"/>
  <c r="G29" i="30"/>
  <c r="F29" i="30"/>
  <c r="E29" i="30"/>
  <c r="B29" i="30"/>
  <c r="AD23" i="30"/>
  <c r="AC23" i="30"/>
  <c r="Z23" i="30"/>
  <c r="Z46" i="30" s="1"/>
  <c r="Y23" i="30"/>
  <c r="Y46" i="30" s="1"/>
  <c r="V23" i="30"/>
  <c r="V46" i="30" s="1"/>
  <c r="U23" i="30"/>
  <c r="U46" i="30" s="1"/>
  <c r="I23" i="30"/>
  <c r="H23" i="30"/>
  <c r="G23" i="30"/>
  <c r="G30" i="30" s="1"/>
  <c r="F23" i="30"/>
  <c r="E23" i="30"/>
  <c r="D23" i="30"/>
  <c r="L22" i="30"/>
  <c r="J16" i="30"/>
  <c r="I16" i="30"/>
  <c r="H16" i="30"/>
  <c r="G16" i="30"/>
  <c r="F16" i="30"/>
  <c r="E16" i="30"/>
  <c r="J15" i="30"/>
  <c r="I15" i="30"/>
  <c r="H15" i="30"/>
  <c r="G15" i="30"/>
  <c r="F15" i="30"/>
  <c r="E15" i="30"/>
  <c r="H13" i="30"/>
  <c r="G13" i="30"/>
  <c r="F13" i="30"/>
  <c r="E13" i="30"/>
  <c r="J7" i="30"/>
  <c r="K14" i="30" s="1"/>
  <c r="H7" i="30"/>
  <c r="G7" i="30"/>
  <c r="G14" i="30" s="1"/>
  <c r="F7" i="30"/>
  <c r="E7" i="30"/>
  <c r="D7" i="30"/>
  <c r="Q6" i="30"/>
  <c r="P6" i="30"/>
  <c r="O6" i="30"/>
  <c r="N6" i="30"/>
  <c r="M13" i="30"/>
  <c r="K6" i="30"/>
  <c r="K13" i="30" s="1"/>
  <c r="I6" i="30"/>
  <c r="I13" i="30" s="1"/>
  <c r="I30" i="30" l="1"/>
  <c r="P68" i="30"/>
  <c r="N30" i="30"/>
  <c r="P31" i="31"/>
  <c r="E14" i="30"/>
  <c r="F53" i="30"/>
  <c r="O30" i="30"/>
  <c r="R29" i="30"/>
  <c r="J13" i="30"/>
  <c r="X17" i="30"/>
  <c r="X38" i="30" s="1"/>
  <c r="Y38" i="30" s="1"/>
  <c r="Z38" i="30" s="1"/>
  <c r="T17" i="30"/>
  <c r="T38" i="30" s="1"/>
  <c r="U38" i="30" s="1"/>
  <c r="V38" i="30" s="1"/>
  <c r="AB17" i="30"/>
  <c r="N31" i="31"/>
  <c r="T23" i="30"/>
  <c r="X23" i="30"/>
  <c r="X46" i="30" s="1"/>
  <c r="X45" i="30" s="1"/>
  <c r="Y45" i="30" s="1"/>
  <c r="Z45" i="30" s="1"/>
  <c r="AB23" i="30"/>
  <c r="AB46" i="30" s="1"/>
  <c r="AB45" i="30" s="1"/>
  <c r="H30" i="30"/>
  <c r="O53" i="30"/>
  <c r="M53" i="30"/>
  <c r="Q60" i="30"/>
  <c r="O68" i="30"/>
  <c r="M60" i="30"/>
  <c r="O29" i="30"/>
  <c r="P52" i="30"/>
  <c r="AD46" i="30" s="1"/>
  <c r="P60" i="30"/>
  <c r="O52" i="30"/>
  <c r="AC46" i="30" s="1"/>
  <c r="P29" i="30"/>
  <c r="N29" i="30"/>
  <c r="Q52" i="30"/>
  <c r="N52" i="30"/>
  <c r="Q29" i="30"/>
  <c r="N60" i="30"/>
  <c r="O60" i="30"/>
  <c r="F14" i="30"/>
  <c r="H14" i="30"/>
  <c r="E30" i="30"/>
  <c r="F30" i="30"/>
  <c r="N53" i="30"/>
  <c r="P30" i="30"/>
  <c r="M66" i="30"/>
  <c r="L13" i="30"/>
  <c r="T46" i="30"/>
  <c r="T45" i="30" s="1"/>
  <c r="U45" i="30" s="1"/>
  <c r="V45" i="30" s="1"/>
  <c r="I52" i="30"/>
  <c r="L29" i="30"/>
  <c r="L52" i="30" s="1"/>
  <c r="M65" i="30"/>
  <c r="M29" i="30"/>
  <c r="M67" i="30"/>
  <c r="AC23" i="29"/>
  <c r="AC46" i="29" s="1"/>
  <c r="AB23" i="29"/>
  <c r="AB46" i="29" s="1"/>
  <c r="Y23" i="29"/>
  <c r="Y46" i="29" s="1"/>
  <c r="X23" i="29"/>
  <c r="X46" i="29" s="1"/>
  <c r="U23" i="29"/>
  <c r="U46" i="29" s="1"/>
  <c r="T23" i="29"/>
  <c r="T46" i="29" s="1"/>
  <c r="O31" i="31" l="1"/>
  <c r="AC45" i="30"/>
  <c r="AD45" i="30" s="1"/>
  <c r="M68" i="30"/>
  <c r="L46" i="29"/>
  <c r="L38" i="29"/>
  <c r="L7" i="29"/>
  <c r="J69" i="29"/>
  <c r="J68" i="29" s="1"/>
  <c r="I69" i="29"/>
  <c r="H69" i="29"/>
  <c r="G69" i="29"/>
  <c r="F69" i="29"/>
  <c r="E69" i="29"/>
  <c r="D69" i="29"/>
  <c r="Q67" i="29"/>
  <c r="P67" i="29"/>
  <c r="O67" i="29"/>
  <c r="N67" i="29"/>
  <c r="Q66" i="29"/>
  <c r="P66" i="29"/>
  <c r="O66" i="29"/>
  <c r="N66" i="29"/>
  <c r="Q65" i="29"/>
  <c r="Q68" i="29" s="1"/>
  <c r="P65" i="29"/>
  <c r="P68" i="29" s="1"/>
  <c r="O65" i="29"/>
  <c r="O68" i="29" s="1"/>
  <c r="N65" i="29"/>
  <c r="N68" i="29"/>
  <c r="Q59" i="29"/>
  <c r="P59" i="29"/>
  <c r="O59" i="29"/>
  <c r="N59" i="29"/>
  <c r="M59" i="29"/>
  <c r="Q58" i="29"/>
  <c r="P58" i="29"/>
  <c r="O58" i="29"/>
  <c r="N58" i="29"/>
  <c r="M58" i="29"/>
  <c r="J55" i="29"/>
  <c r="I55" i="29"/>
  <c r="H55" i="29"/>
  <c r="G55" i="29"/>
  <c r="F55" i="29"/>
  <c r="E55" i="29"/>
  <c r="M54" i="29"/>
  <c r="L54" i="29"/>
  <c r="K54" i="29"/>
  <c r="J54" i="29"/>
  <c r="I54" i="29"/>
  <c r="H54" i="29"/>
  <c r="G54" i="29"/>
  <c r="F54" i="29"/>
  <c r="E54" i="29"/>
  <c r="B53" i="29"/>
  <c r="K52" i="29"/>
  <c r="H52" i="29"/>
  <c r="G52" i="29"/>
  <c r="F52" i="29"/>
  <c r="E52" i="29"/>
  <c r="H46" i="29"/>
  <c r="G46" i="29"/>
  <c r="F46" i="29"/>
  <c r="F53" i="29" s="1"/>
  <c r="E46" i="29"/>
  <c r="D46" i="29"/>
  <c r="M52" i="29"/>
  <c r="I45" i="29"/>
  <c r="J52" i="29" s="1"/>
  <c r="H39" i="29"/>
  <c r="G39" i="29"/>
  <c r="F39" i="29"/>
  <c r="E39" i="29"/>
  <c r="D39" i="29"/>
  <c r="Q38" i="29"/>
  <c r="Q39" i="30" s="1"/>
  <c r="P38" i="29"/>
  <c r="P39" i="30" s="1"/>
  <c r="O38" i="29"/>
  <c r="O39" i="30" s="1"/>
  <c r="N38" i="29"/>
  <c r="N39" i="30" s="1"/>
  <c r="M38" i="29"/>
  <c r="M39" i="30" s="1"/>
  <c r="K38" i="29"/>
  <c r="J38" i="29"/>
  <c r="I38" i="29"/>
  <c r="J32" i="29"/>
  <c r="I32" i="29"/>
  <c r="H32" i="29"/>
  <c r="G32" i="29"/>
  <c r="F32" i="29"/>
  <c r="E32" i="29"/>
  <c r="Q31" i="29"/>
  <c r="P31" i="29"/>
  <c r="O31" i="29"/>
  <c r="N31" i="29"/>
  <c r="M31" i="29"/>
  <c r="L31" i="29"/>
  <c r="K31" i="29"/>
  <c r="J31" i="29"/>
  <c r="I31" i="29"/>
  <c r="H31" i="29"/>
  <c r="G31" i="29"/>
  <c r="F31" i="29"/>
  <c r="E31" i="29"/>
  <c r="B30" i="29"/>
  <c r="I29" i="29"/>
  <c r="H29" i="29"/>
  <c r="G29" i="29"/>
  <c r="F29" i="29"/>
  <c r="E29" i="29"/>
  <c r="B29" i="29"/>
  <c r="I23" i="29"/>
  <c r="H23" i="29"/>
  <c r="G23" i="29"/>
  <c r="F23" i="29"/>
  <c r="F30" i="29" s="1"/>
  <c r="E23" i="29"/>
  <c r="D23" i="29"/>
  <c r="L22" i="29"/>
  <c r="J16" i="29"/>
  <c r="I16" i="29"/>
  <c r="H16" i="29"/>
  <c r="G16" i="29"/>
  <c r="F16" i="29"/>
  <c r="E16" i="29"/>
  <c r="J15" i="29"/>
  <c r="I15" i="29"/>
  <c r="H15" i="29"/>
  <c r="G15" i="29"/>
  <c r="F15" i="29"/>
  <c r="E15" i="29"/>
  <c r="H13" i="29"/>
  <c r="G13" i="29"/>
  <c r="F13" i="29"/>
  <c r="E13" i="29"/>
  <c r="J7" i="29"/>
  <c r="K14" i="29" s="1"/>
  <c r="H7" i="29"/>
  <c r="H14" i="29" s="1"/>
  <c r="G7" i="29"/>
  <c r="F7" i="29"/>
  <c r="E7" i="29"/>
  <c r="D7" i="29"/>
  <c r="Q6" i="29"/>
  <c r="Q7" i="30" s="1"/>
  <c r="P6" i="29"/>
  <c r="P7" i="30" s="1"/>
  <c r="O6" i="29"/>
  <c r="O7" i="30" s="1"/>
  <c r="N6" i="29"/>
  <c r="N7" i="30" s="1"/>
  <c r="M6" i="29"/>
  <c r="K6" i="29"/>
  <c r="L13" i="29" s="1"/>
  <c r="I6" i="29"/>
  <c r="I13" i="29" s="1"/>
  <c r="N60" i="29" l="1"/>
  <c r="P73" i="31"/>
  <c r="P69" i="30"/>
  <c r="Q73" i="31"/>
  <c r="Q69" i="30"/>
  <c r="O73" i="31"/>
  <c r="O69" i="30"/>
  <c r="E14" i="29"/>
  <c r="L24" i="31"/>
  <c r="L23" i="30"/>
  <c r="S23" i="29"/>
  <c r="S46" i="29" s="1"/>
  <c r="S45" i="29" s="1"/>
  <c r="T45" i="29" s="1"/>
  <c r="U45" i="29" s="1"/>
  <c r="W23" i="29"/>
  <c r="W46" i="29" s="1"/>
  <c r="W45" i="29" s="1"/>
  <c r="X45" i="29" s="1"/>
  <c r="Y45" i="29" s="1"/>
  <c r="AA23" i="29"/>
  <c r="AA46" i="29" s="1"/>
  <c r="AA45" i="29" s="1"/>
  <c r="AB45" i="29" s="1"/>
  <c r="AC45" i="29" s="1"/>
  <c r="M29" i="29"/>
  <c r="M62" i="29" s="1"/>
  <c r="E53" i="29"/>
  <c r="N73" i="31"/>
  <c r="N69" i="30"/>
  <c r="M13" i="29"/>
  <c r="M7" i="30"/>
  <c r="J13" i="29"/>
  <c r="G53" i="29"/>
  <c r="L41" i="31"/>
  <c r="L39" i="30"/>
  <c r="G30" i="29"/>
  <c r="H30" i="29"/>
  <c r="H53" i="29"/>
  <c r="F14" i="29"/>
  <c r="G14" i="29"/>
  <c r="E30" i="29"/>
  <c r="I30" i="29"/>
  <c r="Q60" i="29"/>
  <c r="O60" i="29"/>
  <c r="P60" i="29"/>
  <c r="P52" i="29"/>
  <c r="Q29" i="29"/>
  <c r="Q62" i="29" s="1"/>
  <c r="P29" i="29"/>
  <c r="P62" i="29" s="1"/>
  <c r="Q52" i="29"/>
  <c r="M60" i="29"/>
  <c r="N29" i="29"/>
  <c r="O29" i="29"/>
  <c r="O62" i="29" s="1"/>
  <c r="L29" i="29"/>
  <c r="L52" i="29" s="1"/>
  <c r="K13" i="29"/>
  <c r="M66" i="29"/>
  <c r="I52" i="29"/>
  <c r="L53" i="29"/>
  <c r="M67" i="29"/>
  <c r="M65" i="29"/>
  <c r="Y23" i="28"/>
  <c r="X23" i="28"/>
  <c r="S45" i="28"/>
  <c r="T45" i="28" s="1"/>
  <c r="T46" i="28"/>
  <c r="S46" i="28"/>
  <c r="M31" i="31" l="1"/>
  <c r="L31" i="31"/>
  <c r="L30" i="30"/>
  <c r="M30" i="30"/>
  <c r="N62" i="29"/>
  <c r="N52" i="29"/>
  <c r="O52" i="29" s="1"/>
  <c r="M68" i="29"/>
  <c r="N45" i="28"/>
  <c r="N46" i="29" s="1"/>
  <c r="O45" i="28"/>
  <c r="P45" i="28"/>
  <c r="P46" i="29" s="1"/>
  <c r="Q45" i="28"/>
  <c r="Q46" i="29" s="1"/>
  <c r="M45" i="28"/>
  <c r="N38" i="28"/>
  <c r="M73" i="31" l="1"/>
  <c r="M69" i="30"/>
  <c r="M46" i="29"/>
  <c r="M53" i="29" s="1"/>
  <c r="W45" i="28"/>
  <c r="O46" i="29"/>
  <c r="O53" i="29" s="1"/>
  <c r="U45" i="28"/>
  <c r="U46" i="28" s="1"/>
  <c r="N39" i="29"/>
  <c r="T38" i="28"/>
  <c r="X38" i="28"/>
  <c r="N53" i="29"/>
  <c r="Q53" i="29"/>
  <c r="Q52" i="28"/>
  <c r="P52" i="28"/>
  <c r="O52" i="28"/>
  <c r="N52" i="28"/>
  <c r="O22" i="28"/>
  <c r="P22" i="28"/>
  <c r="P23" i="29" s="1"/>
  <c r="Q22" i="28"/>
  <c r="Q23" i="29" s="1"/>
  <c r="L46" i="28"/>
  <c r="M7" i="28"/>
  <c r="N7" i="28"/>
  <c r="O7" i="28"/>
  <c r="P7" i="28"/>
  <c r="Q7" i="28"/>
  <c r="L7" i="28"/>
  <c r="M38" i="28"/>
  <c r="Q6" i="28"/>
  <c r="Q7" i="29" s="1"/>
  <c r="P6" i="28"/>
  <c r="P7" i="29" s="1"/>
  <c r="O6" i="28"/>
  <c r="N6" i="28"/>
  <c r="M6" i="28"/>
  <c r="J69" i="28"/>
  <c r="I69" i="28"/>
  <c r="H69" i="28"/>
  <c r="G69" i="28"/>
  <c r="F69" i="28"/>
  <c r="E69" i="28"/>
  <c r="D69" i="28"/>
  <c r="J68" i="28"/>
  <c r="Q67" i="28"/>
  <c r="P67" i="28"/>
  <c r="O67" i="28"/>
  <c r="N67" i="28"/>
  <c r="Q66" i="28"/>
  <c r="P66" i="28"/>
  <c r="O66" i="28"/>
  <c r="N66" i="28"/>
  <c r="Q65" i="28"/>
  <c r="P65" i="28"/>
  <c r="O65" i="28"/>
  <c r="N65" i="28"/>
  <c r="Q64" i="28"/>
  <c r="Q68" i="28" s="1"/>
  <c r="P64" i="28"/>
  <c r="O64" i="28"/>
  <c r="N64" i="28"/>
  <c r="Q59" i="28"/>
  <c r="P59" i="28"/>
  <c r="O59" i="28"/>
  <c r="N59" i="28"/>
  <c r="M59" i="28"/>
  <c r="Q58" i="28"/>
  <c r="Q60" i="28" s="1"/>
  <c r="P58" i="28"/>
  <c r="O58" i="28"/>
  <c r="N58" i="28"/>
  <c r="M58" i="28"/>
  <c r="J55" i="28"/>
  <c r="I55" i="28"/>
  <c r="H55" i="28"/>
  <c r="G55" i="28"/>
  <c r="F55" i="28"/>
  <c r="E55" i="28"/>
  <c r="M54" i="28"/>
  <c r="L54" i="28"/>
  <c r="K54" i="28"/>
  <c r="J54" i="28"/>
  <c r="I54" i="28"/>
  <c r="H54" i="28"/>
  <c r="G54" i="28"/>
  <c r="F54" i="28"/>
  <c r="E54" i="28"/>
  <c r="Q53" i="28"/>
  <c r="P53" i="28"/>
  <c r="O53" i="28"/>
  <c r="N53" i="28"/>
  <c r="M53" i="28"/>
  <c r="L53" i="28"/>
  <c r="B53" i="28"/>
  <c r="K52" i="28"/>
  <c r="H52" i="28"/>
  <c r="G52" i="28"/>
  <c r="F52" i="28"/>
  <c r="E52" i="28"/>
  <c r="H46" i="28"/>
  <c r="G46" i="28"/>
  <c r="F46" i="28"/>
  <c r="F53" i="28" s="1"/>
  <c r="E46" i="28"/>
  <c r="D46" i="28"/>
  <c r="M52" i="28"/>
  <c r="I45" i="28"/>
  <c r="J52" i="28" s="1"/>
  <c r="H39" i="28"/>
  <c r="G39" i="28"/>
  <c r="F39" i="28"/>
  <c r="E39" i="28"/>
  <c r="D39" i="28"/>
  <c r="Q38" i="28"/>
  <c r="Q39" i="29" s="1"/>
  <c r="P38" i="28"/>
  <c r="P39" i="29" s="1"/>
  <c r="O38" i="28"/>
  <c r="L38" i="28"/>
  <c r="L39" i="29" s="1"/>
  <c r="K38" i="28"/>
  <c r="J38" i="28"/>
  <c r="I38" i="28"/>
  <c r="J32" i="28"/>
  <c r="I32" i="28"/>
  <c r="H32" i="28"/>
  <c r="G32" i="28"/>
  <c r="F32" i="28"/>
  <c r="E32" i="28"/>
  <c r="Q31" i="28"/>
  <c r="P31" i="28"/>
  <c r="O31" i="28"/>
  <c r="N31" i="28"/>
  <c r="M31" i="28"/>
  <c r="L31" i="28"/>
  <c r="K31" i="28"/>
  <c r="J31" i="28"/>
  <c r="I31" i="28"/>
  <c r="H31" i="28"/>
  <c r="G31" i="28"/>
  <c r="F31" i="28"/>
  <c r="E31" i="28"/>
  <c r="B30" i="28"/>
  <c r="I29" i="28"/>
  <c r="H29" i="28"/>
  <c r="G29" i="28"/>
  <c r="F29" i="28"/>
  <c r="E29" i="28"/>
  <c r="B29" i="28"/>
  <c r="I23" i="28"/>
  <c r="I30" i="28" s="1"/>
  <c r="H23" i="28"/>
  <c r="G23" i="28"/>
  <c r="F23" i="28"/>
  <c r="F30" i="28" s="1"/>
  <c r="E23" i="28"/>
  <c r="D23" i="28"/>
  <c r="N22" i="28"/>
  <c r="N23" i="29" s="1"/>
  <c r="M22" i="28"/>
  <c r="L22" i="28"/>
  <c r="J16" i="28"/>
  <c r="I16" i="28"/>
  <c r="H16" i="28"/>
  <c r="G16" i="28"/>
  <c r="F16" i="28"/>
  <c r="E16" i="28"/>
  <c r="J15" i="28"/>
  <c r="I15" i="28"/>
  <c r="H15" i="28"/>
  <c r="G15" i="28"/>
  <c r="F15" i="28"/>
  <c r="E15" i="28"/>
  <c r="K13" i="28"/>
  <c r="H13" i="28"/>
  <c r="G13" i="28"/>
  <c r="F13" i="28"/>
  <c r="E13" i="28"/>
  <c r="J7" i="28"/>
  <c r="H7" i="28"/>
  <c r="G7" i="28"/>
  <c r="F7" i="28"/>
  <c r="E7" i="28"/>
  <c r="E14" i="28" s="1"/>
  <c r="D7" i="28"/>
  <c r="K6" i="28"/>
  <c r="L13" i="28" s="1"/>
  <c r="I6" i="28"/>
  <c r="J13" i="28" s="1"/>
  <c r="E30" i="28" l="1"/>
  <c r="P53" i="29"/>
  <c r="F14" i="28"/>
  <c r="M23" i="29"/>
  <c r="W22" i="28"/>
  <c r="X22" i="28" s="1"/>
  <c r="Y22" i="28" s="1"/>
  <c r="E53" i="28"/>
  <c r="M39" i="29"/>
  <c r="S38" i="28"/>
  <c r="W38" i="28"/>
  <c r="H14" i="28"/>
  <c r="H53" i="28"/>
  <c r="M64" i="28"/>
  <c r="L23" i="29"/>
  <c r="L30" i="29" s="1"/>
  <c r="S22" i="28"/>
  <c r="T22" i="28" s="1"/>
  <c r="O39" i="29"/>
  <c r="U38" i="28"/>
  <c r="Y38" i="28"/>
  <c r="N68" i="28"/>
  <c r="M13" i="28"/>
  <c r="M7" i="29"/>
  <c r="S6" i="28"/>
  <c r="W6" i="28"/>
  <c r="P60" i="28"/>
  <c r="N7" i="29"/>
  <c r="X6" i="28"/>
  <c r="T6" i="28"/>
  <c r="G30" i="28"/>
  <c r="O7" i="29"/>
  <c r="U6" i="28"/>
  <c r="Y6" i="28"/>
  <c r="H30" i="28"/>
  <c r="O23" i="29"/>
  <c r="O30" i="29" s="1"/>
  <c r="U22" i="28"/>
  <c r="O60" i="28"/>
  <c r="Q29" i="28"/>
  <c r="Q62" i="28" s="1"/>
  <c r="P29" i="28"/>
  <c r="P62" i="28" s="1"/>
  <c r="O29" i="28"/>
  <c r="O62" i="28" s="1"/>
  <c r="M60" i="28"/>
  <c r="N29" i="28"/>
  <c r="N62" i="28" s="1"/>
  <c r="N60" i="28"/>
  <c r="M29" i="28"/>
  <c r="M62" i="28" s="1"/>
  <c r="O68" i="28"/>
  <c r="P68" i="28"/>
  <c r="M65" i="28"/>
  <c r="X46" i="28"/>
  <c r="X45" i="28" s="1"/>
  <c r="I13" i="28"/>
  <c r="M66" i="28"/>
  <c r="G14" i="28"/>
  <c r="K14" i="28"/>
  <c r="I52" i="28"/>
  <c r="G53" i="28"/>
  <c r="M67" i="28"/>
  <c r="L29" i="28"/>
  <c r="L52" i="28" s="1"/>
  <c r="N45" i="27"/>
  <c r="O45" i="27"/>
  <c r="P45" i="27"/>
  <c r="Q45" i="27"/>
  <c r="M45" i="27"/>
  <c r="S45" i="27" s="1"/>
  <c r="S46" i="27" s="1"/>
  <c r="O62" i="27"/>
  <c r="P62" i="27"/>
  <c r="Q62" i="27"/>
  <c r="N38" i="27"/>
  <c r="N39" i="28" s="1"/>
  <c r="O38" i="27"/>
  <c r="O39" i="28" s="1"/>
  <c r="P38" i="27"/>
  <c r="P39" i="28" s="1"/>
  <c r="Q38" i="27"/>
  <c r="Q39" i="28" s="1"/>
  <c r="M38" i="27"/>
  <c r="M39" i="28" s="1"/>
  <c r="P30" i="29" l="1"/>
  <c r="U23" i="28"/>
  <c r="N30" i="29"/>
  <c r="M30" i="29"/>
  <c r="M68" i="28"/>
  <c r="Y46" i="28"/>
  <c r="Y45" i="28" s="1"/>
  <c r="M52" i="27"/>
  <c r="W45" i="27"/>
  <c r="W46" i="27" s="1"/>
  <c r="U45" i="27"/>
  <c r="O52" i="27"/>
  <c r="Y45" i="27"/>
  <c r="X45" i="27"/>
  <c r="T45" i="27"/>
  <c r="N52" i="27"/>
  <c r="Q52" i="27" l="1"/>
  <c r="P52" i="27"/>
  <c r="L22" i="27" l="1"/>
  <c r="L23" i="28" s="1"/>
  <c r="L30" i="28" s="1"/>
  <c r="M66" i="27" l="1"/>
  <c r="M64" i="27"/>
  <c r="M67" i="27"/>
  <c r="M65" i="27"/>
  <c r="Q67" i="27"/>
  <c r="P67" i="27"/>
  <c r="O67" i="27"/>
  <c r="N67" i="27"/>
  <c r="Q66" i="27"/>
  <c r="P66" i="27"/>
  <c r="O66" i="27"/>
  <c r="N66" i="27"/>
  <c r="Q65" i="27"/>
  <c r="P65" i="27"/>
  <c r="O65" i="27"/>
  <c r="N65" i="27"/>
  <c r="Q64" i="27"/>
  <c r="P64" i="27"/>
  <c r="O64" i="27"/>
  <c r="N64" i="27"/>
  <c r="J69" i="27"/>
  <c r="J68" i="27" s="1"/>
  <c r="I69" i="27"/>
  <c r="H69" i="27"/>
  <c r="G69" i="27"/>
  <c r="F69" i="27"/>
  <c r="E69" i="27"/>
  <c r="D69" i="27"/>
  <c r="N68" i="27" l="1"/>
  <c r="P68" i="27"/>
  <c r="O68" i="27"/>
  <c r="M68" i="27"/>
  <c r="Q68" i="27"/>
  <c r="M22" i="27" l="1"/>
  <c r="N22" i="27"/>
  <c r="N23" i="28" l="1"/>
  <c r="X22" i="27"/>
  <c r="T22" i="27"/>
  <c r="M23" i="28"/>
  <c r="M30" i="28" s="1"/>
  <c r="W22" i="27"/>
  <c r="W23" i="27" s="1"/>
  <c r="S22" i="27"/>
  <c r="S23" i="27" s="1"/>
  <c r="O22" i="27"/>
  <c r="Q59" i="27"/>
  <c r="Q58" i="27"/>
  <c r="Q53" i="27"/>
  <c r="Q31" i="27"/>
  <c r="L38" i="27"/>
  <c r="L39" i="28" s="1"/>
  <c r="P59" i="27"/>
  <c r="O59" i="27"/>
  <c r="N59" i="27"/>
  <c r="M59" i="27"/>
  <c r="P58" i="27"/>
  <c r="O58" i="27"/>
  <c r="N58" i="27"/>
  <c r="M58" i="27"/>
  <c r="J55" i="27"/>
  <c r="I55" i="27"/>
  <c r="H55" i="27"/>
  <c r="G55" i="27"/>
  <c r="F55" i="27"/>
  <c r="E55" i="27"/>
  <c r="M54" i="27"/>
  <c r="L54" i="27"/>
  <c r="K54" i="27"/>
  <c r="J54" i="27"/>
  <c r="I54" i="27"/>
  <c r="H54" i="27"/>
  <c r="G54" i="27"/>
  <c r="F54" i="27"/>
  <c r="E54" i="27"/>
  <c r="P53" i="27"/>
  <c r="O53" i="27"/>
  <c r="N53" i="27"/>
  <c r="M53" i="27"/>
  <c r="L53" i="27"/>
  <c r="B53" i="27"/>
  <c r="K52" i="27"/>
  <c r="H52" i="27"/>
  <c r="G52" i="27"/>
  <c r="F52" i="27"/>
  <c r="E52" i="27"/>
  <c r="B52" i="27"/>
  <c r="H46" i="27"/>
  <c r="G46" i="27"/>
  <c r="F46" i="27"/>
  <c r="E46" i="27"/>
  <c r="D46" i="27"/>
  <c r="I45" i="27"/>
  <c r="J52" i="27" s="1"/>
  <c r="L40" i="27"/>
  <c r="H39" i="27"/>
  <c r="G39" i="27"/>
  <c r="F39" i="27"/>
  <c r="E39" i="27"/>
  <c r="D39" i="27"/>
  <c r="K38" i="27"/>
  <c r="J38" i="27"/>
  <c r="I38" i="27"/>
  <c r="J32" i="27"/>
  <c r="I32" i="27"/>
  <c r="H32" i="27"/>
  <c r="G32" i="27"/>
  <c r="F32" i="27"/>
  <c r="E32" i="27"/>
  <c r="P31" i="27"/>
  <c r="O31" i="27"/>
  <c r="N31" i="27"/>
  <c r="M31" i="27"/>
  <c r="L31" i="27"/>
  <c r="K31" i="27"/>
  <c r="J31" i="27"/>
  <c r="I31" i="27"/>
  <c r="H31" i="27"/>
  <c r="G31" i="27"/>
  <c r="F31" i="27"/>
  <c r="E31" i="27"/>
  <c r="P30" i="27"/>
  <c r="O30" i="27"/>
  <c r="N30" i="27"/>
  <c r="M30" i="27"/>
  <c r="L30" i="27"/>
  <c r="B30" i="27"/>
  <c r="I29" i="27"/>
  <c r="H29" i="27"/>
  <c r="G29" i="27"/>
  <c r="F29" i="27"/>
  <c r="E29" i="27"/>
  <c r="B29" i="27"/>
  <c r="I23" i="27"/>
  <c r="H23" i="27"/>
  <c r="G23" i="27"/>
  <c r="F23" i="27"/>
  <c r="E23" i="27"/>
  <c r="D23" i="27"/>
  <c r="L29" i="27"/>
  <c r="L52" i="27" s="1"/>
  <c r="J16" i="27"/>
  <c r="I16" i="27"/>
  <c r="H16" i="27"/>
  <c r="G16" i="27"/>
  <c r="F16" i="27"/>
  <c r="E16" i="27"/>
  <c r="J15" i="27"/>
  <c r="I15" i="27"/>
  <c r="H15" i="27"/>
  <c r="G15" i="27"/>
  <c r="F15" i="27"/>
  <c r="E15" i="27"/>
  <c r="H13" i="27"/>
  <c r="G13" i="27"/>
  <c r="F13" i="27"/>
  <c r="E13" i="27"/>
  <c r="J7" i="27"/>
  <c r="K14" i="27" s="1"/>
  <c r="H7" i="27"/>
  <c r="G7" i="27"/>
  <c r="F7" i="27"/>
  <c r="E7" i="27"/>
  <c r="D7" i="27"/>
  <c r="K6" i="27"/>
  <c r="I6" i="27"/>
  <c r="J13" i="27" s="1"/>
  <c r="O23" i="28" l="1"/>
  <c r="O30" i="28" s="1"/>
  <c r="Y22" i="27"/>
  <c r="Y23" i="27" s="1"/>
  <c r="Y46" i="27" s="1"/>
  <c r="U22" i="27"/>
  <c r="U23" i="27" s="1"/>
  <c r="U46" i="27" s="1"/>
  <c r="M60" i="27"/>
  <c r="N60" i="27"/>
  <c r="T23" i="27"/>
  <c r="T46" i="27" s="1"/>
  <c r="O60" i="27"/>
  <c r="X23" i="27"/>
  <c r="X46" i="27" s="1"/>
  <c r="P60" i="27"/>
  <c r="Q60" i="27"/>
  <c r="N30" i="28"/>
  <c r="P22" i="27"/>
  <c r="F30" i="27"/>
  <c r="H53" i="27"/>
  <c r="I13" i="27"/>
  <c r="E53" i="27"/>
  <c r="H30" i="27"/>
  <c r="F53" i="27"/>
  <c r="I52" i="27"/>
  <c r="M29" i="27"/>
  <c r="M62" i="27" s="1"/>
  <c r="F14" i="27"/>
  <c r="E30" i="27"/>
  <c r="I30" i="27"/>
  <c r="G53" i="27"/>
  <c r="G14" i="27"/>
  <c r="E14" i="27"/>
  <c r="G30" i="27"/>
  <c r="M13" i="27"/>
  <c r="L13" i="27"/>
  <c r="H14" i="27"/>
  <c r="K13" i="27"/>
  <c r="N29" i="27"/>
  <c r="N62" i="27" s="1"/>
  <c r="Q22" i="27" l="1"/>
  <c r="Q23" i="28" s="1"/>
  <c r="P23" i="28"/>
  <c r="P30" i="28" s="1"/>
  <c r="L22" i="26"/>
  <c r="L45" i="26"/>
  <c r="P45" i="26"/>
  <c r="O45" i="26"/>
  <c r="N45" i="26"/>
  <c r="M45" i="26"/>
  <c r="N22" i="26"/>
  <c r="O22" i="26"/>
  <c r="P22" i="26"/>
  <c r="M22" i="26"/>
  <c r="T22" i="26"/>
  <c r="S22" i="26"/>
  <c r="X38" i="26" l="1"/>
  <c r="W38" i="26"/>
  <c r="S23" i="26"/>
  <c r="S46" i="26" s="1"/>
  <c r="S45" i="26" s="1"/>
  <c r="W22" i="26"/>
  <c r="X21" i="26"/>
  <c r="X22" i="26" s="1"/>
  <c r="N38" i="26"/>
  <c r="O38" i="26"/>
  <c r="P38" i="26"/>
  <c r="M38" i="26"/>
  <c r="L40" i="26" l="1"/>
  <c r="B53" i="26"/>
  <c r="W5" i="26" l="1"/>
  <c r="X5" i="26"/>
  <c r="T5" i="26"/>
  <c r="S5" i="26"/>
  <c r="V37" i="26" l="1"/>
  <c r="V20" i="26"/>
  <c r="V22" i="26" s="1"/>
  <c r="V6" i="26" l="1"/>
  <c r="L29" i="26" l="1"/>
  <c r="L52" i="26" s="1"/>
  <c r="X23" i="26"/>
  <c r="X46" i="26" s="1"/>
  <c r="P59" i="26"/>
  <c r="O59" i="26"/>
  <c r="N59" i="26"/>
  <c r="M59" i="26"/>
  <c r="P58" i="26"/>
  <c r="O58" i="26"/>
  <c r="N58" i="26"/>
  <c r="M58" i="26"/>
  <c r="J55" i="26"/>
  <c r="I55" i="26"/>
  <c r="H55" i="26"/>
  <c r="G55" i="26"/>
  <c r="F55" i="26"/>
  <c r="E55" i="26"/>
  <c r="M54" i="26"/>
  <c r="L54" i="26"/>
  <c r="K54" i="26"/>
  <c r="J54" i="26"/>
  <c r="I54" i="26"/>
  <c r="H54" i="26"/>
  <c r="G54" i="26"/>
  <c r="F54" i="26"/>
  <c r="E54" i="26"/>
  <c r="P53" i="26"/>
  <c r="O53" i="26"/>
  <c r="N53" i="26"/>
  <c r="M53" i="26"/>
  <c r="L53" i="26"/>
  <c r="K52" i="26"/>
  <c r="H52" i="26"/>
  <c r="G52" i="26"/>
  <c r="F52" i="26"/>
  <c r="E52" i="26"/>
  <c r="B52" i="26"/>
  <c r="H46" i="26"/>
  <c r="G46" i="26"/>
  <c r="F46" i="26"/>
  <c r="E46" i="26"/>
  <c r="D46" i="26"/>
  <c r="I45" i="26"/>
  <c r="J52" i="26" s="1"/>
  <c r="H39" i="26"/>
  <c r="G39" i="26"/>
  <c r="F39" i="26"/>
  <c r="E39" i="26"/>
  <c r="D39" i="26"/>
  <c r="K38" i="26"/>
  <c r="J38" i="26"/>
  <c r="I38" i="26"/>
  <c r="J32" i="26"/>
  <c r="I32" i="26"/>
  <c r="H32" i="26"/>
  <c r="G32" i="26"/>
  <c r="F32" i="26"/>
  <c r="E32" i="26"/>
  <c r="P31" i="26"/>
  <c r="O31" i="26"/>
  <c r="N31" i="26"/>
  <c r="M31" i="26"/>
  <c r="L31" i="26"/>
  <c r="K31" i="26"/>
  <c r="J31" i="26"/>
  <c r="I31" i="26"/>
  <c r="H31" i="26"/>
  <c r="G31" i="26"/>
  <c r="F31" i="26"/>
  <c r="E31" i="26"/>
  <c r="P30" i="26"/>
  <c r="O30" i="26"/>
  <c r="N30" i="26"/>
  <c r="M30" i="26"/>
  <c r="L30" i="26"/>
  <c r="B30" i="26"/>
  <c r="I29" i="26"/>
  <c r="H29" i="26"/>
  <c r="G29" i="26"/>
  <c r="F29" i="26"/>
  <c r="E29" i="26"/>
  <c r="B29" i="26"/>
  <c r="I23" i="26"/>
  <c r="H23" i="26"/>
  <c r="G23" i="26"/>
  <c r="F23" i="26"/>
  <c r="E23" i="26"/>
  <c r="D23" i="26"/>
  <c r="J16" i="26"/>
  <c r="I16" i="26"/>
  <c r="H16" i="26"/>
  <c r="G16" i="26"/>
  <c r="F16" i="26"/>
  <c r="E16" i="26"/>
  <c r="J15" i="26"/>
  <c r="I15" i="26"/>
  <c r="H15" i="26"/>
  <c r="G15" i="26"/>
  <c r="F15" i="26"/>
  <c r="E15" i="26"/>
  <c r="H13" i="26"/>
  <c r="G13" i="26"/>
  <c r="F13" i="26"/>
  <c r="E13" i="26"/>
  <c r="J7" i="26"/>
  <c r="K14" i="26" s="1"/>
  <c r="H7" i="26"/>
  <c r="G7" i="26"/>
  <c r="F7" i="26"/>
  <c r="E7" i="26"/>
  <c r="D7" i="26"/>
  <c r="K6" i="26"/>
  <c r="I6" i="26"/>
  <c r="J13" i="26" s="1"/>
  <c r="H53" i="26" l="1"/>
  <c r="G14" i="26"/>
  <c r="I13" i="26"/>
  <c r="H30" i="26"/>
  <c r="I52" i="26"/>
  <c r="N60" i="26"/>
  <c r="O60" i="26"/>
  <c r="P60" i="26"/>
  <c r="M60" i="26"/>
  <c r="N29" i="26"/>
  <c r="N52" i="26" s="1"/>
  <c r="E14" i="26"/>
  <c r="H14" i="26"/>
  <c r="E53" i="26"/>
  <c r="F14" i="26"/>
  <c r="E30" i="26"/>
  <c r="I30" i="26"/>
  <c r="F53" i="26"/>
  <c r="G30" i="26"/>
  <c r="G53" i="26"/>
  <c r="W23" i="26"/>
  <c r="W46" i="26" s="1"/>
  <c r="W45" i="26" s="1"/>
  <c r="X45" i="26" s="1"/>
  <c r="O29" i="26"/>
  <c r="O52" i="26" s="1"/>
  <c r="M29" i="26"/>
  <c r="M52" i="26" s="1"/>
  <c r="M13" i="26"/>
  <c r="L13" i="26"/>
  <c r="P29" i="26"/>
  <c r="P52" i="26" s="1"/>
  <c r="K13" i="26"/>
  <c r="F30" i="26"/>
  <c r="S22" i="25"/>
  <c r="T22" i="25" s="1"/>
  <c r="Q19" i="25" l="1"/>
  <c r="Q20" i="25"/>
  <c r="Q21" i="25"/>
  <c r="N22" i="25"/>
  <c r="S6" i="25" l="1"/>
  <c r="R38" i="25" l="1"/>
  <c r="S21" i="25"/>
  <c r="T21" i="25" s="1"/>
  <c r="M38" i="25" l="1"/>
  <c r="N38" i="25"/>
  <c r="N40" i="27" l="1"/>
  <c r="N40" i="26"/>
  <c r="M40" i="27"/>
  <c r="M40" i="26"/>
  <c r="V6" i="25"/>
  <c r="P6" i="25"/>
  <c r="O6" i="25"/>
  <c r="M13" i="25"/>
  <c r="P67" i="25"/>
  <c r="O67" i="25"/>
  <c r="N67" i="25"/>
  <c r="M67" i="25"/>
  <c r="L67" i="25"/>
  <c r="P66" i="25"/>
  <c r="P68" i="25" s="1"/>
  <c r="O66" i="25"/>
  <c r="N66" i="25"/>
  <c r="N68" i="25" s="1"/>
  <c r="M66" i="25"/>
  <c r="L66" i="25"/>
  <c r="L68" i="25" s="1"/>
  <c r="J63" i="25"/>
  <c r="I63" i="25"/>
  <c r="H63" i="25"/>
  <c r="G63" i="25"/>
  <c r="F63" i="25"/>
  <c r="E63" i="25"/>
  <c r="M62" i="25"/>
  <c r="L62" i="25"/>
  <c r="K62" i="25"/>
  <c r="J62" i="25"/>
  <c r="I62" i="25"/>
  <c r="H62" i="25"/>
  <c r="G62" i="25"/>
  <c r="F62" i="25"/>
  <c r="E62" i="25"/>
  <c r="P61" i="25"/>
  <c r="O61" i="25"/>
  <c r="N61" i="25"/>
  <c r="M61" i="25"/>
  <c r="L61" i="25"/>
  <c r="K60" i="25"/>
  <c r="I60" i="25"/>
  <c r="H60" i="25"/>
  <c r="G60" i="25"/>
  <c r="F60" i="25"/>
  <c r="E60" i="25"/>
  <c r="B60" i="25"/>
  <c r="T54" i="25"/>
  <c r="H54" i="25"/>
  <c r="G54" i="25"/>
  <c r="G61" i="25" s="1"/>
  <c r="F54" i="25"/>
  <c r="E54" i="25"/>
  <c r="D54" i="25"/>
  <c r="P53" i="25"/>
  <c r="O53" i="25"/>
  <c r="P60" i="25" s="1"/>
  <c r="L60" i="25"/>
  <c r="I53" i="25"/>
  <c r="J60" i="25" s="1"/>
  <c r="J48" i="25"/>
  <c r="I48" i="25"/>
  <c r="H48" i="25"/>
  <c r="G48" i="25"/>
  <c r="F48" i="25"/>
  <c r="E48" i="25"/>
  <c r="M47" i="25"/>
  <c r="L47" i="25"/>
  <c r="K47" i="25"/>
  <c r="J47" i="25"/>
  <c r="I47" i="25"/>
  <c r="H47" i="25"/>
  <c r="G47" i="25"/>
  <c r="F47" i="25"/>
  <c r="E47" i="25"/>
  <c r="M45" i="25"/>
  <c r="H45" i="25"/>
  <c r="G45" i="25"/>
  <c r="F45" i="25"/>
  <c r="E45" i="25"/>
  <c r="H39" i="25"/>
  <c r="G39" i="25"/>
  <c r="F39" i="25"/>
  <c r="F46" i="25" s="1"/>
  <c r="E39" i="25"/>
  <c r="D39" i="25"/>
  <c r="P38" i="25"/>
  <c r="O38" i="25"/>
  <c r="K38" i="25"/>
  <c r="L45" i="25" s="1"/>
  <c r="J38" i="25"/>
  <c r="I38" i="25"/>
  <c r="I45" i="25" s="1"/>
  <c r="J32" i="25"/>
  <c r="I32" i="25"/>
  <c r="H32" i="25"/>
  <c r="G32" i="25"/>
  <c r="F32" i="25"/>
  <c r="E32" i="25"/>
  <c r="P31" i="25"/>
  <c r="O31" i="25"/>
  <c r="N31" i="25"/>
  <c r="M31" i="25"/>
  <c r="L31" i="25"/>
  <c r="K31" i="25"/>
  <c r="J31" i="25"/>
  <c r="I31" i="25"/>
  <c r="H31" i="25"/>
  <c r="G31" i="25"/>
  <c r="F31" i="25"/>
  <c r="E31" i="25"/>
  <c r="P30" i="25"/>
  <c r="O30" i="25"/>
  <c r="N30" i="25"/>
  <c r="M30" i="25"/>
  <c r="L30" i="25"/>
  <c r="B30" i="25"/>
  <c r="B46" i="25" s="1"/>
  <c r="B61" i="25" s="1"/>
  <c r="I29" i="25"/>
  <c r="H29" i="25"/>
  <c r="G29" i="25"/>
  <c r="F29" i="25"/>
  <c r="E29" i="25"/>
  <c r="B29" i="25"/>
  <c r="X23" i="25"/>
  <c r="X54" i="25" s="1"/>
  <c r="W23" i="25"/>
  <c r="W54" i="25" s="1"/>
  <c r="W53" i="25" s="1"/>
  <c r="I23" i="25"/>
  <c r="H23" i="25"/>
  <c r="G23" i="25"/>
  <c r="F23" i="25"/>
  <c r="E23" i="25"/>
  <c r="F30" i="25" s="1"/>
  <c r="D23" i="25"/>
  <c r="P22" i="25"/>
  <c r="O22" i="25"/>
  <c r="J16" i="25"/>
  <c r="I16" i="25"/>
  <c r="H16" i="25"/>
  <c r="G16" i="25"/>
  <c r="F16" i="25"/>
  <c r="E16" i="25"/>
  <c r="J15" i="25"/>
  <c r="I15" i="25"/>
  <c r="H15" i="25"/>
  <c r="G15" i="25"/>
  <c r="F15" i="25"/>
  <c r="E15" i="25"/>
  <c r="H13" i="25"/>
  <c r="G13" i="25"/>
  <c r="F13" i="25"/>
  <c r="E13" i="25"/>
  <c r="J7" i="25"/>
  <c r="K14" i="25" s="1"/>
  <c r="H7" i="25"/>
  <c r="G7" i="25"/>
  <c r="F7" i="25"/>
  <c r="E7" i="25"/>
  <c r="D7" i="25"/>
  <c r="K6" i="25"/>
  <c r="L13" i="25" s="1"/>
  <c r="I6" i="25"/>
  <c r="J13" i="25" s="1"/>
  <c r="I30" i="25" l="1"/>
  <c r="G46" i="25"/>
  <c r="P29" i="25"/>
  <c r="J45" i="25"/>
  <c r="H46" i="25"/>
  <c r="E30" i="25"/>
  <c r="E61" i="25"/>
  <c r="G14" i="25"/>
  <c r="E46" i="25"/>
  <c r="F61" i="25"/>
  <c r="G30" i="25"/>
  <c r="E14" i="25"/>
  <c r="F14" i="25"/>
  <c r="X53" i="25"/>
  <c r="H61" i="25"/>
  <c r="M68" i="25"/>
  <c r="L29" i="25"/>
  <c r="M29" i="25"/>
  <c r="M60" i="25" s="1"/>
  <c r="M53" i="25" s="1"/>
  <c r="O68" i="25"/>
  <c r="R53" i="25"/>
  <c r="I13" i="25"/>
  <c r="H14" i="25"/>
  <c r="H30" i="25"/>
  <c r="K45" i="25"/>
  <c r="K13" i="25"/>
  <c r="T54" i="24"/>
  <c r="W23" i="24"/>
  <c r="W54" i="24" s="1"/>
  <c r="W53" i="24" s="1"/>
  <c r="X53" i="24" s="1"/>
  <c r="X23" i="24"/>
  <c r="X54" i="24" s="1"/>
  <c r="V6" i="24"/>
  <c r="S53" i="25" l="1"/>
  <c r="T53" i="25" s="1"/>
  <c r="S54" i="25"/>
  <c r="P53" i="24"/>
  <c r="O53" i="24"/>
  <c r="N53" i="24"/>
  <c r="M53" i="24"/>
  <c r="N60" i="24" s="1"/>
  <c r="L53" i="24"/>
  <c r="R53" i="24" s="1"/>
  <c r="O38" i="24"/>
  <c r="P38" i="24"/>
  <c r="O22" i="24"/>
  <c r="P22" i="24"/>
  <c r="L22" i="24"/>
  <c r="O6" i="24"/>
  <c r="P6" i="24"/>
  <c r="P67" i="24"/>
  <c r="O67" i="24"/>
  <c r="N67" i="24"/>
  <c r="M67" i="24"/>
  <c r="L67" i="24"/>
  <c r="P66" i="24"/>
  <c r="P68" i="24" s="1"/>
  <c r="O66" i="24"/>
  <c r="N66" i="24"/>
  <c r="N68" i="24" s="1"/>
  <c r="M66" i="24"/>
  <c r="M68" i="24" s="1"/>
  <c r="L66" i="24"/>
  <c r="L68" i="24" s="1"/>
  <c r="J63" i="24"/>
  <c r="I63" i="24"/>
  <c r="H63" i="24"/>
  <c r="G63" i="24"/>
  <c r="F63" i="24"/>
  <c r="E63" i="24"/>
  <c r="M62" i="24"/>
  <c r="L62" i="24"/>
  <c r="K62" i="24"/>
  <c r="J62" i="24"/>
  <c r="I62" i="24"/>
  <c r="H62" i="24"/>
  <c r="G62" i="24"/>
  <c r="F62" i="24"/>
  <c r="E62" i="24"/>
  <c r="P61" i="24"/>
  <c r="O61" i="24"/>
  <c r="N61" i="24"/>
  <c r="M61" i="24"/>
  <c r="L61" i="24"/>
  <c r="P60" i="24"/>
  <c r="L60" i="24"/>
  <c r="K60" i="24"/>
  <c r="H60" i="24"/>
  <c r="G60" i="24"/>
  <c r="F60" i="24"/>
  <c r="E60" i="24"/>
  <c r="B60" i="24"/>
  <c r="H54" i="24"/>
  <c r="G54" i="24"/>
  <c r="F54" i="24"/>
  <c r="E54" i="24"/>
  <c r="D54" i="24"/>
  <c r="I53" i="24"/>
  <c r="J60" i="24" s="1"/>
  <c r="J48" i="24"/>
  <c r="I48" i="24"/>
  <c r="H48" i="24"/>
  <c r="G48" i="24"/>
  <c r="F48" i="24"/>
  <c r="E48" i="24"/>
  <c r="M47" i="24"/>
  <c r="L47" i="24"/>
  <c r="K47" i="24"/>
  <c r="J47" i="24"/>
  <c r="I47" i="24"/>
  <c r="H47" i="24"/>
  <c r="G47" i="24"/>
  <c r="F47" i="24"/>
  <c r="E47" i="24"/>
  <c r="H45" i="24"/>
  <c r="G45" i="24"/>
  <c r="F45" i="24"/>
  <c r="E45" i="24"/>
  <c r="H39" i="24"/>
  <c r="G39" i="24"/>
  <c r="F39" i="24"/>
  <c r="E39" i="24"/>
  <c r="D39" i="24"/>
  <c r="M45" i="24"/>
  <c r="K38" i="24"/>
  <c r="J38" i="24"/>
  <c r="I38" i="24"/>
  <c r="I45" i="24" s="1"/>
  <c r="J32" i="24"/>
  <c r="I32" i="24"/>
  <c r="H32" i="24"/>
  <c r="G32" i="24"/>
  <c r="F32" i="24"/>
  <c r="E32" i="24"/>
  <c r="P31" i="24"/>
  <c r="O31" i="24"/>
  <c r="N31" i="24"/>
  <c r="M31" i="24"/>
  <c r="L31" i="24"/>
  <c r="K31" i="24"/>
  <c r="J31" i="24"/>
  <c r="I31" i="24"/>
  <c r="H31" i="24"/>
  <c r="G31" i="24"/>
  <c r="F31" i="24"/>
  <c r="E31" i="24"/>
  <c r="P30" i="24"/>
  <c r="O30" i="24"/>
  <c r="N30" i="24"/>
  <c r="M30" i="24"/>
  <c r="L30" i="24"/>
  <c r="B30" i="24"/>
  <c r="B46" i="24" s="1"/>
  <c r="B61" i="24" s="1"/>
  <c r="I29" i="24"/>
  <c r="H29" i="24"/>
  <c r="G29" i="24"/>
  <c r="F29" i="24"/>
  <c r="E29" i="24"/>
  <c r="B29" i="24"/>
  <c r="I23" i="24"/>
  <c r="H23" i="24"/>
  <c r="G23" i="24"/>
  <c r="F23" i="24"/>
  <c r="F30" i="24" s="1"/>
  <c r="E23" i="24"/>
  <c r="D23" i="24"/>
  <c r="J16" i="24"/>
  <c r="I16" i="24"/>
  <c r="H16" i="24"/>
  <c r="G16" i="24"/>
  <c r="F16" i="24"/>
  <c r="E16" i="24"/>
  <c r="J15" i="24"/>
  <c r="I15" i="24"/>
  <c r="H15" i="24"/>
  <c r="G15" i="24"/>
  <c r="F15" i="24"/>
  <c r="E15" i="24"/>
  <c r="M13" i="24"/>
  <c r="H13" i="24"/>
  <c r="G13" i="24"/>
  <c r="F13" i="24"/>
  <c r="E13" i="24"/>
  <c r="J7" i="24"/>
  <c r="K14" i="24" s="1"/>
  <c r="H7" i="24"/>
  <c r="G7" i="24"/>
  <c r="F7" i="24"/>
  <c r="E7" i="24"/>
  <c r="D7" i="24"/>
  <c r="K6" i="24"/>
  <c r="L13" i="24" s="1"/>
  <c r="I6" i="24"/>
  <c r="J13" i="24" s="1"/>
  <c r="H30" i="24" l="1"/>
  <c r="O68" i="24"/>
  <c r="P29" i="24"/>
  <c r="F46" i="24"/>
  <c r="H46" i="24"/>
  <c r="L29" i="24"/>
  <c r="M22" i="24"/>
  <c r="R22" i="24"/>
  <c r="S22" i="24" s="1"/>
  <c r="E61" i="24"/>
  <c r="O60" i="24"/>
  <c r="K45" i="24"/>
  <c r="G61" i="24"/>
  <c r="I13" i="24"/>
  <c r="I60" i="24"/>
  <c r="N29" i="25"/>
  <c r="N60" i="25" s="1"/>
  <c r="N53" i="25" s="1"/>
  <c r="O60" i="25" s="1"/>
  <c r="O29" i="25"/>
  <c r="M60" i="24"/>
  <c r="E14" i="24"/>
  <c r="G14" i="24"/>
  <c r="E30" i="24"/>
  <c r="G30" i="24"/>
  <c r="I30" i="24"/>
  <c r="E46" i="24"/>
  <c r="G46" i="24"/>
  <c r="F61" i="24"/>
  <c r="H61" i="24"/>
  <c r="K13" i="24"/>
  <c r="F14" i="24"/>
  <c r="H14" i="24"/>
  <c r="J45" i="24"/>
  <c r="L45" i="24"/>
  <c r="L37" i="23"/>
  <c r="T22" i="24" l="1"/>
  <c r="S23" i="24"/>
  <c r="S54" i="24" s="1"/>
  <c r="S53" i="24" s="1"/>
  <c r="T53" i="24" s="1"/>
  <c r="N22" i="24"/>
  <c r="M29" i="24"/>
  <c r="L59" i="23"/>
  <c r="P66" i="23"/>
  <c r="O66" i="23"/>
  <c r="N66" i="23"/>
  <c r="M66" i="23"/>
  <c r="L66" i="23"/>
  <c r="P65" i="23"/>
  <c r="O65" i="23"/>
  <c r="N65" i="23"/>
  <c r="M65" i="23"/>
  <c r="L65" i="23"/>
  <c r="L67" i="23" s="1"/>
  <c r="J62" i="23"/>
  <c r="I62" i="23"/>
  <c r="H62" i="23"/>
  <c r="G62" i="23"/>
  <c r="F62" i="23"/>
  <c r="E62" i="23"/>
  <c r="M61" i="23"/>
  <c r="L61" i="23"/>
  <c r="K61" i="23"/>
  <c r="J61" i="23"/>
  <c r="I61" i="23"/>
  <c r="H61" i="23"/>
  <c r="G61" i="23"/>
  <c r="F61" i="23"/>
  <c r="E61" i="23"/>
  <c r="P60" i="23"/>
  <c r="O60" i="23"/>
  <c r="N60" i="23"/>
  <c r="M60" i="23"/>
  <c r="L60" i="23"/>
  <c r="H59" i="23"/>
  <c r="G59" i="23"/>
  <c r="F59" i="23"/>
  <c r="E59" i="23"/>
  <c r="B59" i="23"/>
  <c r="H53" i="23"/>
  <c r="G53" i="23"/>
  <c r="F53" i="23"/>
  <c r="E53" i="23"/>
  <c r="D53" i="23"/>
  <c r="K59" i="23"/>
  <c r="I52" i="23"/>
  <c r="I59" i="23" s="1"/>
  <c r="R51" i="23"/>
  <c r="R50" i="23"/>
  <c r="J47" i="23"/>
  <c r="I47" i="23"/>
  <c r="H47" i="23"/>
  <c r="G47" i="23"/>
  <c r="F47" i="23"/>
  <c r="E47" i="23"/>
  <c r="M46" i="23"/>
  <c r="L46" i="23"/>
  <c r="K46" i="23"/>
  <c r="J46" i="23"/>
  <c r="I46" i="23"/>
  <c r="H46" i="23"/>
  <c r="G46" i="23"/>
  <c r="F46" i="23"/>
  <c r="E46" i="23"/>
  <c r="H44" i="23"/>
  <c r="G44" i="23"/>
  <c r="F44" i="23"/>
  <c r="E44" i="23"/>
  <c r="H38" i="23"/>
  <c r="G38" i="23"/>
  <c r="F38" i="23"/>
  <c r="E38" i="23"/>
  <c r="D38" i="23"/>
  <c r="K37" i="23"/>
  <c r="J37" i="23"/>
  <c r="J44" i="23" s="1"/>
  <c r="I37" i="23"/>
  <c r="I44" i="23" s="1"/>
  <c r="J31" i="23"/>
  <c r="I31" i="23"/>
  <c r="H31" i="23"/>
  <c r="G31" i="23"/>
  <c r="F31" i="23"/>
  <c r="E31" i="23"/>
  <c r="P30" i="23"/>
  <c r="O30" i="23"/>
  <c r="N30" i="23"/>
  <c r="M30" i="23"/>
  <c r="L30" i="23"/>
  <c r="K30" i="23"/>
  <c r="J30" i="23"/>
  <c r="I30" i="23"/>
  <c r="H30" i="23"/>
  <c r="G30" i="23"/>
  <c r="F30" i="23"/>
  <c r="E30" i="23"/>
  <c r="P29" i="23"/>
  <c r="O29" i="23"/>
  <c r="N29" i="23"/>
  <c r="M29" i="23"/>
  <c r="L29" i="23"/>
  <c r="B29" i="23"/>
  <c r="B45" i="23" s="1"/>
  <c r="B60" i="23" s="1"/>
  <c r="I28" i="23"/>
  <c r="H28" i="23"/>
  <c r="G28" i="23"/>
  <c r="F28" i="23"/>
  <c r="E28" i="23"/>
  <c r="B28" i="23"/>
  <c r="I22" i="23"/>
  <c r="H22" i="23"/>
  <c r="G22" i="23"/>
  <c r="F22" i="23"/>
  <c r="E22" i="23"/>
  <c r="D22" i="23"/>
  <c r="R20" i="23"/>
  <c r="J16" i="23"/>
  <c r="I16" i="23"/>
  <c r="H16" i="23"/>
  <c r="G16" i="23"/>
  <c r="F16" i="23"/>
  <c r="E16" i="23"/>
  <c r="J15" i="23"/>
  <c r="I15" i="23"/>
  <c r="H15" i="23"/>
  <c r="G15" i="23"/>
  <c r="F15" i="23"/>
  <c r="E15" i="23"/>
  <c r="H13" i="23"/>
  <c r="G13" i="23"/>
  <c r="F13" i="23"/>
  <c r="E13" i="23"/>
  <c r="J7" i="23"/>
  <c r="K14" i="23" s="1"/>
  <c r="H7" i="23"/>
  <c r="G7" i="23"/>
  <c r="F7" i="23"/>
  <c r="E7" i="23"/>
  <c r="D7" i="23"/>
  <c r="K6" i="23"/>
  <c r="K13" i="23" s="1"/>
  <c r="I6" i="23"/>
  <c r="J13" i="23" s="1"/>
  <c r="M67" i="23" l="1"/>
  <c r="J59" i="23"/>
  <c r="E60" i="23"/>
  <c r="G14" i="23"/>
  <c r="E29" i="23"/>
  <c r="E45" i="23"/>
  <c r="G60" i="23"/>
  <c r="F45" i="23"/>
  <c r="H60" i="23"/>
  <c r="G29" i="23"/>
  <c r="G45" i="23"/>
  <c r="P67" i="23"/>
  <c r="O29" i="24"/>
  <c r="N29" i="24"/>
  <c r="E14" i="23"/>
  <c r="K44" i="23"/>
  <c r="H14" i="23"/>
  <c r="H29" i="23"/>
  <c r="H45" i="23"/>
  <c r="N67" i="23"/>
  <c r="F29" i="23"/>
  <c r="O67" i="23"/>
  <c r="I29" i="23"/>
  <c r="M59" i="23"/>
  <c r="P59" i="23"/>
  <c r="O59" i="23"/>
  <c r="N59" i="23"/>
  <c r="M44" i="23"/>
  <c r="O28" i="23"/>
  <c r="P28" i="23"/>
  <c r="N28" i="23"/>
  <c r="M28" i="23"/>
  <c r="M13" i="23"/>
  <c r="L44" i="23"/>
  <c r="F60" i="23"/>
  <c r="L13" i="23"/>
  <c r="F14" i="23"/>
  <c r="I13" i="23"/>
  <c r="L28" i="23"/>
  <c r="M52" i="22"/>
  <c r="O52" i="22" s="1"/>
  <c r="R51" i="22" l="1"/>
  <c r="R50" i="22"/>
  <c r="L6" i="22" l="1"/>
  <c r="R20" i="22" l="1"/>
  <c r="M29" i="22" l="1"/>
  <c r="N29" i="22"/>
  <c r="O29" i="22"/>
  <c r="P29" i="22"/>
  <c r="L29" i="22"/>
  <c r="M60" i="22"/>
  <c r="N60" i="22"/>
  <c r="O60" i="22"/>
  <c r="P60" i="22"/>
  <c r="L60" i="22"/>
  <c r="K52" i="22"/>
  <c r="K59" i="22" s="1"/>
  <c r="K37" i="22"/>
  <c r="M13" i="22"/>
  <c r="K6" i="22"/>
  <c r="K13" i="22" s="1"/>
  <c r="P66" i="22"/>
  <c r="O66" i="22"/>
  <c r="N66" i="22"/>
  <c r="M66" i="22"/>
  <c r="L66" i="22"/>
  <c r="P65" i="22"/>
  <c r="O65" i="22"/>
  <c r="N65" i="22"/>
  <c r="N67" i="22" s="1"/>
  <c r="M65" i="22"/>
  <c r="M67" i="22" s="1"/>
  <c r="L65" i="22"/>
  <c r="L67" i="22" s="1"/>
  <c r="J62" i="22"/>
  <c r="I62" i="22"/>
  <c r="H62" i="22"/>
  <c r="G62" i="22"/>
  <c r="F62" i="22"/>
  <c r="E62" i="22"/>
  <c r="M61" i="22"/>
  <c r="L61" i="22"/>
  <c r="K61" i="22"/>
  <c r="J61" i="22"/>
  <c r="I61" i="22"/>
  <c r="H61" i="22"/>
  <c r="G61" i="22"/>
  <c r="F61" i="22"/>
  <c r="E61" i="22"/>
  <c r="G60" i="22"/>
  <c r="H59" i="22"/>
  <c r="G59" i="22"/>
  <c r="F59" i="22"/>
  <c r="E59" i="22"/>
  <c r="H53" i="22"/>
  <c r="G53" i="22"/>
  <c r="F53" i="22"/>
  <c r="E53" i="22"/>
  <c r="D53" i="22"/>
  <c r="I52" i="22"/>
  <c r="J59" i="22" s="1"/>
  <c r="B59" i="22"/>
  <c r="J47" i="22"/>
  <c r="I47" i="22"/>
  <c r="H47" i="22"/>
  <c r="G47" i="22"/>
  <c r="F47" i="22"/>
  <c r="E47" i="22"/>
  <c r="M46" i="22"/>
  <c r="L46" i="22"/>
  <c r="K46" i="22"/>
  <c r="J46" i="22"/>
  <c r="I46" i="22"/>
  <c r="H46" i="22"/>
  <c r="G46" i="22"/>
  <c r="F46" i="22"/>
  <c r="E46" i="22"/>
  <c r="H44" i="22"/>
  <c r="G44" i="22"/>
  <c r="F44" i="22"/>
  <c r="E44" i="22"/>
  <c r="H38" i="22"/>
  <c r="G38" i="22"/>
  <c r="F38" i="22"/>
  <c r="E38" i="22"/>
  <c r="E45" i="22" s="1"/>
  <c r="D38" i="22"/>
  <c r="J37" i="22"/>
  <c r="I37" i="22"/>
  <c r="I44" i="22" s="1"/>
  <c r="J31" i="22"/>
  <c r="I31" i="22"/>
  <c r="H31" i="22"/>
  <c r="G31" i="22"/>
  <c r="F31" i="22"/>
  <c r="E31" i="22"/>
  <c r="P30" i="22"/>
  <c r="O30" i="22"/>
  <c r="N30" i="22"/>
  <c r="M30" i="22"/>
  <c r="L30" i="22"/>
  <c r="K30" i="22"/>
  <c r="J30" i="22"/>
  <c r="I30" i="22"/>
  <c r="H30" i="22"/>
  <c r="G30" i="22"/>
  <c r="F30" i="22"/>
  <c r="E30" i="22"/>
  <c r="B29" i="22"/>
  <c r="B45" i="22" s="1"/>
  <c r="B60" i="22" s="1"/>
  <c r="I28" i="22"/>
  <c r="H28" i="22"/>
  <c r="G28" i="22"/>
  <c r="F28" i="22"/>
  <c r="E28" i="22"/>
  <c r="I22" i="22"/>
  <c r="I29" i="22" s="1"/>
  <c r="H22" i="22"/>
  <c r="H29" i="22" s="1"/>
  <c r="G22" i="22"/>
  <c r="F22" i="22"/>
  <c r="E22" i="22"/>
  <c r="D22" i="22"/>
  <c r="K21" i="22"/>
  <c r="B28" i="22"/>
  <c r="J16" i="22"/>
  <c r="I16" i="22"/>
  <c r="H16" i="22"/>
  <c r="G16" i="22"/>
  <c r="F16" i="22"/>
  <c r="E16" i="22"/>
  <c r="J15" i="22"/>
  <c r="I15" i="22"/>
  <c r="H15" i="22"/>
  <c r="G15" i="22"/>
  <c r="F15" i="22"/>
  <c r="E15" i="22"/>
  <c r="H13" i="22"/>
  <c r="G13" i="22"/>
  <c r="F13" i="22"/>
  <c r="E13" i="22"/>
  <c r="J7" i="22"/>
  <c r="K14" i="22" s="1"/>
  <c r="H7" i="22"/>
  <c r="G7" i="22"/>
  <c r="F7" i="22"/>
  <c r="F14" i="22" s="1"/>
  <c r="E7" i="22"/>
  <c r="D7" i="22"/>
  <c r="I6" i="22"/>
  <c r="I13" i="22" s="1"/>
  <c r="H45" i="22" l="1"/>
  <c r="G14" i="22"/>
  <c r="J13" i="22"/>
  <c r="E29" i="22"/>
  <c r="F45" i="22"/>
  <c r="H60" i="22"/>
  <c r="H14" i="22"/>
  <c r="P67" i="22"/>
  <c r="G45" i="22"/>
  <c r="O67" i="22"/>
  <c r="G29" i="22"/>
  <c r="E14" i="22"/>
  <c r="E60" i="22"/>
  <c r="F29" i="22"/>
  <c r="F60" i="22"/>
  <c r="P28" i="22"/>
  <c r="O28" i="22"/>
  <c r="N28" i="22"/>
  <c r="L28" i="22"/>
  <c r="L44" i="22"/>
  <c r="M44" i="22"/>
  <c r="K44" i="22"/>
  <c r="L13" i="22"/>
  <c r="J44" i="22"/>
  <c r="M28" i="22"/>
  <c r="I59" i="22"/>
  <c r="L52" i="21" l="1"/>
  <c r="M52" i="21" s="1"/>
  <c r="N52" i="21" s="1"/>
  <c r="O52" i="21" s="1"/>
  <c r="P52" i="21" s="1"/>
  <c r="L65" i="21"/>
  <c r="M65" i="21"/>
  <c r="N65" i="21"/>
  <c r="O65" i="21"/>
  <c r="P65" i="21"/>
  <c r="L66" i="21"/>
  <c r="M66" i="21"/>
  <c r="N66" i="21"/>
  <c r="O66" i="21"/>
  <c r="P66" i="21"/>
  <c r="M64" i="21"/>
  <c r="N64" i="21"/>
  <c r="O64" i="21"/>
  <c r="P64" i="21"/>
  <c r="L64" i="21"/>
  <c r="P67" i="21" l="1"/>
  <c r="M67" i="21"/>
  <c r="L67" i="21"/>
  <c r="O67" i="21"/>
  <c r="N67" i="21"/>
  <c r="K21" i="21"/>
  <c r="P21" i="21" l="1"/>
  <c r="O21" i="21"/>
  <c r="N21" i="21"/>
  <c r="M21" i="21"/>
  <c r="L21" i="21"/>
  <c r="P53" i="21" l="1"/>
  <c r="P38" i="21"/>
  <c r="P30" i="21"/>
  <c r="P28" i="21"/>
  <c r="P22" i="21"/>
  <c r="P7" i="21"/>
  <c r="B18" i="21"/>
  <c r="B28" i="21" s="1"/>
  <c r="J62" i="21"/>
  <c r="I62" i="21"/>
  <c r="H62" i="21"/>
  <c r="G62" i="21"/>
  <c r="F62" i="21"/>
  <c r="E62" i="21"/>
  <c r="M61" i="21"/>
  <c r="L61" i="21"/>
  <c r="K61" i="21"/>
  <c r="J61" i="21"/>
  <c r="I61" i="21"/>
  <c r="H61" i="21"/>
  <c r="G61" i="21"/>
  <c r="F61" i="21"/>
  <c r="E61" i="21"/>
  <c r="H59" i="21"/>
  <c r="G59" i="21"/>
  <c r="F59" i="21"/>
  <c r="E59" i="21"/>
  <c r="O53" i="21"/>
  <c r="N53" i="21"/>
  <c r="M53" i="21"/>
  <c r="L53" i="21"/>
  <c r="K53" i="21"/>
  <c r="H53" i="21"/>
  <c r="G53" i="21"/>
  <c r="F53" i="21"/>
  <c r="E53" i="21"/>
  <c r="D53" i="21"/>
  <c r="I52" i="21"/>
  <c r="I59" i="21" s="1"/>
  <c r="B49" i="21"/>
  <c r="B59" i="21" s="1"/>
  <c r="J47" i="21"/>
  <c r="I47" i="21"/>
  <c r="H47" i="21"/>
  <c r="G47" i="21"/>
  <c r="F47" i="21"/>
  <c r="E47" i="21"/>
  <c r="M46" i="21"/>
  <c r="L46" i="21"/>
  <c r="K46" i="21"/>
  <c r="J46" i="21"/>
  <c r="I46" i="21"/>
  <c r="H46" i="21"/>
  <c r="G46" i="21"/>
  <c r="F46" i="21"/>
  <c r="E46" i="21"/>
  <c r="H44" i="21"/>
  <c r="G44" i="21"/>
  <c r="F44" i="21"/>
  <c r="E44" i="21"/>
  <c r="O38" i="21"/>
  <c r="N38" i="21"/>
  <c r="L38" i="21"/>
  <c r="K38" i="21"/>
  <c r="H38" i="21"/>
  <c r="G38" i="21"/>
  <c r="F38" i="21"/>
  <c r="E38" i="21"/>
  <c r="D38" i="21"/>
  <c r="B38" i="21"/>
  <c r="B53" i="21" s="1"/>
  <c r="L44" i="21"/>
  <c r="J37" i="21"/>
  <c r="I37" i="21"/>
  <c r="I44" i="21" s="1"/>
  <c r="B33" i="21"/>
  <c r="J31" i="21"/>
  <c r="I31" i="21"/>
  <c r="H31" i="21"/>
  <c r="G31" i="21"/>
  <c r="F31" i="21"/>
  <c r="E31" i="21"/>
  <c r="O30" i="21"/>
  <c r="N30" i="21"/>
  <c r="M30" i="21"/>
  <c r="L30" i="21"/>
  <c r="K30" i="21"/>
  <c r="J30" i="21"/>
  <c r="I30" i="21"/>
  <c r="H30" i="21"/>
  <c r="G30" i="21"/>
  <c r="F30" i="21"/>
  <c r="E30" i="21"/>
  <c r="B29" i="21"/>
  <c r="B45" i="21" s="1"/>
  <c r="B60" i="21" s="1"/>
  <c r="O28" i="21"/>
  <c r="N28" i="21"/>
  <c r="M28" i="21"/>
  <c r="L28" i="21"/>
  <c r="I28" i="21"/>
  <c r="H28" i="21"/>
  <c r="G28" i="21"/>
  <c r="F28" i="21"/>
  <c r="E28" i="21"/>
  <c r="O22" i="21"/>
  <c r="N22" i="21"/>
  <c r="M22" i="21"/>
  <c r="L22" i="21"/>
  <c r="K22" i="21"/>
  <c r="I22" i="21"/>
  <c r="H22" i="21"/>
  <c r="G22" i="21"/>
  <c r="F22" i="21"/>
  <c r="E22" i="21"/>
  <c r="D22" i="21"/>
  <c r="B22" i="21"/>
  <c r="J16" i="21"/>
  <c r="I16" i="21"/>
  <c r="H16" i="21"/>
  <c r="G16" i="21"/>
  <c r="F16" i="21"/>
  <c r="E16" i="21"/>
  <c r="J15" i="21"/>
  <c r="I15" i="21"/>
  <c r="H15" i="21"/>
  <c r="G15" i="21"/>
  <c r="F15" i="21"/>
  <c r="E15" i="21"/>
  <c r="H13" i="21"/>
  <c r="G13" i="21"/>
  <c r="F13" i="21"/>
  <c r="E13" i="21"/>
  <c r="O7" i="21"/>
  <c r="N7" i="21"/>
  <c r="M7" i="21"/>
  <c r="L7" i="21"/>
  <c r="K7" i="21"/>
  <c r="J7" i="21"/>
  <c r="H7" i="21"/>
  <c r="G7" i="21"/>
  <c r="F7" i="21"/>
  <c r="E7" i="21"/>
  <c r="D7" i="21"/>
  <c r="I6" i="21"/>
  <c r="J13" i="21" s="1"/>
  <c r="H45" i="21" l="1"/>
  <c r="G14" i="21"/>
  <c r="N29" i="21"/>
  <c r="K14" i="21"/>
  <c r="F29" i="21"/>
  <c r="O60" i="21"/>
  <c r="F45" i="21"/>
  <c r="G45" i="21"/>
  <c r="G60" i="21"/>
  <c r="H60" i="21"/>
  <c r="H29" i="21"/>
  <c r="L29" i="21"/>
  <c r="E60" i="21"/>
  <c r="M60" i="21"/>
  <c r="P29" i="21"/>
  <c r="P60" i="21"/>
  <c r="H14" i="21"/>
  <c r="I13" i="21"/>
  <c r="G29" i="21"/>
  <c r="O29" i="21"/>
  <c r="L60" i="21"/>
  <c r="E14" i="21"/>
  <c r="F14" i="21"/>
  <c r="E29" i="21"/>
  <c r="I29" i="21"/>
  <c r="M29" i="21"/>
  <c r="J44" i="21"/>
  <c r="E45" i="21"/>
  <c r="J59" i="21"/>
  <c r="F60" i="21"/>
  <c r="N60" i="21"/>
  <c r="M13" i="21"/>
  <c r="L13" i="21"/>
  <c r="K13" i="21"/>
  <c r="K59" i="21"/>
  <c r="M44" i="21"/>
  <c r="K44" i="21"/>
  <c r="N51" i="20" l="1"/>
  <c r="O51" i="20" s="1"/>
  <c r="K50" i="20"/>
  <c r="L50" i="20" s="1"/>
  <c r="M50" i="20" s="1"/>
  <c r="N50" i="20" s="1"/>
  <c r="O50" i="20" s="1"/>
  <c r="M19" i="20"/>
  <c r="L37" i="20" l="1"/>
  <c r="M44" i="20" s="1"/>
  <c r="L13" i="20"/>
  <c r="K53" i="20"/>
  <c r="L60" i="20" s="1"/>
  <c r="L53" i="20"/>
  <c r="M53" i="20"/>
  <c r="M60" i="20" s="1"/>
  <c r="M49" i="20" s="1"/>
  <c r="N53" i="20"/>
  <c r="N60" i="20" s="1"/>
  <c r="O53" i="20"/>
  <c r="K38" i="20"/>
  <c r="L38" i="20"/>
  <c r="N38" i="20"/>
  <c r="O38" i="20"/>
  <c r="J37" i="20"/>
  <c r="K44" i="20" s="1"/>
  <c r="K22" i="20"/>
  <c r="L22" i="20"/>
  <c r="M22" i="20"/>
  <c r="N22" i="20"/>
  <c r="O22" i="20"/>
  <c r="I22" i="20"/>
  <c r="J7" i="20"/>
  <c r="K7" i="20"/>
  <c r="L7" i="20"/>
  <c r="M7" i="20"/>
  <c r="N7" i="20"/>
  <c r="O7" i="20"/>
  <c r="J62" i="20"/>
  <c r="I62" i="20"/>
  <c r="H62" i="20"/>
  <c r="G62" i="20"/>
  <c r="F62" i="20"/>
  <c r="E62" i="20"/>
  <c r="M61" i="20"/>
  <c r="L61" i="20"/>
  <c r="K61" i="20"/>
  <c r="J61" i="20"/>
  <c r="I61" i="20"/>
  <c r="H61" i="20"/>
  <c r="G61" i="20"/>
  <c r="F61" i="20"/>
  <c r="E61" i="20"/>
  <c r="O59" i="20"/>
  <c r="N59" i="20"/>
  <c r="M59" i="20"/>
  <c r="L59" i="20"/>
  <c r="H59" i="20"/>
  <c r="G59" i="20"/>
  <c r="F59" i="20"/>
  <c r="E59" i="20"/>
  <c r="O60" i="20"/>
  <c r="H53" i="20"/>
  <c r="G53" i="20"/>
  <c r="F53" i="20"/>
  <c r="E53" i="20"/>
  <c r="D53" i="20"/>
  <c r="J52" i="20"/>
  <c r="I52" i="20"/>
  <c r="I59" i="20" s="1"/>
  <c r="B49" i="20"/>
  <c r="B59" i="20" s="1"/>
  <c r="J47" i="20"/>
  <c r="I47" i="20"/>
  <c r="H47" i="20"/>
  <c r="G47" i="20"/>
  <c r="F47" i="20"/>
  <c r="E47" i="20"/>
  <c r="M46" i="20"/>
  <c r="L46" i="20"/>
  <c r="K46" i="20"/>
  <c r="J46" i="20"/>
  <c r="I46" i="20"/>
  <c r="H46" i="20"/>
  <c r="G46" i="20"/>
  <c r="F46" i="20"/>
  <c r="E46" i="20"/>
  <c r="H44" i="20"/>
  <c r="G44" i="20"/>
  <c r="F44" i="20"/>
  <c r="E44" i="20"/>
  <c r="H38" i="20"/>
  <c r="G38" i="20"/>
  <c r="F38" i="20"/>
  <c r="E38" i="20"/>
  <c r="D38" i="20"/>
  <c r="B38" i="20"/>
  <c r="B53" i="20" s="1"/>
  <c r="I37" i="20"/>
  <c r="I44" i="20" s="1"/>
  <c r="B33" i="20"/>
  <c r="J31" i="20"/>
  <c r="I31" i="20"/>
  <c r="H31" i="20"/>
  <c r="G31" i="20"/>
  <c r="F31" i="20"/>
  <c r="E31" i="20"/>
  <c r="O30" i="20"/>
  <c r="N30" i="20"/>
  <c r="M30" i="20"/>
  <c r="L30" i="20"/>
  <c r="K30" i="20"/>
  <c r="J30" i="20"/>
  <c r="I30" i="20"/>
  <c r="H30" i="20"/>
  <c r="G30" i="20"/>
  <c r="F30" i="20"/>
  <c r="E30" i="20"/>
  <c r="B29" i="20"/>
  <c r="B45" i="20" s="1"/>
  <c r="B60" i="20" s="1"/>
  <c r="O28" i="20"/>
  <c r="N28" i="20"/>
  <c r="M28" i="20"/>
  <c r="L28" i="20"/>
  <c r="I28" i="20"/>
  <c r="H28" i="20"/>
  <c r="G28" i="20"/>
  <c r="F28" i="20"/>
  <c r="E28" i="20"/>
  <c r="H22" i="20"/>
  <c r="G22" i="20"/>
  <c r="F22" i="20"/>
  <c r="E22" i="20"/>
  <c r="D22" i="20"/>
  <c r="B22" i="20"/>
  <c r="J21" i="20"/>
  <c r="K28" i="20" s="1"/>
  <c r="B18" i="20"/>
  <c r="B28" i="20" s="1"/>
  <c r="J16" i="20"/>
  <c r="I16" i="20"/>
  <c r="H16" i="20"/>
  <c r="G16" i="20"/>
  <c r="F16" i="20"/>
  <c r="E16" i="20"/>
  <c r="J15" i="20"/>
  <c r="I15" i="20"/>
  <c r="H15" i="20"/>
  <c r="G15" i="20"/>
  <c r="F15" i="20"/>
  <c r="E15" i="20"/>
  <c r="M13" i="20"/>
  <c r="H13" i="20"/>
  <c r="G13" i="20"/>
  <c r="F13" i="20"/>
  <c r="E13" i="20"/>
  <c r="K14" i="20"/>
  <c r="H7" i="20"/>
  <c r="G7" i="20"/>
  <c r="F7" i="20"/>
  <c r="E7" i="20"/>
  <c r="D7" i="20"/>
  <c r="I6" i="20"/>
  <c r="J13" i="20" s="1"/>
  <c r="M29" i="20" l="1"/>
  <c r="F29" i="20"/>
  <c r="E45" i="20"/>
  <c r="E14" i="20"/>
  <c r="F60" i="20"/>
  <c r="I29" i="20"/>
  <c r="O29" i="20"/>
  <c r="F14" i="20"/>
  <c r="G29" i="20"/>
  <c r="L29" i="20"/>
  <c r="F45" i="20"/>
  <c r="J59" i="20"/>
  <c r="G60" i="20"/>
  <c r="K59" i="20"/>
  <c r="G14" i="20"/>
  <c r="H29" i="20"/>
  <c r="G45" i="20"/>
  <c r="H60" i="20"/>
  <c r="N49" i="20"/>
  <c r="O49" i="20" s="1"/>
  <c r="H14" i="20"/>
  <c r="E29" i="20"/>
  <c r="H45" i="20"/>
  <c r="E60" i="20"/>
  <c r="N29" i="20"/>
  <c r="N20" i="20" s="1"/>
  <c r="O20" i="20" s="1"/>
  <c r="J44" i="20"/>
  <c r="L44" i="20"/>
  <c r="K13" i="20"/>
  <c r="I13" i="20"/>
  <c r="J28" i="20"/>
  <c r="K50" i="19" l="1"/>
  <c r="L50" i="19" s="1"/>
  <c r="K49" i="19"/>
  <c r="L49" i="19" s="1"/>
  <c r="K19" i="19"/>
  <c r="L19" i="19" s="1"/>
  <c r="K18" i="19"/>
  <c r="L18" i="19" s="1"/>
  <c r="K20" i="19"/>
  <c r="L20" i="19" s="1"/>
  <c r="M49" i="19" l="1"/>
  <c r="N49" i="19" s="1"/>
  <c r="O49" i="19" s="1"/>
  <c r="M50" i="19"/>
  <c r="N50" i="19" s="1"/>
  <c r="O50" i="19" s="1"/>
  <c r="M18" i="19"/>
  <c r="N18" i="19" s="1"/>
  <c r="O18" i="19" s="1"/>
  <c r="M20" i="19" l="1"/>
  <c r="N20" i="19" s="1"/>
  <c r="O20" i="19" s="1"/>
  <c r="J52" i="19" l="1"/>
  <c r="J37" i="19"/>
  <c r="E53" i="19"/>
  <c r="F53" i="19"/>
  <c r="G53" i="19"/>
  <c r="H53" i="19"/>
  <c r="J53" i="19"/>
  <c r="D53" i="19"/>
  <c r="E38" i="19"/>
  <c r="F38" i="19"/>
  <c r="G38" i="19"/>
  <c r="H38" i="19"/>
  <c r="J38" i="19"/>
  <c r="L38" i="19"/>
  <c r="M38" i="19"/>
  <c r="N38" i="19"/>
  <c r="O38" i="19"/>
  <c r="D38" i="19"/>
  <c r="E22" i="19"/>
  <c r="F22" i="19"/>
  <c r="G22" i="19"/>
  <c r="H22" i="19"/>
  <c r="I22" i="19"/>
  <c r="K22" i="19"/>
  <c r="L22" i="19"/>
  <c r="M22" i="19"/>
  <c r="N22" i="19"/>
  <c r="O22" i="19"/>
  <c r="D22" i="19"/>
  <c r="E7" i="19"/>
  <c r="F7" i="19"/>
  <c r="G7" i="19"/>
  <c r="H7" i="19"/>
  <c r="K7" i="19"/>
  <c r="L7" i="19"/>
  <c r="M7" i="19"/>
  <c r="N7" i="19"/>
  <c r="O7" i="19"/>
  <c r="D7" i="19"/>
  <c r="I52" i="19"/>
  <c r="M37" i="19"/>
  <c r="J62" i="19"/>
  <c r="I62" i="19"/>
  <c r="H62" i="19"/>
  <c r="G62" i="19"/>
  <c r="F62" i="19"/>
  <c r="E62" i="19"/>
  <c r="M61" i="19"/>
  <c r="L61" i="19"/>
  <c r="K61" i="19"/>
  <c r="J61" i="19"/>
  <c r="I61" i="19"/>
  <c r="H61" i="19"/>
  <c r="G61" i="19"/>
  <c r="F61" i="19"/>
  <c r="E61" i="19"/>
  <c r="H59" i="19"/>
  <c r="G59" i="19"/>
  <c r="F59" i="19"/>
  <c r="E59" i="19"/>
  <c r="B49" i="19"/>
  <c r="B59" i="19" s="1"/>
  <c r="J47" i="19"/>
  <c r="I47" i="19"/>
  <c r="H47" i="19"/>
  <c r="G47" i="19"/>
  <c r="F47" i="19"/>
  <c r="E47" i="19"/>
  <c r="M46" i="19"/>
  <c r="L46" i="19"/>
  <c r="K46" i="19"/>
  <c r="J46" i="19"/>
  <c r="I46" i="19"/>
  <c r="H46" i="19"/>
  <c r="G46" i="19"/>
  <c r="F46" i="19"/>
  <c r="E46" i="19"/>
  <c r="F45" i="19"/>
  <c r="H44" i="19"/>
  <c r="G44" i="19"/>
  <c r="F44" i="19"/>
  <c r="E44" i="19"/>
  <c r="B38" i="19"/>
  <c r="B53" i="19" s="1"/>
  <c r="I37" i="19"/>
  <c r="B33" i="19"/>
  <c r="J31" i="19"/>
  <c r="I31" i="19"/>
  <c r="H31" i="19"/>
  <c r="G31" i="19"/>
  <c r="F31" i="19"/>
  <c r="E31" i="19"/>
  <c r="O30" i="19"/>
  <c r="N30" i="19"/>
  <c r="M30" i="19"/>
  <c r="L30" i="19"/>
  <c r="K30" i="19"/>
  <c r="J30" i="19"/>
  <c r="I30" i="19"/>
  <c r="H30" i="19"/>
  <c r="G30" i="19"/>
  <c r="F30" i="19"/>
  <c r="E30" i="19"/>
  <c r="F29" i="19"/>
  <c r="B29" i="19"/>
  <c r="B45" i="19" s="1"/>
  <c r="B60" i="19" s="1"/>
  <c r="I28" i="19"/>
  <c r="H28" i="19"/>
  <c r="G28" i="19"/>
  <c r="F28" i="19"/>
  <c r="E28" i="19"/>
  <c r="B22" i="19"/>
  <c r="J21" i="19"/>
  <c r="B18" i="19"/>
  <c r="B28" i="19" s="1"/>
  <c r="J16" i="19"/>
  <c r="I16" i="19"/>
  <c r="H16" i="19"/>
  <c r="G16" i="19"/>
  <c r="F16" i="19"/>
  <c r="E16" i="19"/>
  <c r="J15" i="19"/>
  <c r="I15" i="19"/>
  <c r="H15" i="19"/>
  <c r="G15" i="19"/>
  <c r="F15" i="19"/>
  <c r="E15" i="19"/>
  <c r="H13" i="19"/>
  <c r="G13" i="19"/>
  <c r="F13" i="19"/>
  <c r="E13" i="19"/>
  <c r="I6" i="19"/>
  <c r="I7" i="31" l="1"/>
  <c r="I7" i="30"/>
  <c r="I7" i="29"/>
  <c r="I7" i="28"/>
  <c r="I7" i="27"/>
  <c r="I7" i="26"/>
  <c r="I7" i="25"/>
  <c r="I7" i="24"/>
  <c r="I7" i="23"/>
  <c r="I7" i="22"/>
  <c r="I50" i="31"/>
  <c r="I57" i="31" s="1"/>
  <c r="I46" i="30"/>
  <c r="I53" i="30" s="1"/>
  <c r="I46" i="29"/>
  <c r="I53" i="29" s="1"/>
  <c r="I46" i="28"/>
  <c r="I53" i="28" s="1"/>
  <c r="I46" i="27"/>
  <c r="I53" i="27" s="1"/>
  <c r="I46" i="26"/>
  <c r="I53" i="26" s="1"/>
  <c r="I54" i="25"/>
  <c r="I61" i="25" s="1"/>
  <c r="I54" i="24"/>
  <c r="I61" i="24" s="1"/>
  <c r="I53" i="23"/>
  <c r="I60" i="23" s="1"/>
  <c r="I53" i="22"/>
  <c r="I60" i="22" s="1"/>
  <c r="I41" i="31"/>
  <c r="I39" i="30"/>
  <c r="I39" i="29"/>
  <c r="I39" i="28"/>
  <c r="I39" i="27"/>
  <c r="I39" i="26"/>
  <c r="I39" i="25"/>
  <c r="I46" i="25" s="1"/>
  <c r="I39" i="24"/>
  <c r="I46" i="24" s="1"/>
  <c r="I38" i="23"/>
  <c r="I45" i="23" s="1"/>
  <c r="I38" i="22"/>
  <c r="I45" i="22" s="1"/>
  <c r="F60" i="19"/>
  <c r="J24" i="31"/>
  <c r="J23" i="30"/>
  <c r="J23" i="29"/>
  <c r="J23" i="28"/>
  <c r="J23" i="27"/>
  <c r="J23" i="26"/>
  <c r="J23" i="25"/>
  <c r="J23" i="24"/>
  <c r="J22" i="23"/>
  <c r="J22" i="22"/>
  <c r="N29" i="19"/>
  <c r="J41" i="31"/>
  <c r="J39" i="30"/>
  <c r="J39" i="29"/>
  <c r="J39" i="28"/>
  <c r="J39" i="27"/>
  <c r="J39" i="26"/>
  <c r="J39" i="25"/>
  <c r="J39" i="24"/>
  <c r="J38" i="23"/>
  <c r="J38" i="22"/>
  <c r="F14" i="19"/>
  <c r="E45" i="19"/>
  <c r="J50" i="31"/>
  <c r="J57" i="31" s="1"/>
  <c r="J46" i="30"/>
  <c r="J53" i="30" s="1"/>
  <c r="J46" i="29"/>
  <c r="J46" i="28"/>
  <c r="J46" i="27"/>
  <c r="J46" i="26"/>
  <c r="J54" i="25"/>
  <c r="J61" i="25" s="1"/>
  <c r="J54" i="24"/>
  <c r="J61" i="24" s="1"/>
  <c r="J53" i="23"/>
  <c r="J60" i="23" s="1"/>
  <c r="J53" i="22"/>
  <c r="J60" i="22" s="1"/>
  <c r="I53" i="21"/>
  <c r="I60" i="21" s="1"/>
  <c r="I53" i="20"/>
  <c r="I60" i="20" s="1"/>
  <c r="E14" i="19"/>
  <c r="I44" i="19"/>
  <c r="I38" i="21"/>
  <c r="I45" i="21" s="1"/>
  <c r="I38" i="20"/>
  <c r="I45" i="20" s="1"/>
  <c r="I29" i="19"/>
  <c r="M38" i="21"/>
  <c r="M38" i="20"/>
  <c r="I13" i="19"/>
  <c r="I7" i="21"/>
  <c r="I7" i="20"/>
  <c r="J28" i="19"/>
  <c r="J22" i="21"/>
  <c r="J22" i="20"/>
  <c r="E29" i="19"/>
  <c r="M29" i="19"/>
  <c r="E60" i="19"/>
  <c r="J38" i="21"/>
  <c r="J38" i="20"/>
  <c r="G14" i="19"/>
  <c r="O29" i="19"/>
  <c r="G29" i="19"/>
  <c r="G45" i="19"/>
  <c r="G60" i="19"/>
  <c r="J53" i="21"/>
  <c r="J53" i="20"/>
  <c r="K51" i="19"/>
  <c r="L51" i="19" s="1"/>
  <c r="M51" i="19" s="1"/>
  <c r="N51" i="19" s="1"/>
  <c r="O51" i="19" s="1"/>
  <c r="M19" i="19"/>
  <c r="N19" i="19" s="1"/>
  <c r="O19" i="19" s="1"/>
  <c r="K59" i="19"/>
  <c r="L44" i="19"/>
  <c r="M13" i="19"/>
  <c r="L13" i="19"/>
  <c r="K13" i="19"/>
  <c r="J13" i="19"/>
  <c r="H60" i="19"/>
  <c r="H45" i="19"/>
  <c r="H29" i="19"/>
  <c r="L29" i="19"/>
  <c r="H14" i="19"/>
  <c r="J59" i="19"/>
  <c r="J44" i="19"/>
  <c r="M44" i="19"/>
  <c r="L28" i="19"/>
  <c r="K28" i="19"/>
  <c r="K44" i="19"/>
  <c r="I59" i="19"/>
  <c r="L19" i="18"/>
  <c r="J14" i="25" l="1"/>
  <c r="I14" i="25"/>
  <c r="J14" i="24"/>
  <c r="I14" i="24"/>
  <c r="I14" i="27"/>
  <c r="J14" i="27"/>
  <c r="I14" i="26"/>
  <c r="J14" i="26"/>
  <c r="J53" i="26"/>
  <c r="J45" i="22"/>
  <c r="K45" i="22"/>
  <c r="J22" i="27"/>
  <c r="J30" i="27"/>
  <c r="I14" i="28"/>
  <c r="J14" i="28"/>
  <c r="J22" i="24"/>
  <c r="J30" i="24"/>
  <c r="J30" i="26"/>
  <c r="J22" i="26"/>
  <c r="J53" i="27"/>
  <c r="J45" i="23"/>
  <c r="K45" i="23"/>
  <c r="J30" i="28"/>
  <c r="J22" i="28"/>
  <c r="I14" i="29"/>
  <c r="J14" i="29"/>
  <c r="J29" i="23"/>
  <c r="J21" i="23"/>
  <c r="J22" i="25"/>
  <c r="J30" i="25"/>
  <c r="J53" i="28"/>
  <c r="K46" i="24"/>
  <c r="J46" i="24"/>
  <c r="J30" i="29"/>
  <c r="J22" i="29"/>
  <c r="I14" i="22"/>
  <c r="J14" i="22"/>
  <c r="I14" i="30"/>
  <c r="J14" i="30"/>
  <c r="J23" i="31"/>
  <c r="J31" i="31"/>
  <c r="J53" i="29"/>
  <c r="K46" i="25"/>
  <c r="J46" i="25"/>
  <c r="J29" i="22"/>
  <c r="J21" i="22"/>
  <c r="J30" i="30"/>
  <c r="J22" i="30"/>
  <c r="I14" i="23"/>
  <c r="J14" i="23"/>
  <c r="J14" i="31"/>
  <c r="I14" i="31"/>
  <c r="J60" i="20"/>
  <c r="K60" i="20"/>
  <c r="J14" i="20"/>
  <c r="I14" i="20"/>
  <c r="J45" i="21"/>
  <c r="K45" i="21"/>
  <c r="J29" i="21"/>
  <c r="J21" i="21"/>
  <c r="K29" i="21"/>
  <c r="J60" i="21"/>
  <c r="K60" i="21"/>
  <c r="K45" i="20"/>
  <c r="J45" i="20"/>
  <c r="J29" i="20"/>
  <c r="K29" i="20"/>
  <c r="I14" i="21"/>
  <c r="J14" i="21"/>
  <c r="M28" i="19"/>
  <c r="L59" i="19"/>
  <c r="K52" i="18"/>
  <c r="K53" i="19" s="1"/>
  <c r="K60" i="19" s="1"/>
  <c r="J29" i="30" l="1"/>
  <c r="K29" i="30"/>
  <c r="K29" i="24"/>
  <c r="J29" i="24"/>
  <c r="K28" i="22"/>
  <c r="J28" i="22"/>
  <c r="K29" i="25"/>
  <c r="J29" i="25"/>
  <c r="J28" i="23"/>
  <c r="K28" i="23"/>
  <c r="K29" i="27"/>
  <c r="J29" i="27"/>
  <c r="K30" i="31"/>
  <c r="J30" i="31"/>
  <c r="K29" i="29"/>
  <c r="J29" i="29"/>
  <c r="K29" i="26"/>
  <c r="J29" i="26"/>
  <c r="K29" i="28"/>
  <c r="J29" i="28"/>
  <c r="L52" i="18"/>
  <c r="J28" i="21"/>
  <c r="K28" i="21"/>
  <c r="N28" i="19"/>
  <c r="M59" i="19"/>
  <c r="J51" i="18"/>
  <c r="L53" i="19" l="1"/>
  <c r="L60" i="19" s="1"/>
  <c r="M52" i="18"/>
  <c r="O28" i="19"/>
  <c r="N59" i="19"/>
  <c r="O59" i="19"/>
  <c r="K51" i="18"/>
  <c r="K50" i="18"/>
  <c r="L50" i="18" s="1"/>
  <c r="M50" i="18" s="1"/>
  <c r="N50" i="18" s="1"/>
  <c r="O50" i="18" s="1"/>
  <c r="M53" i="19" l="1"/>
  <c r="M60" i="19" s="1"/>
  <c r="N52" i="18"/>
  <c r="L51" i="18"/>
  <c r="N53" i="19" l="1"/>
  <c r="N60" i="19" s="1"/>
  <c r="O52" i="18"/>
  <c r="O53" i="19" s="1"/>
  <c r="M51" i="18"/>
  <c r="O60" i="19" l="1"/>
  <c r="N51" i="18"/>
  <c r="O51" i="18" l="1"/>
  <c r="I52" i="18" l="1"/>
  <c r="I53" i="19" s="1"/>
  <c r="M19" i="18"/>
  <c r="I37" i="18"/>
  <c r="I38" i="19" s="1"/>
  <c r="I6" i="18"/>
  <c r="I7" i="19" s="1"/>
  <c r="I14" i="19" s="1"/>
  <c r="O60" i="18"/>
  <c r="O30" i="18"/>
  <c r="O29" i="18"/>
  <c r="J21" i="18"/>
  <c r="J22" i="19" s="1"/>
  <c r="J6" i="18"/>
  <c r="J62" i="18"/>
  <c r="I62" i="18"/>
  <c r="H62" i="18"/>
  <c r="G62" i="18"/>
  <c r="F62" i="18"/>
  <c r="E62" i="18"/>
  <c r="M61" i="18"/>
  <c r="L61" i="18"/>
  <c r="K61" i="18"/>
  <c r="J61" i="18"/>
  <c r="I61" i="18"/>
  <c r="H61" i="18"/>
  <c r="G61" i="18"/>
  <c r="F61" i="18"/>
  <c r="E61" i="18"/>
  <c r="N60" i="18"/>
  <c r="M60" i="18"/>
  <c r="L60" i="18"/>
  <c r="K60" i="18"/>
  <c r="J60" i="18"/>
  <c r="I60" i="18"/>
  <c r="H60" i="18"/>
  <c r="G60" i="18"/>
  <c r="F60" i="18"/>
  <c r="E60" i="18"/>
  <c r="I59" i="18"/>
  <c r="H59" i="18"/>
  <c r="G59" i="18"/>
  <c r="F59" i="18"/>
  <c r="E59" i="18"/>
  <c r="B49" i="18"/>
  <c r="B59" i="18" s="1"/>
  <c r="J47" i="18"/>
  <c r="I47" i="18"/>
  <c r="H47" i="18"/>
  <c r="G47" i="18"/>
  <c r="F47" i="18"/>
  <c r="E47" i="18"/>
  <c r="M46" i="18"/>
  <c r="L46" i="18"/>
  <c r="K46" i="18"/>
  <c r="J46" i="18"/>
  <c r="I46" i="18"/>
  <c r="H46" i="18"/>
  <c r="G46" i="18"/>
  <c r="F46" i="18"/>
  <c r="E46" i="18"/>
  <c r="K45" i="18"/>
  <c r="J45" i="18"/>
  <c r="I45" i="18"/>
  <c r="H45" i="18"/>
  <c r="G45" i="18"/>
  <c r="F45" i="18"/>
  <c r="E45" i="18"/>
  <c r="I44" i="18"/>
  <c r="H44" i="18"/>
  <c r="G44" i="18"/>
  <c r="F44" i="18"/>
  <c r="E44" i="18"/>
  <c r="B38" i="18"/>
  <c r="B53" i="18" s="1"/>
  <c r="K37" i="18"/>
  <c r="K38" i="19" s="1"/>
  <c r="K45" i="19" s="1"/>
  <c r="B33" i="18"/>
  <c r="J31" i="18"/>
  <c r="I31" i="18"/>
  <c r="H31" i="18"/>
  <c r="G31" i="18"/>
  <c r="F31" i="18"/>
  <c r="E31" i="18"/>
  <c r="N30" i="18"/>
  <c r="M30" i="18"/>
  <c r="L30" i="18"/>
  <c r="K30" i="18"/>
  <c r="J30" i="18"/>
  <c r="I30" i="18"/>
  <c r="H30" i="18"/>
  <c r="G30" i="18"/>
  <c r="F30" i="18"/>
  <c r="E30" i="18"/>
  <c r="N29" i="18"/>
  <c r="M29" i="18"/>
  <c r="L29" i="18"/>
  <c r="K29" i="18"/>
  <c r="J29" i="18"/>
  <c r="I29" i="18"/>
  <c r="H29" i="18"/>
  <c r="G29" i="18"/>
  <c r="F29" i="18"/>
  <c r="E29" i="18"/>
  <c r="B29" i="18"/>
  <c r="B45" i="18" s="1"/>
  <c r="B60" i="18" s="1"/>
  <c r="I28" i="18"/>
  <c r="H28" i="18"/>
  <c r="G28" i="18"/>
  <c r="F28" i="18"/>
  <c r="E28" i="18"/>
  <c r="B22" i="18"/>
  <c r="B18" i="18"/>
  <c r="B28" i="18" s="1"/>
  <c r="J16" i="18"/>
  <c r="I16" i="18"/>
  <c r="H16" i="18"/>
  <c r="G16" i="18"/>
  <c r="F16" i="18"/>
  <c r="E16" i="18"/>
  <c r="J15" i="18"/>
  <c r="I15" i="18"/>
  <c r="H15" i="18"/>
  <c r="G15" i="18"/>
  <c r="F15" i="18"/>
  <c r="E15" i="18"/>
  <c r="K14" i="18"/>
  <c r="J14" i="18"/>
  <c r="I14" i="18"/>
  <c r="H14" i="18"/>
  <c r="G14" i="18"/>
  <c r="F14" i="18"/>
  <c r="E14" i="18"/>
  <c r="H13" i="18"/>
  <c r="G13" i="18"/>
  <c r="F13" i="18"/>
  <c r="E13" i="18"/>
  <c r="Q7" i="18"/>
  <c r="R4" i="18"/>
  <c r="Q4" i="18"/>
  <c r="J44" i="18" l="1"/>
  <c r="I45" i="19"/>
  <c r="J45" i="19"/>
  <c r="R7" i="18"/>
  <c r="R17" i="18" s="1"/>
  <c r="J29" i="19"/>
  <c r="K29" i="19"/>
  <c r="I13" i="18"/>
  <c r="J13" i="18"/>
  <c r="J7" i="19"/>
  <c r="J60" i="19"/>
  <c r="I60" i="19"/>
  <c r="N19" i="18"/>
  <c r="M28" i="18"/>
  <c r="O59" i="18"/>
  <c r="K28" i="18"/>
  <c r="J28" i="18"/>
  <c r="L28" i="18"/>
  <c r="K44" i="18"/>
  <c r="L13" i="18"/>
  <c r="M13" i="18"/>
  <c r="K13" i="18"/>
  <c r="S7" i="18"/>
  <c r="T4" i="18"/>
  <c r="T7" i="18"/>
  <c r="S4" i="18"/>
  <c r="U4" i="18"/>
  <c r="L44" i="18"/>
  <c r="J59" i="18"/>
  <c r="M44" i="18"/>
  <c r="K59" i="18"/>
  <c r="J50" i="17"/>
  <c r="K50" i="17" s="1"/>
  <c r="L50" i="17" s="1"/>
  <c r="M50" i="17" s="1"/>
  <c r="N50" i="17" s="1"/>
  <c r="J19" i="17"/>
  <c r="K19" i="17" s="1"/>
  <c r="L19" i="17" s="1"/>
  <c r="M19" i="17" s="1"/>
  <c r="N19" i="17" s="1"/>
  <c r="J14" i="19" l="1"/>
  <c r="K14" i="19"/>
  <c r="V4" i="18"/>
  <c r="O19" i="18"/>
  <c r="O28" i="18" s="1"/>
  <c r="V7" i="18"/>
  <c r="V17" i="18" s="1"/>
  <c r="N59" i="18"/>
  <c r="T17" i="18"/>
  <c r="S17" i="18"/>
  <c r="L59" i="18"/>
  <c r="M59" i="18"/>
  <c r="U7" i="18"/>
  <c r="U17" i="18" s="1"/>
  <c r="L52" i="17"/>
  <c r="J52" i="17"/>
  <c r="J59" i="17" s="1"/>
  <c r="I29" i="17"/>
  <c r="K29" i="17"/>
  <c r="K37" i="17"/>
  <c r="L37" i="17"/>
  <c r="M44" i="17" s="1"/>
  <c r="J44" i="17"/>
  <c r="I28" i="17"/>
  <c r="J28" i="17"/>
  <c r="J62" i="17"/>
  <c r="I62" i="17"/>
  <c r="H62" i="17"/>
  <c r="G62" i="17"/>
  <c r="F62" i="17"/>
  <c r="E62" i="17"/>
  <c r="M61" i="17"/>
  <c r="L61" i="17"/>
  <c r="K61" i="17"/>
  <c r="J61" i="17"/>
  <c r="I61" i="17"/>
  <c r="H61" i="17"/>
  <c r="G61" i="17"/>
  <c r="F61" i="17"/>
  <c r="E61" i="17"/>
  <c r="N60" i="17"/>
  <c r="M60" i="17"/>
  <c r="L60" i="17"/>
  <c r="K60" i="17"/>
  <c r="J60" i="17"/>
  <c r="I60" i="17"/>
  <c r="H60" i="17"/>
  <c r="G60" i="17"/>
  <c r="F60" i="17"/>
  <c r="E60" i="17"/>
  <c r="H59" i="17"/>
  <c r="G59" i="17"/>
  <c r="F59" i="17"/>
  <c r="E59" i="17"/>
  <c r="B49" i="17"/>
  <c r="B59" i="17" s="1"/>
  <c r="J47" i="17"/>
  <c r="I47" i="17"/>
  <c r="H47" i="17"/>
  <c r="G47" i="17"/>
  <c r="F47" i="17"/>
  <c r="E47" i="17"/>
  <c r="M46" i="17"/>
  <c r="L46" i="17"/>
  <c r="K46" i="17"/>
  <c r="J46" i="17"/>
  <c r="I46" i="17"/>
  <c r="H46" i="17"/>
  <c r="G46" i="17"/>
  <c r="F46" i="17"/>
  <c r="E46" i="17"/>
  <c r="K45" i="17"/>
  <c r="J45" i="17"/>
  <c r="I45" i="17"/>
  <c r="H45" i="17"/>
  <c r="G45" i="17"/>
  <c r="F45" i="17"/>
  <c r="E45" i="17"/>
  <c r="H44" i="17"/>
  <c r="G44" i="17"/>
  <c r="F44" i="17"/>
  <c r="E44" i="17"/>
  <c r="B38" i="17"/>
  <c r="B53" i="17" s="1"/>
  <c r="B33" i="17"/>
  <c r="J31" i="17"/>
  <c r="I31" i="17"/>
  <c r="H31" i="17"/>
  <c r="G31" i="17"/>
  <c r="F31" i="17"/>
  <c r="E31" i="17"/>
  <c r="N30" i="17"/>
  <c r="M30" i="17"/>
  <c r="L30" i="17"/>
  <c r="K30" i="17"/>
  <c r="J30" i="17"/>
  <c r="I30" i="17"/>
  <c r="H30" i="17"/>
  <c r="G30" i="17"/>
  <c r="F30" i="17"/>
  <c r="E30" i="17"/>
  <c r="N29" i="17"/>
  <c r="M29" i="17"/>
  <c r="L29" i="17"/>
  <c r="J29" i="17"/>
  <c r="H29" i="17"/>
  <c r="G29" i="17"/>
  <c r="F29" i="17"/>
  <c r="E29" i="17"/>
  <c r="B29" i="17"/>
  <c r="B45" i="17" s="1"/>
  <c r="B60" i="17" s="1"/>
  <c r="H28" i="17"/>
  <c r="G28" i="17"/>
  <c r="F28" i="17"/>
  <c r="E28" i="17"/>
  <c r="B22" i="17"/>
  <c r="B18" i="17"/>
  <c r="B28" i="17" s="1"/>
  <c r="J16" i="17"/>
  <c r="I16" i="17"/>
  <c r="H16" i="17"/>
  <c r="G16" i="17"/>
  <c r="F16" i="17"/>
  <c r="E16" i="17"/>
  <c r="J15" i="17"/>
  <c r="I15" i="17"/>
  <c r="H15" i="17"/>
  <c r="G15" i="17"/>
  <c r="F15" i="17"/>
  <c r="E15" i="17"/>
  <c r="K14" i="17"/>
  <c r="J14" i="17"/>
  <c r="I14" i="17"/>
  <c r="H14" i="17"/>
  <c r="G14" i="17"/>
  <c r="F14" i="17"/>
  <c r="E14" i="17"/>
  <c r="I13" i="17"/>
  <c r="H13" i="17"/>
  <c r="G13" i="17"/>
  <c r="F13" i="17"/>
  <c r="E13" i="17"/>
  <c r="P7" i="17"/>
  <c r="P4" i="17"/>
  <c r="L44" i="17" l="1"/>
  <c r="W7" i="18"/>
  <c r="W4" i="18"/>
  <c r="N28" i="18"/>
  <c r="K59" i="17"/>
  <c r="L13" i="17"/>
  <c r="M13" i="17"/>
  <c r="K44" i="17"/>
  <c r="N28" i="17"/>
  <c r="M28" i="17"/>
  <c r="S4" i="17"/>
  <c r="L28" i="17"/>
  <c r="K28" i="17"/>
  <c r="R7" i="17"/>
  <c r="S7" i="17"/>
  <c r="R4" i="17"/>
  <c r="J13" i="17"/>
  <c r="K13" i="17"/>
  <c r="Q4" i="17"/>
  <c r="I59" i="17"/>
  <c r="Q7" i="17"/>
  <c r="I44" i="17"/>
  <c r="K52" i="16"/>
  <c r="L52" i="16" s="1"/>
  <c r="M52" i="16" s="1"/>
  <c r="N52" i="16" s="1"/>
  <c r="S17" i="17" l="1"/>
  <c r="R17" i="17"/>
  <c r="L59" i="17"/>
  <c r="T4" i="17"/>
  <c r="T7" i="17"/>
  <c r="Q17" i="17"/>
  <c r="J50" i="16"/>
  <c r="K50" i="16" s="1"/>
  <c r="L50" i="16" s="1"/>
  <c r="M50" i="16" s="1"/>
  <c r="N50" i="16" s="1"/>
  <c r="J19" i="16"/>
  <c r="K19" i="16" s="1"/>
  <c r="L19" i="16" s="1"/>
  <c r="M19" i="16" s="1"/>
  <c r="N19" i="16" s="1"/>
  <c r="J35" i="16"/>
  <c r="I37" i="16"/>
  <c r="N60" i="16"/>
  <c r="N29" i="16"/>
  <c r="N30" i="16"/>
  <c r="K3" i="16"/>
  <c r="I5" i="16"/>
  <c r="M59" i="17" l="1"/>
  <c r="U4" i="17"/>
  <c r="U7" i="17"/>
  <c r="T17" i="17"/>
  <c r="N28" i="16"/>
  <c r="I21" i="16"/>
  <c r="N59" i="17" l="1"/>
  <c r="V7" i="17"/>
  <c r="V4" i="17"/>
  <c r="U17" i="17"/>
  <c r="N59" i="16"/>
  <c r="I52" i="16"/>
  <c r="J28" i="16"/>
  <c r="O4" i="16" l="1"/>
  <c r="J62" i="16"/>
  <c r="I62" i="16"/>
  <c r="H62" i="16"/>
  <c r="G62" i="16"/>
  <c r="F62" i="16"/>
  <c r="E62" i="16"/>
  <c r="M61" i="16"/>
  <c r="L61" i="16"/>
  <c r="K61" i="16"/>
  <c r="J61" i="16"/>
  <c r="I61" i="16"/>
  <c r="H61" i="16"/>
  <c r="G61" i="16"/>
  <c r="F61" i="16"/>
  <c r="E61" i="16"/>
  <c r="M60" i="16"/>
  <c r="L60" i="16"/>
  <c r="K60" i="16"/>
  <c r="J60" i="16"/>
  <c r="I60" i="16"/>
  <c r="H60" i="16"/>
  <c r="G60" i="16"/>
  <c r="F60" i="16"/>
  <c r="E60" i="16"/>
  <c r="H59" i="16"/>
  <c r="G59" i="16"/>
  <c r="F59" i="16"/>
  <c r="E59" i="16"/>
  <c r="I59" i="16"/>
  <c r="B49" i="16"/>
  <c r="B59" i="16" s="1"/>
  <c r="J47" i="16"/>
  <c r="I47" i="16"/>
  <c r="H47" i="16"/>
  <c r="G47" i="16"/>
  <c r="F47" i="16"/>
  <c r="E47" i="16"/>
  <c r="M46" i="16"/>
  <c r="L46" i="16"/>
  <c r="K46" i="16"/>
  <c r="J46" i="16"/>
  <c r="I46" i="16"/>
  <c r="H46" i="16"/>
  <c r="G46" i="16"/>
  <c r="F46" i="16"/>
  <c r="E46" i="16"/>
  <c r="K45" i="16"/>
  <c r="J45" i="16"/>
  <c r="I45" i="16"/>
  <c r="H45" i="16"/>
  <c r="G45" i="16"/>
  <c r="F45" i="16"/>
  <c r="E45" i="16"/>
  <c r="I44" i="16"/>
  <c r="H44" i="16"/>
  <c r="G44" i="16"/>
  <c r="F44" i="16"/>
  <c r="E44" i="16"/>
  <c r="B38" i="16"/>
  <c r="B53" i="16" s="1"/>
  <c r="R7" i="16"/>
  <c r="Q7" i="16"/>
  <c r="B34" i="16"/>
  <c r="J31" i="16"/>
  <c r="I31" i="16"/>
  <c r="H31" i="16"/>
  <c r="G31" i="16"/>
  <c r="F31" i="16"/>
  <c r="E31" i="16"/>
  <c r="M30" i="16"/>
  <c r="L30" i="16"/>
  <c r="K30" i="16"/>
  <c r="J30" i="16"/>
  <c r="I30" i="16"/>
  <c r="H30" i="16"/>
  <c r="G30" i="16"/>
  <c r="F30" i="16"/>
  <c r="E30" i="16"/>
  <c r="M29" i="16"/>
  <c r="L29" i="16"/>
  <c r="K29" i="16"/>
  <c r="J29" i="16"/>
  <c r="I29" i="16"/>
  <c r="H29" i="16"/>
  <c r="G29" i="16"/>
  <c r="F29" i="16"/>
  <c r="E29" i="16"/>
  <c r="B29" i="16"/>
  <c r="B45" i="16" s="1"/>
  <c r="B60" i="16" s="1"/>
  <c r="M28" i="16"/>
  <c r="L28" i="16"/>
  <c r="K28" i="16"/>
  <c r="I28" i="16"/>
  <c r="H28" i="16"/>
  <c r="G28" i="16"/>
  <c r="F28" i="16"/>
  <c r="E28" i="16"/>
  <c r="B22" i="16"/>
  <c r="B18" i="16"/>
  <c r="B28" i="16" s="1"/>
  <c r="J16" i="16"/>
  <c r="I16" i="16"/>
  <c r="H16" i="16"/>
  <c r="G16" i="16"/>
  <c r="F16" i="16"/>
  <c r="E16" i="16"/>
  <c r="J15" i="16"/>
  <c r="I15" i="16"/>
  <c r="H15" i="16"/>
  <c r="G15" i="16"/>
  <c r="F15" i="16"/>
  <c r="E15" i="16"/>
  <c r="K14" i="16"/>
  <c r="J14" i="16"/>
  <c r="I14" i="16"/>
  <c r="H14" i="16"/>
  <c r="G14" i="16"/>
  <c r="F14" i="16"/>
  <c r="E14" i="16"/>
  <c r="M13" i="16"/>
  <c r="L13" i="16"/>
  <c r="K13" i="16"/>
  <c r="J13" i="16"/>
  <c r="I13" i="16"/>
  <c r="H13" i="16"/>
  <c r="G13" i="16"/>
  <c r="F13" i="16"/>
  <c r="E13" i="16"/>
  <c r="O7" i="16"/>
  <c r="P4" i="16"/>
  <c r="M44" i="16" l="1"/>
  <c r="M59" i="16"/>
  <c r="J59" i="16"/>
  <c r="S4" i="16"/>
  <c r="J44" i="16"/>
  <c r="T4" i="16"/>
  <c r="K44" i="16"/>
  <c r="Q4" i="16"/>
  <c r="Q17" i="16" s="1"/>
  <c r="R4" i="16"/>
  <c r="R17" i="16" s="1"/>
  <c r="P7" i="16"/>
  <c r="P17" i="16" s="1"/>
  <c r="K59" i="16"/>
  <c r="S7" i="16"/>
  <c r="S17" i="16" s="1"/>
  <c r="L44" i="16"/>
  <c r="L59" i="16"/>
  <c r="T7" i="16"/>
  <c r="M51" i="15"/>
  <c r="L51" i="15"/>
  <c r="K51" i="15"/>
  <c r="J51" i="15"/>
  <c r="I51" i="15"/>
  <c r="M36" i="15"/>
  <c r="L36" i="15"/>
  <c r="K36" i="15"/>
  <c r="J36" i="15"/>
  <c r="T17" i="16" l="1"/>
  <c r="P4" i="15"/>
  <c r="Q4" i="15"/>
  <c r="R4" i="15"/>
  <c r="S4" i="15"/>
  <c r="T4" i="15"/>
  <c r="O4" i="15"/>
  <c r="O7" i="15"/>
  <c r="T7" i="15"/>
  <c r="R7" i="15"/>
  <c r="S7" i="15"/>
  <c r="Q7" i="15"/>
  <c r="L59" i="15"/>
  <c r="M59" i="15"/>
  <c r="L29" i="15"/>
  <c r="M29" i="15"/>
  <c r="M60" i="15"/>
  <c r="M58" i="15"/>
  <c r="M45" i="15"/>
  <c r="M43" i="15"/>
  <c r="M30" i="15"/>
  <c r="M28" i="15"/>
  <c r="M13" i="15"/>
  <c r="J61" i="15"/>
  <c r="I61" i="15"/>
  <c r="H61" i="15"/>
  <c r="G61" i="15"/>
  <c r="F61" i="15"/>
  <c r="E61" i="15"/>
  <c r="L60" i="15"/>
  <c r="K60" i="15"/>
  <c r="J60" i="15"/>
  <c r="I60" i="15"/>
  <c r="H60" i="15"/>
  <c r="G60" i="15"/>
  <c r="F60" i="15"/>
  <c r="E60" i="15"/>
  <c r="K59" i="15"/>
  <c r="J59" i="15"/>
  <c r="I59" i="15"/>
  <c r="H59" i="15"/>
  <c r="G59" i="15"/>
  <c r="F59" i="15"/>
  <c r="E59" i="15"/>
  <c r="L58" i="15"/>
  <c r="K58" i="15"/>
  <c r="J58" i="15"/>
  <c r="I58" i="15"/>
  <c r="H58" i="15"/>
  <c r="G58" i="15"/>
  <c r="F58" i="15"/>
  <c r="E58" i="15"/>
  <c r="B48" i="15"/>
  <c r="B58" i="15" s="1"/>
  <c r="J46" i="15"/>
  <c r="I46" i="15"/>
  <c r="H46" i="15"/>
  <c r="G46" i="15"/>
  <c r="F46" i="15"/>
  <c r="E46" i="15"/>
  <c r="L45" i="15"/>
  <c r="K45" i="15"/>
  <c r="J45" i="15"/>
  <c r="I45" i="15"/>
  <c r="H45" i="15"/>
  <c r="G45" i="15"/>
  <c r="F45" i="15"/>
  <c r="E45" i="15"/>
  <c r="K44" i="15"/>
  <c r="J44" i="15"/>
  <c r="I44" i="15"/>
  <c r="H44" i="15"/>
  <c r="G44" i="15"/>
  <c r="F44" i="15"/>
  <c r="E44" i="15"/>
  <c r="L43" i="15"/>
  <c r="I43" i="15"/>
  <c r="H43" i="15"/>
  <c r="G43" i="15"/>
  <c r="F43" i="15"/>
  <c r="E43" i="15"/>
  <c r="B37" i="15"/>
  <c r="B52" i="15" s="1"/>
  <c r="K43" i="15"/>
  <c r="B33" i="15"/>
  <c r="J31" i="15"/>
  <c r="I31" i="15"/>
  <c r="H31" i="15"/>
  <c r="G31" i="15"/>
  <c r="F31" i="15"/>
  <c r="E31" i="15"/>
  <c r="L30" i="15"/>
  <c r="K30" i="15"/>
  <c r="J30" i="15"/>
  <c r="I30" i="15"/>
  <c r="H30" i="15"/>
  <c r="G30" i="15"/>
  <c r="F30" i="15"/>
  <c r="E30" i="15"/>
  <c r="K29" i="15"/>
  <c r="J29" i="15"/>
  <c r="I29" i="15"/>
  <c r="H29" i="15"/>
  <c r="G29" i="15"/>
  <c r="F29" i="15"/>
  <c r="E29" i="15"/>
  <c r="B29" i="15"/>
  <c r="B44" i="15" s="1"/>
  <c r="B59" i="15" s="1"/>
  <c r="L28" i="15"/>
  <c r="K28" i="15"/>
  <c r="J28" i="15"/>
  <c r="I28" i="15"/>
  <c r="H28" i="15"/>
  <c r="G28" i="15"/>
  <c r="F28" i="15"/>
  <c r="E28" i="15"/>
  <c r="B22" i="15"/>
  <c r="B18" i="15"/>
  <c r="B28" i="15" s="1"/>
  <c r="J16" i="15"/>
  <c r="I16" i="15"/>
  <c r="H16" i="15"/>
  <c r="G16" i="15"/>
  <c r="F16" i="15"/>
  <c r="E16" i="15"/>
  <c r="J15" i="15"/>
  <c r="I15" i="15"/>
  <c r="H15" i="15"/>
  <c r="G15" i="15"/>
  <c r="F15" i="15"/>
  <c r="E15" i="15"/>
  <c r="K14" i="15"/>
  <c r="J14" i="15"/>
  <c r="I14" i="15"/>
  <c r="H14" i="15"/>
  <c r="G14" i="15"/>
  <c r="F14" i="15"/>
  <c r="E14" i="15"/>
  <c r="L13" i="15"/>
  <c r="K13" i="15"/>
  <c r="J13" i="15"/>
  <c r="I13" i="15"/>
  <c r="H13" i="15"/>
  <c r="G13" i="15"/>
  <c r="F13" i="15"/>
  <c r="E13" i="15"/>
  <c r="P7" i="15"/>
  <c r="J43" i="15" l="1"/>
  <c r="G34" i="14"/>
  <c r="F34" i="14"/>
  <c r="E34" i="14"/>
  <c r="B33" i="14"/>
  <c r="M31" i="14"/>
  <c r="L31" i="14"/>
  <c r="K31" i="14"/>
  <c r="L34" i="14" s="1"/>
  <c r="J31" i="14"/>
  <c r="I31" i="14"/>
  <c r="H31" i="14"/>
  <c r="H34" i="14" s="1"/>
  <c r="B27" i="14"/>
  <c r="B34" i="14" s="1"/>
  <c r="M24" i="14"/>
  <c r="L24" i="14"/>
  <c r="K24" i="14"/>
  <c r="J24" i="14"/>
  <c r="I24" i="14"/>
  <c r="H24" i="14"/>
  <c r="G24" i="14"/>
  <c r="F24" i="14"/>
  <c r="E24" i="14"/>
  <c r="D24" i="14"/>
  <c r="B20" i="14"/>
  <c r="M17" i="14"/>
  <c r="L17" i="14"/>
  <c r="K17" i="14"/>
  <c r="J17" i="14"/>
  <c r="I17" i="14"/>
  <c r="H17" i="14"/>
  <c r="G17" i="14"/>
  <c r="F17" i="14"/>
  <c r="E17" i="14"/>
  <c r="D17" i="14"/>
  <c r="B13" i="14"/>
  <c r="G10" i="14"/>
  <c r="F10" i="14"/>
  <c r="E10" i="14"/>
  <c r="H7" i="14"/>
  <c r="H10" i="14" s="1"/>
  <c r="M6" i="14"/>
  <c r="L6" i="14"/>
  <c r="K6" i="14"/>
  <c r="J6" i="14"/>
  <c r="I6" i="14"/>
  <c r="M5" i="14"/>
  <c r="L5" i="14"/>
  <c r="K5" i="14"/>
  <c r="J5" i="14"/>
  <c r="I5" i="14"/>
  <c r="M4" i="14"/>
  <c r="L4" i="14"/>
  <c r="K4" i="14"/>
  <c r="J4" i="14"/>
  <c r="I4" i="14"/>
  <c r="M3" i="14"/>
  <c r="M7" i="14" s="1"/>
  <c r="L3" i="14"/>
  <c r="L7" i="14" s="1"/>
  <c r="K3" i="14"/>
  <c r="K7" i="14" s="1"/>
  <c r="J3" i="14"/>
  <c r="J7" i="14" s="1"/>
  <c r="I3" i="14"/>
  <c r="I7" i="14" s="1"/>
  <c r="M24" i="13"/>
  <c r="L24" i="13"/>
  <c r="K24" i="13"/>
  <c r="J24" i="13"/>
  <c r="I24" i="13"/>
  <c r="H24" i="13"/>
  <c r="G24" i="13"/>
  <c r="F24" i="13"/>
  <c r="E24" i="13"/>
  <c r="D24" i="13"/>
  <c r="E17" i="13"/>
  <c r="F17" i="13"/>
  <c r="G17" i="13"/>
  <c r="H17" i="13"/>
  <c r="I17" i="13"/>
  <c r="J17" i="13"/>
  <c r="K17" i="13"/>
  <c r="L17" i="13"/>
  <c r="M17" i="13"/>
  <c r="D17" i="13"/>
  <c r="B20" i="13"/>
  <c r="M6" i="13"/>
  <c r="L6" i="13"/>
  <c r="K6" i="13"/>
  <c r="J6" i="13"/>
  <c r="I6" i="13"/>
  <c r="M5" i="13"/>
  <c r="L5" i="13"/>
  <c r="K5" i="13"/>
  <c r="J5" i="13"/>
  <c r="I5" i="13"/>
  <c r="M4" i="13"/>
  <c r="L4" i="13"/>
  <c r="K4" i="13"/>
  <c r="J4" i="13"/>
  <c r="I4" i="13"/>
  <c r="M3" i="13"/>
  <c r="M7" i="13" s="1"/>
  <c r="L3" i="13"/>
  <c r="L7" i="13" s="1"/>
  <c r="K3" i="13"/>
  <c r="K7" i="13" s="1"/>
  <c r="J3" i="13"/>
  <c r="J7" i="13" s="1"/>
  <c r="I3" i="13"/>
  <c r="I7" i="13" s="1"/>
  <c r="B13" i="13"/>
  <c r="I31" i="13"/>
  <c r="J31" i="13"/>
  <c r="K31" i="13"/>
  <c r="L31" i="13"/>
  <c r="L34" i="13" s="1"/>
  <c r="M31" i="13"/>
  <c r="H31" i="13"/>
  <c r="H7" i="13"/>
  <c r="G34" i="13"/>
  <c r="F34" i="13"/>
  <c r="E34" i="13"/>
  <c r="B33" i="13"/>
  <c r="B27" i="13"/>
  <c r="B34" i="13" s="1"/>
  <c r="G10" i="13"/>
  <c r="F10" i="13"/>
  <c r="E10" i="13"/>
  <c r="I10" i="14" l="1"/>
  <c r="M34" i="13"/>
  <c r="J10" i="14"/>
  <c r="I34" i="14"/>
  <c r="M34" i="14"/>
  <c r="K34" i="13"/>
  <c r="J34" i="14"/>
  <c r="L10" i="14"/>
  <c r="M10" i="14"/>
  <c r="K10" i="14"/>
  <c r="K34" i="14"/>
  <c r="M10" i="13"/>
  <c r="J34" i="13"/>
  <c r="I34" i="13"/>
  <c r="H34" i="13"/>
  <c r="L10" i="13"/>
  <c r="J10" i="13"/>
  <c r="K10" i="13"/>
  <c r="I10" i="13"/>
  <c r="H10" i="13"/>
  <c r="Q7" i="12"/>
  <c r="Q18" i="12" s="1"/>
  <c r="Q28" i="12"/>
  <c r="H58" i="12"/>
  <c r="J36" i="12"/>
  <c r="L28" i="12"/>
  <c r="J28" i="12"/>
  <c r="H28" i="12"/>
  <c r="K13" i="12"/>
  <c r="J13" i="12"/>
  <c r="J61" i="12"/>
  <c r="I61" i="12"/>
  <c r="H61" i="12"/>
  <c r="G61" i="12"/>
  <c r="F61" i="12"/>
  <c r="E61" i="12"/>
  <c r="L60" i="12"/>
  <c r="K60" i="12"/>
  <c r="J60" i="12"/>
  <c r="I60" i="12"/>
  <c r="H60" i="12"/>
  <c r="G60" i="12"/>
  <c r="F60" i="12"/>
  <c r="E60" i="12"/>
  <c r="K59" i="12"/>
  <c r="J59" i="12"/>
  <c r="I59" i="12"/>
  <c r="H59" i="12"/>
  <c r="G59" i="12"/>
  <c r="F59" i="12"/>
  <c r="E59" i="12"/>
  <c r="G58" i="12"/>
  <c r="F58" i="12"/>
  <c r="E58" i="12"/>
  <c r="B48" i="12"/>
  <c r="B58" i="12" s="1"/>
  <c r="J46" i="12"/>
  <c r="I46" i="12"/>
  <c r="H46" i="12"/>
  <c r="G46" i="12"/>
  <c r="F46" i="12"/>
  <c r="E46" i="12"/>
  <c r="L45" i="12"/>
  <c r="K45" i="12"/>
  <c r="J45" i="12"/>
  <c r="I45" i="12"/>
  <c r="H45" i="12"/>
  <c r="G45" i="12"/>
  <c r="F45" i="12"/>
  <c r="E45" i="12"/>
  <c r="K44" i="12"/>
  <c r="J44" i="12"/>
  <c r="I44" i="12"/>
  <c r="H44" i="12"/>
  <c r="G44" i="12"/>
  <c r="F44" i="12"/>
  <c r="E44" i="12"/>
  <c r="G43" i="12"/>
  <c r="F43" i="12"/>
  <c r="E43" i="12"/>
  <c r="B37" i="12"/>
  <c r="B52" i="12" s="1"/>
  <c r="B33" i="12"/>
  <c r="J31" i="12"/>
  <c r="I31" i="12"/>
  <c r="H31" i="12"/>
  <c r="G31" i="12"/>
  <c r="F31" i="12"/>
  <c r="E31" i="12"/>
  <c r="L30" i="12"/>
  <c r="K30" i="12"/>
  <c r="J30" i="12"/>
  <c r="I30" i="12"/>
  <c r="H30" i="12"/>
  <c r="G30" i="12"/>
  <c r="F30" i="12"/>
  <c r="E30" i="12"/>
  <c r="K29" i="12"/>
  <c r="J29" i="12"/>
  <c r="I29" i="12"/>
  <c r="H29" i="12"/>
  <c r="G29" i="12"/>
  <c r="F29" i="12"/>
  <c r="E29" i="12"/>
  <c r="B29" i="12"/>
  <c r="B44" i="12" s="1"/>
  <c r="B59" i="12" s="1"/>
  <c r="G28" i="12"/>
  <c r="F28" i="12"/>
  <c r="E28" i="12"/>
  <c r="B22" i="12"/>
  <c r="B18" i="12"/>
  <c r="B28" i="12" s="1"/>
  <c r="J16" i="12"/>
  <c r="I16" i="12"/>
  <c r="H16" i="12"/>
  <c r="G16" i="12"/>
  <c r="F16" i="12"/>
  <c r="E16" i="12"/>
  <c r="J15" i="12"/>
  <c r="I15" i="12"/>
  <c r="H15" i="12"/>
  <c r="G15" i="12"/>
  <c r="F15" i="12"/>
  <c r="E15" i="12"/>
  <c r="K14" i="12"/>
  <c r="J14" i="12"/>
  <c r="I14" i="12"/>
  <c r="H14" i="12"/>
  <c r="G14" i="12"/>
  <c r="F14" i="12"/>
  <c r="E14" i="12"/>
  <c r="G13" i="12"/>
  <c r="F13" i="12"/>
  <c r="E13" i="12"/>
  <c r="L58" i="12" l="1"/>
  <c r="K58" i="12"/>
  <c r="J58" i="12"/>
  <c r="I58" i="12"/>
  <c r="K28" i="12"/>
  <c r="I28" i="12"/>
  <c r="L13" i="12"/>
  <c r="J43" i="12"/>
  <c r="I43" i="12"/>
  <c r="L43" i="12"/>
  <c r="K43" i="12"/>
  <c r="O6" i="12"/>
  <c r="H43" i="12"/>
  <c r="N6" i="12"/>
  <c r="H13" i="12"/>
  <c r="I13" i="12"/>
  <c r="I6" i="11"/>
  <c r="H6" i="11"/>
  <c r="G59" i="11" l="1"/>
  <c r="G58" i="11"/>
  <c r="H58" i="11"/>
  <c r="B48" i="11"/>
  <c r="B58" i="11" s="1"/>
  <c r="B37" i="11"/>
  <c r="B33" i="11"/>
  <c r="B18" i="11"/>
  <c r="B28" i="11" s="1"/>
  <c r="J61" i="11"/>
  <c r="I61" i="11"/>
  <c r="H61" i="11"/>
  <c r="G61" i="11"/>
  <c r="F61" i="11"/>
  <c r="E61" i="11"/>
  <c r="L60" i="11"/>
  <c r="K60" i="11"/>
  <c r="J60" i="11"/>
  <c r="I60" i="11"/>
  <c r="H60" i="11"/>
  <c r="G60" i="11"/>
  <c r="F60" i="11"/>
  <c r="E60" i="11"/>
  <c r="K59" i="11"/>
  <c r="J59" i="11"/>
  <c r="I59" i="11"/>
  <c r="H59" i="11"/>
  <c r="F59" i="11"/>
  <c r="E59" i="11"/>
  <c r="F58" i="11"/>
  <c r="E58" i="11"/>
  <c r="J46" i="11"/>
  <c r="I46" i="11"/>
  <c r="H46" i="11"/>
  <c r="G46" i="11"/>
  <c r="F46" i="11"/>
  <c r="E46" i="11"/>
  <c r="L45" i="11"/>
  <c r="K45" i="11"/>
  <c r="J45" i="11"/>
  <c r="I45" i="11"/>
  <c r="H45" i="11"/>
  <c r="G45" i="11"/>
  <c r="F45" i="11"/>
  <c r="E45" i="11"/>
  <c r="K44" i="11"/>
  <c r="J44" i="11"/>
  <c r="I44" i="11"/>
  <c r="H44" i="11"/>
  <c r="G44" i="11"/>
  <c r="F44" i="11"/>
  <c r="E44" i="11"/>
  <c r="G43" i="11"/>
  <c r="F43" i="11"/>
  <c r="E43" i="11"/>
  <c r="H43" i="11"/>
  <c r="J31" i="11"/>
  <c r="I31" i="11"/>
  <c r="H31" i="11"/>
  <c r="G31" i="11"/>
  <c r="F31" i="11"/>
  <c r="E31" i="11"/>
  <c r="L30" i="11"/>
  <c r="K30" i="11"/>
  <c r="J30" i="11"/>
  <c r="I30" i="11"/>
  <c r="H30" i="11"/>
  <c r="G30" i="11"/>
  <c r="F30" i="11"/>
  <c r="E30" i="11"/>
  <c r="K29" i="11"/>
  <c r="J29" i="11"/>
  <c r="I29" i="11"/>
  <c r="H29" i="11"/>
  <c r="G29" i="11"/>
  <c r="F29" i="11"/>
  <c r="E29" i="11"/>
  <c r="B29" i="11"/>
  <c r="B44" i="11" s="1"/>
  <c r="B59" i="11" s="1"/>
  <c r="F28" i="11"/>
  <c r="E28" i="11"/>
  <c r="B22" i="11"/>
  <c r="B52" i="11" s="1"/>
  <c r="G28" i="11"/>
  <c r="J16" i="11"/>
  <c r="I16" i="11"/>
  <c r="H16" i="11"/>
  <c r="G16" i="11"/>
  <c r="F16" i="11"/>
  <c r="E16" i="11"/>
  <c r="J15" i="11"/>
  <c r="I15" i="11"/>
  <c r="H15" i="11"/>
  <c r="G15" i="11"/>
  <c r="F15" i="11"/>
  <c r="E15" i="11"/>
  <c r="K14" i="11"/>
  <c r="J14" i="11"/>
  <c r="I14" i="11"/>
  <c r="H14" i="11"/>
  <c r="G14" i="11"/>
  <c r="F14" i="11"/>
  <c r="E14" i="11"/>
  <c r="F13" i="11"/>
  <c r="E13" i="11"/>
  <c r="G13" i="11"/>
  <c r="L43" i="11" l="1"/>
  <c r="K43" i="11"/>
  <c r="J43" i="11"/>
  <c r="L28" i="11"/>
  <c r="J13" i="11"/>
  <c r="I13" i="11"/>
  <c r="K28" i="11"/>
  <c r="I28" i="11"/>
  <c r="I43" i="11"/>
  <c r="J28" i="11"/>
  <c r="L13" i="11"/>
  <c r="K13" i="11"/>
  <c r="H13" i="11"/>
  <c r="H28" i="11"/>
  <c r="N6" i="11"/>
  <c r="H51" i="10"/>
  <c r="I51" i="10" s="1"/>
  <c r="J51" i="10" s="1"/>
  <c r="K51" i="10" s="1"/>
  <c r="L51" i="10" s="1"/>
  <c r="I58" i="11" l="1"/>
  <c r="O6" i="11"/>
  <c r="G29" i="10"/>
  <c r="B22" i="10"/>
  <c r="B37" i="10" s="1"/>
  <c r="B52" i="10" s="1"/>
  <c r="B29" i="10"/>
  <c r="B44" i="10" s="1"/>
  <c r="B59" i="10" s="1"/>
  <c r="F28" i="10"/>
  <c r="F13" i="10"/>
  <c r="J58" i="11" l="1"/>
  <c r="I36" i="10"/>
  <c r="H36" i="10"/>
  <c r="G43" i="10"/>
  <c r="I21" i="10"/>
  <c r="I28" i="10" s="1"/>
  <c r="L28" i="10"/>
  <c r="G21" i="10"/>
  <c r="H6" i="10"/>
  <c r="I6" i="10"/>
  <c r="J6" i="10"/>
  <c r="K6" i="10"/>
  <c r="L6" i="10"/>
  <c r="G6" i="10"/>
  <c r="G13" i="10" s="1"/>
  <c r="L60" i="10"/>
  <c r="L45" i="10"/>
  <c r="L30" i="10"/>
  <c r="K59" i="10"/>
  <c r="J59" i="10"/>
  <c r="I59" i="10"/>
  <c r="H59" i="10"/>
  <c r="G59" i="10"/>
  <c r="F59" i="10"/>
  <c r="E59" i="10"/>
  <c r="E44" i="10"/>
  <c r="F44" i="10"/>
  <c r="G44" i="10"/>
  <c r="H44" i="10"/>
  <c r="I44" i="10"/>
  <c r="J44" i="10"/>
  <c r="K44" i="10"/>
  <c r="E29" i="10"/>
  <c r="F29" i="10"/>
  <c r="H29" i="10"/>
  <c r="I29" i="10"/>
  <c r="J29" i="10"/>
  <c r="K29" i="10"/>
  <c r="K14" i="10"/>
  <c r="E14" i="10"/>
  <c r="F14" i="10"/>
  <c r="G14" i="10"/>
  <c r="H14" i="10"/>
  <c r="I14" i="10"/>
  <c r="J14" i="10"/>
  <c r="J61" i="10"/>
  <c r="I61" i="10"/>
  <c r="H61" i="10"/>
  <c r="G61" i="10"/>
  <c r="F61" i="10"/>
  <c r="E61" i="10"/>
  <c r="K60" i="10"/>
  <c r="J60" i="10"/>
  <c r="I60" i="10"/>
  <c r="H60" i="10"/>
  <c r="G60" i="10"/>
  <c r="F60" i="10"/>
  <c r="E60" i="10"/>
  <c r="F58" i="10"/>
  <c r="E58" i="10"/>
  <c r="J46" i="10"/>
  <c r="I46" i="10"/>
  <c r="H46" i="10"/>
  <c r="G46" i="10"/>
  <c r="F46" i="10"/>
  <c r="E46" i="10"/>
  <c r="K45" i="10"/>
  <c r="J45" i="10"/>
  <c r="I45" i="10"/>
  <c r="H45" i="10"/>
  <c r="G45" i="10"/>
  <c r="F45" i="10"/>
  <c r="E45" i="10"/>
  <c r="F43" i="10"/>
  <c r="E43" i="10"/>
  <c r="J31" i="10"/>
  <c r="I31" i="10"/>
  <c r="H31" i="10"/>
  <c r="G31" i="10"/>
  <c r="F31" i="10"/>
  <c r="E31" i="10"/>
  <c r="K30" i="10"/>
  <c r="J30" i="10"/>
  <c r="I30" i="10"/>
  <c r="H30" i="10"/>
  <c r="G30" i="10"/>
  <c r="F30" i="10"/>
  <c r="E30" i="10"/>
  <c r="E28" i="10"/>
  <c r="J16" i="10"/>
  <c r="I16" i="10"/>
  <c r="H16" i="10"/>
  <c r="G16" i="10"/>
  <c r="F16" i="10"/>
  <c r="E16" i="10"/>
  <c r="J15" i="10"/>
  <c r="I15" i="10"/>
  <c r="H15" i="10"/>
  <c r="G15" i="10"/>
  <c r="F15" i="10"/>
  <c r="E15" i="10"/>
  <c r="E13" i="10"/>
  <c r="K58" i="11" l="1"/>
  <c r="L58" i="11"/>
  <c r="J58" i="10"/>
  <c r="N6" i="10"/>
  <c r="I13" i="10"/>
  <c r="O6" i="10"/>
  <c r="J13" i="10"/>
  <c r="J43" i="10"/>
  <c r="J28" i="10"/>
  <c r="K43" i="10"/>
  <c r="L58" i="10"/>
  <c r="G58" i="10"/>
  <c r="H58" i="10"/>
  <c r="K58" i="10"/>
  <c r="I58" i="10"/>
  <c r="L43" i="10"/>
  <c r="I43" i="10"/>
  <c r="H43" i="10"/>
  <c r="K28" i="10"/>
  <c r="H28" i="10"/>
  <c r="G28" i="10"/>
  <c r="H13" i="10"/>
  <c r="R32" i="8"/>
  <c r="S32" i="8"/>
  <c r="T32" i="8"/>
  <c r="R6" i="8"/>
  <c r="S6" i="8"/>
  <c r="Q6" i="8"/>
  <c r="Q32" i="8"/>
  <c r="R34" i="8" l="1"/>
  <c r="Q34" i="8"/>
  <c r="S34" i="8"/>
  <c r="K13" i="10"/>
  <c r="L13" i="10"/>
  <c r="K52" i="8"/>
  <c r="J6" i="8"/>
  <c r="T6" i="8" s="1"/>
  <c r="T34" i="8" s="1"/>
  <c r="K6" i="8" l="1"/>
  <c r="M46" i="8"/>
  <c r="N46" i="8"/>
  <c r="G38" i="8"/>
  <c r="M20" i="8"/>
  <c r="M7" i="8"/>
  <c r="N7" i="8"/>
  <c r="J53" i="8"/>
  <c r="I53" i="8"/>
  <c r="H53" i="8"/>
  <c r="G53" i="8"/>
  <c r="F53" i="8"/>
  <c r="E53" i="8"/>
  <c r="J52" i="8"/>
  <c r="I52" i="8"/>
  <c r="H52" i="8"/>
  <c r="G52" i="8"/>
  <c r="F52" i="8"/>
  <c r="E52" i="8"/>
  <c r="E51" i="8"/>
  <c r="F51" i="8"/>
  <c r="J40" i="8"/>
  <c r="I40" i="8"/>
  <c r="H40" i="8"/>
  <c r="G40" i="8"/>
  <c r="F40" i="8"/>
  <c r="E40" i="8"/>
  <c r="K39" i="8"/>
  <c r="J39" i="8"/>
  <c r="I39" i="8"/>
  <c r="H39" i="8"/>
  <c r="G39" i="8"/>
  <c r="F39" i="8"/>
  <c r="E39" i="8"/>
  <c r="E38" i="8"/>
  <c r="J27" i="8"/>
  <c r="I27" i="8"/>
  <c r="H27" i="8"/>
  <c r="G27" i="8"/>
  <c r="F27" i="8"/>
  <c r="E27" i="8"/>
  <c r="K26" i="8"/>
  <c r="J26" i="8"/>
  <c r="I26" i="8"/>
  <c r="H26" i="8"/>
  <c r="G26" i="8"/>
  <c r="F26" i="8"/>
  <c r="E26" i="8"/>
  <c r="E25" i="8"/>
  <c r="J14" i="8"/>
  <c r="I14" i="8"/>
  <c r="H14" i="8"/>
  <c r="G14" i="8"/>
  <c r="F14" i="8"/>
  <c r="E14" i="8"/>
  <c r="J13" i="8"/>
  <c r="I13" i="8"/>
  <c r="H13" i="8"/>
  <c r="G13" i="8"/>
  <c r="F13" i="8"/>
  <c r="E13" i="8"/>
  <c r="E12" i="8"/>
  <c r="K6" i="6"/>
  <c r="J6" i="6"/>
  <c r="I6" i="6"/>
  <c r="H6" i="6"/>
  <c r="G6" i="6"/>
  <c r="K51" i="8" l="1"/>
  <c r="J51" i="8"/>
  <c r="K38" i="8"/>
  <c r="J38" i="8"/>
  <c r="I38" i="8"/>
  <c r="N33" i="8"/>
  <c r="H38" i="8"/>
  <c r="K25" i="8"/>
  <c r="J25" i="8"/>
  <c r="I25" i="8"/>
  <c r="N20" i="8"/>
  <c r="K12" i="8"/>
  <c r="J12" i="8"/>
  <c r="I12" i="8"/>
  <c r="G51" i="8"/>
  <c r="H51" i="8"/>
  <c r="I51" i="8"/>
  <c r="M33" i="8"/>
  <c r="F38" i="8"/>
  <c r="G25" i="8"/>
  <c r="H25" i="8"/>
  <c r="F25" i="8"/>
  <c r="H12" i="8"/>
  <c r="G12" i="8"/>
  <c r="F12" i="8"/>
  <c r="N47" i="6"/>
  <c r="M47" i="6"/>
  <c r="N34" i="6"/>
  <c r="M34" i="6"/>
  <c r="N21" i="6"/>
  <c r="M21" i="6"/>
  <c r="N8" i="6"/>
  <c r="M8" i="6"/>
  <c r="K40" i="6" l="1"/>
  <c r="K27" i="6"/>
  <c r="F7" i="6" l="1"/>
  <c r="F46" i="6" l="1"/>
  <c r="J49" i="7"/>
  <c r="I49" i="7"/>
  <c r="H49" i="7"/>
  <c r="G49" i="7"/>
  <c r="F49" i="7"/>
  <c r="E49" i="7"/>
  <c r="J48" i="7"/>
  <c r="I48" i="7"/>
  <c r="H48" i="7"/>
  <c r="G48" i="7"/>
  <c r="F48" i="7"/>
  <c r="E48" i="7"/>
  <c r="G42" i="7"/>
  <c r="G47" i="7" s="1"/>
  <c r="E42" i="7"/>
  <c r="F47" i="7" s="1"/>
  <c r="J37" i="7"/>
  <c r="I37" i="7"/>
  <c r="H37" i="7"/>
  <c r="G37" i="7"/>
  <c r="F37" i="7"/>
  <c r="E37" i="7"/>
  <c r="J36" i="7"/>
  <c r="I36" i="7"/>
  <c r="H36" i="7"/>
  <c r="G36" i="7"/>
  <c r="F36" i="7"/>
  <c r="E36" i="7"/>
  <c r="K35" i="7"/>
  <c r="J35" i="7"/>
  <c r="I35" i="7"/>
  <c r="G30" i="7"/>
  <c r="H35" i="7" s="1"/>
  <c r="F30" i="7"/>
  <c r="E30" i="7"/>
  <c r="G28" i="7"/>
  <c r="J25" i="7"/>
  <c r="I25" i="7"/>
  <c r="H25" i="7"/>
  <c r="G25" i="7"/>
  <c r="F25" i="7"/>
  <c r="E25" i="7"/>
  <c r="J24" i="7"/>
  <c r="I24" i="7"/>
  <c r="H24" i="7"/>
  <c r="G24" i="7"/>
  <c r="F24" i="7"/>
  <c r="E24" i="7"/>
  <c r="K23" i="7"/>
  <c r="J23" i="7"/>
  <c r="I23" i="7"/>
  <c r="H23" i="7"/>
  <c r="G23" i="7"/>
  <c r="E18" i="7"/>
  <c r="F23" i="7" s="1"/>
  <c r="J13" i="7"/>
  <c r="I13" i="7"/>
  <c r="H13" i="7"/>
  <c r="G13" i="7"/>
  <c r="F13" i="7"/>
  <c r="E13" i="7"/>
  <c r="J12" i="7"/>
  <c r="I12" i="7"/>
  <c r="H12" i="7"/>
  <c r="G12" i="7"/>
  <c r="F12" i="7"/>
  <c r="E12" i="7"/>
  <c r="K11" i="7"/>
  <c r="H11" i="7"/>
  <c r="G11" i="7"/>
  <c r="F11" i="7"/>
  <c r="E11" i="7"/>
  <c r="I6" i="7"/>
  <c r="J11" i="7" s="1"/>
  <c r="F35" i="7" l="1"/>
  <c r="E35" i="7"/>
  <c r="I11" i="7"/>
  <c r="E23" i="7"/>
  <c r="H42" i="7"/>
  <c r="E47" i="7"/>
  <c r="G35" i="7"/>
  <c r="I42" i="7" l="1"/>
  <c r="H47" i="7"/>
  <c r="J42" i="7" l="1"/>
  <c r="I47" i="7"/>
  <c r="J47" i="7" l="1"/>
  <c r="K42" i="7"/>
  <c r="K47" i="7" s="1"/>
  <c r="E53" i="6" l="1"/>
  <c r="E52" i="6"/>
  <c r="F40" i="6"/>
  <c r="E40" i="6"/>
  <c r="F13" i="6"/>
  <c r="E13" i="6"/>
  <c r="E14" i="6"/>
  <c r="J14" i="6"/>
  <c r="I14" i="6"/>
  <c r="H14" i="6"/>
  <c r="G14" i="6"/>
  <c r="F14" i="6"/>
  <c r="E26" i="6" l="1"/>
  <c r="K26" i="6" l="1"/>
  <c r="J26" i="6"/>
  <c r="I26" i="6"/>
  <c r="H26" i="6"/>
  <c r="G26" i="6"/>
  <c r="F26" i="6"/>
  <c r="K52" i="6"/>
  <c r="J52" i="6"/>
  <c r="I52" i="6"/>
  <c r="H52" i="6"/>
  <c r="G52" i="6"/>
  <c r="F52" i="6"/>
  <c r="K39" i="6"/>
  <c r="J39" i="6"/>
  <c r="I39" i="6"/>
  <c r="H39" i="6"/>
  <c r="G39" i="6"/>
  <c r="F39" i="6"/>
  <c r="E39" i="6"/>
  <c r="J40" i="6"/>
  <c r="I40" i="6"/>
  <c r="H40" i="6"/>
  <c r="G40" i="6"/>
  <c r="E27" i="6"/>
  <c r="J27" i="6"/>
  <c r="I27" i="6"/>
  <c r="H27" i="6"/>
  <c r="G27" i="6"/>
  <c r="F27" i="6"/>
  <c r="J13" i="6" l="1"/>
  <c r="G13" i="6"/>
  <c r="H13" i="6"/>
  <c r="K13" i="6"/>
  <c r="I13" i="6"/>
  <c r="J53" i="6" l="1"/>
  <c r="I53" i="6"/>
  <c r="H53" i="6"/>
  <c r="G53" i="6"/>
  <c r="F53" i="6"/>
  <c r="J54" i="6"/>
  <c r="I54" i="6"/>
  <c r="H54" i="6"/>
  <c r="G54" i="6"/>
  <c r="F54" i="6"/>
  <c r="E54" i="6"/>
  <c r="J41" i="6"/>
  <c r="I41" i="6"/>
  <c r="H41" i="6"/>
  <c r="G41" i="6"/>
  <c r="F41" i="6"/>
  <c r="E41" i="6"/>
  <c r="J28" i="6"/>
  <c r="I28" i="6"/>
  <c r="H28" i="6"/>
  <c r="G28" i="6"/>
  <c r="F28" i="6"/>
  <c r="E28" i="6"/>
  <c r="J15" i="6"/>
  <c r="I15" i="6"/>
  <c r="H15" i="6"/>
  <c r="G15" i="6"/>
  <c r="F15" i="6"/>
  <c r="E15" i="6"/>
  <c r="I26" i="5" l="1"/>
  <c r="G5" i="5"/>
  <c r="E27" i="5" l="1"/>
  <c r="E17" i="5"/>
  <c r="F21" i="5" l="1"/>
  <c r="G11" i="5"/>
  <c r="H11" i="5"/>
  <c r="I11" i="5"/>
  <c r="J11" i="5"/>
  <c r="K11" i="5"/>
  <c r="F11" i="5"/>
  <c r="G42" i="5"/>
  <c r="H42" i="5"/>
  <c r="I42" i="5"/>
  <c r="J42" i="5"/>
  <c r="K42" i="5"/>
  <c r="F42" i="5"/>
  <c r="G32" i="5"/>
  <c r="H32" i="5"/>
  <c r="I32" i="5"/>
  <c r="J32" i="5"/>
  <c r="K32" i="5"/>
  <c r="F32" i="5"/>
  <c r="G12" i="5"/>
  <c r="H12" i="5"/>
  <c r="I12" i="5"/>
  <c r="J12" i="5"/>
  <c r="K12" i="5"/>
  <c r="F12" i="5"/>
  <c r="G22" i="5"/>
  <c r="H22" i="5"/>
  <c r="I22" i="5"/>
  <c r="J22" i="5"/>
  <c r="K22" i="5"/>
  <c r="F22" i="5"/>
  <c r="K41" i="5"/>
  <c r="J41" i="5"/>
  <c r="I41" i="5"/>
  <c r="H41" i="5"/>
  <c r="G41" i="5"/>
  <c r="F41" i="5"/>
  <c r="K31" i="5"/>
  <c r="J31" i="5"/>
  <c r="I31" i="5"/>
  <c r="H31" i="5"/>
  <c r="G31" i="5"/>
  <c r="F31" i="5"/>
  <c r="K21" i="5"/>
  <c r="J21" i="5"/>
  <c r="I21" i="5"/>
  <c r="H21" i="5"/>
  <c r="G21" i="5"/>
  <c r="I33" i="4"/>
  <c r="H33" i="4"/>
  <c r="G33" i="4"/>
  <c r="F33" i="4"/>
  <c r="E33" i="4"/>
  <c r="I25" i="4"/>
  <c r="H25" i="4"/>
  <c r="G25" i="4"/>
  <c r="F25" i="4"/>
  <c r="E25" i="4"/>
  <c r="H23" i="4"/>
  <c r="E17" i="4"/>
  <c r="F15" i="4"/>
  <c r="F17" i="4" s="1"/>
  <c r="F14" i="4"/>
  <c r="G14" i="4" s="1"/>
  <c r="H14" i="4" s="1"/>
  <c r="I14" i="4" s="1"/>
  <c r="F9" i="4"/>
  <c r="E9" i="4"/>
  <c r="G7" i="4"/>
  <c r="G9" i="4" s="1"/>
  <c r="G15" i="4" l="1"/>
  <c r="G17" i="4" s="1"/>
  <c r="H7" i="4"/>
  <c r="H9" i="4" s="1"/>
  <c r="H15" i="4" l="1"/>
  <c r="H17" i="4" s="1"/>
  <c r="I7" i="4"/>
  <c r="I9" i="4" s="1"/>
  <c r="I15" i="4" l="1"/>
  <c r="I17" i="4" s="1"/>
  <c r="F10" i="1"/>
  <c r="G10" i="1"/>
  <c r="H10" i="1"/>
  <c r="I10" i="1"/>
  <c r="E10" i="1"/>
  <c r="F24" i="1"/>
  <c r="G24" i="1"/>
  <c r="H24" i="1"/>
  <c r="I24" i="1"/>
  <c r="E24" i="1"/>
  <c r="T23" i="26" l="1"/>
  <c r="T46" i="26" s="1"/>
  <c r="T45" i="2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Laura Bianchini</author>
  </authors>
  <commentList>
    <comment ref="I5" authorId="0" shapeId="0" xr:uid="{00000000-0006-0000-0D00-000001000000}">
      <text>
        <r>
          <rPr>
            <b/>
            <sz val="9"/>
            <color indexed="81"/>
            <rFont val="Tahoma"/>
            <family val="2"/>
          </rPr>
          <t>Laura Bianchini:</t>
        </r>
        <r>
          <rPr>
            <sz val="9"/>
            <color indexed="81"/>
            <rFont val="Tahoma"/>
            <family val="2"/>
          </rPr>
          <t xml:space="preserve">
adjustment for model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Jon Clark</author>
  </authors>
  <commentList>
    <comment ref="J43" authorId="0" shapeId="0" xr:uid="{00000000-0006-0000-1700-000001000000}">
      <text>
        <r>
          <rPr>
            <b/>
            <sz val="9"/>
            <color indexed="81"/>
            <rFont val="Tahoma"/>
            <family val="2"/>
          </rPr>
          <t>Jon Clark:</t>
        </r>
        <r>
          <rPr>
            <sz val="9"/>
            <color indexed="81"/>
            <rFont val="Tahoma"/>
            <family val="2"/>
          </rPr>
          <t xml:space="preserve">
last year's volume with this year's OCD growth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Jon Clark</author>
  </authors>
  <commentList>
    <comment ref="J43" authorId="0" shapeId="0" xr:uid="{00000000-0006-0000-1800-000001000000}">
      <text>
        <r>
          <rPr>
            <b/>
            <sz val="9"/>
            <color indexed="81"/>
            <rFont val="Tahoma"/>
            <family val="2"/>
          </rPr>
          <t>Jon Clark:</t>
        </r>
        <r>
          <rPr>
            <sz val="9"/>
            <color indexed="81"/>
            <rFont val="Tahoma"/>
            <family val="2"/>
          </rPr>
          <t xml:space="preserve">
last year's volume with this year's OCD growth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Jon Clark</author>
  </authors>
  <commentList>
    <comment ref="J43" authorId="0" shapeId="0" xr:uid="{00000000-0006-0000-1900-000001000000}">
      <text>
        <r>
          <rPr>
            <b/>
            <sz val="9"/>
            <color indexed="81"/>
            <rFont val="Tahoma"/>
            <family val="2"/>
          </rPr>
          <t>Jon Clark:</t>
        </r>
        <r>
          <rPr>
            <sz val="9"/>
            <color indexed="81"/>
            <rFont val="Tahoma"/>
            <family val="2"/>
          </rPr>
          <t xml:space="preserve">
last year's volume with this year's OCD growth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Jon Clark</author>
  </authors>
  <commentList>
    <comment ref="J43" authorId="0" shapeId="0" xr:uid="{00000000-0006-0000-1A00-000001000000}">
      <text>
        <r>
          <rPr>
            <b/>
            <sz val="9"/>
            <color indexed="81"/>
            <rFont val="Tahoma"/>
            <family val="2"/>
          </rPr>
          <t>Jon Clark:</t>
        </r>
        <r>
          <rPr>
            <sz val="9"/>
            <color indexed="81"/>
            <rFont val="Tahoma"/>
            <family val="2"/>
          </rPr>
          <t xml:space="preserve">
last year's volume with this year's OCD growth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Jon Clark</author>
  </authors>
  <commentList>
    <comment ref="J43" authorId="0" shapeId="0" xr:uid="{00000000-0006-0000-1B00-000001000000}">
      <text>
        <r>
          <rPr>
            <b/>
            <sz val="9"/>
            <color indexed="81"/>
            <rFont val="Tahoma"/>
            <family val="2"/>
          </rPr>
          <t>Jon Clark:</t>
        </r>
        <r>
          <rPr>
            <sz val="9"/>
            <color indexed="81"/>
            <rFont val="Tahoma"/>
            <family val="2"/>
          </rPr>
          <t xml:space="preserve">
last year's volume with this year's OCD growth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Jon Clark</author>
  </authors>
  <commentList>
    <comment ref="J47" authorId="0" shapeId="0" xr:uid="{00000000-0006-0000-1C00-000001000000}">
      <text>
        <r>
          <rPr>
            <b/>
            <sz val="9"/>
            <color indexed="81"/>
            <rFont val="Tahoma"/>
            <family val="2"/>
          </rPr>
          <t>Jon Clark:</t>
        </r>
        <r>
          <rPr>
            <sz val="9"/>
            <color indexed="81"/>
            <rFont val="Tahoma"/>
            <family val="2"/>
          </rPr>
          <t xml:space="preserve">
last year's volume with this year's OCD growth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Jon Clark</author>
  </authors>
  <commentList>
    <comment ref="J46" authorId="0" shapeId="0" xr:uid="{7B23B3F6-BFA5-4568-A75C-9F4813DDCFC7}">
      <text>
        <r>
          <rPr>
            <b/>
            <sz val="9"/>
            <color indexed="81"/>
            <rFont val="Tahoma"/>
            <family val="2"/>
          </rPr>
          <t>Jon Clark:</t>
        </r>
        <r>
          <rPr>
            <sz val="9"/>
            <color indexed="81"/>
            <rFont val="Tahoma"/>
            <family val="2"/>
          </rPr>
          <t xml:space="preserve">
last year's volume with this year's OCD growth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Jon Clark</author>
  </authors>
  <commentList>
    <comment ref="J46" authorId="0" shapeId="0" xr:uid="{001C49F3-1038-497E-BEF2-6B90C5C8CA90}">
      <text>
        <r>
          <rPr>
            <b/>
            <sz val="9"/>
            <color indexed="81"/>
            <rFont val="Tahoma"/>
            <family val="2"/>
          </rPr>
          <t>Jon Clark:</t>
        </r>
        <r>
          <rPr>
            <sz val="9"/>
            <color indexed="81"/>
            <rFont val="Tahoma"/>
            <family val="2"/>
          </rPr>
          <t xml:space="preserve">
last year's volume with this year's OCD growth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Jon Clark</author>
  </authors>
  <commentList>
    <comment ref="J46" authorId="0" shapeId="0" xr:uid="{136195D7-5C78-4F2C-B15A-ACFA8A8DC4AF}">
      <text>
        <r>
          <rPr>
            <b/>
            <sz val="9"/>
            <color indexed="81"/>
            <rFont val="Tahoma"/>
            <family val="2"/>
          </rPr>
          <t>Jon Clark:</t>
        </r>
        <r>
          <rPr>
            <sz val="9"/>
            <color indexed="81"/>
            <rFont val="Tahoma"/>
            <family val="2"/>
          </rPr>
          <t xml:space="preserve">
last year's volume with this year's OCD growth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Jon Clark</author>
  </authors>
  <commentList>
    <comment ref="J50" authorId="0" shapeId="0" xr:uid="{00000000-0006-0000-0F00-000001000000}">
      <text>
        <r>
          <rPr>
            <b/>
            <sz val="9"/>
            <color indexed="81"/>
            <rFont val="Tahoma"/>
            <family val="2"/>
          </rPr>
          <t>Jon Clark:</t>
        </r>
        <r>
          <rPr>
            <sz val="9"/>
            <color indexed="81"/>
            <rFont val="Tahoma"/>
            <family val="2"/>
          </rPr>
          <t xml:space="preserve">
last year's volume with this year's OCD growth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Jon Clark</author>
  </authors>
  <commentList>
    <comment ref="J50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Jon Clark:</t>
        </r>
        <r>
          <rPr>
            <sz val="9"/>
            <color indexed="81"/>
            <rFont val="Tahoma"/>
            <family val="2"/>
          </rPr>
          <t xml:space="preserve">
last year's volume with this year's OCD growth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Jon Clark</author>
  </authors>
  <commentList>
    <comment ref="J50" authorId="0" shapeId="0" xr:uid="{00000000-0006-0000-1100-000001000000}">
      <text>
        <r>
          <rPr>
            <b/>
            <sz val="9"/>
            <color indexed="81"/>
            <rFont val="Tahoma"/>
            <family val="2"/>
          </rPr>
          <t>Jon Clark:</t>
        </r>
        <r>
          <rPr>
            <sz val="9"/>
            <color indexed="81"/>
            <rFont val="Tahoma"/>
            <family val="2"/>
          </rPr>
          <t xml:space="preserve">
last year's volume with this year's OCD growth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Jon Clark</author>
  </authors>
  <commentList>
    <comment ref="J50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Jon Clark:</t>
        </r>
        <r>
          <rPr>
            <sz val="9"/>
            <color indexed="81"/>
            <rFont val="Tahoma"/>
            <family val="2"/>
          </rPr>
          <t xml:space="preserve">
last year's volume with this year's OCD growth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Jon Clark</author>
  </authors>
  <commentList>
    <comment ref="J50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Jon Clark:</t>
        </r>
        <r>
          <rPr>
            <sz val="9"/>
            <color indexed="81"/>
            <rFont val="Tahoma"/>
            <family val="2"/>
          </rPr>
          <t xml:space="preserve">
last year's volume with this year's OCD growth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Jon Clark</author>
  </authors>
  <commentList>
    <comment ref="J50" authorId="0" shapeId="0" xr:uid="{00000000-0006-0000-1400-000001000000}">
      <text>
        <r>
          <rPr>
            <b/>
            <sz val="9"/>
            <color indexed="81"/>
            <rFont val="Tahoma"/>
            <family val="2"/>
          </rPr>
          <t>Jon Clark:</t>
        </r>
        <r>
          <rPr>
            <sz val="9"/>
            <color indexed="81"/>
            <rFont val="Tahoma"/>
            <family val="2"/>
          </rPr>
          <t xml:space="preserve">
last year's volume with this year's OCD growth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Jon Clark</author>
  </authors>
  <commentList>
    <comment ref="J51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Jon Clark:</t>
        </r>
        <r>
          <rPr>
            <sz val="9"/>
            <color indexed="81"/>
            <rFont val="Tahoma"/>
            <family val="2"/>
          </rPr>
          <t xml:space="preserve">
last year's volume with this year's OCD growth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Jon Clark</author>
  </authors>
  <commentList>
    <comment ref="J51" authorId="0" shapeId="0" xr:uid="{00000000-0006-0000-1600-000001000000}">
      <text>
        <r>
          <rPr>
            <b/>
            <sz val="9"/>
            <color indexed="81"/>
            <rFont val="Tahoma"/>
            <family val="2"/>
          </rPr>
          <t>Jon Clark:</t>
        </r>
        <r>
          <rPr>
            <sz val="9"/>
            <color indexed="81"/>
            <rFont val="Tahoma"/>
            <family val="2"/>
          </rPr>
          <t xml:space="preserve">
last year's volume with this year's OCD growth</t>
        </r>
      </text>
    </comment>
  </commentList>
</comments>
</file>

<file path=xl/sharedStrings.xml><?xml version="1.0" encoding="utf-8"?>
<sst xmlns="http://schemas.openxmlformats.org/spreadsheetml/2006/main" count="2503" uniqueCount="114">
  <si>
    <t>DFA</t>
  </si>
  <si>
    <t>CREG</t>
  </si>
  <si>
    <t>TRD</t>
  </si>
  <si>
    <t>LFC</t>
  </si>
  <si>
    <t>DOT</t>
  </si>
  <si>
    <t>FY2013</t>
  </si>
  <si>
    <t>FY2014</t>
  </si>
  <si>
    <t>FY2015</t>
  </si>
  <si>
    <t>FY2016</t>
  </si>
  <si>
    <t>FY2017</t>
  </si>
  <si>
    <t>Oil Price ($/barrel)</t>
  </si>
  <si>
    <t>Jan-13</t>
  </si>
  <si>
    <t>Oil Volumes (million barrels)</t>
  </si>
  <si>
    <t>Gas Price ($ /mcf)</t>
  </si>
  <si>
    <t>Gas Volumes (bcf)</t>
  </si>
  <si>
    <t>Dec-12</t>
  </si>
  <si>
    <t>Growth Rate</t>
  </si>
  <si>
    <t>FY2012 act</t>
  </si>
  <si>
    <t>Natural Gas Price ($ /mcf)</t>
  </si>
  <si>
    <t>Natural Gas Volumes (bcf)</t>
  </si>
  <si>
    <t>Leave the same from Dec 2013</t>
  </si>
  <si>
    <t>FY2018</t>
  </si>
  <si>
    <t>Updated:</t>
  </si>
  <si>
    <t>FY2013act</t>
  </si>
  <si>
    <t>FY2019</t>
  </si>
  <si>
    <t>FY2013 act</t>
  </si>
  <si>
    <t>12/1/2014 (December 1 Revision)</t>
  </si>
  <si>
    <t>FY2020</t>
  </si>
  <si>
    <t>FY16</t>
  </si>
  <si>
    <t>FY17</t>
  </si>
  <si>
    <t>Change in Taxable Value</t>
  </si>
  <si>
    <t xml:space="preserve"> </t>
  </si>
  <si>
    <t>No economist at DOT</t>
  </si>
  <si>
    <t xml:space="preserve">NGL premium is close to zero.  </t>
  </si>
  <si>
    <t>stick with December 2015 numbers</t>
  </si>
  <si>
    <t>FY17 Q1</t>
  </si>
  <si>
    <t>FY17 Q2</t>
  </si>
  <si>
    <t>FY17 Q3</t>
  </si>
  <si>
    <t>FY17 Q4</t>
  </si>
  <si>
    <t>FY18 Q1</t>
  </si>
  <si>
    <t>FY18 Q2</t>
  </si>
  <si>
    <t>FY18 Q3</t>
  </si>
  <si>
    <t>FY18 Q4</t>
  </si>
  <si>
    <t>FY19 Q1</t>
  </si>
  <si>
    <t>FY19 Q2</t>
  </si>
  <si>
    <t>FY19 Q3</t>
  </si>
  <si>
    <t>FY19 Q4</t>
  </si>
  <si>
    <t>FY20 Q1</t>
  </si>
  <si>
    <t>FY20 Q2</t>
  </si>
  <si>
    <t>FY20 Q3</t>
  </si>
  <si>
    <t>FY20 Q4</t>
  </si>
  <si>
    <t>FY21 Q1</t>
  </si>
  <si>
    <t>FY21 Q2</t>
  </si>
  <si>
    <t>FY21 Q3</t>
  </si>
  <si>
    <t>FY21 Q4</t>
  </si>
  <si>
    <t>Annual Oil Price ($/barrel)</t>
  </si>
  <si>
    <t>Quarterly Oil Price ($/barrel)</t>
  </si>
  <si>
    <t>FY2021</t>
  </si>
  <si>
    <t>FY2012 actual</t>
  </si>
  <si>
    <t>FY2013 actual</t>
  </si>
  <si>
    <t>FY2014 actual</t>
  </si>
  <si>
    <t>FY2015 actual</t>
  </si>
  <si>
    <t>Annual Oil Volumes (million barrels)</t>
  </si>
  <si>
    <t>Annual Natural Gas Price ($/barrel)</t>
  </si>
  <si>
    <t>Quarterly Natural Gas Price ($/barrel)</t>
  </si>
  <si>
    <t>Annual Natural Gas Volumes (million barrels)</t>
  </si>
  <si>
    <t>NATURAL GAS CREG FORECAST</t>
  </si>
  <si>
    <t>OIL CREG FORECAST</t>
  </si>
  <si>
    <t>FY18</t>
  </si>
  <si>
    <t>FY19</t>
  </si>
  <si>
    <t>FY20</t>
  </si>
  <si>
    <t>FY21</t>
  </si>
  <si>
    <t>Taxable Value</t>
  </si>
  <si>
    <t>FY2014  act</t>
  </si>
  <si>
    <t>FY2015 act</t>
  </si>
  <si>
    <t>FY2016 act</t>
  </si>
  <si>
    <t>FY2022</t>
  </si>
  <si>
    <t>FY2017 act</t>
  </si>
  <si>
    <t>FY22</t>
  </si>
  <si>
    <t>FY2018 prelim</t>
  </si>
  <si>
    <t>FY2023</t>
  </si>
  <si>
    <t>FY2018 Act</t>
  </si>
  <si>
    <t>FY2024</t>
  </si>
  <si>
    <t>Final</t>
  </si>
  <si>
    <t>prelim</t>
  </si>
  <si>
    <t>prelim.</t>
  </si>
  <si>
    <t>updated 1/22</t>
  </si>
  <si>
    <t>final</t>
  </si>
  <si>
    <t>updated 1/24</t>
  </si>
  <si>
    <t>downside</t>
  </si>
  <si>
    <t>upside</t>
  </si>
  <si>
    <t>"U" shaped</t>
  </si>
  <si>
    <t>FY 2025</t>
  </si>
  <si>
    <t>consensus 9/14</t>
  </si>
  <si>
    <t>consensus 11/16</t>
  </si>
  <si>
    <t>consensus 11/20</t>
  </si>
  <si>
    <t>consensus 11/30</t>
  </si>
  <si>
    <t>consensus 1/22</t>
  </si>
  <si>
    <t>consensus 1/26</t>
  </si>
  <si>
    <t>s8</t>
  </si>
  <si>
    <t>s3</t>
  </si>
  <si>
    <t>s1</t>
  </si>
  <si>
    <t>FY2026</t>
  </si>
  <si>
    <t>Consensus 8/12</t>
  </si>
  <si>
    <t>Consensus 11/10</t>
  </si>
  <si>
    <t xml:space="preserve">                             </t>
  </si>
  <si>
    <t>FY2027</t>
  </si>
  <si>
    <t>Consensus 8/5</t>
  </si>
  <si>
    <t>FINAL 11/22/22</t>
  </si>
  <si>
    <t>Values</t>
  </si>
  <si>
    <t>Oil Avg</t>
  </si>
  <si>
    <t>Gas Avg</t>
  </si>
  <si>
    <t>FY2028</t>
  </si>
  <si>
    <t>FINAL 8/2/23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</si>
</sst>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#,##0.0"/>
    <numFmt numFmtId="166" formatCode="_(* #,##0.0_);_(* \(#,##0.0\);_(* &quot;-&quot;??_);_(@_)"/>
    <numFmt numFmtId="167" formatCode="0.0%"/>
    <numFmt numFmtId="168" formatCode="&quot;$&quot;#,##0.0"/>
    <numFmt numFmtId="169" formatCode="_(* #,##0_);_(* \(#,##0\);_(* &quot;-&quot;??_);_(@_)"/>
    <numFmt numFmtId="170" formatCode="0.0"/>
    <numFmt numFmtId="171" formatCode="&quot;$&quot;#,##0"/>
  </numFmts>
  <fonts count="4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indexed="8"/>
      <name val="Thorndale AMT"/>
      <family val="1"/>
    </font>
    <font>
      <b/>
      <sz val="10"/>
      <color indexed="8"/>
      <name val="Thorndale AMT"/>
      <family val="1"/>
    </font>
    <font>
      <sz val="10"/>
      <name val="Thorndale AMT"/>
      <family val="1"/>
    </font>
    <font>
      <b/>
      <sz val="10"/>
      <name val="Thorndale AMT"/>
      <family val="1"/>
    </font>
    <font>
      <i/>
      <sz val="10"/>
      <name val="Arial"/>
      <family val="2"/>
    </font>
    <font>
      <b/>
      <i/>
      <sz val="10"/>
      <name val="Thorndale AMT"/>
      <family val="1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indexed="8"/>
      <name val="Thorndale AMT"/>
      <family val="1"/>
    </font>
    <font>
      <sz val="10"/>
      <color rgb="FF000000"/>
      <name val="Thorndale AMT"/>
      <family val="1"/>
    </font>
    <font>
      <b/>
      <u/>
      <sz val="10"/>
      <name val="Arial"/>
      <family val="2"/>
    </font>
    <font>
      <b/>
      <u/>
      <sz val="10"/>
      <name val="Thorndale AMT"/>
      <family val="1"/>
    </font>
    <font>
      <b/>
      <sz val="11"/>
      <name val="Arial"/>
      <family val="2"/>
    </font>
    <font>
      <i/>
      <sz val="10"/>
      <color indexed="8"/>
      <name val="Thorndale AMT"/>
      <family val="1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1"/>
      <color indexed="8"/>
      <name val="Calibri"/>
      <family val="2"/>
      <scheme val="minor"/>
    </font>
    <font>
      <i/>
      <sz val="11"/>
      <color indexed="8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0000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66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43" fontId="19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1" fillId="0" borderId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10">
    <xf numFmtId="0" fontId="0" fillId="0" borderId="0" xfId="0"/>
    <xf numFmtId="0" fontId="19" fillId="0" borderId="12" xfId="43" applyFont="1" applyBorder="1"/>
    <xf numFmtId="16" fontId="20" fillId="0" borderId="12" xfId="43" applyNumberFormat="1" applyFont="1" applyBorder="1" applyAlignment="1">
      <alignment horizontal="center" wrapText="1"/>
    </xf>
    <xf numFmtId="0" fontId="19" fillId="33" borderId="12" xfId="43" applyFont="1" applyFill="1" applyBorder="1"/>
    <xf numFmtId="0" fontId="19" fillId="34" borderId="12" xfId="43" applyFont="1" applyFill="1" applyBorder="1"/>
    <xf numFmtId="0" fontId="19" fillId="35" borderId="12" xfId="43" applyFont="1" applyFill="1" applyBorder="1"/>
    <xf numFmtId="0" fontId="18" fillId="0" borderId="12" xfId="43" applyBorder="1"/>
    <xf numFmtId="0" fontId="19" fillId="36" borderId="12" xfId="43" applyFont="1" applyFill="1" applyBorder="1"/>
    <xf numFmtId="0" fontId="0" fillId="0" borderId="12" xfId="0" applyBorder="1" applyAlignment="1">
      <alignment wrapText="1"/>
    </xf>
    <xf numFmtId="0" fontId="0" fillId="0" borderId="0" xfId="0" applyAlignment="1">
      <alignment wrapText="1"/>
    </xf>
    <xf numFmtId="49" fontId="20" fillId="0" borderId="12" xfId="43" applyNumberFormat="1" applyFont="1" applyBorder="1" applyAlignment="1">
      <alignment vertical="center"/>
    </xf>
    <xf numFmtId="0" fontId="0" fillId="0" borderId="12" xfId="0" applyBorder="1" applyAlignment="1">
      <alignment horizontal="center" vertical="center" wrapText="1"/>
    </xf>
    <xf numFmtId="49" fontId="20" fillId="0" borderId="12" xfId="43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64" fontId="23" fillId="0" borderId="12" xfId="44" applyNumberFormat="1" applyFont="1" applyFill="1" applyBorder="1" applyAlignment="1">
      <alignment horizontal="right"/>
    </xf>
    <xf numFmtId="164" fontId="23" fillId="33" borderId="12" xfId="44" applyNumberFormat="1" applyFont="1" applyFill="1" applyBorder="1" applyAlignment="1">
      <alignment horizontal="right"/>
    </xf>
    <xf numFmtId="164" fontId="23" fillId="34" borderId="12" xfId="44" applyNumberFormat="1" applyFont="1" applyFill="1" applyBorder="1" applyAlignment="1">
      <alignment horizontal="right"/>
    </xf>
    <xf numFmtId="164" fontId="23" fillId="36" borderId="12" xfId="44" applyNumberFormat="1" applyFont="1" applyFill="1" applyBorder="1" applyAlignment="1">
      <alignment horizontal="right"/>
    </xf>
    <xf numFmtId="164" fontId="24" fillId="35" borderId="12" xfId="44" applyNumberFormat="1" applyFont="1" applyFill="1" applyBorder="1" applyAlignment="1">
      <alignment horizontal="right"/>
    </xf>
    <xf numFmtId="165" fontId="23" fillId="0" borderId="12" xfId="43" applyNumberFormat="1" applyFont="1" applyBorder="1" applyAlignment="1">
      <alignment horizontal="right"/>
    </xf>
    <xf numFmtId="165" fontId="23" fillId="33" borderId="12" xfId="47" applyNumberFormat="1" applyFont="1" applyFill="1" applyBorder="1" applyAlignment="1">
      <alignment horizontal="right"/>
    </xf>
    <xf numFmtId="165" fontId="23" fillId="34" borderId="12" xfId="47" applyNumberFormat="1" applyFont="1" applyFill="1" applyBorder="1" applyAlignment="1">
      <alignment horizontal="right"/>
    </xf>
    <xf numFmtId="165" fontId="24" fillId="35" borderId="12" xfId="47" applyNumberFormat="1" applyFont="1" applyFill="1" applyBorder="1" applyAlignment="1">
      <alignment horizontal="right"/>
    </xf>
    <xf numFmtId="3" fontId="23" fillId="0" borderId="12" xfId="44" applyNumberFormat="1" applyFont="1" applyFill="1" applyBorder="1" applyAlignment="1">
      <alignment horizontal="right"/>
    </xf>
    <xf numFmtId="3" fontId="23" fillId="33" borderId="12" xfId="44" applyNumberFormat="1" applyFont="1" applyFill="1" applyBorder="1" applyAlignment="1">
      <alignment horizontal="right"/>
    </xf>
    <xf numFmtId="3" fontId="23" fillId="34" borderId="12" xfId="44" applyNumberFormat="1" applyFont="1" applyFill="1" applyBorder="1" applyAlignment="1">
      <alignment horizontal="right"/>
    </xf>
    <xf numFmtId="3" fontId="24" fillId="35" borderId="12" xfId="44" applyNumberFormat="1" applyFont="1" applyFill="1" applyBorder="1" applyAlignment="1">
      <alignment horizontal="right"/>
    </xf>
    <xf numFmtId="165" fontId="22" fillId="0" borderId="12" xfId="0" applyNumberFormat="1" applyFont="1" applyBorder="1" applyAlignment="1">
      <alignment horizontal="right" wrapText="1"/>
    </xf>
    <xf numFmtId="8" fontId="22" fillId="0" borderId="12" xfId="0" applyNumberFormat="1" applyFont="1" applyBorder="1" applyAlignment="1">
      <alignment horizontal="right" wrapText="1"/>
    </xf>
    <xf numFmtId="8" fontId="21" fillId="0" borderId="12" xfId="0" applyNumberFormat="1" applyFont="1" applyBorder="1" applyAlignment="1">
      <alignment horizontal="right" wrapText="1"/>
    </xf>
    <xf numFmtId="10" fontId="22" fillId="0" borderId="12" xfId="1" applyNumberFormat="1" applyFont="1" applyFill="1" applyBorder="1" applyAlignment="1" applyProtection="1">
      <alignment horizontal="right" wrapText="1"/>
    </xf>
    <xf numFmtId="8" fontId="22" fillId="0" borderId="15" xfId="0" applyNumberFormat="1" applyFont="1" applyBorder="1" applyAlignment="1">
      <alignment horizontal="right" wrapText="1"/>
    </xf>
    <xf numFmtId="0" fontId="16" fillId="0" borderId="12" xfId="0" applyFont="1" applyBorder="1" applyAlignment="1">
      <alignment horizontal="center" vertical="center" wrapText="1"/>
    </xf>
    <xf numFmtId="17" fontId="16" fillId="0" borderId="12" xfId="0" applyNumberFormat="1" applyFont="1" applyBorder="1" applyAlignment="1">
      <alignment horizontal="center" vertical="center" wrapText="1"/>
    </xf>
    <xf numFmtId="49" fontId="20" fillId="0" borderId="13" xfId="43" applyNumberFormat="1" applyFont="1" applyBorder="1" applyAlignment="1">
      <alignment horizontal="center" vertical="center"/>
    </xf>
    <xf numFmtId="0" fontId="25" fillId="35" borderId="12" xfId="43" applyFont="1" applyFill="1" applyBorder="1"/>
    <xf numFmtId="0" fontId="27" fillId="0" borderId="12" xfId="0" applyFont="1" applyBorder="1" applyAlignment="1">
      <alignment horizontal="center" vertical="center" wrapText="1"/>
    </xf>
    <xf numFmtId="0" fontId="28" fillId="0" borderId="0" xfId="0" applyFont="1"/>
    <xf numFmtId="8" fontId="29" fillId="0" borderId="15" xfId="0" applyNumberFormat="1" applyFont="1" applyBorder="1" applyAlignment="1">
      <alignment horizontal="right" wrapText="1"/>
    </xf>
    <xf numFmtId="165" fontId="29" fillId="0" borderId="12" xfId="0" applyNumberFormat="1" applyFont="1" applyBorder="1" applyAlignment="1">
      <alignment horizontal="right" wrapText="1"/>
    </xf>
    <xf numFmtId="17" fontId="27" fillId="0" borderId="12" xfId="0" applyNumberFormat="1" applyFont="1" applyBorder="1" applyAlignment="1">
      <alignment horizontal="center" vertical="center" wrapText="1"/>
    </xf>
    <xf numFmtId="164" fontId="23" fillId="0" borderId="12" xfId="56" applyNumberFormat="1" applyFont="1" applyFill="1" applyBorder="1" applyAlignment="1">
      <alignment horizontal="right"/>
    </xf>
    <xf numFmtId="0" fontId="18" fillId="33" borderId="12" xfId="43" applyFill="1" applyBorder="1"/>
    <xf numFmtId="164" fontId="23" fillId="33" borderId="12" xfId="56" applyNumberFormat="1" applyFont="1" applyFill="1" applyBorder="1" applyAlignment="1">
      <alignment horizontal="right"/>
    </xf>
    <xf numFmtId="0" fontId="18" fillId="34" borderId="12" xfId="43" applyFill="1" applyBorder="1"/>
    <xf numFmtId="164" fontId="23" fillId="34" borderId="12" xfId="56" applyNumberFormat="1" applyFont="1" applyFill="1" applyBorder="1" applyAlignment="1">
      <alignment horizontal="right"/>
    </xf>
    <xf numFmtId="0" fontId="18" fillId="36" borderId="12" xfId="43" applyFill="1" applyBorder="1"/>
    <xf numFmtId="164" fontId="23" fillId="36" borderId="12" xfId="56" applyNumberFormat="1" applyFont="1" applyFill="1" applyBorder="1" applyAlignment="1">
      <alignment horizontal="right"/>
    </xf>
    <xf numFmtId="0" fontId="18" fillId="35" borderId="12" xfId="43" applyFill="1" applyBorder="1"/>
    <xf numFmtId="164" fontId="24" fillId="35" borderId="12" xfId="56" applyNumberFormat="1" applyFont="1" applyFill="1" applyBorder="1" applyAlignment="1">
      <alignment horizontal="right"/>
    </xf>
    <xf numFmtId="164" fontId="26" fillId="35" borderId="12" xfId="56" applyNumberFormat="1" applyFont="1" applyFill="1" applyBorder="1" applyAlignment="1">
      <alignment horizontal="right"/>
    </xf>
    <xf numFmtId="165" fontId="23" fillId="33" borderId="12" xfId="57" applyNumberFormat="1" applyFont="1" applyFill="1" applyBorder="1" applyAlignment="1">
      <alignment horizontal="right"/>
    </xf>
    <xf numFmtId="165" fontId="23" fillId="34" borderId="12" xfId="57" applyNumberFormat="1" applyFont="1" applyFill="1" applyBorder="1" applyAlignment="1">
      <alignment horizontal="right"/>
    </xf>
    <xf numFmtId="165" fontId="24" fillId="35" borderId="12" xfId="57" applyNumberFormat="1" applyFont="1" applyFill="1" applyBorder="1" applyAlignment="1">
      <alignment horizontal="right"/>
    </xf>
    <xf numFmtId="165" fontId="26" fillId="35" borderId="12" xfId="57" applyNumberFormat="1" applyFont="1" applyFill="1" applyBorder="1" applyAlignment="1">
      <alignment horizontal="right"/>
    </xf>
    <xf numFmtId="3" fontId="23" fillId="0" borderId="12" xfId="56" applyNumberFormat="1" applyFont="1" applyFill="1" applyBorder="1" applyAlignment="1">
      <alignment horizontal="right"/>
    </xf>
    <xf numFmtId="3" fontId="23" fillId="33" borderId="12" xfId="56" applyNumberFormat="1" applyFont="1" applyFill="1" applyBorder="1" applyAlignment="1">
      <alignment horizontal="right"/>
    </xf>
    <xf numFmtId="3" fontId="23" fillId="34" borderId="12" xfId="56" applyNumberFormat="1" applyFont="1" applyFill="1" applyBorder="1" applyAlignment="1">
      <alignment horizontal="right"/>
    </xf>
    <xf numFmtId="3" fontId="24" fillId="35" borderId="12" xfId="56" applyNumberFormat="1" applyFont="1" applyFill="1" applyBorder="1" applyAlignment="1">
      <alignment horizontal="right"/>
    </xf>
    <xf numFmtId="3" fontId="26" fillId="35" borderId="12" xfId="56" applyNumberFormat="1" applyFont="1" applyFill="1" applyBorder="1" applyAlignment="1">
      <alignment horizontal="right"/>
    </xf>
    <xf numFmtId="0" fontId="25" fillId="0" borderId="12" xfId="43" applyFont="1" applyBorder="1"/>
    <xf numFmtId="164" fontId="26" fillId="0" borderId="12" xfId="44" applyNumberFormat="1" applyFont="1" applyFill="1" applyBorder="1" applyAlignment="1">
      <alignment horizontal="right"/>
    </xf>
    <xf numFmtId="165" fontId="26" fillId="0" borderId="12" xfId="47" applyNumberFormat="1" applyFont="1" applyBorder="1" applyAlignment="1">
      <alignment horizontal="right"/>
    </xf>
    <xf numFmtId="3" fontId="26" fillId="0" borderId="12" xfId="44" applyNumberFormat="1" applyFont="1" applyFill="1" applyBorder="1" applyAlignment="1">
      <alignment horizontal="right"/>
    </xf>
    <xf numFmtId="14" fontId="0" fillId="0" borderId="0" xfId="0" applyNumberFormat="1" applyAlignment="1">
      <alignment wrapText="1"/>
    </xf>
    <xf numFmtId="0" fontId="16" fillId="0" borderId="17" xfId="0" applyFont="1" applyBorder="1" applyAlignment="1">
      <alignment horizontal="center" vertical="center" wrapText="1"/>
    </xf>
    <xf numFmtId="17" fontId="27" fillId="0" borderId="18" xfId="0" applyNumberFormat="1" applyFont="1" applyBorder="1" applyAlignment="1">
      <alignment horizontal="center" vertical="center" wrapText="1"/>
    </xf>
    <xf numFmtId="0" fontId="20" fillId="0" borderId="18" xfId="43" applyFont="1" applyBorder="1" applyAlignment="1">
      <alignment horizontal="center"/>
    </xf>
    <xf numFmtId="10" fontId="22" fillId="0" borderId="18" xfId="1" applyNumberFormat="1" applyFont="1" applyFill="1" applyBorder="1" applyAlignment="1" applyProtection="1">
      <alignment horizontal="right" wrapText="1"/>
    </xf>
    <xf numFmtId="8" fontId="29" fillId="0" borderId="19" xfId="0" applyNumberFormat="1" applyFont="1" applyBorder="1" applyAlignment="1">
      <alignment horizontal="right" wrapText="1"/>
    </xf>
    <xf numFmtId="8" fontId="29" fillId="0" borderId="20" xfId="0" applyNumberFormat="1" applyFont="1" applyBorder="1" applyAlignment="1">
      <alignment horizontal="right" wrapText="1"/>
    </xf>
    <xf numFmtId="164" fontId="24" fillId="0" borderId="12" xfId="44" applyNumberFormat="1" applyFont="1" applyFill="1" applyBorder="1" applyAlignment="1">
      <alignment horizontal="right"/>
    </xf>
    <xf numFmtId="3" fontId="24" fillId="0" borderId="12" xfId="44" applyNumberFormat="1" applyFont="1" applyFill="1" applyBorder="1" applyAlignment="1">
      <alignment horizontal="right"/>
    </xf>
    <xf numFmtId="164" fontId="23" fillId="0" borderId="0" xfId="44" applyNumberFormat="1" applyFont="1" applyFill="1" applyBorder="1" applyAlignment="1">
      <alignment horizontal="right"/>
    </xf>
    <xf numFmtId="0" fontId="0" fillId="0" borderId="21" xfId="0" applyBorder="1"/>
    <xf numFmtId="165" fontId="23" fillId="33" borderId="14" xfId="47" applyNumberFormat="1" applyFont="1" applyFill="1" applyBorder="1" applyAlignment="1">
      <alignment horizontal="right"/>
    </xf>
    <xf numFmtId="0" fontId="16" fillId="0" borderId="21" xfId="0" applyFont="1" applyBorder="1" applyAlignment="1">
      <alignment horizontal="center" vertical="center" wrapText="1"/>
    </xf>
    <xf numFmtId="3" fontId="23" fillId="33" borderId="14" xfId="44" applyNumberFormat="1" applyFont="1" applyFill="1" applyBorder="1" applyAlignment="1">
      <alignment horizontal="right"/>
    </xf>
    <xf numFmtId="3" fontId="30" fillId="0" borderId="12" xfId="0" applyNumberFormat="1" applyFont="1" applyBorder="1" applyAlignment="1">
      <alignment horizontal="center" vertical="center" wrapText="1"/>
    </xf>
    <xf numFmtId="0" fontId="30" fillId="0" borderId="12" xfId="0" applyFont="1" applyBorder="1" applyAlignment="1">
      <alignment horizontal="center" vertical="center" wrapText="1"/>
    </xf>
    <xf numFmtId="165" fontId="21" fillId="0" borderId="12" xfId="0" applyNumberFormat="1" applyFont="1" applyBorder="1" applyAlignment="1">
      <alignment horizontal="right" wrapText="1"/>
    </xf>
    <xf numFmtId="164" fontId="26" fillId="0" borderId="12" xfId="56" applyNumberFormat="1" applyFont="1" applyFill="1" applyBorder="1" applyAlignment="1">
      <alignment horizontal="right"/>
    </xf>
    <xf numFmtId="165" fontId="26" fillId="0" borderId="12" xfId="57" applyNumberFormat="1" applyFont="1" applyBorder="1" applyAlignment="1">
      <alignment horizontal="right"/>
    </xf>
    <xf numFmtId="3" fontId="26" fillId="0" borderId="12" xfId="56" applyNumberFormat="1" applyFont="1" applyFill="1" applyBorder="1" applyAlignment="1">
      <alignment horizontal="right"/>
    </xf>
    <xf numFmtId="14" fontId="0" fillId="0" borderId="0" xfId="0" applyNumberFormat="1" applyAlignment="1">
      <alignment horizontal="center" vertical="center" wrapText="1"/>
    </xf>
    <xf numFmtId="0" fontId="0" fillId="0" borderId="17" xfId="0" applyBorder="1"/>
    <xf numFmtId="8" fontId="21" fillId="0" borderId="19" xfId="0" applyNumberFormat="1" applyFont="1" applyBorder="1" applyAlignment="1">
      <alignment horizontal="right" wrapText="1"/>
    </xf>
    <xf numFmtId="8" fontId="21" fillId="0" borderId="20" xfId="0" applyNumberFormat="1" applyFont="1" applyBorder="1" applyAlignment="1">
      <alignment horizontal="right" wrapText="1"/>
    </xf>
    <xf numFmtId="165" fontId="24" fillId="0" borderId="12" xfId="47" applyNumberFormat="1" applyFont="1" applyBorder="1" applyAlignment="1">
      <alignment horizontal="right"/>
    </xf>
    <xf numFmtId="14" fontId="0" fillId="0" borderId="0" xfId="0" applyNumberFormat="1" applyAlignment="1">
      <alignment horizontal="center" vertical="center"/>
    </xf>
    <xf numFmtId="166" fontId="29" fillId="0" borderId="12" xfId="64" applyNumberFormat="1" applyFont="1" applyFill="1" applyBorder="1" applyAlignment="1" applyProtection="1">
      <alignment horizontal="right" wrapText="1"/>
    </xf>
    <xf numFmtId="166" fontId="23" fillId="0" borderId="12" xfId="64" applyNumberFormat="1" applyFont="1" applyFill="1" applyBorder="1" applyAlignment="1">
      <alignment horizontal="right"/>
    </xf>
    <xf numFmtId="166" fontId="23" fillId="0" borderId="11" xfId="64" applyNumberFormat="1" applyFont="1" applyFill="1" applyBorder="1" applyAlignment="1">
      <alignment horizontal="right"/>
    </xf>
    <xf numFmtId="164" fontId="0" fillId="0" borderId="0" xfId="0" applyNumberFormat="1"/>
    <xf numFmtId="3" fontId="0" fillId="0" borderId="0" xfId="0" applyNumberFormat="1"/>
    <xf numFmtId="3" fontId="32" fillId="35" borderId="12" xfId="44" applyNumberFormat="1" applyFont="1" applyFill="1" applyBorder="1" applyAlignment="1">
      <alignment horizontal="right"/>
    </xf>
    <xf numFmtId="16" fontId="33" fillId="0" borderId="12" xfId="43" applyNumberFormat="1" applyFont="1" applyBorder="1" applyAlignment="1">
      <alignment horizontal="center" wrapText="1"/>
    </xf>
    <xf numFmtId="165" fontId="32" fillId="35" borderId="12" xfId="47" applyNumberFormat="1" applyFont="1" applyFill="1" applyBorder="1" applyAlignment="1">
      <alignment horizontal="right"/>
    </xf>
    <xf numFmtId="0" fontId="31" fillId="35" borderId="12" xfId="43" applyFont="1" applyFill="1" applyBorder="1"/>
    <xf numFmtId="164" fontId="32" fillId="35" borderId="12" xfId="44" applyNumberFormat="1" applyFont="1" applyFill="1" applyBorder="1" applyAlignment="1">
      <alignment horizontal="right"/>
    </xf>
    <xf numFmtId="0" fontId="18" fillId="36" borderId="12" xfId="43" applyFill="1" applyBorder="1" applyAlignment="1">
      <alignment horizontal="right"/>
    </xf>
    <xf numFmtId="0" fontId="18" fillId="0" borderId="12" xfId="43" applyBorder="1" applyAlignment="1">
      <alignment horizontal="right"/>
    </xf>
    <xf numFmtId="0" fontId="18" fillId="33" borderId="12" xfId="43" applyFill="1" applyBorder="1" applyAlignment="1">
      <alignment horizontal="right"/>
    </xf>
    <xf numFmtId="0" fontId="18" fillId="34" borderId="12" xfId="43" applyFill="1" applyBorder="1" applyAlignment="1">
      <alignment horizontal="right"/>
    </xf>
    <xf numFmtId="166" fontId="21" fillId="0" borderId="12" xfId="64" applyNumberFormat="1" applyFont="1" applyFill="1" applyBorder="1" applyAlignment="1" applyProtection="1">
      <alignment horizontal="right" wrapText="1"/>
    </xf>
    <xf numFmtId="10" fontId="21" fillId="0" borderId="12" xfId="1" applyNumberFormat="1" applyFont="1" applyFill="1" applyBorder="1" applyAlignment="1" applyProtection="1">
      <alignment horizontal="right" wrapText="1"/>
    </xf>
    <xf numFmtId="0" fontId="0" fillId="0" borderId="17" xfId="0" applyBorder="1" applyAlignment="1">
      <alignment wrapText="1"/>
    </xf>
    <xf numFmtId="17" fontId="16" fillId="0" borderId="18" xfId="0" applyNumberFormat="1" applyFont="1" applyBorder="1" applyAlignment="1">
      <alignment horizontal="center" vertical="center" wrapText="1"/>
    </xf>
    <xf numFmtId="14" fontId="0" fillId="0" borderId="21" xfId="0" applyNumberFormat="1" applyBorder="1" applyAlignment="1">
      <alignment wrapText="1"/>
    </xf>
    <xf numFmtId="165" fontId="23" fillId="0" borderId="12" xfId="47" applyNumberFormat="1" applyFont="1" applyBorder="1" applyAlignment="1">
      <alignment horizontal="right"/>
    </xf>
    <xf numFmtId="167" fontId="22" fillId="0" borderId="18" xfId="1" applyNumberFormat="1" applyFont="1" applyFill="1" applyBorder="1" applyAlignment="1" applyProtection="1">
      <alignment horizontal="right" wrapText="1"/>
    </xf>
    <xf numFmtId="3" fontId="30" fillId="0" borderId="12" xfId="0" applyNumberFormat="1" applyFont="1" applyBorder="1" applyAlignment="1">
      <alignment horizontal="right" vertical="center" wrapText="1"/>
    </xf>
    <xf numFmtId="167" fontId="0" fillId="0" borderId="0" xfId="1" applyNumberFormat="1" applyFont="1"/>
    <xf numFmtId="164" fontId="32" fillId="35" borderId="12" xfId="56" applyNumberFormat="1" applyFont="1" applyFill="1" applyBorder="1" applyAlignment="1">
      <alignment horizontal="right"/>
    </xf>
    <xf numFmtId="164" fontId="24" fillId="0" borderId="12" xfId="56" applyNumberFormat="1" applyFont="1" applyFill="1" applyBorder="1" applyAlignment="1">
      <alignment horizontal="right"/>
    </xf>
    <xf numFmtId="165" fontId="23" fillId="33" borderId="12" xfId="58" applyNumberFormat="1" applyFont="1" applyFill="1" applyBorder="1" applyAlignment="1">
      <alignment horizontal="right"/>
    </xf>
    <xf numFmtId="165" fontId="23" fillId="33" borderId="14" xfId="58" applyNumberFormat="1" applyFont="1" applyFill="1" applyBorder="1" applyAlignment="1">
      <alignment horizontal="right"/>
    </xf>
    <xf numFmtId="165" fontId="23" fillId="34" borderId="12" xfId="58" applyNumberFormat="1" applyFont="1" applyFill="1" applyBorder="1" applyAlignment="1">
      <alignment horizontal="right"/>
    </xf>
    <xf numFmtId="165" fontId="32" fillId="35" borderId="12" xfId="58" applyNumberFormat="1" applyFont="1" applyFill="1" applyBorder="1" applyAlignment="1">
      <alignment horizontal="right"/>
    </xf>
    <xf numFmtId="165" fontId="23" fillId="0" borderId="12" xfId="58" applyNumberFormat="1" applyFont="1" applyBorder="1" applyAlignment="1">
      <alignment horizontal="right"/>
    </xf>
    <xf numFmtId="165" fontId="24" fillId="0" borderId="12" xfId="58" applyNumberFormat="1" applyFont="1" applyBorder="1" applyAlignment="1">
      <alignment horizontal="right"/>
    </xf>
    <xf numFmtId="3" fontId="23" fillId="33" borderId="14" xfId="56" applyNumberFormat="1" applyFont="1" applyFill="1" applyBorder="1" applyAlignment="1">
      <alignment horizontal="right"/>
    </xf>
    <xf numFmtId="3" fontId="32" fillId="35" borderId="12" xfId="56" applyNumberFormat="1" applyFont="1" applyFill="1" applyBorder="1" applyAlignment="1">
      <alignment horizontal="right"/>
    </xf>
    <xf numFmtId="3" fontId="24" fillId="0" borderId="12" xfId="56" applyNumberFormat="1" applyFont="1" applyFill="1" applyBorder="1" applyAlignment="1">
      <alignment horizontal="right"/>
    </xf>
    <xf numFmtId="166" fontId="32" fillId="35" borderId="12" xfId="44" applyNumberFormat="1" applyFont="1" applyFill="1" applyBorder="1" applyAlignment="1">
      <alignment horizontal="right"/>
    </xf>
    <xf numFmtId="166" fontId="22" fillId="0" borderId="18" xfId="64" applyNumberFormat="1" applyFont="1" applyFill="1" applyBorder="1" applyAlignment="1" applyProtection="1">
      <alignment horizontal="right" wrapText="1"/>
    </xf>
    <xf numFmtId="167" fontId="16" fillId="0" borderId="17" xfId="1" applyNumberFormat="1" applyFont="1" applyBorder="1" applyAlignment="1">
      <alignment horizontal="center" vertical="center" wrapText="1"/>
    </xf>
    <xf numFmtId="43" fontId="0" fillId="0" borderId="0" xfId="0" applyNumberFormat="1"/>
    <xf numFmtId="166" fontId="28" fillId="0" borderId="17" xfId="64" applyNumberFormat="1" applyFont="1" applyBorder="1" applyAlignment="1">
      <alignment horizontal="center" vertical="center" wrapText="1"/>
    </xf>
    <xf numFmtId="8" fontId="34" fillId="0" borderId="19" xfId="0" applyNumberFormat="1" applyFont="1" applyBorder="1" applyAlignment="1">
      <alignment horizontal="right" wrapText="1"/>
    </xf>
    <xf numFmtId="3" fontId="0" fillId="0" borderId="21" xfId="0" applyNumberFormat="1" applyBorder="1" applyAlignment="1">
      <alignment horizontal="center" vertical="center" wrapText="1"/>
    </xf>
    <xf numFmtId="0" fontId="0" fillId="0" borderId="0" xfId="1" applyNumberFormat="1" applyFont="1"/>
    <xf numFmtId="16" fontId="35" fillId="0" borderId="12" xfId="43" applyNumberFormat="1" applyFont="1" applyBorder="1" applyAlignment="1">
      <alignment horizontal="center" wrapText="1"/>
    </xf>
    <xf numFmtId="0" fontId="36" fillId="0" borderId="12" xfId="43" applyFont="1" applyBorder="1"/>
    <xf numFmtId="0" fontId="36" fillId="36" borderId="12" xfId="43" applyFont="1" applyFill="1" applyBorder="1" applyAlignment="1">
      <alignment horizontal="right"/>
    </xf>
    <xf numFmtId="164" fontId="36" fillId="36" borderId="12" xfId="44" applyNumberFormat="1" applyFont="1" applyFill="1" applyBorder="1" applyAlignment="1">
      <alignment horizontal="right"/>
    </xf>
    <xf numFmtId="0" fontId="36" fillId="0" borderId="12" xfId="43" applyFont="1" applyBorder="1" applyAlignment="1">
      <alignment horizontal="right"/>
    </xf>
    <xf numFmtId="8" fontId="37" fillId="0" borderId="12" xfId="0" applyNumberFormat="1" applyFont="1" applyBorder="1" applyAlignment="1">
      <alignment horizontal="right" wrapText="1"/>
    </xf>
    <xf numFmtId="164" fontId="36" fillId="0" borderId="12" xfId="44" applyNumberFormat="1" applyFont="1" applyFill="1" applyBorder="1" applyAlignment="1">
      <alignment horizontal="right"/>
    </xf>
    <xf numFmtId="0" fontId="36" fillId="33" borderId="12" xfId="43" applyFont="1" applyFill="1" applyBorder="1" applyAlignment="1">
      <alignment horizontal="right"/>
    </xf>
    <xf numFmtId="164" fontId="36" fillId="33" borderId="12" xfId="44" applyNumberFormat="1" applyFont="1" applyFill="1" applyBorder="1" applyAlignment="1">
      <alignment horizontal="right"/>
    </xf>
    <xf numFmtId="0" fontId="36" fillId="34" borderId="12" xfId="43" applyFont="1" applyFill="1" applyBorder="1" applyAlignment="1">
      <alignment horizontal="right"/>
    </xf>
    <xf numFmtId="164" fontId="36" fillId="34" borderId="12" xfId="44" applyNumberFormat="1" applyFont="1" applyFill="1" applyBorder="1" applyAlignment="1">
      <alignment horizontal="right"/>
    </xf>
    <xf numFmtId="0" fontId="38" fillId="35" borderId="12" xfId="43" applyFont="1" applyFill="1" applyBorder="1"/>
    <xf numFmtId="164" fontId="38" fillId="35" borderId="12" xfId="44" applyNumberFormat="1" applyFont="1" applyFill="1" applyBorder="1" applyAlignment="1">
      <alignment horizontal="right"/>
    </xf>
    <xf numFmtId="164" fontId="35" fillId="0" borderId="12" xfId="44" applyNumberFormat="1" applyFont="1" applyFill="1" applyBorder="1" applyAlignment="1">
      <alignment horizontal="right"/>
    </xf>
    <xf numFmtId="10" fontId="39" fillId="0" borderId="12" xfId="1" applyNumberFormat="1" applyFont="1" applyFill="1" applyBorder="1" applyAlignment="1" applyProtection="1">
      <alignment horizontal="right" wrapText="1"/>
    </xf>
    <xf numFmtId="10" fontId="37" fillId="0" borderId="12" xfId="1" applyNumberFormat="1" applyFont="1" applyFill="1" applyBorder="1" applyAlignment="1" applyProtection="1">
      <alignment horizontal="right" wrapText="1"/>
    </xf>
    <xf numFmtId="166" fontId="37" fillId="0" borderId="12" xfId="64" applyNumberFormat="1" applyFont="1" applyFill="1" applyBorder="1" applyAlignment="1" applyProtection="1">
      <alignment horizontal="right" wrapText="1"/>
    </xf>
    <xf numFmtId="165" fontId="36" fillId="33" borderId="12" xfId="47" applyNumberFormat="1" applyFont="1" applyFill="1" applyBorder="1" applyAlignment="1">
      <alignment horizontal="right"/>
    </xf>
    <xf numFmtId="165" fontId="36" fillId="33" borderId="14" xfId="47" applyNumberFormat="1" applyFont="1" applyFill="1" applyBorder="1" applyAlignment="1">
      <alignment horizontal="right"/>
    </xf>
    <xf numFmtId="165" fontId="36" fillId="34" borderId="12" xfId="47" applyNumberFormat="1" applyFont="1" applyFill="1" applyBorder="1" applyAlignment="1">
      <alignment horizontal="right"/>
    </xf>
    <xf numFmtId="165" fontId="38" fillId="35" borderId="12" xfId="47" applyNumberFormat="1" applyFont="1" applyFill="1" applyBorder="1" applyAlignment="1">
      <alignment horizontal="right"/>
    </xf>
    <xf numFmtId="166" fontId="38" fillId="35" borderId="12" xfId="44" applyNumberFormat="1" applyFont="1" applyFill="1" applyBorder="1" applyAlignment="1">
      <alignment horizontal="right"/>
    </xf>
    <xf numFmtId="165" fontId="36" fillId="0" borderId="12" xfId="47" applyNumberFormat="1" applyFont="1" applyBorder="1" applyAlignment="1">
      <alignment horizontal="right"/>
    </xf>
    <xf numFmtId="165" fontId="35" fillId="0" borderId="12" xfId="47" applyNumberFormat="1" applyFont="1" applyBorder="1" applyAlignment="1">
      <alignment horizontal="right"/>
    </xf>
    <xf numFmtId="0" fontId="35" fillId="0" borderId="18" xfId="43" applyFont="1" applyBorder="1" applyAlignment="1">
      <alignment horizontal="center"/>
    </xf>
    <xf numFmtId="10" fontId="39" fillId="0" borderId="18" xfId="1" applyNumberFormat="1" applyFont="1" applyFill="1" applyBorder="1" applyAlignment="1" applyProtection="1">
      <alignment horizontal="right" wrapText="1"/>
    </xf>
    <xf numFmtId="8" fontId="40" fillId="0" borderId="19" xfId="0" applyNumberFormat="1" applyFont="1" applyBorder="1" applyAlignment="1">
      <alignment horizontal="right" wrapText="1"/>
    </xf>
    <xf numFmtId="8" fontId="37" fillId="0" borderId="19" xfId="0" applyNumberFormat="1" applyFont="1" applyBorder="1" applyAlignment="1">
      <alignment horizontal="right" wrapText="1"/>
    </xf>
    <xf numFmtId="3" fontId="36" fillId="0" borderId="12" xfId="44" applyNumberFormat="1" applyFont="1" applyFill="1" applyBorder="1" applyAlignment="1">
      <alignment horizontal="right"/>
    </xf>
    <xf numFmtId="3" fontId="41" fillId="0" borderId="12" xfId="0" applyNumberFormat="1" applyFont="1" applyBorder="1" applyAlignment="1">
      <alignment horizontal="right" vertical="center" wrapText="1"/>
    </xf>
    <xf numFmtId="3" fontId="36" fillId="33" borderId="14" xfId="44" applyNumberFormat="1" applyFont="1" applyFill="1" applyBorder="1" applyAlignment="1">
      <alignment horizontal="right"/>
    </xf>
    <xf numFmtId="3" fontId="36" fillId="34" borderId="12" xfId="44" applyNumberFormat="1" applyFont="1" applyFill="1" applyBorder="1" applyAlignment="1">
      <alignment horizontal="right"/>
    </xf>
    <xf numFmtId="3" fontId="38" fillId="35" borderId="12" xfId="44" applyNumberFormat="1" applyFont="1" applyFill="1" applyBorder="1" applyAlignment="1">
      <alignment horizontal="right"/>
    </xf>
    <xf numFmtId="3" fontId="35" fillId="0" borderId="12" xfId="44" applyNumberFormat="1" applyFont="1" applyFill="1" applyBorder="1" applyAlignment="1">
      <alignment horizontal="right"/>
    </xf>
    <xf numFmtId="0" fontId="39" fillId="0" borderId="12" xfId="1" applyNumberFormat="1" applyFont="1" applyFill="1" applyBorder="1" applyAlignment="1" applyProtection="1">
      <alignment horizontal="right" wrapText="1"/>
    </xf>
    <xf numFmtId="167" fontId="39" fillId="0" borderId="12" xfId="1" applyNumberFormat="1" applyFont="1" applyFill="1" applyBorder="1" applyAlignment="1" applyProtection="1">
      <alignment horizontal="right" wrapText="1"/>
    </xf>
    <xf numFmtId="167" fontId="37" fillId="0" borderId="12" xfId="1" applyNumberFormat="1" applyFont="1" applyFill="1" applyBorder="1" applyAlignment="1" applyProtection="1">
      <alignment horizontal="right" wrapText="1"/>
    </xf>
    <xf numFmtId="164" fontId="38" fillId="35" borderId="22" xfId="44" applyNumberFormat="1" applyFont="1" applyFill="1" applyBorder="1" applyAlignment="1">
      <alignment horizontal="right"/>
    </xf>
    <xf numFmtId="164" fontId="36" fillId="39" borderId="12" xfId="44" applyNumberFormat="1" applyFont="1" applyFill="1" applyBorder="1" applyAlignment="1">
      <alignment horizontal="right"/>
    </xf>
    <xf numFmtId="44" fontId="0" fillId="0" borderId="0" xfId="65" applyFont="1"/>
    <xf numFmtId="17" fontId="16" fillId="0" borderId="0" xfId="0" applyNumberFormat="1" applyFont="1" applyAlignment="1">
      <alignment horizontal="center" vertical="center" wrapText="1"/>
    </xf>
    <xf numFmtId="0" fontId="35" fillId="0" borderId="0" xfId="43" applyFont="1" applyAlignment="1">
      <alignment horizontal="center"/>
    </xf>
    <xf numFmtId="10" fontId="39" fillId="0" borderId="0" xfId="1" applyNumberFormat="1" applyFont="1" applyFill="1" applyBorder="1" applyAlignment="1" applyProtection="1">
      <alignment horizontal="right" wrapText="1"/>
    </xf>
    <xf numFmtId="17" fontId="16" fillId="0" borderId="12" xfId="0" applyNumberFormat="1" applyFont="1" applyBorder="1" applyAlignment="1">
      <alignment vertical="center" wrapText="1"/>
    </xf>
    <xf numFmtId="17" fontId="0" fillId="0" borderId="12" xfId="0" applyNumberFormat="1" applyBorder="1" applyAlignment="1">
      <alignment vertical="center" wrapText="1"/>
    </xf>
    <xf numFmtId="166" fontId="37" fillId="36" borderId="12" xfId="64" applyNumberFormat="1" applyFont="1" applyFill="1" applyBorder="1" applyAlignment="1" applyProtection="1">
      <alignment horizontal="right" wrapText="1"/>
    </xf>
    <xf numFmtId="0" fontId="35" fillId="35" borderId="12" xfId="43" applyFont="1" applyFill="1" applyBorder="1"/>
    <xf numFmtId="165" fontId="35" fillId="35" borderId="12" xfId="47" applyNumberFormat="1" applyFont="1" applyFill="1" applyBorder="1" applyAlignment="1">
      <alignment horizontal="right"/>
    </xf>
    <xf numFmtId="166" fontId="35" fillId="35" borderId="12" xfId="44" applyNumberFormat="1" applyFont="1" applyFill="1" applyBorder="1" applyAlignment="1">
      <alignment horizontal="right"/>
    </xf>
    <xf numFmtId="164" fontId="35" fillId="35" borderId="12" xfId="44" applyNumberFormat="1" applyFont="1" applyFill="1" applyBorder="1" applyAlignment="1">
      <alignment horizontal="right"/>
    </xf>
    <xf numFmtId="0" fontId="0" fillId="0" borderId="21" xfId="0" applyBorder="1" applyAlignment="1">
      <alignment wrapText="1"/>
    </xf>
    <xf numFmtId="8" fontId="40" fillId="0" borderId="23" xfId="0" applyNumberFormat="1" applyFont="1" applyBorder="1" applyAlignment="1">
      <alignment horizontal="right" wrapText="1"/>
    </xf>
    <xf numFmtId="0" fontId="16" fillId="0" borderId="0" xfId="0" applyFont="1"/>
    <xf numFmtId="168" fontId="38" fillId="35" borderId="22" xfId="44" applyNumberFormat="1" applyFont="1" applyFill="1" applyBorder="1" applyAlignment="1">
      <alignment horizontal="right"/>
    </xf>
    <xf numFmtId="164" fontId="38" fillId="39" borderId="12" xfId="44" applyNumberFormat="1" applyFont="1" applyFill="1" applyBorder="1" applyAlignment="1">
      <alignment horizontal="right"/>
    </xf>
    <xf numFmtId="16" fontId="35" fillId="0" borderId="0" xfId="43" applyNumberFormat="1" applyFont="1" applyAlignment="1">
      <alignment horizontal="center" wrapText="1"/>
    </xf>
    <xf numFmtId="164" fontId="36" fillId="0" borderId="0" xfId="44" applyNumberFormat="1" applyFont="1" applyFill="1" applyBorder="1" applyAlignment="1">
      <alignment horizontal="right"/>
    </xf>
    <xf numFmtId="164" fontId="36" fillId="0" borderId="22" xfId="44" applyNumberFormat="1" applyFont="1" applyFill="1" applyBorder="1" applyAlignment="1">
      <alignment horizontal="right"/>
    </xf>
    <xf numFmtId="166" fontId="37" fillId="0" borderId="0" xfId="64" applyNumberFormat="1" applyFont="1" applyFill="1" applyBorder="1" applyAlignment="1" applyProtection="1">
      <alignment horizontal="right" wrapText="1"/>
    </xf>
    <xf numFmtId="165" fontId="36" fillId="0" borderId="0" xfId="47" applyNumberFormat="1" applyFont="1" applyAlignment="1">
      <alignment horizontal="right"/>
    </xf>
    <xf numFmtId="165" fontId="35" fillId="0" borderId="0" xfId="47" applyNumberFormat="1" applyFont="1" applyAlignment="1">
      <alignment horizontal="right"/>
    </xf>
    <xf numFmtId="167" fontId="39" fillId="0" borderId="0" xfId="1" applyNumberFormat="1" applyFont="1" applyFill="1" applyBorder="1" applyAlignment="1" applyProtection="1">
      <alignment horizontal="right" wrapText="1"/>
    </xf>
    <xf numFmtId="167" fontId="37" fillId="0" borderId="0" xfId="1" applyNumberFormat="1" applyFont="1" applyFill="1" applyBorder="1" applyAlignment="1" applyProtection="1">
      <alignment horizontal="right" wrapText="1"/>
    </xf>
    <xf numFmtId="10" fontId="37" fillId="0" borderId="0" xfId="1" applyNumberFormat="1" applyFont="1" applyFill="1" applyBorder="1" applyAlignment="1" applyProtection="1">
      <alignment horizontal="right" wrapText="1"/>
    </xf>
    <xf numFmtId="8" fontId="40" fillId="0" borderId="0" xfId="0" applyNumberFormat="1" applyFont="1" applyAlignment="1">
      <alignment horizontal="right" wrapText="1"/>
    </xf>
    <xf numFmtId="8" fontId="37" fillId="0" borderId="0" xfId="0" applyNumberFormat="1" applyFont="1" applyAlignment="1">
      <alignment horizontal="right" wrapText="1"/>
    </xf>
    <xf numFmtId="3" fontId="36" fillId="0" borderId="0" xfId="44" applyNumberFormat="1" applyFont="1" applyFill="1" applyBorder="1" applyAlignment="1">
      <alignment horizontal="right"/>
    </xf>
    <xf numFmtId="3" fontId="35" fillId="0" borderId="0" xfId="44" applyNumberFormat="1" applyFont="1" applyFill="1" applyBorder="1" applyAlignment="1">
      <alignment horizontal="right"/>
    </xf>
    <xf numFmtId="164" fontId="38" fillId="0" borderId="0" xfId="44" applyNumberFormat="1" applyFont="1" applyFill="1" applyBorder="1" applyAlignment="1">
      <alignment horizontal="right"/>
    </xf>
    <xf numFmtId="166" fontId="38" fillId="0" borderId="0" xfId="44" applyNumberFormat="1" applyFont="1" applyFill="1" applyBorder="1" applyAlignment="1">
      <alignment horizontal="right"/>
    </xf>
    <xf numFmtId="3" fontId="41" fillId="0" borderId="0" xfId="0" applyNumberFormat="1" applyFont="1" applyAlignment="1">
      <alignment horizontal="right" vertical="center" wrapText="1"/>
    </xf>
    <xf numFmtId="3" fontId="38" fillId="0" borderId="0" xfId="44" applyNumberFormat="1" applyFont="1" applyFill="1" applyBorder="1" applyAlignment="1">
      <alignment horizontal="right"/>
    </xf>
    <xf numFmtId="0" fontId="16" fillId="37" borderId="16" xfId="0" applyFont="1" applyFill="1" applyBorder="1" applyAlignment="1">
      <alignment vertical="center" wrapText="1"/>
    </xf>
    <xf numFmtId="0" fontId="16" fillId="37" borderId="14" xfId="0" applyFont="1" applyFill="1" applyBorder="1" applyAlignment="1">
      <alignment vertical="center" wrapText="1"/>
    </xf>
    <xf numFmtId="165" fontId="38" fillId="35" borderId="12" xfId="44" applyNumberFormat="1" applyFont="1" applyFill="1" applyBorder="1" applyAlignment="1">
      <alignment horizontal="right"/>
    </xf>
    <xf numFmtId="43" fontId="39" fillId="0" borderId="0" xfId="64" applyFont="1" applyFill="1" applyBorder="1" applyAlignment="1" applyProtection="1">
      <alignment horizontal="right" wrapText="1"/>
    </xf>
    <xf numFmtId="4" fontId="36" fillId="0" borderId="0" xfId="47" applyNumberFormat="1" applyFont="1" applyAlignment="1">
      <alignment horizontal="right"/>
    </xf>
    <xf numFmtId="166" fontId="38" fillId="35" borderId="12" xfId="64" applyNumberFormat="1" applyFont="1" applyFill="1" applyBorder="1" applyAlignment="1">
      <alignment horizontal="right"/>
    </xf>
    <xf numFmtId="164" fontId="36" fillId="40" borderId="12" xfId="44" applyNumberFormat="1" applyFont="1" applyFill="1" applyBorder="1" applyAlignment="1">
      <alignment horizontal="right"/>
    </xf>
    <xf numFmtId="166" fontId="38" fillId="39" borderId="12" xfId="64" applyNumberFormat="1" applyFont="1" applyFill="1" applyBorder="1" applyAlignment="1">
      <alignment horizontal="right"/>
    </xf>
    <xf numFmtId="44" fontId="38" fillId="35" borderId="12" xfId="65" applyFont="1" applyFill="1" applyBorder="1"/>
    <xf numFmtId="167" fontId="0" fillId="0" borderId="0" xfId="0" applyNumberFormat="1"/>
    <xf numFmtId="169" fontId="38" fillId="35" borderId="12" xfId="64" applyNumberFormat="1" applyFont="1" applyFill="1" applyBorder="1" applyAlignment="1">
      <alignment horizontal="right"/>
    </xf>
    <xf numFmtId="3" fontId="36" fillId="33" borderId="12" xfId="47" applyNumberFormat="1" applyFont="1" applyFill="1" applyBorder="1" applyAlignment="1">
      <alignment horizontal="right"/>
    </xf>
    <xf numFmtId="164" fontId="38" fillId="35" borderId="12" xfId="65" applyNumberFormat="1" applyFont="1" applyFill="1" applyBorder="1"/>
    <xf numFmtId="169" fontId="0" fillId="0" borderId="0" xfId="64" applyNumberFormat="1" applyFont="1"/>
    <xf numFmtId="166" fontId="28" fillId="39" borderId="17" xfId="64" applyNumberFormat="1" applyFont="1" applyFill="1" applyBorder="1" applyAlignment="1">
      <alignment horizontal="center" vertical="center" wrapText="1"/>
    </xf>
    <xf numFmtId="166" fontId="28" fillId="39" borderId="0" xfId="64" applyNumberFormat="1" applyFont="1" applyFill="1" applyBorder="1" applyAlignment="1">
      <alignment horizontal="center" vertical="center" wrapText="1"/>
    </xf>
    <xf numFmtId="170" fontId="28" fillId="39" borderId="0" xfId="0" applyNumberFormat="1" applyFont="1" applyFill="1"/>
    <xf numFmtId="0" fontId="16" fillId="38" borderId="18" xfId="0" applyFont="1" applyFill="1" applyBorder="1" applyAlignment="1">
      <alignment horizontal="center" vertical="center" wrapText="1"/>
    </xf>
    <xf numFmtId="17" fontId="16" fillId="0" borderId="17" xfId="0" applyNumberFormat="1" applyFont="1" applyBorder="1" applyAlignment="1">
      <alignment horizontal="center" vertical="center" wrapText="1"/>
    </xf>
    <xf numFmtId="0" fontId="35" fillId="0" borderId="17" xfId="43" applyFont="1" applyBorder="1" applyAlignment="1">
      <alignment horizontal="center"/>
    </xf>
    <xf numFmtId="10" fontId="39" fillId="0" borderId="17" xfId="1" applyNumberFormat="1" applyFont="1" applyFill="1" applyBorder="1" applyAlignment="1" applyProtection="1">
      <alignment horizontal="right" wrapText="1"/>
    </xf>
    <xf numFmtId="171" fontId="38" fillId="35" borderId="12" xfId="65" applyNumberFormat="1" applyFont="1" applyFill="1" applyBorder="1"/>
    <xf numFmtId="166" fontId="38" fillId="35" borderId="12" xfId="64" applyNumberFormat="1" applyFont="1" applyFill="1" applyBorder="1"/>
    <xf numFmtId="166" fontId="0" fillId="39" borderId="0" xfId="64" applyNumberFormat="1" applyFont="1" applyFill="1"/>
    <xf numFmtId="0" fontId="36" fillId="41" borderId="12" xfId="43" applyFont="1" applyFill="1" applyBorder="1" applyAlignment="1">
      <alignment horizontal="right"/>
    </xf>
    <xf numFmtId="166" fontId="37" fillId="41" borderId="12" xfId="64" applyNumberFormat="1" applyFont="1" applyFill="1" applyBorder="1" applyAlignment="1" applyProtection="1">
      <alignment horizontal="right" wrapText="1"/>
    </xf>
    <xf numFmtId="0" fontId="16" fillId="37" borderId="0" xfId="0" applyFont="1" applyFill="1" applyAlignment="1">
      <alignment horizontal="center" vertical="center" wrapText="1"/>
    </xf>
    <xf numFmtId="17" fontId="16" fillId="0" borderId="13" xfId="0" applyNumberFormat="1" applyFont="1" applyBorder="1" applyAlignment="1">
      <alignment horizontal="center" vertical="center" wrapText="1"/>
    </xf>
    <xf numFmtId="17" fontId="16" fillId="0" borderId="21" xfId="0" applyNumberFormat="1" applyFont="1" applyBorder="1" applyAlignment="1">
      <alignment horizontal="center" vertical="center" wrapText="1"/>
    </xf>
    <xf numFmtId="0" fontId="36" fillId="0" borderId="17" xfId="43" applyFont="1" applyBorder="1"/>
    <xf numFmtId="164" fontId="36" fillId="0" borderId="21" xfId="44" applyNumberFormat="1" applyFont="1" applyFill="1" applyBorder="1" applyAlignment="1">
      <alignment horizontal="right"/>
    </xf>
    <xf numFmtId="167" fontId="37" fillId="41" borderId="12" xfId="1" applyNumberFormat="1" applyFont="1" applyFill="1" applyBorder="1" applyAlignment="1" applyProtection="1">
      <alignment horizontal="right" wrapText="1"/>
    </xf>
    <xf numFmtId="167" fontId="36" fillId="33" borderId="12" xfId="1" applyNumberFormat="1" applyFont="1" applyFill="1" applyBorder="1" applyAlignment="1">
      <alignment horizontal="right"/>
    </xf>
    <xf numFmtId="167" fontId="36" fillId="34" borderId="12" xfId="1" applyNumberFormat="1" applyFont="1" applyFill="1" applyBorder="1" applyAlignment="1">
      <alignment horizontal="right"/>
    </xf>
    <xf numFmtId="167" fontId="38" fillId="35" borderId="12" xfId="1" applyNumberFormat="1" applyFont="1" applyFill="1" applyBorder="1"/>
    <xf numFmtId="167" fontId="36" fillId="0" borderId="12" xfId="1" applyNumberFormat="1" applyFont="1" applyFill="1" applyBorder="1" applyAlignment="1">
      <alignment horizontal="right"/>
    </xf>
    <xf numFmtId="167" fontId="39" fillId="39" borderId="12" xfId="1" applyNumberFormat="1" applyFont="1" applyFill="1" applyBorder="1" applyAlignment="1" applyProtection="1">
      <alignment horizontal="right" wrapText="1"/>
    </xf>
    <xf numFmtId="9" fontId="37" fillId="0" borderId="12" xfId="1" applyFont="1" applyFill="1" applyBorder="1" applyAlignment="1" applyProtection="1">
      <alignment horizontal="right" wrapText="1"/>
    </xf>
    <xf numFmtId="169" fontId="38" fillId="35" borderId="12" xfId="64" applyNumberFormat="1" applyFont="1" applyFill="1" applyBorder="1"/>
    <xf numFmtId="166" fontId="38" fillId="35" borderId="16" xfId="64" applyNumberFormat="1" applyFont="1" applyFill="1" applyBorder="1"/>
    <xf numFmtId="4" fontId="0" fillId="0" borderId="21" xfId="0" applyNumberFormat="1" applyBorder="1" applyAlignment="1">
      <alignment horizontal="center" vertical="center" wrapText="1"/>
    </xf>
    <xf numFmtId="4" fontId="0" fillId="0" borderId="0" xfId="0" applyNumberFormat="1"/>
    <xf numFmtId="8" fontId="40" fillId="0" borderId="21" xfId="0" applyNumberFormat="1" applyFont="1" applyBorder="1" applyAlignment="1">
      <alignment horizontal="right" wrapText="1"/>
    </xf>
    <xf numFmtId="2" fontId="16" fillId="0" borderId="17" xfId="0" applyNumberFormat="1" applyFont="1" applyBorder="1" applyAlignment="1">
      <alignment horizontal="center" vertical="center" wrapText="1"/>
    </xf>
    <xf numFmtId="170" fontId="40" fillId="0" borderId="19" xfId="0" applyNumberFormat="1" applyFont="1" applyBorder="1" applyAlignment="1">
      <alignment horizontal="right" wrapText="1"/>
    </xf>
    <xf numFmtId="10" fontId="0" fillId="0" borderId="0" xfId="1" applyNumberFormat="1" applyFont="1"/>
    <xf numFmtId="0" fontId="0" fillId="39" borderId="0" xfId="0" applyFill="1"/>
    <xf numFmtId="170" fontId="40" fillId="39" borderId="19" xfId="0" applyNumberFormat="1" applyFont="1" applyFill="1" applyBorder="1" applyAlignment="1">
      <alignment horizontal="right" wrapText="1"/>
    </xf>
    <xf numFmtId="44" fontId="16" fillId="39" borderId="17" xfId="65" applyFont="1" applyFill="1" applyBorder="1" applyAlignment="1">
      <alignment horizontal="center" vertical="center" wrapText="1"/>
    </xf>
    <xf numFmtId="169" fontId="36" fillId="36" borderId="12" xfId="64" applyNumberFormat="1" applyFont="1" applyFill="1" applyBorder="1" applyAlignment="1">
      <alignment horizontal="right"/>
    </xf>
    <xf numFmtId="44" fontId="0" fillId="39" borderId="0" xfId="65" applyFont="1" applyFill="1"/>
    <xf numFmtId="169" fontId="0" fillId="39" borderId="0" xfId="64" applyNumberFormat="1" applyFont="1" applyFill="1"/>
    <xf numFmtId="170" fontId="39" fillId="39" borderId="19" xfId="0" applyNumberFormat="1" applyFont="1" applyFill="1" applyBorder="1" applyAlignment="1">
      <alignment horizontal="right" wrapText="1"/>
    </xf>
    <xf numFmtId="44" fontId="16" fillId="39" borderId="0" xfId="65" applyFont="1" applyFill="1"/>
    <xf numFmtId="169" fontId="16" fillId="39" borderId="0" xfId="64" applyNumberFormat="1" applyFont="1" applyFill="1"/>
    <xf numFmtId="17" fontId="0" fillId="0" borderId="0" xfId="0" applyNumberFormat="1"/>
    <xf numFmtId="1" fontId="0" fillId="0" borderId="0" xfId="0" applyNumberFormat="1"/>
    <xf numFmtId="167" fontId="37" fillId="41" borderId="0" xfId="1" applyNumberFormat="1" applyFont="1" applyFill="1" applyBorder="1" applyAlignment="1" applyProtection="1">
      <alignment horizontal="right" wrapText="1"/>
    </xf>
    <xf numFmtId="167" fontId="36" fillId="33" borderId="0" xfId="1" applyNumberFormat="1" applyFont="1" applyFill="1" applyBorder="1" applyAlignment="1">
      <alignment horizontal="right"/>
    </xf>
    <xf numFmtId="167" fontId="36" fillId="34" borderId="0" xfId="1" applyNumberFormat="1" applyFont="1" applyFill="1" applyBorder="1" applyAlignment="1">
      <alignment horizontal="right"/>
    </xf>
    <xf numFmtId="167" fontId="38" fillId="35" borderId="0" xfId="1" applyNumberFormat="1" applyFont="1" applyFill="1" applyBorder="1"/>
    <xf numFmtId="167" fontId="36" fillId="0" borderId="0" xfId="1" applyNumberFormat="1" applyFont="1" applyFill="1" applyBorder="1" applyAlignment="1">
      <alignment horizontal="right"/>
    </xf>
    <xf numFmtId="164" fontId="16" fillId="42" borderId="17" xfId="65" applyNumberFormat="1" applyFont="1" applyFill="1" applyBorder="1" applyAlignment="1">
      <alignment horizontal="right" vertical="center" wrapText="1"/>
    </xf>
    <xf numFmtId="0" fontId="0" fillId="42" borderId="0" xfId="0" applyFill="1"/>
    <xf numFmtId="44" fontId="16" fillId="0" borderId="17" xfId="65" applyFont="1" applyFill="1" applyBorder="1" applyAlignment="1">
      <alignment horizontal="center" vertical="center" wrapText="1"/>
    </xf>
    <xf numFmtId="170" fontId="39" fillId="0" borderId="19" xfId="0" applyNumberFormat="1" applyFont="1" applyBorder="1" applyAlignment="1">
      <alignment horizontal="right" wrapText="1"/>
    </xf>
    <xf numFmtId="169" fontId="16" fillId="42" borderId="17" xfId="64" applyNumberFormat="1" applyFont="1" applyFill="1" applyBorder="1" applyAlignment="1">
      <alignment horizontal="right" vertical="center" wrapText="1"/>
    </xf>
    <xf numFmtId="166" fontId="38" fillId="43" borderId="12" xfId="64" applyNumberFormat="1" applyFont="1" applyFill="1" applyBorder="1"/>
    <xf numFmtId="0" fontId="16" fillId="0" borderId="12" xfId="0" applyFont="1" applyBorder="1" applyAlignment="1">
      <alignment horizontal="center" vertical="center" wrapText="1"/>
    </xf>
    <xf numFmtId="17" fontId="16" fillId="0" borderId="12" xfId="0" applyNumberFormat="1" applyFont="1" applyBorder="1" applyAlignment="1">
      <alignment horizontal="center" vertical="center" wrapText="1"/>
    </xf>
    <xf numFmtId="49" fontId="20" fillId="0" borderId="13" xfId="43" applyNumberFormat="1" applyFont="1" applyBorder="1" applyAlignment="1">
      <alignment horizontal="center" vertical="center"/>
    </xf>
    <xf numFmtId="49" fontId="20" fillId="0" borderId="14" xfId="43" applyNumberFormat="1" applyFont="1" applyBorder="1" applyAlignment="1">
      <alignment horizontal="center" vertical="center"/>
    </xf>
    <xf numFmtId="0" fontId="20" fillId="0" borderId="11" xfId="43" applyFont="1" applyBorder="1" applyAlignment="1">
      <alignment horizontal="center"/>
    </xf>
    <xf numFmtId="0" fontId="20" fillId="0" borderId="10" xfId="43" applyFont="1" applyBorder="1" applyAlignment="1">
      <alignment horizontal="center"/>
    </xf>
    <xf numFmtId="0" fontId="16" fillId="0" borderId="13" xfId="0" applyFont="1" applyBorder="1" applyAlignment="1">
      <alignment horizontal="center" vertical="center" wrapText="1"/>
    </xf>
    <xf numFmtId="0" fontId="16" fillId="0" borderId="16" xfId="0" applyFont="1" applyBorder="1" applyAlignment="1">
      <alignment horizontal="center" vertical="center" wrapText="1"/>
    </xf>
    <xf numFmtId="0" fontId="16" fillId="0" borderId="14" xfId="0" applyFont="1" applyBorder="1" applyAlignment="1">
      <alignment horizontal="center" vertical="center" wrapText="1"/>
    </xf>
    <xf numFmtId="0" fontId="16" fillId="38" borderId="12" xfId="0" applyFont="1" applyFill="1" applyBorder="1" applyAlignment="1">
      <alignment horizontal="center" vertical="center" wrapText="1"/>
    </xf>
    <xf numFmtId="0" fontId="18" fillId="0" borderId="11" xfId="43" applyBorder="1" applyAlignment="1">
      <alignment horizontal="center"/>
    </xf>
    <xf numFmtId="0" fontId="18" fillId="0" borderId="10" xfId="43" applyBorder="1" applyAlignment="1">
      <alignment horizontal="center"/>
    </xf>
    <xf numFmtId="0" fontId="16" fillId="38" borderId="13" xfId="0" applyFont="1" applyFill="1" applyBorder="1" applyAlignment="1">
      <alignment horizontal="center" vertical="center" wrapText="1"/>
    </xf>
    <xf numFmtId="0" fontId="16" fillId="38" borderId="16" xfId="0" applyFont="1" applyFill="1" applyBorder="1" applyAlignment="1">
      <alignment horizontal="center" vertical="center" wrapText="1"/>
    </xf>
    <xf numFmtId="0" fontId="16" fillId="38" borderId="14" xfId="0" applyFont="1" applyFill="1" applyBorder="1" applyAlignment="1">
      <alignment horizontal="center" vertical="center" wrapText="1"/>
    </xf>
    <xf numFmtId="0" fontId="16" fillId="37" borderId="13" xfId="0" applyFont="1" applyFill="1" applyBorder="1" applyAlignment="1">
      <alignment horizontal="center" vertical="center" wrapText="1"/>
    </xf>
    <xf numFmtId="0" fontId="16" fillId="37" borderId="16" xfId="0" applyFont="1" applyFill="1" applyBorder="1" applyAlignment="1">
      <alignment horizontal="center" vertical="center" wrapText="1"/>
    </xf>
    <xf numFmtId="0" fontId="16" fillId="37" borderId="14" xfId="0" applyFont="1" applyFill="1" applyBorder="1" applyAlignment="1">
      <alignment horizontal="center" vertical="center" wrapText="1"/>
    </xf>
    <xf numFmtId="0" fontId="36" fillId="0" borderId="11" xfId="43" applyFont="1" applyBorder="1" applyAlignment="1">
      <alignment horizontal="center"/>
    </xf>
    <xf numFmtId="0" fontId="36" fillId="0" borderId="10" xfId="43" applyFont="1" applyBorder="1" applyAlignment="1">
      <alignment horizontal="center"/>
    </xf>
    <xf numFmtId="0" fontId="35" fillId="0" borderId="11" xfId="43" applyFont="1" applyBorder="1" applyAlignment="1">
      <alignment horizontal="center"/>
    </xf>
    <xf numFmtId="0" fontId="35" fillId="0" borderId="10" xfId="43" applyFont="1" applyBorder="1" applyAlignment="1">
      <alignment horizontal="center"/>
    </xf>
    <xf numFmtId="14" fontId="0" fillId="0" borderId="18" xfId="0" applyNumberFormat="1" applyBorder="1" applyAlignment="1">
      <alignment horizontal="center"/>
    </xf>
    <xf numFmtId="17" fontId="16" fillId="35" borderId="12" xfId="0" applyNumberFormat="1" applyFont="1" applyFill="1" applyBorder="1" applyAlignment="1">
      <alignment horizontal="center" vertical="center" wrapText="1"/>
    </xf>
    <xf numFmtId="0" fontId="16" fillId="35" borderId="12" xfId="0" applyFont="1" applyFill="1" applyBorder="1" applyAlignment="1">
      <alignment horizontal="center" vertical="center" wrapText="1"/>
    </xf>
    <xf numFmtId="0" fontId="35" fillId="0" borderId="12" xfId="43" applyFont="1" applyBorder="1" applyAlignment="1">
      <alignment horizontal="center"/>
    </xf>
    <xf numFmtId="0" fontId="16" fillId="37" borderId="21" xfId="0" applyFont="1" applyFill="1" applyBorder="1" applyAlignment="1">
      <alignment horizontal="center" vertical="center" wrapText="1"/>
    </xf>
    <xf numFmtId="0" fontId="16" fillId="37" borderId="0" xfId="0" applyFont="1" applyFill="1" applyAlignment="1">
      <alignment horizontal="center" vertical="center" wrapText="1"/>
    </xf>
    <xf numFmtId="17" fontId="16" fillId="0" borderId="24" xfId="0" applyNumberFormat="1" applyFont="1" applyBorder="1" applyAlignment="1">
      <alignment horizontal="center" vertical="center" wrapText="1"/>
    </xf>
    <xf numFmtId="17" fontId="16" fillId="0" borderId="25" xfId="0" applyNumberFormat="1" applyFont="1" applyBorder="1" applyAlignment="1">
      <alignment horizontal="center" vertical="center" wrapText="1"/>
    </xf>
    <xf numFmtId="17" fontId="16" fillId="0" borderId="26" xfId="0" applyNumberFormat="1" applyFont="1" applyBorder="1" applyAlignment="1">
      <alignment horizontal="center" vertical="center" wrapText="1"/>
    </xf>
    <xf numFmtId="17" fontId="16" fillId="0" borderId="13" xfId="0" applyNumberFormat="1" applyFont="1" applyBorder="1" applyAlignment="1">
      <alignment horizontal="center" vertical="center" wrapText="1"/>
    </xf>
    <xf numFmtId="17" fontId="16" fillId="0" borderId="16" xfId="0" applyNumberFormat="1" applyFont="1" applyBorder="1" applyAlignment="1">
      <alignment horizontal="center" vertical="center" wrapText="1"/>
    </xf>
    <xf numFmtId="17" fontId="16" fillId="0" borderId="14" xfId="0" applyNumberFormat="1" applyFont="1" applyBorder="1" applyAlignment="1">
      <alignment horizontal="center" vertical="center" wrapText="1"/>
    </xf>
    <xf numFmtId="0" fontId="16" fillId="37" borderId="18" xfId="0" applyFont="1" applyFill="1" applyBorder="1" applyAlignment="1">
      <alignment horizontal="center" vertical="center" wrapText="1"/>
    </xf>
    <xf numFmtId="0" fontId="16" fillId="38" borderId="21" xfId="0" applyFont="1" applyFill="1" applyBorder="1" applyAlignment="1">
      <alignment horizontal="center" vertical="center" wrapText="1"/>
    </xf>
    <xf numFmtId="0" fontId="16" fillId="38" borderId="0" xfId="0" applyFont="1" applyFill="1" applyAlignment="1">
      <alignment horizontal="center" vertical="center" wrapText="1"/>
    </xf>
    <xf numFmtId="0" fontId="16" fillId="38" borderId="18" xfId="0" applyFont="1" applyFill="1" applyBorder="1" applyAlignment="1">
      <alignment horizontal="center" vertical="center" wrapText="1"/>
    </xf>
  </cellXfs>
  <cellStyles count="66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64" builtinId="3"/>
    <cellStyle name="Comma 2" xfId="44" xr:uid="{00000000-0005-0000-0000-00001C000000}"/>
    <cellStyle name="Comma 2 2" xfId="56" xr:uid="{00000000-0005-0000-0000-00001D000000}"/>
    <cellStyle name="Currency" xfId="65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47" xr:uid="{00000000-0005-0000-0000-000029000000}"/>
    <cellStyle name="Normal 2 2" xfId="45" xr:uid="{00000000-0005-0000-0000-00002A000000}"/>
    <cellStyle name="Normal 2 2 2" xfId="58" xr:uid="{00000000-0005-0000-0000-00002B000000}"/>
    <cellStyle name="Normal 2 3" xfId="57" xr:uid="{00000000-0005-0000-0000-00002C000000}"/>
    <cellStyle name="Normal 3" xfId="46" xr:uid="{00000000-0005-0000-0000-00002D000000}"/>
    <cellStyle name="Normal 3 2" xfId="59" xr:uid="{00000000-0005-0000-0000-00002E000000}"/>
    <cellStyle name="Normal 4" xfId="48" xr:uid="{00000000-0005-0000-0000-00002F000000}"/>
    <cellStyle name="Normal 4 2" xfId="53" xr:uid="{00000000-0005-0000-0000-000030000000}"/>
    <cellStyle name="Normal 4 3" xfId="54" xr:uid="{00000000-0005-0000-0000-000031000000}"/>
    <cellStyle name="Normal 4 4" xfId="55" xr:uid="{00000000-0005-0000-0000-000032000000}"/>
    <cellStyle name="Normal 5" xfId="43" xr:uid="{00000000-0005-0000-0000-000033000000}"/>
    <cellStyle name="Note" xfId="16" builtinId="10" customBuiltin="1"/>
    <cellStyle name="Output" xfId="11" builtinId="21" customBuiltin="1"/>
    <cellStyle name="Percent" xfId="1" builtinId="5"/>
    <cellStyle name="Percent 2" xfId="49" xr:uid="{00000000-0005-0000-0000-000037000000}"/>
    <cellStyle name="Percent 2 2" xfId="50" xr:uid="{00000000-0005-0000-0000-000038000000}"/>
    <cellStyle name="Percent 2 2 2" xfId="61" xr:uid="{00000000-0005-0000-0000-000039000000}"/>
    <cellStyle name="Percent 2 3" xfId="60" xr:uid="{00000000-0005-0000-0000-00003A000000}"/>
    <cellStyle name="Percent 3" xfId="51" xr:uid="{00000000-0005-0000-0000-00003B000000}"/>
    <cellStyle name="Percent 3 2" xfId="62" xr:uid="{00000000-0005-0000-0000-00003C000000}"/>
    <cellStyle name="Percent 4" xfId="52" xr:uid="{00000000-0005-0000-0000-00003D000000}"/>
    <cellStyle name="Percent 4 2" xfId="63" xr:uid="{00000000-0005-0000-0000-00003E000000}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7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26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27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28"/>
  <sheetViews>
    <sheetView workbookViewId="0"/>
  </sheetViews>
  <sheetFormatPr defaultRowHeight="15"/>
  <cols>
    <col min="1" max="1" width="9.5703125" style="9" customWidth="1"/>
    <col min="2" max="2" width="9.42578125" style="13" customWidth="1"/>
    <col min="3" max="3" width="7.5703125" customWidth="1"/>
    <col min="4" max="9" width="12.42578125" customWidth="1"/>
  </cols>
  <sheetData>
    <row r="1" spans="1:9">
      <c r="A1" s="8"/>
      <c r="B1" s="11"/>
      <c r="C1" s="1"/>
      <c r="D1" s="2" t="s">
        <v>17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</row>
    <row r="2" spans="1:9">
      <c r="A2" s="272" t="s">
        <v>10</v>
      </c>
      <c r="B2" s="10" t="s">
        <v>11</v>
      </c>
      <c r="C2" s="10"/>
      <c r="D2" s="28">
        <v>89.67</v>
      </c>
      <c r="E2" s="28">
        <v>88.25</v>
      </c>
      <c r="F2" s="28">
        <v>91.55</v>
      </c>
      <c r="G2" s="28">
        <v>87.82</v>
      </c>
      <c r="H2" s="28">
        <v>84.87</v>
      </c>
      <c r="I2" s="28">
        <v>82.61</v>
      </c>
    </row>
    <row r="3" spans="1:9" ht="15" customHeight="1">
      <c r="A3" s="272"/>
      <c r="B3" s="273">
        <v>41244</v>
      </c>
      <c r="C3" s="1" t="s">
        <v>2</v>
      </c>
      <c r="D3" s="29">
        <v>89.68</v>
      </c>
      <c r="E3" s="14">
        <v>84.37</v>
      </c>
      <c r="F3" s="14">
        <v>84.53</v>
      </c>
      <c r="G3" s="14">
        <v>83.29</v>
      </c>
      <c r="H3" s="14">
        <v>82.09</v>
      </c>
      <c r="I3" s="14">
        <v>81.56</v>
      </c>
    </row>
    <row r="4" spans="1:9">
      <c r="A4" s="272"/>
      <c r="B4" s="272"/>
      <c r="C4" s="3" t="s">
        <v>0</v>
      </c>
      <c r="D4" s="15">
        <v>89.640506965377526</v>
      </c>
      <c r="E4" s="15">
        <v>87.25</v>
      </c>
      <c r="F4" s="15">
        <v>86.75</v>
      </c>
      <c r="G4" s="15">
        <v>87</v>
      </c>
      <c r="H4" s="15">
        <v>86.5</v>
      </c>
      <c r="I4" s="15">
        <v>87.5</v>
      </c>
    </row>
    <row r="5" spans="1:9">
      <c r="A5" s="272"/>
      <c r="B5" s="272"/>
      <c r="C5" s="4" t="s">
        <v>3</v>
      </c>
      <c r="D5" s="16">
        <v>90.03</v>
      </c>
      <c r="E5" s="16">
        <v>84.63</v>
      </c>
      <c r="F5" s="16">
        <v>85.43</v>
      </c>
      <c r="G5" s="16">
        <v>83.44</v>
      </c>
      <c r="H5" s="16">
        <v>82.47</v>
      </c>
      <c r="I5" s="16">
        <v>84.05</v>
      </c>
    </row>
    <row r="6" spans="1:9">
      <c r="A6" s="272"/>
      <c r="B6" s="272"/>
      <c r="C6" s="7" t="s">
        <v>4</v>
      </c>
      <c r="D6" s="17">
        <v>89.64</v>
      </c>
      <c r="E6" s="17">
        <v>84.02</v>
      </c>
      <c r="F6" s="17">
        <v>84.38</v>
      </c>
      <c r="G6" s="17">
        <v>80.94</v>
      </c>
      <c r="H6" s="17">
        <v>79.55</v>
      </c>
      <c r="I6" s="17">
        <v>82.47</v>
      </c>
    </row>
    <row r="7" spans="1:9">
      <c r="A7" s="272"/>
      <c r="B7" s="272"/>
      <c r="C7" s="5" t="s">
        <v>1</v>
      </c>
      <c r="D7" s="18">
        <v>89.640506965377526</v>
      </c>
      <c r="E7" s="18">
        <v>85</v>
      </c>
      <c r="F7" s="18">
        <v>84.75</v>
      </c>
      <c r="G7" s="18">
        <v>83.5</v>
      </c>
      <c r="H7" s="18">
        <v>82.5</v>
      </c>
      <c r="I7" s="18">
        <v>83</v>
      </c>
    </row>
    <row r="8" spans="1:9">
      <c r="A8" s="272"/>
      <c r="B8" s="272"/>
      <c r="C8" s="272"/>
      <c r="D8" s="272"/>
      <c r="E8" s="272"/>
      <c r="F8" s="272"/>
      <c r="G8" s="272"/>
      <c r="H8" s="272"/>
      <c r="I8" s="272"/>
    </row>
    <row r="9" spans="1:9">
      <c r="A9" s="272" t="s">
        <v>12</v>
      </c>
      <c r="B9" s="274" t="s">
        <v>11</v>
      </c>
      <c r="C9" s="1"/>
      <c r="D9" s="27">
        <v>80.099999999999994</v>
      </c>
      <c r="E9" s="27">
        <v>88.716505999999995</v>
      </c>
      <c r="F9" s="27">
        <v>94.713673999999997</v>
      </c>
      <c r="G9" s="27">
        <v>100.61603599999999</v>
      </c>
      <c r="H9" s="27">
        <v>106.51839699999999</v>
      </c>
      <c r="I9" s="27">
        <v>112.420759</v>
      </c>
    </row>
    <row r="10" spans="1:9">
      <c r="A10" s="272"/>
      <c r="B10" s="275"/>
      <c r="C10" s="276" t="s">
        <v>16</v>
      </c>
      <c r="D10" s="277"/>
      <c r="E10" s="30">
        <f>(E9-D9)/D9</f>
        <v>0.10757186017478154</v>
      </c>
      <c r="F10" s="30">
        <f>(F9-E9)/E9</f>
        <v>6.7599235704796604E-2</v>
      </c>
      <c r="G10" s="30">
        <f>(G9-F9)/F9</f>
        <v>6.2317949993155125E-2</v>
      </c>
      <c r="H10" s="30">
        <f>(H9-G9)/G9</f>
        <v>5.8662229547584238E-2</v>
      </c>
      <c r="I10" s="30">
        <f>(I9-H9)/H9</f>
        <v>5.541166752631483E-2</v>
      </c>
    </row>
    <row r="11" spans="1:9" ht="15" customHeight="1">
      <c r="A11" s="272"/>
      <c r="B11" s="273">
        <v>41244</v>
      </c>
      <c r="C11" s="1" t="s">
        <v>2</v>
      </c>
      <c r="D11" s="19">
        <v>79.7</v>
      </c>
      <c r="E11" s="19">
        <v>82.3</v>
      </c>
      <c r="F11" s="19">
        <v>84.9</v>
      </c>
      <c r="G11" s="19">
        <v>87</v>
      </c>
      <c r="H11" s="19">
        <v>88.6</v>
      </c>
      <c r="I11" s="19">
        <v>89.7</v>
      </c>
    </row>
    <row r="12" spans="1:9">
      <c r="A12" s="272"/>
      <c r="B12" s="272"/>
      <c r="C12" s="1" t="s">
        <v>2</v>
      </c>
      <c r="D12" s="19">
        <v>79.7</v>
      </c>
      <c r="E12" s="19">
        <v>86.3</v>
      </c>
      <c r="F12" s="19">
        <v>92.2</v>
      </c>
      <c r="G12" s="19">
        <v>98</v>
      </c>
      <c r="H12" s="19">
        <v>103.7</v>
      </c>
      <c r="I12" s="19">
        <v>109.5</v>
      </c>
    </row>
    <row r="13" spans="1:9">
      <c r="A13" s="272"/>
      <c r="B13" s="272"/>
      <c r="C13" s="3" t="s">
        <v>0</v>
      </c>
      <c r="D13" s="20">
        <v>79.694266000000013</v>
      </c>
      <c r="E13" s="20">
        <v>83.678979300000023</v>
      </c>
      <c r="F13" s="20">
        <v>87.026138472000028</v>
      </c>
      <c r="G13" s="20">
        <v>89.636922626160029</v>
      </c>
      <c r="H13" s="20">
        <v>91.429661078683225</v>
      </c>
      <c r="I13" s="20">
        <v>92.343957689470059</v>
      </c>
    </row>
    <row r="14" spans="1:9">
      <c r="A14" s="272"/>
      <c r="B14" s="272"/>
      <c r="C14" s="4" t="s">
        <v>3</v>
      </c>
      <c r="D14" s="21">
        <v>79.7</v>
      </c>
      <c r="E14" s="21">
        <v>84.2</v>
      </c>
      <c r="F14" s="21">
        <v>89.5</v>
      </c>
      <c r="G14" s="21">
        <v>95.1</v>
      </c>
      <c r="H14" s="21">
        <v>100.8</v>
      </c>
      <c r="I14" s="21">
        <v>100.8</v>
      </c>
    </row>
    <row r="15" spans="1:9">
      <c r="A15" s="272"/>
      <c r="B15" s="272"/>
      <c r="C15" s="5" t="s">
        <v>1</v>
      </c>
      <c r="D15" s="22">
        <v>79.7</v>
      </c>
      <c r="E15" s="22">
        <v>84.119744824999998</v>
      </c>
      <c r="F15" s="22">
        <v>88.406534618000009</v>
      </c>
      <c r="G15" s="22">
        <v>92.434230656539995</v>
      </c>
      <c r="H15" s="22">
        <v>96.132415269670815</v>
      </c>
      <c r="I15" s="22">
        <v>97.6</v>
      </c>
    </row>
    <row r="16" spans="1:9">
      <c r="A16" s="272"/>
      <c r="B16" s="272"/>
      <c r="C16" s="272"/>
      <c r="D16" s="272"/>
      <c r="E16" s="272"/>
      <c r="F16" s="272"/>
      <c r="G16" s="272"/>
      <c r="H16" s="272"/>
      <c r="I16" s="272"/>
    </row>
    <row r="17" spans="1:9">
      <c r="A17" s="272" t="s">
        <v>13</v>
      </c>
      <c r="B17" s="12" t="s">
        <v>11</v>
      </c>
      <c r="C17" s="1"/>
      <c r="D17" s="31">
        <v>5</v>
      </c>
      <c r="E17" s="31">
        <v>4.8</v>
      </c>
      <c r="F17" s="31">
        <v>5.5</v>
      </c>
      <c r="G17" s="31">
        <v>5.6</v>
      </c>
      <c r="H17" s="31">
        <v>5.62</v>
      </c>
      <c r="I17" s="31">
        <v>5.67</v>
      </c>
    </row>
    <row r="18" spans="1:9">
      <c r="A18" s="272"/>
      <c r="B18" s="273" t="s">
        <v>15</v>
      </c>
      <c r="C18" s="1" t="s">
        <v>2</v>
      </c>
      <c r="D18" s="14">
        <v>5.0199999999999996</v>
      </c>
      <c r="E18" s="14">
        <v>4.91</v>
      </c>
      <c r="F18" s="14">
        <v>5.58</v>
      </c>
      <c r="G18" s="14">
        <v>5.78</v>
      </c>
      <c r="H18" s="14">
        <v>5.95</v>
      </c>
      <c r="I18" s="14">
        <v>6.16</v>
      </c>
    </row>
    <row r="19" spans="1:9">
      <c r="A19" s="272"/>
      <c r="B19" s="272"/>
      <c r="C19" s="3" t="s">
        <v>0</v>
      </c>
      <c r="D19" s="15">
        <v>4.9952570521130459</v>
      </c>
      <c r="E19" s="15">
        <v>4.3</v>
      </c>
      <c r="F19" s="15">
        <v>4.95</v>
      </c>
      <c r="G19" s="15">
        <v>5.6000000000000005</v>
      </c>
      <c r="H19" s="15">
        <v>5.8</v>
      </c>
      <c r="I19" s="15">
        <v>5.95</v>
      </c>
    </row>
    <row r="20" spans="1:9">
      <c r="A20" s="272"/>
      <c r="B20" s="272"/>
      <c r="C20" s="4" t="s">
        <v>3</v>
      </c>
      <c r="D20" s="16">
        <v>5</v>
      </c>
      <c r="E20" s="16">
        <v>4.71</v>
      </c>
      <c r="F20" s="16">
        <v>5.08</v>
      </c>
      <c r="G20" s="16">
        <v>6.08</v>
      </c>
      <c r="H20" s="16">
        <v>5.87</v>
      </c>
      <c r="I20" s="16">
        <v>4.53</v>
      </c>
    </row>
    <row r="21" spans="1:9">
      <c r="A21" s="272"/>
      <c r="B21" s="272"/>
      <c r="C21" s="5" t="s">
        <v>1</v>
      </c>
      <c r="D21" s="18">
        <v>5</v>
      </c>
      <c r="E21" s="18">
        <v>4.5</v>
      </c>
      <c r="F21" s="18">
        <v>5</v>
      </c>
      <c r="G21" s="18">
        <v>5.4</v>
      </c>
      <c r="H21" s="18">
        <v>5.6</v>
      </c>
      <c r="I21" s="18">
        <v>5.5</v>
      </c>
    </row>
    <row r="22" spans="1:9">
      <c r="A22" s="272"/>
      <c r="B22" s="272"/>
      <c r="C22" s="272"/>
      <c r="D22" s="272"/>
      <c r="E22" s="272"/>
      <c r="F22" s="272"/>
      <c r="G22" s="272"/>
      <c r="H22" s="272"/>
      <c r="I22" s="272"/>
    </row>
    <row r="23" spans="1:9" ht="15" customHeight="1">
      <c r="A23" s="272" t="s">
        <v>14</v>
      </c>
      <c r="B23" s="274" t="s">
        <v>11</v>
      </c>
      <c r="C23" s="6"/>
      <c r="D23" s="27">
        <v>1225.9000000000001</v>
      </c>
      <c r="E23" s="27">
        <v>1165.638412</v>
      </c>
      <c r="F23" s="27">
        <v>1124.439312</v>
      </c>
      <c r="G23" s="27">
        <v>1086.932761</v>
      </c>
      <c r="H23" s="27">
        <v>1050.841846</v>
      </c>
      <c r="I23" s="27">
        <v>1016.131819</v>
      </c>
    </row>
    <row r="24" spans="1:9" ht="15" customHeight="1">
      <c r="A24" s="272"/>
      <c r="B24" s="275"/>
      <c r="C24" s="276" t="s">
        <v>16</v>
      </c>
      <c r="D24" s="277"/>
      <c r="E24" s="30">
        <f>(E23-D23)/D23</f>
        <v>-4.9157017701280746E-2</v>
      </c>
      <c r="F24" s="30">
        <f>(F23-E23)/E23</f>
        <v>-3.5344665700670172E-2</v>
      </c>
      <c r="G24" s="30">
        <f>(G23-F23)/F23</f>
        <v>-3.3355780609705281E-2</v>
      </c>
      <c r="H24" s="30">
        <f>(H23-G23)/G23</f>
        <v>-3.3204367643492161E-2</v>
      </c>
      <c r="I24" s="30">
        <f>(I23-H23)/H23</f>
        <v>-3.3030685951575704E-2</v>
      </c>
    </row>
    <row r="25" spans="1:9">
      <c r="A25" s="272"/>
      <c r="B25" s="273">
        <v>41244</v>
      </c>
      <c r="C25" s="1" t="s">
        <v>2</v>
      </c>
      <c r="D25" s="23">
        <v>1228.8</v>
      </c>
      <c r="E25" s="23">
        <v>1164.3</v>
      </c>
      <c r="F25" s="23">
        <v>1117.5999999999999</v>
      </c>
      <c r="G25" s="23">
        <v>1071.4000000000001</v>
      </c>
      <c r="H25" s="23">
        <v>1025.2</v>
      </c>
      <c r="I25" s="23">
        <v>979.1</v>
      </c>
    </row>
    <row r="26" spans="1:9">
      <c r="A26" s="272"/>
      <c r="B26" s="273"/>
      <c r="C26" s="3" t="s">
        <v>0</v>
      </c>
      <c r="D26" s="24">
        <v>1228.4135259999998</v>
      </c>
      <c r="E26" s="24">
        <v>1193.5610863622715</v>
      </c>
      <c r="F26" s="24">
        <v>1164.2334880391215</v>
      </c>
      <c r="G26" s="24">
        <v>1139.4998379849305</v>
      </c>
      <c r="H26" s="24">
        <v>1110.6221702632126</v>
      </c>
      <c r="I26" s="24">
        <v>1079.7259206467804</v>
      </c>
    </row>
    <row r="27" spans="1:9">
      <c r="A27" s="272"/>
      <c r="B27" s="273"/>
      <c r="C27" s="4" t="s">
        <v>3</v>
      </c>
      <c r="D27" s="25">
        <v>1228.4135259999998</v>
      </c>
      <c r="E27" s="25">
        <v>1135.9000000000001</v>
      </c>
      <c r="F27" s="25">
        <v>1112.3</v>
      </c>
      <c r="G27" s="25">
        <v>1092.2</v>
      </c>
      <c r="H27" s="25">
        <v>1074.5999999999999</v>
      </c>
      <c r="I27" s="25"/>
    </row>
    <row r="28" spans="1:9">
      <c r="A28" s="272"/>
      <c r="B28" s="273"/>
      <c r="C28" s="5" t="s">
        <v>1</v>
      </c>
      <c r="D28" s="26">
        <v>1228.5423506666664</v>
      </c>
      <c r="E28" s="26">
        <v>1184.5870287874238</v>
      </c>
      <c r="F28" s="26">
        <v>1151.3778293463738</v>
      </c>
      <c r="G28" s="26">
        <v>1121.0332793283103</v>
      </c>
      <c r="H28" s="26">
        <v>1090.1407234210708</v>
      </c>
      <c r="I28" s="26">
        <v>1048</v>
      </c>
    </row>
  </sheetData>
  <mergeCells count="15">
    <mergeCell ref="A2:A7"/>
    <mergeCell ref="B3:B7"/>
    <mergeCell ref="A8:I8"/>
    <mergeCell ref="A23:A28"/>
    <mergeCell ref="B18:B21"/>
    <mergeCell ref="B25:B28"/>
    <mergeCell ref="B23:B24"/>
    <mergeCell ref="C24:D24"/>
    <mergeCell ref="A16:I16"/>
    <mergeCell ref="A22:I22"/>
    <mergeCell ref="A17:A21"/>
    <mergeCell ref="A9:A15"/>
    <mergeCell ref="C10:D10"/>
    <mergeCell ref="B9:B10"/>
    <mergeCell ref="B11:B15"/>
  </mergeCells>
  <pageMargins left="0.7" right="0.7" top="0.75" bottom="0.75" header="0.3" footer="0.3"/>
  <pageSetup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pageSetUpPr fitToPage="1"/>
  </sheetPr>
  <dimension ref="A1:V72"/>
  <sheetViews>
    <sheetView zoomScale="137" zoomScaleNormal="137" workbookViewId="0">
      <pane ySplit="1" topLeftCell="A2" activePane="bottomLeft" state="frozen"/>
      <selection activeCell="I6" sqref="I6"/>
      <selection pane="bottomLeft" activeCell="I6" sqref="I6"/>
    </sheetView>
  </sheetViews>
  <sheetFormatPr defaultColWidth="9.28515625" defaultRowHeight="15"/>
  <cols>
    <col min="1" max="1" width="9.42578125" customWidth="1"/>
    <col min="2" max="2" width="7.28515625" bestFit="1" customWidth="1"/>
    <col min="3" max="3" width="8" customWidth="1"/>
    <col min="4" max="12" width="7.5703125" customWidth="1"/>
    <col min="14" max="15" width="9.42578125" bestFit="1" customWidth="1"/>
  </cols>
  <sheetData>
    <row r="1" spans="1:22" ht="34.5" customHeight="1">
      <c r="A1" s="8"/>
      <c r="B1" s="11"/>
      <c r="C1" s="133"/>
      <c r="D1" s="132" t="s">
        <v>17</v>
      </c>
      <c r="E1" s="132" t="s">
        <v>25</v>
      </c>
      <c r="F1" s="132" t="s">
        <v>6</v>
      </c>
      <c r="G1" s="132" t="s">
        <v>7</v>
      </c>
      <c r="H1" s="132" t="s">
        <v>8</v>
      </c>
      <c r="I1" s="132" t="s">
        <v>9</v>
      </c>
      <c r="J1" s="132" t="s">
        <v>21</v>
      </c>
      <c r="K1" s="132" t="s">
        <v>24</v>
      </c>
      <c r="L1" s="132" t="s">
        <v>27</v>
      </c>
    </row>
    <row r="2" spans="1:22">
      <c r="A2" s="284" t="s">
        <v>10</v>
      </c>
      <c r="B2" s="273">
        <v>42389</v>
      </c>
      <c r="C2" s="134" t="s">
        <v>4</v>
      </c>
      <c r="D2" s="135"/>
      <c r="E2" s="135"/>
      <c r="F2" s="135"/>
      <c r="G2" s="135"/>
      <c r="H2" s="135"/>
      <c r="I2" s="135"/>
      <c r="J2" s="135"/>
      <c r="K2" s="135"/>
      <c r="L2" s="135"/>
    </row>
    <row r="3" spans="1:22">
      <c r="A3" s="285"/>
      <c r="B3" s="272"/>
      <c r="C3" s="136" t="s">
        <v>2</v>
      </c>
      <c r="D3" s="137"/>
      <c r="E3" s="138"/>
      <c r="F3" s="138"/>
      <c r="G3" s="138"/>
      <c r="H3" s="138">
        <v>36.930958333333329</v>
      </c>
      <c r="I3" s="138">
        <v>38.156816666666664</v>
      </c>
      <c r="J3" s="138">
        <v>39.94</v>
      </c>
      <c r="K3" s="138">
        <v>42.783816666666667</v>
      </c>
      <c r="L3" s="138">
        <v>45.483974999999994</v>
      </c>
    </row>
    <row r="4" spans="1:22">
      <c r="A4" s="285"/>
      <c r="B4" s="272"/>
      <c r="C4" s="139" t="s">
        <v>0</v>
      </c>
      <c r="D4" s="140"/>
      <c r="E4" s="140"/>
      <c r="F4" s="140"/>
      <c r="G4" s="140"/>
      <c r="H4" s="140">
        <v>36.21</v>
      </c>
      <c r="I4" s="140">
        <v>37.79</v>
      </c>
      <c r="J4" s="140">
        <v>43.13</v>
      </c>
      <c r="K4" s="140">
        <v>46.57</v>
      </c>
      <c r="L4" s="140">
        <v>48.87</v>
      </c>
      <c r="N4" t="s">
        <v>30</v>
      </c>
    </row>
    <row r="5" spans="1:22">
      <c r="A5" s="285"/>
      <c r="B5" s="272"/>
      <c r="C5" s="141" t="s">
        <v>3</v>
      </c>
      <c r="D5" s="142"/>
      <c r="E5" s="142"/>
      <c r="F5" s="142"/>
      <c r="G5" s="142">
        <v>62.12</v>
      </c>
      <c r="H5" s="142">
        <v>35.909999999999997</v>
      </c>
      <c r="I5" s="142">
        <v>36.71</v>
      </c>
      <c r="J5" s="142">
        <v>44.11</v>
      </c>
      <c r="K5" s="142">
        <v>48.94</v>
      </c>
      <c r="L5" s="142">
        <v>52.51</v>
      </c>
      <c r="N5" t="s">
        <v>28</v>
      </c>
      <c r="O5" t="s">
        <v>29</v>
      </c>
      <c r="Q5" t="s">
        <v>28</v>
      </c>
    </row>
    <row r="6" spans="1:22">
      <c r="A6" s="285"/>
      <c r="B6" s="272"/>
      <c r="C6" s="143" t="s">
        <v>1</v>
      </c>
      <c r="D6" s="144">
        <v>89.65</v>
      </c>
      <c r="E6" s="144">
        <v>85.82</v>
      </c>
      <c r="F6" s="144">
        <v>95.13</v>
      </c>
      <c r="G6" s="144">
        <v>60.67</v>
      </c>
      <c r="H6" s="144">
        <v>37</v>
      </c>
      <c r="I6" s="144">
        <v>38</v>
      </c>
      <c r="J6" s="144">
        <v>45</v>
      </c>
      <c r="K6" s="144">
        <v>50</v>
      </c>
      <c r="L6" s="144">
        <v>53</v>
      </c>
      <c r="N6" s="169">
        <f>(H6-H7)*(H21-H22)*(1-0.11)+(H36-H37*(H51-H52)*(1-0.24))</f>
        <v>2.5499999999999998</v>
      </c>
      <c r="O6" s="169">
        <f>(I6-I7)*(I21-I22)*(1-0.11)+(I36-I37*(I51-I52)*(1-0.24))</f>
        <v>2.9</v>
      </c>
      <c r="Q6">
        <v>43.59</v>
      </c>
      <c r="V6" s="93"/>
    </row>
    <row r="7" spans="1:22">
      <c r="A7" s="285"/>
      <c r="B7" s="273">
        <v>42339</v>
      </c>
      <c r="C7" s="133" t="s">
        <v>1</v>
      </c>
      <c r="D7" s="138">
        <v>89.65</v>
      </c>
      <c r="E7" s="138">
        <v>85.82</v>
      </c>
      <c r="F7" s="138">
        <v>95.13</v>
      </c>
      <c r="G7" s="138">
        <v>60.67</v>
      </c>
      <c r="H7" s="138">
        <v>44</v>
      </c>
      <c r="I7" s="138">
        <v>49.5</v>
      </c>
      <c r="J7" s="138">
        <v>56</v>
      </c>
      <c r="K7" s="138">
        <v>59</v>
      </c>
      <c r="L7" s="138">
        <v>60</v>
      </c>
      <c r="N7" s="171"/>
      <c r="O7" s="171"/>
      <c r="Q7">
        <f>40-4</f>
        <v>36</v>
      </c>
      <c r="V7" s="93"/>
    </row>
    <row r="8" spans="1:22" hidden="1">
      <c r="A8" s="285"/>
      <c r="B8" s="272"/>
      <c r="C8" s="133" t="s">
        <v>1</v>
      </c>
      <c r="D8" s="138">
        <v>89.65</v>
      </c>
      <c r="E8" s="138">
        <v>85.82</v>
      </c>
      <c r="F8" s="138">
        <v>95.14</v>
      </c>
      <c r="G8" s="138">
        <v>71</v>
      </c>
      <c r="H8" s="138">
        <v>66</v>
      </c>
      <c r="I8" s="138">
        <v>72</v>
      </c>
      <c r="J8" s="138">
        <v>76</v>
      </c>
      <c r="K8" s="138">
        <v>80</v>
      </c>
      <c r="L8" s="138"/>
    </row>
    <row r="9" spans="1:22" hidden="1">
      <c r="A9" s="285"/>
      <c r="B9" s="272"/>
      <c r="C9" s="133" t="s">
        <v>1</v>
      </c>
      <c r="D9" s="138">
        <v>89.65</v>
      </c>
      <c r="E9" s="138">
        <v>85.82</v>
      </c>
      <c r="F9" s="138">
        <v>95.75</v>
      </c>
      <c r="G9" s="138">
        <v>92</v>
      </c>
      <c r="H9" s="138">
        <v>88</v>
      </c>
      <c r="I9" s="138">
        <v>87</v>
      </c>
      <c r="J9" s="138">
        <v>86</v>
      </c>
      <c r="K9" s="138">
        <v>85</v>
      </c>
      <c r="L9" s="138"/>
    </row>
    <row r="10" spans="1:22" hidden="1">
      <c r="A10" s="285"/>
      <c r="B10" s="272"/>
      <c r="C10" s="133" t="s">
        <v>1</v>
      </c>
      <c r="D10" s="138">
        <v>90</v>
      </c>
      <c r="E10" s="138">
        <v>87</v>
      </c>
      <c r="F10" s="138">
        <v>94</v>
      </c>
      <c r="G10" s="138">
        <v>87.5</v>
      </c>
      <c r="H10" s="138">
        <v>85</v>
      </c>
      <c r="I10" s="138">
        <v>84</v>
      </c>
      <c r="J10" s="138">
        <v>84</v>
      </c>
      <c r="K10" s="138"/>
      <c r="L10" s="138"/>
    </row>
    <row r="11" spans="1:22" hidden="1">
      <c r="A11" s="285"/>
      <c r="B11" s="272"/>
      <c r="C11" s="133" t="s">
        <v>1</v>
      </c>
      <c r="D11" s="145">
        <v>90</v>
      </c>
      <c r="E11" s="145">
        <v>86.5</v>
      </c>
      <c r="F11" s="145">
        <v>88</v>
      </c>
      <c r="G11" s="145">
        <v>87.5</v>
      </c>
      <c r="H11" s="145">
        <v>87</v>
      </c>
      <c r="I11" s="145">
        <v>86.5</v>
      </c>
      <c r="J11" s="145"/>
      <c r="K11" s="145"/>
      <c r="L11" s="145"/>
    </row>
    <row r="12" spans="1:22" hidden="1">
      <c r="A12" s="285"/>
      <c r="B12" s="33">
        <v>41244</v>
      </c>
      <c r="C12" s="133" t="s">
        <v>1</v>
      </c>
      <c r="D12" s="145">
        <v>89.640506965377526</v>
      </c>
      <c r="E12" s="145">
        <v>85</v>
      </c>
      <c r="F12" s="145">
        <v>84.75</v>
      </c>
      <c r="G12" s="145">
        <v>83.5</v>
      </c>
      <c r="H12" s="145">
        <v>82.5</v>
      </c>
      <c r="I12" s="145">
        <v>83</v>
      </c>
      <c r="J12" s="145">
        <v>83</v>
      </c>
      <c r="K12" s="145"/>
      <c r="L12" s="145"/>
    </row>
    <row r="13" spans="1:22" hidden="1">
      <c r="A13" s="285"/>
      <c r="B13" s="33">
        <v>42217</v>
      </c>
      <c r="C13" s="292" t="s">
        <v>16</v>
      </c>
      <c r="D13" s="293"/>
      <c r="E13" s="146">
        <f t="shared" ref="E13:L13" si="0">+E6/D6-1</f>
        <v>-4.2721695482431765E-2</v>
      </c>
      <c r="F13" s="146">
        <f>+F6/E6-1</f>
        <v>0.10848287112561183</v>
      </c>
      <c r="G13" s="166">
        <f>+G6/F6-1</f>
        <v>-0.36224114369809735</v>
      </c>
      <c r="H13" s="146">
        <f t="shared" si="0"/>
        <v>-0.39014339871435633</v>
      </c>
      <c r="I13" s="146">
        <f t="shared" si="0"/>
        <v>2.7027027027026973E-2</v>
      </c>
      <c r="J13" s="146">
        <f t="shared" si="0"/>
        <v>0.18421052631578938</v>
      </c>
      <c r="K13" s="146">
        <f t="shared" si="0"/>
        <v>0.11111111111111116</v>
      </c>
      <c r="L13" s="146">
        <f t="shared" si="0"/>
        <v>6.0000000000000053E-2</v>
      </c>
    </row>
    <row r="14" spans="1:22" hidden="1">
      <c r="A14" s="285"/>
      <c r="B14" s="33">
        <v>42031</v>
      </c>
      <c r="C14" s="290" t="s">
        <v>16</v>
      </c>
      <c r="D14" s="291"/>
      <c r="E14" s="147">
        <f t="shared" ref="E14:K15" si="1">(E7-D7)/D7</f>
        <v>-4.2721695482431814E-2</v>
      </c>
      <c r="F14" s="147">
        <f t="shared" si="1"/>
        <v>0.10848287112561178</v>
      </c>
      <c r="G14" s="147">
        <f t="shared" si="1"/>
        <v>-0.36224114369809729</v>
      </c>
      <c r="H14" s="147">
        <f t="shared" si="1"/>
        <v>-0.27476512279545084</v>
      </c>
      <c r="I14" s="147">
        <f t="shared" si="1"/>
        <v>0.125</v>
      </c>
      <c r="J14" s="147">
        <f t="shared" si="1"/>
        <v>0.13131313131313133</v>
      </c>
      <c r="K14" s="147">
        <f t="shared" si="1"/>
        <v>5.3571428571428568E-2</v>
      </c>
      <c r="L14" s="147"/>
    </row>
    <row r="15" spans="1:22" hidden="1">
      <c r="A15" s="285"/>
      <c r="B15" s="33">
        <v>41974</v>
      </c>
      <c r="C15" s="290" t="s">
        <v>16</v>
      </c>
      <c r="D15" s="291"/>
      <c r="E15" s="147">
        <f t="shared" si="1"/>
        <v>-4.2721695482431814E-2</v>
      </c>
      <c r="F15" s="147">
        <f t="shared" si="1"/>
        <v>0.10859939408063397</v>
      </c>
      <c r="G15" s="147">
        <f t="shared" si="1"/>
        <v>-0.2537313432835821</v>
      </c>
      <c r="H15" s="147">
        <f t="shared" si="1"/>
        <v>-7.0422535211267609E-2</v>
      </c>
      <c r="I15" s="147">
        <f t="shared" si="1"/>
        <v>9.0909090909090912E-2</v>
      </c>
      <c r="J15" s="147">
        <f t="shared" si="1"/>
        <v>5.5555555555555552E-2</v>
      </c>
      <c r="K15" s="147"/>
      <c r="L15" s="147"/>
    </row>
    <row r="16" spans="1:22" hidden="1">
      <c r="A16" s="286"/>
      <c r="B16" s="33">
        <v>41499</v>
      </c>
      <c r="C16" s="292" t="s">
        <v>16</v>
      </c>
      <c r="D16" s="293"/>
      <c r="E16" s="146">
        <f t="shared" ref="E16:J16" si="2">(E10-D10)/D10</f>
        <v>-3.3333333333333333E-2</v>
      </c>
      <c r="F16" s="146">
        <f t="shared" si="2"/>
        <v>8.0459770114942528E-2</v>
      </c>
      <c r="G16" s="146">
        <f t="shared" si="2"/>
        <v>-6.9148936170212769E-2</v>
      </c>
      <c r="H16" s="146">
        <f t="shared" si="2"/>
        <v>-2.8571428571428571E-2</v>
      </c>
      <c r="I16" s="146">
        <f t="shared" si="2"/>
        <v>-1.1764705882352941E-2</v>
      </c>
      <c r="J16" s="146">
        <f t="shared" si="2"/>
        <v>0</v>
      </c>
      <c r="K16" s="146"/>
      <c r="L16" s="146"/>
    </row>
    <row r="17" spans="1:17">
      <c r="A17" s="65"/>
      <c r="B17" s="65"/>
      <c r="C17" s="65"/>
      <c r="D17" s="65"/>
      <c r="E17" s="65"/>
      <c r="F17" s="65"/>
      <c r="G17" s="126"/>
      <c r="H17" s="128"/>
      <c r="I17" s="128"/>
      <c r="J17" s="128"/>
      <c r="K17" s="128"/>
      <c r="L17" s="128"/>
      <c r="Q17">
        <v>33</v>
      </c>
    </row>
    <row r="18" spans="1:17">
      <c r="A18" s="281" t="s">
        <v>12</v>
      </c>
      <c r="B18" s="273">
        <f>B2</f>
        <v>42389</v>
      </c>
      <c r="C18" s="136" t="s">
        <v>2</v>
      </c>
      <c r="D18" s="148"/>
      <c r="E18" s="148"/>
      <c r="F18" s="148"/>
      <c r="G18" s="148"/>
      <c r="H18" s="148">
        <v>145</v>
      </c>
      <c r="I18" s="148">
        <v>152</v>
      </c>
      <c r="J18" s="148">
        <v>158</v>
      </c>
      <c r="K18" s="148">
        <v>160</v>
      </c>
      <c r="L18" s="148">
        <v>161</v>
      </c>
      <c r="N18" s="127"/>
      <c r="Q18">
        <f>(Q6*4+Q7*2+Q17*6)/12</f>
        <v>37.03</v>
      </c>
    </row>
    <row r="19" spans="1:17">
      <c r="A19" s="281"/>
      <c r="B19" s="272"/>
      <c r="C19" s="139" t="s">
        <v>0</v>
      </c>
      <c r="D19" s="149"/>
      <c r="E19" s="149"/>
      <c r="F19" s="149"/>
      <c r="G19" s="149"/>
      <c r="H19" s="149">
        <v>149</v>
      </c>
      <c r="I19" s="149">
        <v>152</v>
      </c>
      <c r="J19" s="149">
        <v>158</v>
      </c>
      <c r="K19" s="150">
        <v>160</v>
      </c>
      <c r="L19" s="150">
        <v>161</v>
      </c>
      <c r="M19" s="127"/>
    </row>
    <row r="20" spans="1:17">
      <c r="A20" s="281"/>
      <c r="B20" s="272"/>
      <c r="C20" s="141" t="s">
        <v>3</v>
      </c>
      <c r="D20" s="151"/>
      <c r="E20" s="151"/>
      <c r="F20" s="151"/>
      <c r="G20" s="151"/>
      <c r="H20" s="151">
        <v>142</v>
      </c>
      <c r="I20" s="151">
        <v>130.6</v>
      </c>
      <c r="J20" s="151">
        <v>136.5</v>
      </c>
      <c r="K20" s="151">
        <v>137.69999999999999</v>
      </c>
      <c r="L20" s="151">
        <v>126.7</v>
      </c>
    </row>
    <row r="21" spans="1:17">
      <c r="A21" s="281"/>
      <c r="B21" s="272"/>
      <c r="C21" s="143" t="s">
        <v>1</v>
      </c>
      <c r="D21" s="152">
        <v>80.3</v>
      </c>
      <c r="E21" s="152">
        <v>96.4</v>
      </c>
      <c r="F21" s="153">
        <v>113.9</v>
      </c>
      <c r="G21" s="153">
        <v>141.4</v>
      </c>
      <c r="H21" s="153">
        <v>150</v>
      </c>
      <c r="I21" s="153">
        <v>155</v>
      </c>
      <c r="J21" s="153">
        <v>158</v>
      </c>
      <c r="K21" s="153">
        <v>160</v>
      </c>
      <c r="L21" s="153">
        <v>161</v>
      </c>
      <c r="M21" s="93" t="s">
        <v>34</v>
      </c>
      <c r="Q21">
        <v>2.81</v>
      </c>
    </row>
    <row r="22" spans="1:17">
      <c r="A22" s="281"/>
      <c r="B22" s="33">
        <f>B7</f>
        <v>42339</v>
      </c>
      <c r="C22" s="133" t="s">
        <v>1</v>
      </c>
      <c r="D22" s="154">
        <v>80.3</v>
      </c>
      <c r="E22" s="154">
        <v>96.4</v>
      </c>
      <c r="F22" s="154">
        <v>113.9</v>
      </c>
      <c r="G22" s="154">
        <v>141.4</v>
      </c>
      <c r="H22" s="154">
        <v>150</v>
      </c>
      <c r="I22" s="154">
        <v>155</v>
      </c>
      <c r="J22" s="154">
        <v>158</v>
      </c>
      <c r="K22" s="154">
        <v>160</v>
      </c>
      <c r="L22" s="154">
        <v>161</v>
      </c>
      <c r="M22" s="93"/>
      <c r="N22" s="131"/>
      <c r="Q22" s="131">
        <v>2.4300000000000002</v>
      </c>
    </row>
    <row r="23" spans="1:17" hidden="1">
      <c r="A23" s="281"/>
      <c r="B23" s="33">
        <v>41974</v>
      </c>
      <c r="C23" s="133" t="s">
        <v>1</v>
      </c>
      <c r="D23" s="154">
        <v>80.3</v>
      </c>
      <c r="E23" s="154">
        <v>96.4</v>
      </c>
      <c r="F23" s="154">
        <v>113.4</v>
      </c>
      <c r="G23" s="154">
        <v>122</v>
      </c>
      <c r="H23" s="154">
        <v>127</v>
      </c>
      <c r="I23" s="154">
        <v>131</v>
      </c>
      <c r="J23" s="154">
        <v>133</v>
      </c>
      <c r="K23" s="154">
        <v>135</v>
      </c>
      <c r="L23" s="154"/>
    </row>
    <row r="24" spans="1:17" hidden="1">
      <c r="A24" s="281"/>
      <c r="B24" s="33">
        <v>41852</v>
      </c>
      <c r="C24" s="133" t="s">
        <v>1</v>
      </c>
      <c r="D24" s="154">
        <v>80.3</v>
      </c>
      <c r="E24" s="154">
        <v>96.4</v>
      </c>
      <c r="F24" s="154">
        <v>110</v>
      </c>
      <c r="G24" s="154">
        <v>117</v>
      </c>
      <c r="H24" s="154">
        <v>122</v>
      </c>
      <c r="I24" s="154">
        <v>125</v>
      </c>
      <c r="J24" s="154">
        <v>127</v>
      </c>
      <c r="K24" s="154">
        <v>129</v>
      </c>
      <c r="L24" s="154"/>
    </row>
    <row r="25" spans="1:17" hidden="1">
      <c r="A25" s="281"/>
      <c r="B25" s="33">
        <v>41499</v>
      </c>
      <c r="C25" s="133" t="s">
        <v>1</v>
      </c>
      <c r="D25" s="154">
        <v>80.069999999999993</v>
      </c>
      <c r="E25" s="154">
        <v>90</v>
      </c>
      <c r="F25" s="154">
        <v>93</v>
      </c>
      <c r="G25" s="154">
        <v>97</v>
      </c>
      <c r="H25" s="154">
        <v>100</v>
      </c>
      <c r="I25" s="154">
        <v>101</v>
      </c>
      <c r="J25" s="154">
        <v>102</v>
      </c>
      <c r="K25" s="154"/>
      <c r="L25" s="154"/>
    </row>
    <row r="26" spans="1:17" hidden="1">
      <c r="A26" s="281"/>
      <c r="B26" s="33">
        <v>41317</v>
      </c>
      <c r="C26" s="133" t="s">
        <v>1</v>
      </c>
      <c r="D26" s="155">
        <v>80.099999999999994</v>
      </c>
      <c r="E26" s="155">
        <v>87</v>
      </c>
      <c r="F26" s="155">
        <v>91.4</v>
      </c>
      <c r="G26" s="155">
        <v>94.1</v>
      </c>
      <c r="H26" s="155">
        <v>96</v>
      </c>
      <c r="I26" s="155">
        <v>97.9</v>
      </c>
      <c r="J26" s="155"/>
      <c r="K26" s="155"/>
      <c r="L26" s="155"/>
    </row>
    <row r="27" spans="1:17" hidden="1">
      <c r="A27" s="281"/>
      <c r="B27" s="33">
        <v>41244</v>
      </c>
      <c r="C27" s="133" t="s">
        <v>1</v>
      </c>
      <c r="D27" s="155">
        <v>79.7</v>
      </c>
      <c r="E27" s="155">
        <v>84.119744824999998</v>
      </c>
      <c r="F27" s="155">
        <v>88.406534618000009</v>
      </c>
      <c r="G27" s="155">
        <v>92.434230656539995</v>
      </c>
      <c r="H27" s="155">
        <v>96.132415269670815</v>
      </c>
      <c r="I27" s="155">
        <v>97.6</v>
      </c>
      <c r="J27" s="155">
        <v>97.6</v>
      </c>
      <c r="K27" s="155"/>
      <c r="L27" s="155"/>
    </row>
    <row r="28" spans="1:17">
      <c r="A28" s="281"/>
      <c r="B28" s="33">
        <f>B18</f>
        <v>42389</v>
      </c>
      <c r="C28" s="292" t="s">
        <v>16</v>
      </c>
      <c r="D28" s="293"/>
      <c r="E28" s="167">
        <f t="shared" ref="E28:K29" si="3">(E21-D21)/D21</f>
        <v>0.20049813200498143</v>
      </c>
      <c r="F28" s="167">
        <f>(F21-E21)/E21</f>
        <v>0.18153526970954356</v>
      </c>
      <c r="G28" s="167">
        <f t="shared" si="3"/>
        <v>0.24143985952589991</v>
      </c>
      <c r="H28" s="167">
        <f t="shared" si="3"/>
        <v>6.0820367751060776E-2</v>
      </c>
      <c r="I28" s="167">
        <f t="shared" si="3"/>
        <v>3.3333333333333333E-2</v>
      </c>
      <c r="J28" s="167">
        <f t="shared" si="3"/>
        <v>1.935483870967742E-2</v>
      </c>
      <c r="K28" s="167">
        <f t="shared" si="3"/>
        <v>1.2658227848101266E-2</v>
      </c>
      <c r="L28" s="167">
        <f>(L21-K21)/K21</f>
        <v>6.2500000000000003E-3</v>
      </c>
      <c r="Q28">
        <f>(Q21*4+Q22*8)/12</f>
        <v>2.5566666666666666</v>
      </c>
    </row>
    <row r="29" spans="1:17">
      <c r="A29" s="281"/>
      <c r="B29" s="33">
        <f>B7</f>
        <v>42339</v>
      </c>
      <c r="C29" s="290" t="s">
        <v>16</v>
      </c>
      <c r="D29" s="291"/>
      <c r="E29" s="168">
        <f>(E22-D22)/D22</f>
        <v>0.20049813200498143</v>
      </c>
      <c r="F29" s="168">
        <f t="shared" ref="F29:L30" si="4">(F22-E22)/E22</f>
        <v>0.18153526970954356</v>
      </c>
      <c r="G29" s="168">
        <f>(G22-F22)/F22</f>
        <v>0.24143985952589991</v>
      </c>
      <c r="H29" s="168">
        <f t="shared" si="3"/>
        <v>6.0820367751060776E-2</v>
      </c>
      <c r="I29" s="168">
        <f t="shared" si="3"/>
        <v>3.3333333333333333E-2</v>
      </c>
      <c r="J29" s="168">
        <f t="shared" si="3"/>
        <v>1.935483870967742E-2</v>
      </c>
      <c r="K29" s="168">
        <f t="shared" si="3"/>
        <v>1.2658227848101266E-2</v>
      </c>
      <c r="L29" s="168"/>
    </row>
    <row r="30" spans="1:17" hidden="1">
      <c r="A30" s="281"/>
      <c r="B30" s="33">
        <v>41974</v>
      </c>
      <c r="C30" s="290" t="s">
        <v>16</v>
      </c>
      <c r="D30" s="291"/>
      <c r="E30" s="147">
        <f>(E23-D23)/D23</f>
        <v>0.20049813200498143</v>
      </c>
      <c r="F30" s="147">
        <f t="shared" si="4"/>
        <v>0.17634854771784231</v>
      </c>
      <c r="G30" s="147">
        <f t="shared" si="4"/>
        <v>7.5837742504409111E-2</v>
      </c>
      <c r="H30" s="147">
        <f t="shared" si="4"/>
        <v>4.0983606557377046E-2</v>
      </c>
      <c r="I30" s="147">
        <f t="shared" si="4"/>
        <v>3.1496062992125984E-2</v>
      </c>
      <c r="J30" s="147">
        <f t="shared" si="4"/>
        <v>1.5267175572519083E-2</v>
      </c>
      <c r="K30" s="147">
        <f t="shared" si="4"/>
        <v>1.5037593984962405E-2</v>
      </c>
      <c r="L30" s="147">
        <f t="shared" si="4"/>
        <v>-1</v>
      </c>
    </row>
    <row r="31" spans="1:17" hidden="1">
      <c r="A31" s="281"/>
      <c r="B31" s="33">
        <v>41499</v>
      </c>
      <c r="C31" s="292" t="s">
        <v>16</v>
      </c>
      <c r="D31" s="293"/>
      <c r="E31" s="146">
        <f t="shared" ref="E31:J31" si="5">(E25-D25)/D25</f>
        <v>0.12401648557512186</v>
      </c>
      <c r="F31" s="146">
        <f t="shared" si="5"/>
        <v>3.3333333333333333E-2</v>
      </c>
      <c r="G31" s="146">
        <f t="shared" si="5"/>
        <v>4.3010752688172046E-2</v>
      </c>
      <c r="H31" s="146">
        <f t="shared" si="5"/>
        <v>3.0927835051546393E-2</v>
      </c>
      <c r="I31" s="146">
        <f t="shared" si="5"/>
        <v>0.01</v>
      </c>
      <c r="J31" s="146">
        <f t="shared" si="5"/>
        <v>9.9009900990099011E-3</v>
      </c>
      <c r="K31" s="146"/>
      <c r="L31" s="146"/>
    </row>
    <row r="32" spans="1:17">
      <c r="A32" s="106"/>
      <c r="B32" s="107"/>
      <c r="C32" s="156"/>
      <c r="D32" s="156"/>
      <c r="E32" s="157"/>
      <c r="F32" s="157"/>
      <c r="G32" s="158"/>
      <c r="H32" s="158"/>
      <c r="I32" s="158"/>
      <c r="J32" s="158"/>
      <c r="K32" s="158"/>
      <c r="L32" s="158"/>
    </row>
    <row r="33" spans="1:15">
      <c r="A33" s="287" t="s">
        <v>18</v>
      </c>
      <c r="B33" s="273">
        <f>B2</f>
        <v>42389</v>
      </c>
      <c r="C33" s="136" t="s">
        <v>2</v>
      </c>
      <c r="D33" s="159"/>
      <c r="E33" s="159"/>
      <c r="F33" s="159"/>
      <c r="G33" s="159"/>
      <c r="H33" s="159">
        <v>2.7</v>
      </c>
      <c r="I33" s="159">
        <v>3.2</v>
      </c>
      <c r="J33" s="159">
        <v>3.4</v>
      </c>
      <c r="K33" s="159">
        <v>3.45</v>
      </c>
      <c r="L33" s="159">
        <v>3.55</v>
      </c>
      <c r="N33" t="s">
        <v>33</v>
      </c>
    </row>
    <row r="34" spans="1:15">
      <c r="A34" s="288"/>
      <c r="B34" s="272"/>
      <c r="C34" s="139" t="s">
        <v>0</v>
      </c>
      <c r="D34" s="140"/>
      <c r="E34" s="140"/>
      <c r="F34" s="140"/>
      <c r="G34" s="140"/>
      <c r="H34" s="140">
        <v>2.4900000000000002</v>
      </c>
      <c r="I34" s="140">
        <v>2.91</v>
      </c>
      <c r="J34" s="140">
        <v>3.13</v>
      </c>
      <c r="K34" s="140">
        <v>3.41</v>
      </c>
      <c r="L34" s="140">
        <v>3.58</v>
      </c>
    </row>
    <row r="35" spans="1:15">
      <c r="A35" s="288"/>
      <c r="B35" s="272"/>
      <c r="C35" s="141" t="s">
        <v>3</v>
      </c>
      <c r="D35" s="142"/>
      <c r="E35" s="142"/>
      <c r="F35" s="142"/>
      <c r="G35" s="142"/>
      <c r="H35" s="142">
        <v>2.4900000000000002</v>
      </c>
      <c r="I35" s="142">
        <v>2.88</v>
      </c>
      <c r="J35" s="142">
        <v>3.07</v>
      </c>
      <c r="K35" s="142">
        <v>3.1</v>
      </c>
      <c r="L35" s="142">
        <v>3.29</v>
      </c>
    </row>
    <row r="36" spans="1:15">
      <c r="A36" s="288"/>
      <c r="B36" s="272"/>
      <c r="C36" s="143" t="s">
        <v>1</v>
      </c>
      <c r="D36" s="144">
        <v>5.01</v>
      </c>
      <c r="E36" s="144">
        <v>4.38</v>
      </c>
      <c r="F36" s="144">
        <v>5.14</v>
      </c>
      <c r="G36" s="144">
        <v>3.78</v>
      </c>
      <c r="H36" s="144">
        <v>2.5499999999999998</v>
      </c>
      <c r="I36" s="144">
        <v>2.9</v>
      </c>
      <c r="J36" s="144">
        <f>AVERAGE(J33:J35)</f>
        <v>3.1999999999999997</v>
      </c>
      <c r="K36" s="144">
        <v>3.3</v>
      </c>
      <c r="L36" s="144">
        <v>3.5</v>
      </c>
    </row>
    <row r="37" spans="1:15">
      <c r="A37" s="288"/>
      <c r="B37" s="33">
        <f>B7</f>
        <v>42339</v>
      </c>
      <c r="C37" s="133" t="s">
        <v>1</v>
      </c>
      <c r="D37" s="138">
        <v>5.01</v>
      </c>
      <c r="E37" s="138">
        <v>4.38</v>
      </c>
      <c r="F37" s="138">
        <v>5.14</v>
      </c>
      <c r="G37" s="138">
        <v>3.78</v>
      </c>
      <c r="H37" s="138">
        <v>2.9</v>
      </c>
      <c r="I37" s="138">
        <v>3.2</v>
      </c>
      <c r="J37" s="138">
        <v>3.4</v>
      </c>
      <c r="K37" s="138">
        <v>3.45</v>
      </c>
      <c r="L37" s="138">
        <v>3.5</v>
      </c>
      <c r="N37" s="112"/>
      <c r="O37" s="112"/>
    </row>
    <row r="38" spans="1:15" hidden="1">
      <c r="A38" s="288"/>
      <c r="B38" s="33">
        <v>41974</v>
      </c>
      <c r="C38" s="133" t="s">
        <v>1</v>
      </c>
      <c r="D38" s="138">
        <v>5.01</v>
      </c>
      <c r="E38" s="138">
        <v>4.38</v>
      </c>
      <c r="F38" s="138">
        <v>5.13</v>
      </c>
      <c r="G38" s="138">
        <v>4.9000000000000004</v>
      </c>
      <c r="H38" s="138">
        <v>4.9000000000000004</v>
      </c>
      <c r="I38" s="138">
        <v>4.95</v>
      </c>
      <c r="J38" s="138">
        <v>5.0999999999999996</v>
      </c>
      <c r="K38" s="138">
        <v>5.2</v>
      </c>
      <c r="L38" s="138"/>
    </row>
    <row r="39" spans="1:15" hidden="1">
      <c r="A39" s="288"/>
      <c r="B39" s="33">
        <v>41852</v>
      </c>
      <c r="C39" s="133" t="s">
        <v>1</v>
      </c>
      <c r="D39" s="138">
        <v>5.01</v>
      </c>
      <c r="E39" s="138">
        <v>4.38</v>
      </c>
      <c r="F39" s="138">
        <v>5.15</v>
      </c>
      <c r="G39" s="138">
        <v>5.2</v>
      </c>
      <c r="H39" s="138">
        <v>5.25</v>
      </c>
      <c r="I39" s="138">
        <v>5.3</v>
      </c>
      <c r="J39" s="138">
        <v>5.35</v>
      </c>
      <c r="K39" s="138">
        <v>5.4</v>
      </c>
      <c r="L39" s="138"/>
    </row>
    <row r="40" spans="1:15" hidden="1">
      <c r="A40" s="288"/>
      <c r="B40" s="33">
        <v>41499</v>
      </c>
      <c r="C40" s="133" t="s">
        <v>1</v>
      </c>
      <c r="D40" s="138">
        <v>5</v>
      </c>
      <c r="E40" s="138">
        <v>4.5</v>
      </c>
      <c r="F40" s="138">
        <v>5</v>
      </c>
      <c r="G40" s="138">
        <v>5.4</v>
      </c>
      <c r="H40" s="138">
        <v>5.5</v>
      </c>
      <c r="I40" s="138">
        <v>5.5</v>
      </c>
      <c r="J40" s="138">
        <v>5.5</v>
      </c>
      <c r="K40" s="138"/>
      <c r="L40" s="138"/>
    </row>
    <row r="41" spans="1:15" hidden="1">
      <c r="A41" s="288"/>
      <c r="B41" s="33">
        <v>41317</v>
      </c>
      <c r="C41" s="133" t="s">
        <v>1</v>
      </c>
      <c r="D41" s="145">
        <v>5</v>
      </c>
      <c r="E41" s="145">
        <v>4.5</v>
      </c>
      <c r="F41" s="145">
        <v>5.0999999999999996</v>
      </c>
      <c r="G41" s="145">
        <v>5.25</v>
      </c>
      <c r="H41" s="145">
        <v>5.5</v>
      </c>
      <c r="I41" s="145">
        <v>5.5</v>
      </c>
      <c r="J41" s="145"/>
      <c r="K41" s="145"/>
      <c r="L41" s="145"/>
    </row>
    <row r="42" spans="1:15" hidden="1">
      <c r="A42" s="288"/>
      <c r="B42" s="33">
        <v>41244</v>
      </c>
      <c r="C42" s="133" t="s">
        <v>1</v>
      </c>
      <c r="D42" s="145">
        <v>5</v>
      </c>
      <c r="E42" s="145">
        <v>4.5</v>
      </c>
      <c r="F42" s="145">
        <v>5</v>
      </c>
      <c r="G42" s="145">
        <v>5.4</v>
      </c>
      <c r="H42" s="145">
        <v>5.6</v>
      </c>
      <c r="I42" s="145">
        <v>5.5</v>
      </c>
      <c r="J42" s="145">
        <v>5.5</v>
      </c>
      <c r="K42" s="145"/>
      <c r="L42" s="145"/>
    </row>
    <row r="43" spans="1:15" hidden="1">
      <c r="A43" s="288"/>
      <c r="B43" s="33">
        <v>42217</v>
      </c>
      <c r="C43" s="292" t="s">
        <v>16</v>
      </c>
      <c r="D43" s="293"/>
      <c r="E43" s="146">
        <f t="shared" ref="E43:L45" si="6">(E36-D36)/D36</f>
        <v>-0.12574850299401197</v>
      </c>
      <c r="F43" s="146">
        <f t="shared" si="6"/>
        <v>0.17351598173515978</v>
      </c>
      <c r="G43" s="146">
        <f t="shared" si="6"/>
        <v>-0.26459143968871596</v>
      </c>
      <c r="H43" s="146">
        <f t="shared" si="6"/>
        <v>-0.32539682539682541</v>
      </c>
      <c r="I43" s="146">
        <f t="shared" si="6"/>
        <v>0.13725490196078435</v>
      </c>
      <c r="J43" s="146">
        <f t="shared" si="6"/>
        <v>0.10344827586206891</v>
      </c>
      <c r="K43" s="146">
        <f t="shared" si="6"/>
        <v>3.1250000000000028E-2</v>
      </c>
      <c r="L43" s="146">
        <f t="shared" si="6"/>
        <v>6.0606060606060663E-2</v>
      </c>
    </row>
    <row r="44" spans="1:15" hidden="1">
      <c r="A44" s="288"/>
      <c r="B44" s="33">
        <f>B29</f>
        <v>42339</v>
      </c>
      <c r="C44" s="290" t="s">
        <v>16</v>
      </c>
      <c r="D44" s="291"/>
      <c r="E44" s="147">
        <f t="shared" si="6"/>
        <v>-0.12574850299401197</v>
      </c>
      <c r="F44" s="147">
        <f t="shared" si="6"/>
        <v>0.17351598173515978</v>
      </c>
      <c r="G44" s="147">
        <f t="shared" si="6"/>
        <v>-0.26459143968871596</v>
      </c>
      <c r="H44" s="147">
        <f t="shared" si="6"/>
        <v>-0.23280423280423279</v>
      </c>
      <c r="I44" s="147">
        <f t="shared" si="6"/>
        <v>0.10344827586206906</v>
      </c>
      <c r="J44" s="147">
        <f t="shared" si="6"/>
        <v>6.2499999999999917E-2</v>
      </c>
      <c r="K44" s="147">
        <f t="shared" si="6"/>
        <v>1.4705882352941256E-2</v>
      </c>
      <c r="L44" s="147"/>
    </row>
    <row r="45" spans="1:15" hidden="1">
      <c r="A45" s="288"/>
      <c r="B45" s="33">
        <v>41974</v>
      </c>
      <c r="C45" s="290" t="s">
        <v>16</v>
      </c>
      <c r="D45" s="291"/>
      <c r="E45" s="147">
        <f t="shared" si="6"/>
        <v>-0.12574850299401197</v>
      </c>
      <c r="F45" s="147">
        <f t="shared" si="6"/>
        <v>0.17123287671232876</v>
      </c>
      <c r="G45" s="147">
        <f t="shared" si="6"/>
        <v>-4.4834307992202643E-2</v>
      </c>
      <c r="H45" s="147">
        <f t="shared" si="6"/>
        <v>0</v>
      </c>
      <c r="I45" s="147">
        <f t="shared" si="6"/>
        <v>1.0204081632653024E-2</v>
      </c>
      <c r="J45" s="147">
        <f t="shared" si="6"/>
        <v>3.0303030303030193E-2</v>
      </c>
      <c r="K45" s="147">
        <f t="shared" si="6"/>
        <v>1.9607843137255009E-2</v>
      </c>
      <c r="L45" s="147">
        <f t="shared" si="6"/>
        <v>-1</v>
      </c>
    </row>
    <row r="46" spans="1:15" hidden="1">
      <c r="A46" s="289"/>
      <c r="B46" s="33">
        <v>41499</v>
      </c>
      <c r="C46" s="292" t="s">
        <v>16</v>
      </c>
      <c r="D46" s="293"/>
      <c r="E46" s="146">
        <f t="shared" ref="E46:J46" si="7">(E40-D40)/D40</f>
        <v>-0.1</v>
      </c>
      <c r="F46" s="146">
        <f t="shared" si="7"/>
        <v>0.1111111111111111</v>
      </c>
      <c r="G46" s="146">
        <f t="shared" si="7"/>
        <v>8.0000000000000071E-2</v>
      </c>
      <c r="H46" s="146">
        <f t="shared" si="7"/>
        <v>1.8518518518518452E-2</v>
      </c>
      <c r="I46" s="146">
        <f t="shared" si="7"/>
        <v>0</v>
      </c>
      <c r="J46" s="146">
        <f t="shared" si="7"/>
        <v>0</v>
      </c>
      <c r="K46" s="146"/>
      <c r="L46" s="146"/>
    </row>
    <row r="47" spans="1:15">
      <c r="A47" s="65"/>
      <c r="B47" s="65"/>
      <c r="C47" s="65"/>
      <c r="D47" s="76"/>
      <c r="E47" s="76"/>
      <c r="F47" s="76"/>
      <c r="G47" s="130"/>
      <c r="H47" s="130"/>
      <c r="I47" s="130"/>
      <c r="J47" s="130"/>
      <c r="K47" s="130"/>
      <c r="L47" s="130"/>
    </row>
    <row r="48" spans="1:15">
      <c r="A48" s="287" t="s">
        <v>19</v>
      </c>
      <c r="B48" s="273">
        <f>B2</f>
        <v>42389</v>
      </c>
      <c r="C48" s="136" t="s">
        <v>2</v>
      </c>
      <c r="D48" s="160"/>
      <c r="E48" s="161"/>
      <c r="F48" s="161"/>
      <c r="G48" s="161"/>
      <c r="H48" s="161">
        <v>1100</v>
      </c>
      <c r="I48" s="161">
        <v>1150</v>
      </c>
      <c r="J48" s="161">
        <v>1150</v>
      </c>
      <c r="K48" s="161">
        <v>1120</v>
      </c>
      <c r="L48" s="161">
        <v>1100</v>
      </c>
    </row>
    <row r="49" spans="1:15">
      <c r="A49" s="288"/>
      <c r="B49" s="272"/>
      <c r="C49" s="139" t="s">
        <v>0</v>
      </c>
      <c r="D49" s="162"/>
      <c r="E49" s="162"/>
      <c r="F49" s="162"/>
      <c r="G49" s="162"/>
      <c r="H49" s="162">
        <v>1180</v>
      </c>
      <c r="I49" s="162">
        <v>1170</v>
      </c>
      <c r="J49" s="162">
        <v>1140</v>
      </c>
      <c r="K49" s="162">
        <v>1120</v>
      </c>
      <c r="L49" s="162">
        <v>1100</v>
      </c>
    </row>
    <row r="50" spans="1:15">
      <c r="A50" s="288"/>
      <c r="B50" s="272"/>
      <c r="C50" s="141" t="s">
        <v>3</v>
      </c>
      <c r="D50" s="163"/>
      <c r="E50" s="163"/>
      <c r="F50" s="163"/>
      <c r="G50" s="163">
        <v>1186</v>
      </c>
      <c r="H50" s="163">
        <v>1227</v>
      </c>
      <c r="I50" s="163">
        <v>1237</v>
      </c>
      <c r="J50" s="163">
        <v>1265</v>
      </c>
      <c r="K50" s="163">
        <v>1293</v>
      </c>
      <c r="L50" s="163">
        <v>1321</v>
      </c>
    </row>
    <row r="51" spans="1:15">
      <c r="A51" s="288"/>
      <c r="B51" s="272"/>
      <c r="C51" s="143" t="s">
        <v>1</v>
      </c>
      <c r="D51" s="164">
        <v>1227</v>
      </c>
      <c r="E51" s="164">
        <v>1177.5</v>
      </c>
      <c r="F51" s="164">
        <v>1184.7</v>
      </c>
      <c r="G51" s="164">
        <v>1184.8</v>
      </c>
      <c r="H51" s="164">
        <v>1200</v>
      </c>
      <c r="I51" s="164">
        <v>1170</v>
      </c>
      <c r="J51" s="164">
        <v>1140</v>
      </c>
      <c r="K51" s="164">
        <v>1120</v>
      </c>
      <c r="L51" s="164">
        <v>1100</v>
      </c>
    </row>
    <row r="52" spans="1:15">
      <c r="A52" s="288"/>
      <c r="B52" s="33">
        <f>B37</f>
        <v>42339</v>
      </c>
      <c r="C52" s="133" t="s">
        <v>1</v>
      </c>
      <c r="D52" s="160">
        <v>1227</v>
      </c>
      <c r="E52" s="160">
        <v>1177.5</v>
      </c>
      <c r="F52" s="160">
        <v>1184.7</v>
      </c>
      <c r="G52" s="160">
        <v>1184.8</v>
      </c>
      <c r="H52" s="160">
        <v>1200</v>
      </c>
      <c r="I52" s="160">
        <v>1170</v>
      </c>
      <c r="J52" s="160">
        <v>1140</v>
      </c>
      <c r="K52" s="160">
        <v>1120</v>
      </c>
      <c r="L52" s="160">
        <v>1100</v>
      </c>
      <c r="N52" s="112"/>
      <c r="O52" s="112"/>
    </row>
    <row r="53" spans="1:15" hidden="1">
      <c r="A53" s="288"/>
      <c r="B53" s="33">
        <v>41974</v>
      </c>
      <c r="C53" s="133" t="s">
        <v>1</v>
      </c>
      <c r="D53" s="160">
        <v>1227</v>
      </c>
      <c r="E53" s="160">
        <v>1177.5</v>
      </c>
      <c r="F53" s="160">
        <v>1187.3</v>
      </c>
      <c r="G53" s="160">
        <v>1181</v>
      </c>
      <c r="H53" s="160">
        <v>1150</v>
      </c>
      <c r="I53" s="160">
        <v>1118</v>
      </c>
      <c r="J53" s="160">
        <v>1088</v>
      </c>
      <c r="K53" s="160">
        <v>1052</v>
      </c>
      <c r="L53" s="160"/>
    </row>
    <row r="54" spans="1:15" hidden="1">
      <c r="A54" s="288"/>
      <c r="B54" s="33">
        <v>41852</v>
      </c>
      <c r="C54" s="133" t="s">
        <v>1</v>
      </c>
      <c r="D54" s="160">
        <v>1227</v>
      </c>
      <c r="E54" s="160">
        <v>1177.5</v>
      </c>
      <c r="F54" s="160">
        <v>1170</v>
      </c>
      <c r="G54" s="160">
        <v>1158.3</v>
      </c>
      <c r="H54" s="160">
        <v>1123.5509999999999</v>
      </c>
      <c r="I54" s="160">
        <v>1089.84447</v>
      </c>
      <c r="J54" s="160">
        <v>1057.1491358999999</v>
      </c>
      <c r="K54" s="160">
        <v>1025.4346618229999</v>
      </c>
      <c r="L54" s="160"/>
    </row>
    <row r="55" spans="1:15" hidden="1">
      <c r="A55" s="288"/>
      <c r="B55" s="33">
        <v>41499</v>
      </c>
      <c r="C55" s="133" t="s">
        <v>1</v>
      </c>
      <c r="D55" s="160">
        <v>1225.8499999999999</v>
      </c>
      <c r="E55" s="160">
        <v>1165</v>
      </c>
      <c r="F55" s="160">
        <v>1110</v>
      </c>
      <c r="G55" s="160">
        <v>1070</v>
      </c>
      <c r="H55" s="160">
        <v>1030</v>
      </c>
      <c r="I55" s="160">
        <v>1000</v>
      </c>
      <c r="J55" s="160">
        <v>960</v>
      </c>
      <c r="K55" s="165"/>
      <c r="L55" s="165"/>
    </row>
    <row r="56" spans="1:15" hidden="1">
      <c r="A56" s="288"/>
      <c r="B56" s="33">
        <v>41317</v>
      </c>
      <c r="C56" s="133" t="s">
        <v>1</v>
      </c>
      <c r="D56" s="165">
        <v>1226</v>
      </c>
      <c r="E56" s="165">
        <v>1185</v>
      </c>
      <c r="F56" s="165">
        <v>1151</v>
      </c>
      <c r="G56" s="165">
        <v>1121</v>
      </c>
      <c r="H56" s="165">
        <v>1090.1407234210708</v>
      </c>
      <c r="I56" s="165">
        <v>1048</v>
      </c>
      <c r="J56" s="165"/>
      <c r="K56" s="165"/>
      <c r="L56" s="165"/>
    </row>
    <row r="57" spans="1:15" hidden="1">
      <c r="A57" s="288"/>
      <c r="B57" s="33">
        <v>41244</v>
      </c>
      <c r="C57" s="133" t="s">
        <v>1</v>
      </c>
      <c r="D57" s="165">
        <v>1228.5423506666664</v>
      </c>
      <c r="E57" s="165">
        <v>1184.5870287874238</v>
      </c>
      <c r="F57" s="165">
        <v>1151.3778293463738</v>
      </c>
      <c r="G57" s="165">
        <v>1121.0332793283103</v>
      </c>
      <c r="H57" s="165">
        <v>1090.1407234210708</v>
      </c>
      <c r="I57" s="165">
        <v>1048</v>
      </c>
      <c r="J57" s="165">
        <v>1048</v>
      </c>
      <c r="K57" s="165"/>
      <c r="L57" s="165"/>
    </row>
    <row r="58" spans="1:15">
      <c r="A58" s="288"/>
      <c r="B58" s="33">
        <f>B48</f>
        <v>42389</v>
      </c>
      <c r="C58" s="292" t="s">
        <v>16</v>
      </c>
      <c r="D58" s="293"/>
      <c r="E58" s="167">
        <f t="shared" ref="E58:L60" si="8">(E51-D51)/D51</f>
        <v>-4.0342298288508556E-2</v>
      </c>
      <c r="F58" s="167">
        <f t="shared" si="8"/>
        <v>6.1146496815287013E-3</v>
      </c>
      <c r="G58" s="167">
        <f>(G51-F51)/F51</f>
        <v>8.4409555161567526E-5</v>
      </c>
      <c r="H58" s="167">
        <f t="shared" si="8"/>
        <v>1.2829169480081065E-2</v>
      </c>
      <c r="I58" s="167">
        <f t="shared" si="8"/>
        <v>-2.5000000000000001E-2</v>
      </c>
      <c r="J58" s="167">
        <f t="shared" si="8"/>
        <v>-2.564102564102564E-2</v>
      </c>
      <c r="K58" s="167">
        <f t="shared" si="8"/>
        <v>-1.7543859649122806E-2</v>
      </c>
      <c r="L58" s="167">
        <f t="shared" si="8"/>
        <v>-1.7857142857142856E-2</v>
      </c>
    </row>
    <row r="59" spans="1:15">
      <c r="A59" s="288"/>
      <c r="B59" s="33">
        <f>B44</f>
        <v>42339</v>
      </c>
      <c r="C59" s="290" t="s">
        <v>16</v>
      </c>
      <c r="D59" s="291"/>
      <c r="E59" s="168">
        <f>(E52-D52)/D52</f>
        <v>-4.0342298288508556E-2</v>
      </c>
      <c r="F59" s="168">
        <f t="shared" si="8"/>
        <v>6.1146496815287013E-3</v>
      </c>
      <c r="G59" s="168">
        <f>(G52-F52)/F52</f>
        <v>8.4409555161567526E-5</v>
      </c>
      <c r="H59" s="168">
        <f t="shared" si="8"/>
        <v>1.2829169480081065E-2</v>
      </c>
      <c r="I59" s="168">
        <f t="shared" si="8"/>
        <v>-2.5000000000000001E-2</v>
      </c>
      <c r="J59" s="168">
        <f t="shared" si="8"/>
        <v>-2.564102564102564E-2</v>
      </c>
      <c r="K59" s="168">
        <f t="shared" si="8"/>
        <v>-1.7543859649122806E-2</v>
      </c>
      <c r="L59" s="168"/>
    </row>
    <row r="60" spans="1:15" hidden="1">
      <c r="A60" s="288"/>
      <c r="B60" s="33">
        <v>41974</v>
      </c>
      <c r="C60" s="290" t="s">
        <v>16</v>
      </c>
      <c r="D60" s="291"/>
      <c r="E60" s="147">
        <f>(E53-D53)/D53</f>
        <v>-4.0342298288508556E-2</v>
      </c>
      <c r="F60" s="147">
        <f t="shared" si="8"/>
        <v>8.3227176220806408E-3</v>
      </c>
      <c r="G60" s="147">
        <f t="shared" si="8"/>
        <v>-5.3061568264128316E-3</v>
      </c>
      <c r="H60" s="147">
        <f t="shared" si="8"/>
        <v>-2.6248941574936496E-2</v>
      </c>
      <c r="I60" s="147">
        <f t="shared" si="8"/>
        <v>-2.782608695652174E-2</v>
      </c>
      <c r="J60" s="147">
        <f t="shared" si="8"/>
        <v>-2.6833631484794274E-2</v>
      </c>
      <c r="K60" s="147">
        <f t="shared" si="8"/>
        <v>-3.3088235294117647E-2</v>
      </c>
      <c r="L60" s="147">
        <f t="shared" si="8"/>
        <v>-1</v>
      </c>
    </row>
    <row r="61" spans="1:15" hidden="1">
      <c r="A61" s="289"/>
      <c r="B61" s="33">
        <v>41499</v>
      </c>
      <c r="C61" s="292" t="s">
        <v>16</v>
      </c>
      <c r="D61" s="293"/>
      <c r="E61" s="146">
        <f t="shared" ref="E61:J61" si="9">(E55-D55)/D55</f>
        <v>-4.9639025981971625E-2</v>
      </c>
      <c r="F61" s="146">
        <f t="shared" si="9"/>
        <v>-4.7210300429184553E-2</v>
      </c>
      <c r="G61" s="146">
        <f t="shared" si="9"/>
        <v>-3.6036036036036036E-2</v>
      </c>
      <c r="H61" s="146">
        <f t="shared" si="9"/>
        <v>-3.7383177570093455E-2</v>
      </c>
      <c r="I61" s="146">
        <f t="shared" si="9"/>
        <v>-2.9126213592233011E-2</v>
      </c>
      <c r="J61" s="146">
        <f t="shared" si="9"/>
        <v>-0.04</v>
      </c>
      <c r="K61" s="146"/>
      <c r="L61" s="146"/>
    </row>
    <row r="62" spans="1:15">
      <c r="A62" s="108"/>
      <c r="B62" s="13"/>
      <c r="F62" s="112"/>
      <c r="G62" s="112"/>
      <c r="H62" s="112"/>
      <c r="I62" s="112"/>
      <c r="J62" s="112"/>
      <c r="K62" s="112"/>
      <c r="L62" s="112"/>
    </row>
    <row r="63" spans="1:15">
      <c r="A63" s="9"/>
      <c r="B63" s="13"/>
      <c r="E63" s="94"/>
      <c r="F63" s="94"/>
      <c r="G63" s="112"/>
      <c r="H63" s="112"/>
      <c r="I63" s="112"/>
      <c r="J63" s="112"/>
      <c r="K63" s="112"/>
      <c r="L63" s="112"/>
    </row>
    <row r="64" spans="1:15">
      <c r="A64" s="9"/>
      <c r="B64" s="13"/>
      <c r="E64" s="94"/>
      <c r="F64" s="94"/>
      <c r="G64" s="94"/>
      <c r="H64" s="112"/>
      <c r="I64" s="112"/>
      <c r="J64" s="112"/>
      <c r="K64" s="112"/>
      <c r="L64" s="112"/>
    </row>
    <row r="65" spans="1:2">
      <c r="A65" s="9"/>
      <c r="B65" s="13"/>
    </row>
    <row r="66" spans="1:2">
      <c r="A66" s="9"/>
      <c r="B66" s="13"/>
    </row>
    <row r="67" spans="1:2">
      <c r="A67" s="9"/>
      <c r="B67" s="13"/>
    </row>
    <row r="68" spans="1:2">
      <c r="A68" s="9"/>
      <c r="B68" s="13"/>
    </row>
    <row r="69" spans="1:2">
      <c r="A69" s="9"/>
      <c r="B69" s="13"/>
    </row>
    <row r="70" spans="1:2">
      <c r="A70" s="9"/>
      <c r="B70" s="13"/>
    </row>
    <row r="71" spans="1:2">
      <c r="A71" s="9"/>
      <c r="B71" s="13"/>
    </row>
    <row r="72" spans="1:2">
      <c r="A72" s="9"/>
      <c r="B72" s="13"/>
    </row>
  </sheetData>
  <mergeCells count="25">
    <mergeCell ref="A2:A16"/>
    <mergeCell ref="B2:B6"/>
    <mergeCell ref="C13:D13"/>
    <mergeCell ref="C14:D14"/>
    <mergeCell ref="C15:D15"/>
    <mergeCell ref="C16:D16"/>
    <mergeCell ref="B7:B11"/>
    <mergeCell ref="A18:A31"/>
    <mergeCell ref="B18:B21"/>
    <mergeCell ref="C28:D28"/>
    <mergeCell ref="C29:D29"/>
    <mergeCell ref="C30:D30"/>
    <mergeCell ref="C31:D31"/>
    <mergeCell ref="A33:A46"/>
    <mergeCell ref="B33:B36"/>
    <mergeCell ref="C43:D43"/>
    <mergeCell ref="C44:D44"/>
    <mergeCell ref="C45:D45"/>
    <mergeCell ref="C46:D46"/>
    <mergeCell ref="A48:A61"/>
    <mergeCell ref="B48:B51"/>
    <mergeCell ref="C58:D58"/>
    <mergeCell ref="C59:D59"/>
    <mergeCell ref="C60:D60"/>
    <mergeCell ref="C61:D61"/>
  </mergeCells>
  <pageMargins left="0.5" right="0.17" top="0.63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pageSetUpPr fitToPage="1"/>
  </sheetPr>
  <dimension ref="A1:V34"/>
  <sheetViews>
    <sheetView zoomScale="137" zoomScaleNormal="137" workbookViewId="0">
      <pane ySplit="2" topLeftCell="A3" activePane="bottomLeft" state="frozen"/>
      <selection activeCell="I6" sqref="I6"/>
      <selection pane="bottomLeft" activeCell="I6" sqref="I6"/>
    </sheetView>
  </sheetViews>
  <sheetFormatPr defaultColWidth="9.28515625" defaultRowHeight="15"/>
  <cols>
    <col min="1" max="1" width="9.42578125" customWidth="1"/>
    <col min="2" max="2" width="10.28515625" bestFit="1" customWidth="1"/>
    <col min="3" max="3" width="8" customWidth="1"/>
    <col min="4" max="13" width="8.5703125" customWidth="1"/>
    <col min="14" max="23" width="7.5703125" customWidth="1"/>
  </cols>
  <sheetData>
    <row r="1" spans="1:22">
      <c r="A1" s="184" t="s">
        <v>67</v>
      </c>
      <c r="L1" s="294">
        <v>42584</v>
      </c>
      <c r="M1" s="294"/>
    </row>
    <row r="2" spans="1:22" ht="30">
      <c r="A2" s="296" t="s">
        <v>55</v>
      </c>
      <c r="B2" s="11"/>
      <c r="C2" s="133"/>
      <c r="D2" s="132" t="s">
        <v>58</v>
      </c>
      <c r="E2" s="132" t="s">
        <v>59</v>
      </c>
      <c r="F2" s="132" t="s">
        <v>60</v>
      </c>
      <c r="G2" s="132" t="s">
        <v>61</v>
      </c>
      <c r="H2" s="132" t="s">
        <v>8</v>
      </c>
      <c r="I2" s="132" t="s">
        <v>9</v>
      </c>
      <c r="J2" s="132" t="s">
        <v>21</v>
      </c>
      <c r="K2" s="132" t="s">
        <v>24</v>
      </c>
      <c r="L2" s="132" t="s">
        <v>27</v>
      </c>
      <c r="M2" s="132" t="s">
        <v>57</v>
      </c>
    </row>
    <row r="3" spans="1:22" ht="15" customHeight="1">
      <c r="A3" s="296"/>
      <c r="B3" s="295">
        <v>42584</v>
      </c>
      <c r="C3" s="134" t="s">
        <v>4</v>
      </c>
      <c r="D3" s="135"/>
      <c r="E3" s="135"/>
      <c r="F3" s="135"/>
      <c r="G3" s="135"/>
      <c r="H3" s="135"/>
      <c r="I3" s="135" t="e">
        <f>AVERAGE(D13:G13)</f>
        <v>#DIV/0!</v>
      </c>
      <c r="J3" s="135" t="e">
        <f>AVERAGE(H13:K13)</f>
        <v>#DIV/0!</v>
      </c>
      <c r="K3" s="135" t="e">
        <f>AVERAGE(L13:M13,D20:E20)</f>
        <v>#DIV/0!</v>
      </c>
      <c r="L3" s="135" t="e">
        <f>AVERAGE(F20:I20)</f>
        <v>#DIV/0!</v>
      </c>
      <c r="M3" s="135" t="e">
        <f>AVERAGE(J20:M20)</f>
        <v>#DIV/0!</v>
      </c>
    </row>
    <row r="4" spans="1:22">
      <c r="A4" s="296"/>
      <c r="B4" s="296"/>
      <c r="C4" s="136" t="s">
        <v>2</v>
      </c>
      <c r="D4" s="137"/>
      <c r="E4" s="138"/>
      <c r="F4" s="138"/>
      <c r="G4" s="138"/>
      <c r="H4" s="138"/>
      <c r="I4" s="138" t="e">
        <f>AVERAGE(D14:G14)</f>
        <v>#DIV/0!</v>
      </c>
      <c r="J4" s="138" t="e">
        <f>AVERAGE(H14:K14)</f>
        <v>#DIV/0!</v>
      </c>
      <c r="K4" s="138" t="e">
        <f>AVERAGE(L14:M14,D21:E21)</f>
        <v>#DIV/0!</v>
      </c>
      <c r="L4" s="138" t="e">
        <f>AVERAGE(F21:I21)</f>
        <v>#DIV/0!</v>
      </c>
      <c r="M4" s="138" t="e">
        <f>AVERAGE(J21:M21)</f>
        <v>#DIV/0!</v>
      </c>
    </row>
    <row r="5" spans="1:22">
      <c r="A5" s="296"/>
      <c r="B5" s="296"/>
      <c r="C5" s="139" t="s">
        <v>0</v>
      </c>
      <c r="D5" s="140"/>
      <c r="E5" s="140"/>
      <c r="F5" s="140"/>
      <c r="G5" s="140"/>
      <c r="H5" s="140"/>
      <c r="I5" s="140" t="e">
        <f>AVERAGE(D15:G15)</f>
        <v>#DIV/0!</v>
      </c>
      <c r="J5" s="140" t="e">
        <f>AVERAGE(H15:K15)</f>
        <v>#DIV/0!</v>
      </c>
      <c r="K5" s="140" t="e">
        <f>AVERAGE(L15:M15,D22:E22)</f>
        <v>#DIV/0!</v>
      </c>
      <c r="L5" s="140" t="e">
        <f>AVERAGE(F22:I22)</f>
        <v>#DIV/0!</v>
      </c>
      <c r="M5" s="140" t="e">
        <f>AVERAGE(J22:M22)</f>
        <v>#DIV/0!</v>
      </c>
    </row>
    <row r="6" spans="1:22">
      <c r="A6" s="296"/>
      <c r="B6" s="296"/>
      <c r="C6" s="141" t="s">
        <v>3</v>
      </c>
      <c r="D6" s="142"/>
      <c r="E6" s="142"/>
      <c r="F6" s="142"/>
      <c r="G6" s="142"/>
      <c r="H6" s="142"/>
      <c r="I6" s="142" t="e">
        <f>AVERAGE(D16:G16)</f>
        <v>#DIV/0!</v>
      </c>
      <c r="J6" s="142" t="e">
        <f>AVERAGE(H16:K16)</f>
        <v>#DIV/0!</v>
      </c>
      <c r="K6" s="142" t="e">
        <f>AVERAGE(L16:M16,D23:E23)</f>
        <v>#DIV/0!</v>
      </c>
      <c r="L6" s="142" t="e">
        <f>AVERAGE(F23:I23)</f>
        <v>#DIV/0!</v>
      </c>
      <c r="M6" s="142" t="e">
        <f>AVERAGE(J23:M23)</f>
        <v>#DIV/0!</v>
      </c>
    </row>
    <row r="7" spans="1:22">
      <c r="A7" s="296"/>
      <c r="B7" s="296"/>
      <c r="C7" s="178" t="s">
        <v>1</v>
      </c>
      <c r="D7" s="181">
        <v>89.65</v>
      </c>
      <c r="E7" s="181">
        <v>85.82</v>
      </c>
      <c r="F7" s="181">
        <v>95.13</v>
      </c>
      <c r="G7" s="181">
        <v>60.67</v>
      </c>
      <c r="H7" s="181" t="e">
        <f t="shared" ref="H7:M7" si="0">AVERAGE(H3:H6)</f>
        <v>#DIV/0!</v>
      </c>
      <c r="I7" s="181" t="e">
        <f t="shared" si="0"/>
        <v>#DIV/0!</v>
      </c>
      <c r="J7" s="181" t="e">
        <f t="shared" si="0"/>
        <v>#DIV/0!</v>
      </c>
      <c r="K7" s="181" t="e">
        <f t="shared" si="0"/>
        <v>#DIV/0!</v>
      </c>
      <c r="L7" s="181" t="e">
        <f t="shared" si="0"/>
        <v>#DIV/0!</v>
      </c>
      <c r="M7" s="181" t="e">
        <f t="shared" si="0"/>
        <v>#DIV/0!</v>
      </c>
      <c r="V7" s="93"/>
    </row>
    <row r="8" spans="1:22">
      <c r="A8" s="296"/>
      <c r="B8" s="176">
        <v>42389</v>
      </c>
      <c r="C8" s="133" t="s">
        <v>1</v>
      </c>
      <c r="D8" s="138">
        <v>89.65</v>
      </c>
      <c r="E8" s="138">
        <v>85.82</v>
      </c>
      <c r="F8" s="138">
        <v>95.13</v>
      </c>
      <c r="G8" s="138">
        <v>60.67</v>
      </c>
      <c r="H8" s="138">
        <v>37</v>
      </c>
      <c r="I8" s="138">
        <v>38</v>
      </c>
      <c r="J8" s="138">
        <v>45</v>
      </c>
      <c r="K8" s="138">
        <v>50</v>
      </c>
      <c r="L8" s="138">
        <v>53</v>
      </c>
      <c r="M8" s="138">
        <v>53</v>
      </c>
      <c r="V8" s="93"/>
    </row>
    <row r="9" spans="1:22">
      <c r="A9" s="296"/>
      <c r="B9" s="176">
        <v>42339</v>
      </c>
      <c r="C9" s="133" t="s">
        <v>1</v>
      </c>
      <c r="D9" s="138">
        <v>89.65</v>
      </c>
      <c r="E9" s="138">
        <v>85.82</v>
      </c>
      <c r="F9" s="138">
        <v>95.13</v>
      </c>
      <c r="G9" s="138">
        <v>60.67</v>
      </c>
      <c r="H9" s="138">
        <v>44</v>
      </c>
      <c r="I9" s="138">
        <v>49.5</v>
      </c>
      <c r="J9" s="138">
        <v>56</v>
      </c>
      <c r="K9" s="138">
        <v>59</v>
      </c>
      <c r="L9" s="138">
        <v>60</v>
      </c>
      <c r="M9" s="138">
        <v>60</v>
      </c>
      <c r="V9" s="93"/>
    </row>
    <row r="10" spans="1:22">
      <c r="A10" s="296"/>
      <c r="B10" s="33"/>
      <c r="C10" s="297" t="s">
        <v>16</v>
      </c>
      <c r="D10" s="297"/>
      <c r="E10" s="146">
        <f t="shared" ref="E10:M10" si="1">+E7/D7-1</f>
        <v>-4.2721695482431765E-2</v>
      </c>
      <c r="F10" s="146">
        <f t="shared" si="1"/>
        <v>0.10848287112561183</v>
      </c>
      <c r="G10" s="166">
        <f t="shared" si="1"/>
        <v>-0.36224114369809735</v>
      </c>
      <c r="H10" s="146" t="e">
        <f t="shared" si="1"/>
        <v>#DIV/0!</v>
      </c>
      <c r="I10" s="146" t="e">
        <f t="shared" si="1"/>
        <v>#DIV/0!</v>
      </c>
      <c r="J10" s="146" t="e">
        <f t="shared" si="1"/>
        <v>#DIV/0!</v>
      </c>
      <c r="K10" s="146" t="e">
        <f t="shared" si="1"/>
        <v>#DIV/0!</v>
      </c>
      <c r="L10" s="146" t="e">
        <f t="shared" si="1"/>
        <v>#DIV/0!</v>
      </c>
      <c r="M10" s="146" t="e">
        <f t="shared" si="1"/>
        <v>#DIV/0!</v>
      </c>
    </row>
    <row r="11" spans="1:22">
      <c r="A11" s="182"/>
      <c r="B11" s="172"/>
      <c r="C11" s="173"/>
      <c r="D11" s="173"/>
      <c r="E11" s="174"/>
      <c r="F11" s="174"/>
      <c r="G11" s="183"/>
      <c r="H11" s="183"/>
      <c r="I11" s="183"/>
      <c r="J11" s="183"/>
      <c r="K11" s="183"/>
      <c r="L11" s="183"/>
    </row>
    <row r="12" spans="1:22">
      <c r="A12" s="296" t="s">
        <v>56</v>
      </c>
      <c r="B12" s="11"/>
      <c r="C12" s="133"/>
      <c r="D12" s="132" t="s">
        <v>35</v>
      </c>
      <c r="E12" s="132" t="s">
        <v>36</v>
      </c>
      <c r="F12" s="132" t="s">
        <v>37</v>
      </c>
      <c r="G12" s="132" t="s">
        <v>38</v>
      </c>
      <c r="H12" s="132" t="s">
        <v>39</v>
      </c>
      <c r="I12" s="132" t="s">
        <v>40</v>
      </c>
      <c r="J12" s="132" t="s">
        <v>41</v>
      </c>
      <c r="K12" s="132" t="s">
        <v>42</v>
      </c>
      <c r="L12" s="132" t="s">
        <v>43</v>
      </c>
      <c r="M12" s="132" t="s">
        <v>44</v>
      </c>
    </row>
    <row r="13" spans="1:22" ht="15" customHeight="1">
      <c r="A13" s="296"/>
      <c r="B13" s="295">
        <f>B3</f>
        <v>42584</v>
      </c>
      <c r="C13" s="134" t="s">
        <v>4</v>
      </c>
      <c r="D13" s="134"/>
      <c r="E13" s="135"/>
      <c r="F13" s="135"/>
      <c r="G13" s="135"/>
      <c r="H13" s="135"/>
      <c r="I13" s="135"/>
      <c r="J13" s="135"/>
      <c r="K13" s="135"/>
      <c r="L13" s="135"/>
      <c r="M13" s="135"/>
    </row>
    <row r="14" spans="1:22">
      <c r="A14" s="296"/>
      <c r="B14" s="296"/>
      <c r="C14" s="136" t="s">
        <v>2</v>
      </c>
      <c r="D14" s="136"/>
      <c r="E14" s="137"/>
      <c r="F14" s="138"/>
      <c r="G14" s="138"/>
      <c r="H14" s="138"/>
      <c r="I14" s="138"/>
      <c r="J14" s="138"/>
      <c r="K14" s="138"/>
      <c r="L14" s="138"/>
      <c r="M14" s="138"/>
    </row>
    <row r="15" spans="1:22">
      <c r="A15" s="296"/>
      <c r="B15" s="296"/>
      <c r="C15" s="139" t="s">
        <v>0</v>
      </c>
      <c r="D15" s="139"/>
      <c r="E15" s="140"/>
      <c r="F15" s="140"/>
      <c r="G15" s="140"/>
      <c r="H15" s="140"/>
      <c r="I15" s="140"/>
      <c r="J15" s="140"/>
      <c r="K15" s="140"/>
      <c r="L15" s="140"/>
      <c r="M15" s="140"/>
    </row>
    <row r="16" spans="1:22">
      <c r="A16" s="296"/>
      <c r="B16" s="296"/>
      <c r="C16" s="141" t="s">
        <v>3</v>
      </c>
      <c r="D16" s="141"/>
      <c r="E16" s="142"/>
      <c r="F16" s="142"/>
      <c r="G16" s="142"/>
      <c r="H16" s="142"/>
      <c r="I16" s="142"/>
      <c r="J16" s="142"/>
      <c r="K16" s="142"/>
      <c r="L16" s="142"/>
      <c r="M16" s="142"/>
    </row>
    <row r="17" spans="1:13">
      <c r="A17" s="296"/>
      <c r="B17" s="296"/>
      <c r="C17" s="178" t="s">
        <v>1</v>
      </c>
      <c r="D17" s="181" t="e">
        <f t="shared" ref="D17:M17" si="2">AVERAGE(D13:D16)</f>
        <v>#DIV/0!</v>
      </c>
      <c r="E17" s="181" t="e">
        <f t="shared" si="2"/>
        <v>#DIV/0!</v>
      </c>
      <c r="F17" s="181" t="e">
        <f t="shared" si="2"/>
        <v>#DIV/0!</v>
      </c>
      <c r="G17" s="181" t="e">
        <f t="shared" si="2"/>
        <v>#DIV/0!</v>
      </c>
      <c r="H17" s="181" t="e">
        <f t="shared" si="2"/>
        <v>#DIV/0!</v>
      </c>
      <c r="I17" s="181" t="e">
        <f t="shared" si="2"/>
        <v>#DIV/0!</v>
      </c>
      <c r="J17" s="181" t="e">
        <f t="shared" si="2"/>
        <v>#DIV/0!</v>
      </c>
      <c r="K17" s="181" t="e">
        <f t="shared" si="2"/>
        <v>#DIV/0!</v>
      </c>
      <c r="L17" s="181" t="e">
        <f t="shared" si="2"/>
        <v>#DIV/0!</v>
      </c>
      <c r="M17" s="181" t="e">
        <f t="shared" si="2"/>
        <v>#DIV/0!</v>
      </c>
    </row>
    <row r="18" spans="1:13">
      <c r="A18" s="9"/>
      <c r="B18" s="13"/>
    </row>
    <row r="19" spans="1:13">
      <c r="A19" s="296" t="s">
        <v>56</v>
      </c>
      <c r="B19" s="11"/>
      <c r="C19" s="133"/>
      <c r="D19" s="132" t="s">
        <v>45</v>
      </c>
      <c r="E19" s="132" t="s">
        <v>46</v>
      </c>
      <c r="F19" s="132" t="s">
        <v>47</v>
      </c>
      <c r="G19" s="132" t="s">
        <v>48</v>
      </c>
      <c r="H19" s="132" t="s">
        <v>49</v>
      </c>
      <c r="I19" s="132" t="s">
        <v>50</v>
      </c>
      <c r="J19" s="132" t="s">
        <v>51</v>
      </c>
      <c r="K19" s="132" t="s">
        <v>52</v>
      </c>
      <c r="L19" s="132" t="s">
        <v>53</v>
      </c>
      <c r="M19" s="132" t="s">
        <v>54</v>
      </c>
    </row>
    <row r="20" spans="1:13" ht="15" customHeight="1">
      <c r="A20" s="296"/>
      <c r="B20" s="295">
        <f>B3</f>
        <v>42584</v>
      </c>
      <c r="C20" s="134" t="s">
        <v>4</v>
      </c>
      <c r="D20" s="134"/>
      <c r="E20" s="135"/>
      <c r="F20" s="135"/>
      <c r="G20" s="135"/>
      <c r="H20" s="135"/>
      <c r="I20" s="135"/>
      <c r="J20" s="135"/>
      <c r="K20" s="135"/>
      <c r="L20" s="135"/>
      <c r="M20" s="135"/>
    </row>
    <row r="21" spans="1:13">
      <c r="A21" s="296"/>
      <c r="B21" s="296"/>
      <c r="C21" s="136" t="s">
        <v>2</v>
      </c>
      <c r="D21" s="136"/>
      <c r="E21" s="137"/>
      <c r="F21" s="138"/>
      <c r="G21" s="138"/>
      <c r="H21" s="138"/>
      <c r="I21" s="138"/>
      <c r="J21" s="138"/>
      <c r="K21" s="138"/>
      <c r="L21" s="138"/>
      <c r="M21" s="138"/>
    </row>
    <row r="22" spans="1:13">
      <c r="A22" s="296"/>
      <c r="B22" s="296"/>
      <c r="C22" s="139" t="s">
        <v>0</v>
      </c>
      <c r="D22" s="139"/>
      <c r="E22" s="140"/>
      <c r="F22" s="140"/>
      <c r="G22" s="140"/>
      <c r="H22" s="140"/>
      <c r="I22" s="140"/>
      <c r="J22" s="140"/>
      <c r="K22" s="140"/>
      <c r="L22" s="140"/>
      <c r="M22" s="140"/>
    </row>
    <row r="23" spans="1:13">
      <c r="A23" s="296"/>
      <c r="B23" s="296"/>
      <c r="C23" s="141" t="s">
        <v>3</v>
      </c>
      <c r="D23" s="141"/>
      <c r="E23" s="142"/>
      <c r="F23" s="142"/>
      <c r="G23" s="142"/>
      <c r="H23" s="142"/>
      <c r="I23" s="142"/>
      <c r="J23" s="142"/>
      <c r="K23" s="142"/>
      <c r="L23" s="142"/>
      <c r="M23" s="142"/>
    </row>
    <row r="24" spans="1:13">
      <c r="A24" s="296"/>
      <c r="B24" s="296"/>
      <c r="C24" s="178" t="s">
        <v>1</v>
      </c>
      <c r="D24" s="181" t="e">
        <f t="shared" ref="D24:M24" si="3">AVERAGE(D20:D23)</f>
        <v>#DIV/0!</v>
      </c>
      <c r="E24" s="181" t="e">
        <f t="shared" si="3"/>
        <v>#DIV/0!</v>
      </c>
      <c r="F24" s="181" t="e">
        <f t="shared" si="3"/>
        <v>#DIV/0!</v>
      </c>
      <c r="G24" s="181" t="e">
        <f t="shared" si="3"/>
        <v>#DIV/0!</v>
      </c>
      <c r="H24" s="181" t="e">
        <f t="shared" si="3"/>
        <v>#DIV/0!</v>
      </c>
      <c r="I24" s="181" t="e">
        <f t="shared" si="3"/>
        <v>#DIV/0!</v>
      </c>
      <c r="J24" s="181" t="e">
        <f t="shared" si="3"/>
        <v>#DIV/0!</v>
      </c>
      <c r="K24" s="181" t="e">
        <f t="shared" si="3"/>
        <v>#DIV/0!</v>
      </c>
      <c r="L24" s="181" t="e">
        <f t="shared" si="3"/>
        <v>#DIV/0!</v>
      </c>
      <c r="M24" s="181" t="e">
        <f t="shared" si="3"/>
        <v>#DIV/0!</v>
      </c>
    </row>
    <row r="25" spans="1:13">
      <c r="A25" s="65"/>
      <c r="B25" s="65"/>
      <c r="C25" s="65"/>
      <c r="D25" s="65"/>
      <c r="E25" s="65"/>
      <c r="F25" s="65"/>
      <c r="G25" s="126"/>
      <c r="H25" s="128"/>
      <c r="I25" s="128"/>
      <c r="J25" s="128"/>
      <c r="K25" s="128"/>
      <c r="L25" s="128"/>
      <c r="M25" s="128"/>
    </row>
    <row r="26" spans="1:13" ht="30">
      <c r="A26" s="296" t="s">
        <v>62</v>
      </c>
      <c r="B26" s="11"/>
      <c r="C26" s="133"/>
      <c r="D26" s="132" t="s">
        <v>58</v>
      </c>
      <c r="E26" s="132" t="s">
        <v>59</v>
      </c>
      <c r="F26" s="132" t="s">
        <v>60</v>
      </c>
      <c r="G26" s="132" t="s">
        <v>61</v>
      </c>
      <c r="H26" s="132" t="s">
        <v>8</v>
      </c>
      <c r="I26" s="132" t="s">
        <v>9</v>
      </c>
      <c r="J26" s="132" t="s">
        <v>21</v>
      </c>
      <c r="K26" s="132" t="s">
        <v>24</v>
      </c>
      <c r="L26" s="132" t="s">
        <v>27</v>
      </c>
      <c r="M26" s="132" t="s">
        <v>57</v>
      </c>
    </row>
    <row r="27" spans="1:13" ht="15" customHeight="1">
      <c r="A27" s="296"/>
      <c r="B27" s="295">
        <f>B3</f>
        <v>42584</v>
      </c>
      <c r="C27" s="134" t="s">
        <v>4</v>
      </c>
      <c r="D27" s="177"/>
      <c r="E27" s="177"/>
      <c r="F27" s="177"/>
      <c r="G27" s="177"/>
      <c r="H27" s="177"/>
      <c r="I27" s="177"/>
      <c r="J27" s="177"/>
      <c r="K27" s="177"/>
      <c r="L27" s="177"/>
      <c r="M27" s="177"/>
    </row>
    <row r="28" spans="1:13" ht="15" customHeight="1">
      <c r="A28" s="296"/>
      <c r="B28" s="295"/>
      <c r="C28" s="136" t="s">
        <v>2</v>
      </c>
      <c r="D28" s="148"/>
      <c r="E28" s="148"/>
      <c r="F28" s="148"/>
      <c r="G28" s="148"/>
      <c r="H28" s="148"/>
      <c r="I28" s="148"/>
      <c r="J28" s="148"/>
      <c r="K28" s="148"/>
      <c r="L28" s="148"/>
      <c r="M28" s="148"/>
    </row>
    <row r="29" spans="1:13">
      <c r="A29" s="296"/>
      <c r="B29" s="295"/>
      <c r="C29" s="139" t="s">
        <v>0</v>
      </c>
      <c r="D29" s="149"/>
      <c r="E29" s="149"/>
      <c r="F29" s="149"/>
      <c r="G29" s="149"/>
      <c r="H29" s="149"/>
      <c r="I29" s="149"/>
      <c r="J29" s="149"/>
      <c r="K29" s="149"/>
      <c r="L29" s="149"/>
      <c r="M29" s="149"/>
    </row>
    <row r="30" spans="1:13">
      <c r="A30" s="296"/>
      <c r="B30" s="295"/>
      <c r="C30" s="141" t="s">
        <v>3</v>
      </c>
      <c r="D30" s="151"/>
      <c r="E30" s="151"/>
      <c r="F30" s="151"/>
      <c r="G30" s="151"/>
      <c r="H30" s="151"/>
      <c r="I30" s="151"/>
      <c r="J30" s="151"/>
      <c r="K30" s="151"/>
      <c r="L30" s="151"/>
      <c r="M30" s="151"/>
    </row>
    <row r="31" spans="1:13">
      <c r="A31" s="296"/>
      <c r="B31" s="295"/>
      <c r="C31" s="178" t="s">
        <v>1</v>
      </c>
      <c r="D31" s="179">
        <v>80.3</v>
      </c>
      <c r="E31" s="179">
        <v>96.4</v>
      </c>
      <c r="F31" s="180">
        <v>113.9</v>
      </c>
      <c r="G31" s="180">
        <v>141.4</v>
      </c>
      <c r="H31" s="180" t="e">
        <f t="shared" ref="H31:M31" si="4">AVERAGE(H28:H30)</f>
        <v>#DIV/0!</v>
      </c>
      <c r="I31" s="180" t="e">
        <f t="shared" si="4"/>
        <v>#DIV/0!</v>
      </c>
      <c r="J31" s="180" t="e">
        <f t="shared" si="4"/>
        <v>#DIV/0!</v>
      </c>
      <c r="K31" s="180" t="e">
        <f t="shared" si="4"/>
        <v>#DIV/0!</v>
      </c>
      <c r="L31" s="180" t="e">
        <f t="shared" si="4"/>
        <v>#DIV/0!</v>
      </c>
      <c r="M31" s="180" t="e">
        <f t="shared" si="4"/>
        <v>#DIV/0!</v>
      </c>
    </row>
    <row r="32" spans="1:13">
      <c r="A32" s="296"/>
      <c r="B32" s="176">
        <v>42389</v>
      </c>
      <c r="C32" s="133" t="s">
        <v>1</v>
      </c>
      <c r="D32" s="154">
        <v>80.3</v>
      </c>
      <c r="E32" s="154">
        <v>96.4</v>
      </c>
      <c r="F32" s="154">
        <v>113.9</v>
      </c>
      <c r="G32" s="154">
        <v>141.4</v>
      </c>
      <c r="H32" s="154">
        <v>150</v>
      </c>
      <c r="I32" s="154">
        <v>155</v>
      </c>
      <c r="J32" s="154">
        <v>158</v>
      </c>
      <c r="K32" s="154">
        <v>160</v>
      </c>
      <c r="L32" s="154">
        <v>161</v>
      </c>
      <c r="M32" s="154">
        <v>161</v>
      </c>
    </row>
    <row r="33" spans="1:13">
      <c r="A33" s="296"/>
      <c r="B33" s="176">
        <f>B9</f>
        <v>42339</v>
      </c>
      <c r="C33" s="133" t="s">
        <v>1</v>
      </c>
      <c r="D33" s="154">
        <v>80.3</v>
      </c>
      <c r="E33" s="154">
        <v>96.4</v>
      </c>
      <c r="F33" s="154">
        <v>113.9</v>
      </c>
      <c r="G33" s="154">
        <v>141.4</v>
      </c>
      <c r="H33" s="154">
        <v>150</v>
      </c>
      <c r="I33" s="154">
        <v>155</v>
      </c>
      <c r="J33" s="154">
        <v>158</v>
      </c>
      <c r="K33" s="154">
        <v>160</v>
      </c>
      <c r="L33" s="154">
        <v>161</v>
      </c>
      <c r="M33" s="154">
        <v>161</v>
      </c>
    </row>
    <row r="34" spans="1:13">
      <c r="A34" s="296"/>
      <c r="B34" s="175">
        <f>B27</f>
        <v>42584</v>
      </c>
      <c r="C34" s="297" t="s">
        <v>16</v>
      </c>
      <c r="D34" s="297"/>
      <c r="E34" s="167">
        <f t="shared" ref="E34:M34" si="5">(E31-D31)/D31</f>
        <v>0.20049813200498143</v>
      </c>
      <c r="F34" s="167">
        <f t="shared" si="5"/>
        <v>0.18153526970954356</v>
      </c>
      <c r="G34" s="167">
        <f t="shared" si="5"/>
        <v>0.24143985952589991</v>
      </c>
      <c r="H34" s="167" t="e">
        <f t="shared" si="5"/>
        <v>#DIV/0!</v>
      </c>
      <c r="I34" s="167" t="e">
        <f t="shared" si="5"/>
        <v>#DIV/0!</v>
      </c>
      <c r="J34" s="167" t="e">
        <f t="shared" si="5"/>
        <v>#DIV/0!</v>
      </c>
      <c r="K34" s="167" t="e">
        <f t="shared" si="5"/>
        <v>#DIV/0!</v>
      </c>
      <c r="L34" s="167" t="e">
        <f t="shared" si="5"/>
        <v>#DIV/0!</v>
      </c>
      <c r="M34" s="167" t="e">
        <f t="shared" si="5"/>
        <v>#DIV/0!</v>
      </c>
    </row>
  </sheetData>
  <mergeCells count="11">
    <mergeCell ref="L1:M1"/>
    <mergeCell ref="B27:B31"/>
    <mergeCell ref="B20:B24"/>
    <mergeCell ref="A26:A34"/>
    <mergeCell ref="B13:B17"/>
    <mergeCell ref="C34:D34"/>
    <mergeCell ref="A12:A17"/>
    <mergeCell ref="A19:A24"/>
    <mergeCell ref="B3:B7"/>
    <mergeCell ref="C10:D10"/>
    <mergeCell ref="A2:A10"/>
  </mergeCells>
  <pageMargins left="0.5" right="0.17" top="0.63" bottom="0.75" header="0.3" footer="0.3"/>
  <pageSetup scale="97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pageSetUpPr fitToPage="1"/>
  </sheetPr>
  <dimension ref="A1:V34"/>
  <sheetViews>
    <sheetView zoomScale="137" zoomScaleNormal="137" workbookViewId="0">
      <pane ySplit="2" topLeftCell="A3" activePane="bottomLeft" state="frozen"/>
      <selection activeCell="I6" sqref="I6"/>
      <selection pane="bottomLeft" activeCell="I6" sqref="I6"/>
    </sheetView>
  </sheetViews>
  <sheetFormatPr defaultColWidth="9.28515625" defaultRowHeight="15"/>
  <cols>
    <col min="1" max="1" width="9.42578125" customWidth="1"/>
    <col min="2" max="2" width="10.28515625" bestFit="1" customWidth="1"/>
    <col min="3" max="3" width="8" customWidth="1"/>
    <col min="4" max="13" width="8.5703125" customWidth="1"/>
    <col min="14" max="23" width="7.5703125" customWidth="1"/>
  </cols>
  <sheetData>
    <row r="1" spans="1:22">
      <c r="A1" s="184" t="s">
        <v>66</v>
      </c>
      <c r="L1" s="294">
        <v>42584</v>
      </c>
      <c r="M1" s="294"/>
    </row>
    <row r="2" spans="1:22" ht="30">
      <c r="A2" s="296" t="s">
        <v>63</v>
      </c>
      <c r="B2" s="11"/>
      <c r="C2" s="133"/>
      <c r="D2" s="132" t="s">
        <v>58</v>
      </c>
      <c r="E2" s="132" t="s">
        <v>59</v>
      </c>
      <c r="F2" s="132" t="s">
        <v>60</v>
      </c>
      <c r="G2" s="132" t="s">
        <v>61</v>
      </c>
      <c r="H2" s="132" t="s">
        <v>8</v>
      </c>
      <c r="I2" s="132" t="s">
        <v>9</v>
      </c>
      <c r="J2" s="132" t="s">
        <v>21</v>
      </c>
      <c r="K2" s="132" t="s">
        <v>24</v>
      </c>
      <c r="L2" s="132" t="s">
        <v>27</v>
      </c>
      <c r="M2" s="132" t="s">
        <v>57</v>
      </c>
    </row>
    <row r="3" spans="1:22" ht="15" customHeight="1">
      <c r="A3" s="296"/>
      <c r="B3" s="295">
        <v>42584</v>
      </c>
      <c r="C3" s="134" t="s">
        <v>4</v>
      </c>
      <c r="D3" s="135"/>
      <c r="E3" s="135"/>
      <c r="F3" s="135"/>
      <c r="G3" s="135"/>
      <c r="H3" s="135"/>
      <c r="I3" s="135" t="e">
        <f>AVERAGE(D13:G13)</f>
        <v>#DIV/0!</v>
      </c>
      <c r="J3" s="135" t="e">
        <f>AVERAGE(H13:K13)</f>
        <v>#DIV/0!</v>
      </c>
      <c r="K3" s="135" t="e">
        <f>AVERAGE(L13:M13,D20:E20)</f>
        <v>#DIV/0!</v>
      </c>
      <c r="L3" s="135" t="e">
        <f>AVERAGE(F20:I20)</f>
        <v>#DIV/0!</v>
      </c>
      <c r="M3" s="135" t="e">
        <f>AVERAGE(J20:M20)</f>
        <v>#DIV/0!</v>
      </c>
    </row>
    <row r="4" spans="1:22">
      <c r="A4" s="296"/>
      <c r="B4" s="296"/>
      <c r="C4" s="136" t="s">
        <v>2</v>
      </c>
      <c r="D4" s="137"/>
      <c r="E4" s="138"/>
      <c r="F4" s="138"/>
      <c r="G4" s="138"/>
      <c r="H4" s="138"/>
      <c r="I4" s="138" t="e">
        <f>AVERAGE(D14:G14)</f>
        <v>#DIV/0!</v>
      </c>
      <c r="J4" s="138" t="e">
        <f>AVERAGE(H14:K14)</f>
        <v>#DIV/0!</v>
      </c>
      <c r="K4" s="138" t="e">
        <f>AVERAGE(L14:M14,D21:E21)</f>
        <v>#DIV/0!</v>
      </c>
      <c r="L4" s="138" t="e">
        <f>AVERAGE(F21:I21)</f>
        <v>#DIV/0!</v>
      </c>
      <c r="M4" s="138" t="e">
        <f>AVERAGE(J21:M21)</f>
        <v>#DIV/0!</v>
      </c>
    </row>
    <row r="5" spans="1:22">
      <c r="A5" s="296"/>
      <c r="B5" s="296"/>
      <c r="C5" s="139" t="s">
        <v>0</v>
      </c>
      <c r="D5" s="140"/>
      <c r="E5" s="140"/>
      <c r="F5" s="140"/>
      <c r="G5" s="140"/>
      <c r="H5" s="140"/>
      <c r="I5" s="140" t="e">
        <f>AVERAGE(D15:G15)</f>
        <v>#DIV/0!</v>
      </c>
      <c r="J5" s="140" t="e">
        <f>AVERAGE(H15:K15)</f>
        <v>#DIV/0!</v>
      </c>
      <c r="K5" s="140" t="e">
        <f>AVERAGE(L15:M15,D22:E22)</f>
        <v>#DIV/0!</v>
      </c>
      <c r="L5" s="140" t="e">
        <f>AVERAGE(F22:I22)</f>
        <v>#DIV/0!</v>
      </c>
      <c r="M5" s="140" t="e">
        <f>AVERAGE(J22:M22)</f>
        <v>#DIV/0!</v>
      </c>
    </row>
    <row r="6" spans="1:22">
      <c r="A6" s="296"/>
      <c r="B6" s="296"/>
      <c r="C6" s="141" t="s">
        <v>3</v>
      </c>
      <c r="D6" s="142"/>
      <c r="E6" s="142"/>
      <c r="F6" s="142"/>
      <c r="G6" s="142"/>
      <c r="H6" s="142"/>
      <c r="I6" s="142" t="e">
        <f>AVERAGE(D16:G16)</f>
        <v>#DIV/0!</v>
      </c>
      <c r="J6" s="142" t="e">
        <f>AVERAGE(H16:K16)</f>
        <v>#DIV/0!</v>
      </c>
      <c r="K6" s="142" t="e">
        <f>AVERAGE(L16:M16,D23:E23)</f>
        <v>#DIV/0!</v>
      </c>
      <c r="L6" s="142" t="e">
        <f>AVERAGE(F23:I23)</f>
        <v>#DIV/0!</v>
      </c>
      <c r="M6" s="142" t="e">
        <f>AVERAGE(J23:M23)</f>
        <v>#DIV/0!</v>
      </c>
    </row>
    <row r="7" spans="1:22">
      <c r="A7" s="296"/>
      <c r="B7" s="296"/>
      <c r="C7" s="178" t="s">
        <v>1</v>
      </c>
      <c r="D7" s="181">
        <v>89.65</v>
      </c>
      <c r="E7" s="181">
        <v>85.82</v>
      </c>
      <c r="F7" s="181">
        <v>95.13</v>
      </c>
      <c r="G7" s="181">
        <v>60.67</v>
      </c>
      <c r="H7" s="181" t="e">
        <f t="shared" ref="H7:M7" si="0">AVERAGE(H3:H6)</f>
        <v>#DIV/0!</v>
      </c>
      <c r="I7" s="181" t="e">
        <f t="shared" si="0"/>
        <v>#DIV/0!</v>
      </c>
      <c r="J7" s="181" t="e">
        <f t="shared" si="0"/>
        <v>#DIV/0!</v>
      </c>
      <c r="K7" s="181" t="e">
        <f t="shared" si="0"/>
        <v>#DIV/0!</v>
      </c>
      <c r="L7" s="181" t="e">
        <f t="shared" si="0"/>
        <v>#DIV/0!</v>
      </c>
      <c r="M7" s="181" t="e">
        <f t="shared" si="0"/>
        <v>#DIV/0!</v>
      </c>
      <c r="V7" s="93"/>
    </row>
    <row r="8" spans="1:22">
      <c r="A8" s="296"/>
      <c r="B8" s="176">
        <v>42389</v>
      </c>
      <c r="C8" s="133" t="s">
        <v>1</v>
      </c>
      <c r="D8" s="138">
        <v>89.65</v>
      </c>
      <c r="E8" s="138">
        <v>85.82</v>
      </c>
      <c r="F8" s="138">
        <v>95.13</v>
      </c>
      <c r="G8" s="138">
        <v>60.67</v>
      </c>
      <c r="H8" s="138">
        <v>37</v>
      </c>
      <c r="I8" s="138">
        <v>38</v>
      </c>
      <c r="J8" s="138">
        <v>45</v>
      </c>
      <c r="K8" s="138">
        <v>50</v>
      </c>
      <c r="L8" s="138">
        <v>53</v>
      </c>
      <c r="M8" s="138">
        <v>53</v>
      </c>
      <c r="V8" s="93"/>
    </row>
    <row r="9" spans="1:22">
      <c r="A9" s="296"/>
      <c r="B9" s="176">
        <v>42339</v>
      </c>
      <c r="C9" s="133" t="s">
        <v>1</v>
      </c>
      <c r="D9" s="138">
        <v>89.65</v>
      </c>
      <c r="E9" s="138">
        <v>85.82</v>
      </c>
      <c r="F9" s="138">
        <v>95.13</v>
      </c>
      <c r="G9" s="138">
        <v>60.67</v>
      </c>
      <c r="H9" s="138">
        <v>44</v>
      </c>
      <c r="I9" s="138">
        <v>49.5</v>
      </c>
      <c r="J9" s="138">
        <v>56</v>
      </c>
      <c r="K9" s="138">
        <v>59</v>
      </c>
      <c r="L9" s="138">
        <v>60</v>
      </c>
      <c r="M9" s="138">
        <v>60</v>
      </c>
      <c r="V9" s="93"/>
    </row>
    <row r="10" spans="1:22">
      <c r="A10" s="296"/>
      <c r="B10" s="33"/>
      <c r="C10" s="297" t="s">
        <v>16</v>
      </c>
      <c r="D10" s="297"/>
      <c r="E10" s="146">
        <f t="shared" ref="E10:M10" si="1">+E7/D7-1</f>
        <v>-4.2721695482431765E-2</v>
      </c>
      <c r="F10" s="146">
        <f t="shared" si="1"/>
        <v>0.10848287112561183</v>
      </c>
      <c r="G10" s="166">
        <f t="shared" si="1"/>
        <v>-0.36224114369809735</v>
      </c>
      <c r="H10" s="146" t="e">
        <f t="shared" si="1"/>
        <v>#DIV/0!</v>
      </c>
      <c r="I10" s="146" t="e">
        <f t="shared" si="1"/>
        <v>#DIV/0!</v>
      </c>
      <c r="J10" s="146" t="e">
        <f t="shared" si="1"/>
        <v>#DIV/0!</v>
      </c>
      <c r="K10" s="146" t="e">
        <f t="shared" si="1"/>
        <v>#DIV/0!</v>
      </c>
      <c r="L10" s="146" t="e">
        <f t="shared" si="1"/>
        <v>#DIV/0!</v>
      </c>
      <c r="M10" s="146" t="e">
        <f t="shared" si="1"/>
        <v>#DIV/0!</v>
      </c>
    </row>
    <row r="11" spans="1:22">
      <c r="A11" s="182"/>
      <c r="B11" s="172"/>
      <c r="C11" s="173"/>
      <c r="D11" s="173"/>
      <c r="E11" s="174"/>
      <c r="F11" s="174"/>
      <c r="G11" s="183"/>
      <c r="H11" s="183"/>
      <c r="I11" s="183"/>
      <c r="J11" s="183"/>
      <c r="K11" s="183"/>
      <c r="L11" s="183"/>
    </row>
    <row r="12" spans="1:22">
      <c r="A12" s="296" t="s">
        <v>64</v>
      </c>
      <c r="B12" s="11"/>
      <c r="C12" s="133"/>
      <c r="D12" s="132" t="s">
        <v>35</v>
      </c>
      <c r="E12" s="132" t="s">
        <v>36</v>
      </c>
      <c r="F12" s="132" t="s">
        <v>37</v>
      </c>
      <c r="G12" s="132" t="s">
        <v>38</v>
      </c>
      <c r="H12" s="132" t="s">
        <v>39</v>
      </c>
      <c r="I12" s="132" t="s">
        <v>40</v>
      </c>
      <c r="J12" s="132" t="s">
        <v>41</v>
      </c>
      <c r="K12" s="132" t="s">
        <v>42</v>
      </c>
      <c r="L12" s="132" t="s">
        <v>43</v>
      </c>
      <c r="M12" s="132" t="s">
        <v>44</v>
      </c>
    </row>
    <row r="13" spans="1:22" ht="15" customHeight="1">
      <c r="A13" s="296"/>
      <c r="B13" s="295">
        <f>B3</f>
        <v>42584</v>
      </c>
      <c r="C13" s="134" t="s">
        <v>4</v>
      </c>
      <c r="D13" s="134"/>
      <c r="E13" s="135"/>
      <c r="F13" s="135"/>
      <c r="G13" s="135"/>
      <c r="H13" s="135"/>
      <c r="I13" s="135"/>
      <c r="J13" s="135"/>
      <c r="K13" s="135"/>
      <c r="L13" s="135"/>
      <c r="M13" s="135"/>
    </row>
    <row r="14" spans="1:22">
      <c r="A14" s="296"/>
      <c r="B14" s="296"/>
      <c r="C14" s="136" t="s">
        <v>2</v>
      </c>
      <c r="D14" s="136"/>
      <c r="E14" s="137"/>
      <c r="F14" s="138"/>
      <c r="G14" s="138"/>
      <c r="H14" s="138"/>
      <c r="I14" s="138"/>
      <c r="J14" s="138"/>
      <c r="K14" s="138"/>
      <c r="L14" s="138"/>
      <c r="M14" s="138"/>
    </row>
    <row r="15" spans="1:22">
      <c r="A15" s="296"/>
      <c r="B15" s="296"/>
      <c r="C15" s="139" t="s">
        <v>0</v>
      </c>
      <c r="D15" s="139"/>
      <c r="E15" s="140"/>
      <c r="F15" s="140"/>
      <c r="G15" s="140"/>
      <c r="H15" s="140"/>
      <c r="I15" s="140"/>
      <c r="J15" s="140"/>
      <c r="K15" s="140"/>
      <c r="L15" s="140"/>
      <c r="M15" s="140"/>
    </row>
    <row r="16" spans="1:22">
      <c r="A16" s="296"/>
      <c r="B16" s="296"/>
      <c r="C16" s="141" t="s">
        <v>3</v>
      </c>
      <c r="D16" s="141"/>
      <c r="E16" s="142"/>
      <c r="F16" s="142"/>
      <c r="G16" s="142"/>
      <c r="H16" s="142"/>
      <c r="I16" s="142"/>
      <c r="J16" s="142"/>
      <c r="K16" s="142"/>
      <c r="L16" s="142"/>
      <c r="M16" s="142"/>
    </row>
    <row r="17" spans="1:13">
      <c r="A17" s="296"/>
      <c r="B17" s="296"/>
      <c r="C17" s="178" t="s">
        <v>1</v>
      </c>
      <c r="D17" s="181" t="e">
        <f t="shared" ref="D17:M17" si="2">AVERAGE(D13:D16)</f>
        <v>#DIV/0!</v>
      </c>
      <c r="E17" s="181" t="e">
        <f t="shared" si="2"/>
        <v>#DIV/0!</v>
      </c>
      <c r="F17" s="181" t="e">
        <f t="shared" si="2"/>
        <v>#DIV/0!</v>
      </c>
      <c r="G17" s="181" t="e">
        <f t="shared" si="2"/>
        <v>#DIV/0!</v>
      </c>
      <c r="H17" s="181" t="e">
        <f t="shared" si="2"/>
        <v>#DIV/0!</v>
      </c>
      <c r="I17" s="181" t="e">
        <f t="shared" si="2"/>
        <v>#DIV/0!</v>
      </c>
      <c r="J17" s="181" t="e">
        <f t="shared" si="2"/>
        <v>#DIV/0!</v>
      </c>
      <c r="K17" s="181" t="e">
        <f t="shared" si="2"/>
        <v>#DIV/0!</v>
      </c>
      <c r="L17" s="181" t="e">
        <f t="shared" si="2"/>
        <v>#DIV/0!</v>
      </c>
      <c r="M17" s="181" t="e">
        <f t="shared" si="2"/>
        <v>#DIV/0!</v>
      </c>
    </row>
    <row r="18" spans="1:13">
      <c r="A18" s="9"/>
      <c r="B18" s="13"/>
    </row>
    <row r="19" spans="1:13">
      <c r="A19" s="296" t="s">
        <v>64</v>
      </c>
      <c r="B19" s="11"/>
      <c r="C19" s="133"/>
      <c r="D19" s="132" t="s">
        <v>45</v>
      </c>
      <c r="E19" s="132" t="s">
        <v>46</v>
      </c>
      <c r="F19" s="132" t="s">
        <v>47</v>
      </c>
      <c r="G19" s="132" t="s">
        <v>48</v>
      </c>
      <c r="H19" s="132" t="s">
        <v>49</v>
      </c>
      <c r="I19" s="132" t="s">
        <v>50</v>
      </c>
      <c r="J19" s="132" t="s">
        <v>51</v>
      </c>
      <c r="K19" s="132" t="s">
        <v>52</v>
      </c>
      <c r="L19" s="132" t="s">
        <v>53</v>
      </c>
      <c r="M19" s="132" t="s">
        <v>54</v>
      </c>
    </row>
    <row r="20" spans="1:13" ht="15" customHeight="1">
      <c r="A20" s="296"/>
      <c r="B20" s="295">
        <f>B3</f>
        <v>42584</v>
      </c>
      <c r="C20" s="134" t="s">
        <v>4</v>
      </c>
      <c r="D20" s="134"/>
      <c r="E20" s="135"/>
      <c r="F20" s="135"/>
      <c r="G20" s="135"/>
      <c r="H20" s="135"/>
      <c r="I20" s="135"/>
      <c r="J20" s="135"/>
      <c r="K20" s="135"/>
      <c r="L20" s="135"/>
      <c r="M20" s="135"/>
    </row>
    <row r="21" spans="1:13">
      <c r="A21" s="296"/>
      <c r="B21" s="296"/>
      <c r="C21" s="136" t="s">
        <v>2</v>
      </c>
      <c r="D21" s="136"/>
      <c r="E21" s="137"/>
      <c r="F21" s="138"/>
      <c r="G21" s="138"/>
      <c r="H21" s="138"/>
      <c r="I21" s="138"/>
      <c r="J21" s="138"/>
      <c r="K21" s="138"/>
      <c r="L21" s="138"/>
      <c r="M21" s="138"/>
    </row>
    <row r="22" spans="1:13">
      <c r="A22" s="296"/>
      <c r="B22" s="296"/>
      <c r="C22" s="139" t="s">
        <v>0</v>
      </c>
      <c r="D22" s="139"/>
      <c r="E22" s="140"/>
      <c r="F22" s="140"/>
      <c r="G22" s="140"/>
      <c r="H22" s="140"/>
      <c r="I22" s="140"/>
      <c r="J22" s="140"/>
      <c r="K22" s="140"/>
      <c r="L22" s="140"/>
      <c r="M22" s="140"/>
    </row>
    <row r="23" spans="1:13">
      <c r="A23" s="296"/>
      <c r="B23" s="296"/>
      <c r="C23" s="141" t="s">
        <v>3</v>
      </c>
      <c r="D23" s="141"/>
      <c r="E23" s="142"/>
      <c r="F23" s="142"/>
      <c r="G23" s="142"/>
      <c r="H23" s="142"/>
      <c r="I23" s="142"/>
      <c r="J23" s="142"/>
      <c r="K23" s="142"/>
      <c r="L23" s="142"/>
      <c r="M23" s="142"/>
    </row>
    <row r="24" spans="1:13">
      <c r="A24" s="296"/>
      <c r="B24" s="296"/>
      <c r="C24" s="178" t="s">
        <v>1</v>
      </c>
      <c r="D24" s="181" t="e">
        <f t="shared" ref="D24:M24" si="3">AVERAGE(D20:D23)</f>
        <v>#DIV/0!</v>
      </c>
      <c r="E24" s="181" t="e">
        <f t="shared" si="3"/>
        <v>#DIV/0!</v>
      </c>
      <c r="F24" s="181" t="e">
        <f t="shared" si="3"/>
        <v>#DIV/0!</v>
      </c>
      <c r="G24" s="181" t="e">
        <f t="shared" si="3"/>
        <v>#DIV/0!</v>
      </c>
      <c r="H24" s="181" t="e">
        <f t="shared" si="3"/>
        <v>#DIV/0!</v>
      </c>
      <c r="I24" s="181" t="e">
        <f t="shared" si="3"/>
        <v>#DIV/0!</v>
      </c>
      <c r="J24" s="181" t="e">
        <f t="shared" si="3"/>
        <v>#DIV/0!</v>
      </c>
      <c r="K24" s="181" t="e">
        <f t="shared" si="3"/>
        <v>#DIV/0!</v>
      </c>
      <c r="L24" s="181" t="e">
        <f t="shared" si="3"/>
        <v>#DIV/0!</v>
      </c>
      <c r="M24" s="181" t="e">
        <f t="shared" si="3"/>
        <v>#DIV/0!</v>
      </c>
    </row>
    <row r="25" spans="1:13">
      <c r="A25" s="65"/>
      <c r="B25" s="65"/>
      <c r="C25" s="65"/>
      <c r="D25" s="65"/>
      <c r="E25" s="65"/>
      <c r="F25" s="65"/>
      <c r="G25" s="126"/>
      <c r="H25" s="128"/>
      <c r="I25" s="128"/>
      <c r="J25" s="128"/>
      <c r="K25" s="128"/>
      <c r="L25" s="128"/>
      <c r="M25" s="128"/>
    </row>
    <row r="26" spans="1:13" ht="30">
      <c r="A26" s="296" t="s">
        <v>65</v>
      </c>
      <c r="B26" s="11"/>
      <c r="C26" s="133"/>
      <c r="D26" s="132" t="s">
        <v>58</v>
      </c>
      <c r="E26" s="132" t="s">
        <v>59</v>
      </c>
      <c r="F26" s="132" t="s">
        <v>60</v>
      </c>
      <c r="G26" s="132" t="s">
        <v>61</v>
      </c>
      <c r="H26" s="132" t="s">
        <v>8</v>
      </c>
      <c r="I26" s="132" t="s">
        <v>9</v>
      </c>
      <c r="J26" s="132" t="s">
        <v>21</v>
      </c>
      <c r="K26" s="132" t="s">
        <v>24</v>
      </c>
      <c r="L26" s="132" t="s">
        <v>27</v>
      </c>
      <c r="M26" s="132" t="s">
        <v>57</v>
      </c>
    </row>
    <row r="27" spans="1:13" ht="15" customHeight="1">
      <c r="A27" s="296"/>
      <c r="B27" s="295">
        <f>B3</f>
        <v>42584</v>
      </c>
      <c r="C27" s="134" t="s">
        <v>4</v>
      </c>
      <c r="D27" s="177"/>
      <c r="E27" s="177"/>
      <c r="F27" s="177"/>
      <c r="G27" s="177"/>
      <c r="H27" s="177"/>
      <c r="I27" s="177"/>
      <c r="J27" s="177"/>
      <c r="K27" s="177"/>
      <c r="L27" s="177"/>
      <c r="M27" s="177"/>
    </row>
    <row r="28" spans="1:13" ht="15" customHeight="1">
      <c r="A28" s="296"/>
      <c r="B28" s="295"/>
      <c r="C28" s="136" t="s">
        <v>2</v>
      </c>
      <c r="D28" s="148"/>
      <c r="E28" s="148"/>
      <c r="F28" s="148"/>
      <c r="G28" s="148"/>
      <c r="H28" s="148"/>
      <c r="I28" s="148"/>
      <c r="J28" s="148"/>
      <c r="K28" s="148"/>
      <c r="L28" s="148"/>
      <c r="M28" s="148"/>
    </row>
    <row r="29" spans="1:13">
      <c r="A29" s="296"/>
      <c r="B29" s="295"/>
      <c r="C29" s="139" t="s">
        <v>0</v>
      </c>
      <c r="D29" s="149"/>
      <c r="E29" s="149"/>
      <c r="F29" s="149"/>
      <c r="G29" s="149"/>
      <c r="H29" s="149"/>
      <c r="I29" s="149"/>
      <c r="J29" s="149"/>
      <c r="K29" s="149"/>
      <c r="L29" s="149"/>
      <c r="M29" s="149"/>
    </row>
    <row r="30" spans="1:13">
      <c r="A30" s="296"/>
      <c r="B30" s="295"/>
      <c r="C30" s="141" t="s">
        <v>3</v>
      </c>
      <c r="D30" s="151"/>
      <c r="E30" s="151"/>
      <c r="F30" s="151"/>
      <c r="G30" s="151"/>
      <c r="H30" s="151"/>
      <c r="I30" s="151"/>
      <c r="J30" s="151"/>
      <c r="K30" s="151"/>
      <c r="L30" s="151"/>
      <c r="M30" s="151"/>
    </row>
    <row r="31" spans="1:13">
      <c r="A31" s="296"/>
      <c r="B31" s="295"/>
      <c r="C31" s="178" t="s">
        <v>1</v>
      </c>
      <c r="D31" s="179">
        <v>80.3</v>
      </c>
      <c r="E31" s="179">
        <v>96.4</v>
      </c>
      <c r="F31" s="180">
        <v>113.9</v>
      </c>
      <c r="G31" s="180">
        <v>141.4</v>
      </c>
      <c r="H31" s="180" t="e">
        <f t="shared" ref="H31:M31" si="4">AVERAGE(H28:H30)</f>
        <v>#DIV/0!</v>
      </c>
      <c r="I31" s="180" t="e">
        <f t="shared" si="4"/>
        <v>#DIV/0!</v>
      </c>
      <c r="J31" s="180" t="e">
        <f t="shared" si="4"/>
        <v>#DIV/0!</v>
      </c>
      <c r="K31" s="180" t="e">
        <f t="shared" si="4"/>
        <v>#DIV/0!</v>
      </c>
      <c r="L31" s="180" t="e">
        <f t="shared" si="4"/>
        <v>#DIV/0!</v>
      </c>
      <c r="M31" s="180" t="e">
        <f t="shared" si="4"/>
        <v>#DIV/0!</v>
      </c>
    </row>
    <row r="32" spans="1:13">
      <c r="A32" s="296"/>
      <c r="B32" s="176">
        <v>42389</v>
      </c>
      <c r="C32" s="133" t="s">
        <v>1</v>
      </c>
      <c r="D32" s="154">
        <v>80.3</v>
      </c>
      <c r="E32" s="154">
        <v>96.4</v>
      </c>
      <c r="F32" s="154">
        <v>113.9</v>
      </c>
      <c r="G32" s="154">
        <v>141.4</v>
      </c>
      <c r="H32" s="154">
        <v>150</v>
      </c>
      <c r="I32" s="154">
        <v>155</v>
      </c>
      <c r="J32" s="154">
        <v>158</v>
      </c>
      <c r="K32" s="154">
        <v>160</v>
      </c>
      <c r="L32" s="154">
        <v>161</v>
      </c>
      <c r="M32" s="154">
        <v>161</v>
      </c>
    </row>
    <row r="33" spans="1:13">
      <c r="A33" s="296"/>
      <c r="B33" s="176">
        <f>B9</f>
        <v>42339</v>
      </c>
      <c r="C33" s="133" t="s">
        <v>1</v>
      </c>
      <c r="D33" s="154">
        <v>80.3</v>
      </c>
      <c r="E33" s="154">
        <v>96.4</v>
      </c>
      <c r="F33" s="154">
        <v>113.9</v>
      </c>
      <c r="G33" s="154">
        <v>141.4</v>
      </c>
      <c r="H33" s="154">
        <v>150</v>
      </c>
      <c r="I33" s="154">
        <v>155</v>
      </c>
      <c r="J33" s="154">
        <v>158</v>
      </c>
      <c r="K33" s="154">
        <v>160</v>
      </c>
      <c r="L33" s="154">
        <v>161</v>
      </c>
      <c r="M33" s="154">
        <v>161</v>
      </c>
    </row>
    <row r="34" spans="1:13">
      <c r="A34" s="296"/>
      <c r="B34" s="175">
        <f>B27</f>
        <v>42584</v>
      </c>
      <c r="C34" s="297" t="s">
        <v>16</v>
      </c>
      <c r="D34" s="297"/>
      <c r="E34" s="167">
        <f t="shared" ref="E34:M34" si="5">(E31-D31)/D31</f>
        <v>0.20049813200498143</v>
      </c>
      <c r="F34" s="167">
        <f t="shared" si="5"/>
        <v>0.18153526970954356</v>
      </c>
      <c r="G34" s="167">
        <f t="shared" si="5"/>
        <v>0.24143985952589991</v>
      </c>
      <c r="H34" s="167" t="e">
        <f t="shared" si="5"/>
        <v>#DIV/0!</v>
      </c>
      <c r="I34" s="167" t="e">
        <f t="shared" si="5"/>
        <v>#DIV/0!</v>
      </c>
      <c r="J34" s="167" t="e">
        <f t="shared" si="5"/>
        <v>#DIV/0!</v>
      </c>
      <c r="K34" s="167" t="e">
        <f t="shared" si="5"/>
        <v>#DIV/0!</v>
      </c>
      <c r="L34" s="167" t="e">
        <f t="shared" si="5"/>
        <v>#DIV/0!</v>
      </c>
      <c r="M34" s="167" t="e">
        <f t="shared" si="5"/>
        <v>#DIV/0!</v>
      </c>
    </row>
  </sheetData>
  <mergeCells count="11">
    <mergeCell ref="A26:A34"/>
    <mergeCell ref="B27:B31"/>
    <mergeCell ref="C34:D34"/>
    <mergeCell ref="L1:M1"/>
    <mergeCell ref="A2:A10"/>
    <mergeCell ref="B3:B7"/>
    <mergeCell ref="C10:D10"/>
    <mergeCell ref="A12:A17"/>
    <mergeCell ref="B13:B17"/>
    <mergeCell ref="A19:A24"/>
    <mergeCell ref="B20:B24"/>
  </mergeCells>
  <pageMargins left="0.5" right="0.17" top="0.63" bottom="0.75" header="0.3" footer="0.3"/>
  <pageSetup scale="97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pageSetUpPr fitToPage="1"/>
  </sheetPr>
  <dimension ref="A1:W72"/>
  <sheetViews>
    <sheetView zoomScale="120" zoomScaleNormal="120" workbookViewId="0">
      <pane ySplit="1" topLeftCell="A2" activePane="bottomLeft" state="frozen"/>
      <selection activeCell="I6" sqref="I6"/>
      <selection pane="bottomLeft" activeCell="I6" sqref="I6"/>
    </sheetView>
  </sheetViews>
  <sheetFormatPr defaultColWidth="9.28515625" defaultRowHeight="15"/>
  <cols>
    <col min="1" max="1" width="9.42578125" customWidth="1"/>
    <col min="2" max="2" width="7.5703125" bestFit="1" customWidth="1"/>
    <col min="3" max="3" width="8" customWidth="1"/>
    <col min="4" max="8" width="7.5703125" customWidth="1"/>
    <col min="9" max="9" width="9.42578125" bestFit="1" customWidth="1"/>
    <col min="10" max="11" width="8.28515625" bestFit="1" customWidth="1"/>
    <col min="12" max="12" width="9.42578125" bestFit="1" customWidth="1"/>
    <col min="13" max="13" width="8.28515625" bestFit="1" customWidth="1"/>
    <col min="15" max="15" width="20.42578125" customWidth="1"/>
    <col min="16" max="20" width="8.5703125" bestFit="1" customWidth="1"/>
  </cols>
  <sheetData>
    <row r="1" spans="1:23" ht="34.5" customHeight="1">
      <c r="A1" s="8"/>
      <c r="B1" s="11"/>
      <c r="C1" s="133"/>
      <c r="D1" s="132" t="s">
        <v>17</v>
      </c>
      <c r="E1" s="132" t="s">
        <v>25</v>
      </c>
      <c r="F1" s="132" t="s">
        <v>73</v>
      </c>
      <c r="G1" s="132" t="s">
        <v>74</v>
      </c>
      <c r="H1" s="132" t="s">
        <v>75</v>
      </c>
      <c r="I1" s="132" t="s">
        <v>9</v>
      </c>
      <c r="J1" s="132" t="s">
        <v>21</v>
      </c>
      <c r="K1" s="132" t="s">
        <v>24</v>
      </c>
      <c r="L1" s="132" t="s">
        <v>27</v>
      </c>
      <c r="M1" s="132" t="s">
        <v>57</v>
      </c>
    </row>
    <row r="2" spans="1:23">
      <c r="A2" s="284" t="s">
        <v>10</v>
      </c>
      <c r="B2" s="273">
        <v>42705</v>
      </c>
      <c r="C2" s="134" t="s">
        <v>4</v>
      </c>
      <c r="D2" s="135"/>
      <c r="E2" s="135"/>
      <c r="F2" s="135"/>
      <c r="G2" s="135"/>
      <c r="H2" s="135"/>
      <c r="I2" s="135">
        <v>42.4</v>
      </c>
      <c r="J2" s="135">
        <v>46.3</v>
      </c>
      <c r="K2" s="135">
        <v>49</v>
      </c>
      <c r="L2" s="135">
        <v>52.5</v>
      </c>
      <c r="M2" s="135">
        <v>56.1</v>
      </c>
      <c r="O2" t="s">
        <v>28</v>
      </c>
      <c r="P2" t="s">
        <v>29</v>
      </c>
      <c r="Q2" t="s">
        <v>68</v>
      </c>
      <c r="R2" t="s">
        <v>69</v>
      </c>
      <c r="S2" t="s">
        <v>70</v>
      </c>
      <c r="T2" t="s">
        <v>71</v>
      </c>
    </row>
    <row r="3" spans="1:23">
      <c r="A3" s="285"/>
      <c r="B3" s="272"/>
      <c r="C3" s="136" t="s">
        <v>2</v>
      </c>
      <c r="D3" s="137"/>
      <c r="E3" s="138"/>
      <c r="F3" s="138"/>
      <c r="G3" s="138"/>
      <c r="H3" s="138">
        <v>36.82</v>
      </c>
      <c r="I3" s="138">
        <v>42.6</v>
      </c>
      <c r="J3" s="138">
        <v>47.21</v>
      </c>
      <c r="K3" s="138">
        <v>49</v>
      </c>
      <c r="L3" s="138">
        <v>52</v>
      </c>
      <c r="M3" s="138">
        <v>53</v>
      </c>
      <c r="O3" t="s">
        <v>72</v>
      </c>
    </row>
    <row r="4" spans="1:23">
      <c r="A4" s="285"/>
      <c r="B4" s="272"/>
      <c r="C4" s="139" t="s">
        <v>0</v>
      </c>
      <c r="D4" s="140"/>
      <c r="E4" s="140"/>
      <c r="F4" s="140"/>
      <c r="G4" s="140"/>
      <c r="H4" s="140">
        <v>37.82</v>
      </c>
      <c r="I4" s="140">
        <v>43.01</v>
      </c>
      <c r="J4" s="140">
        <v>48.9</v>
      </c>
      <c r="K4" s="140">
        <v>51.09</v>
      </c>
      <c r="L4" s="140">
        <v>53.19</v>
      </c>
      <c r="M4" s="140">
        <v>55.44</v>
      </c>
      <c r="O4" s="185">
        <f t="shared" ref="O4:T4" si="0">(H6*H21)+(H36*H51)</f>
        <v>8035.4883799999989</v>
      </c>
      <c r="P4" s="185">
        <f t="shared" si="0"/>
        <v>9753.450499999999</v>
      </c>
      <c r="Q4" s="185">
        <f t="shared" si="0"/>
        <v>10527.410725000002</v>
      </c>
      <c r="R4" s="185">
        <f t="shared" si="0"/>
        <v>10654.825999999999</v>
      </c>
      <c r="S4" s="185">
        <f t="shared" si="0"/>
        <v>11075.528999999999</v>
      </c>
      <c r="T4" s="185">
        <f t="shared" si="0"/>
        <v>11480.2155</v>
      </c>
    </row>
    <row r="5" spans="1:23">
      <c r="A5" s="285"/>
      <c r="B5" s="272"/>
      <c r="C5" s="141" t="s">
        <v>3</v>
      </c>
      <c r="D5" s="142"/>
      <c r="E5" s="142"/>
      <c r="F5" s="142"/>
      <c r="G5" s="142"/>
      <c r="H5" s="142">
        <v>37.619999999999997</v>
      </c>
      <c r="I5" s="142">
        <v>43.19</v>
      </c>
      <c r="J5" s="142">
        <v>47.54</v>
      </c>
      <c r="K5" s="142">
        <v>51.08</v>
      </c>
      <c r="L5" s="142">
        <v>55.18</v>
      </c>
      <c r="M5" s="142">
        <v>59.41</v>
      </c>
    </row>
    <row r="6" spans="1:23">
      <c r="A6" s="285"/>
      <c r="B6" s="272"/>
      <c r="C6" s="143" t="s">
        <v>1</v>
      </c>
      <c r="D6" s="144">
        <v>89.65</v>
      </c>
      <c r="E6" s="144">
        <v>85.82</v>
      </c>
      <c r="F6" s="144">
        <v>95.13</v>
      </c>
      <c r="G6" s="144">
        <v>60.67</v>
      </c>
      <c r="H6" s="144">
        <v>37.85</v>
      </c>
      <c r="I6" s="144">
        <v>43</v>
      </c>
      <c r="J6" s="144">
        <v>48</v>
      </c>
      <c r="K6" s="144">
        <v>50</v>
      </c>
      <c r="L6" s="144">
        <v>53</v>
      </c>
      <c r="M6" s="144">
        <v>56</v>
      </c>
      <c r="O6" t="s">
        <v>30</v>
      </c>
      <c r="W6" s="93"/>
    </row>
    <row r="7" spans="1:23">
      <c r="A7" s="285"/>
      <c r="B7" s="273">
        <v>42583</v>
      </c>
      <c r="C7" s="133" t="s">
        <v>1</v>
      </c>
      <c r="D7" s="138">
        <v>89.65</v>
      </c>
      <c r="E7" s="138">
        <v>85.82</v>
      </c>
      <c r="F7" s="138">
        <v>95.13</v>
      </c>
      <c r="G7" s="138">
        <v>60.67</v>
      </c>
      <c r="H7" s="138">
        <v>37.75</v>
      </c>
      <c r="I7" s="138">
        <v>45</v>
      </c>
      <c r="J7" s="138">
        <v>48</v>
      </c>
      <c r="K7" s="138">
        <v>50</v>
      </c>
      <c r="L7" s="138">
        <v>53</v>
      </c>
      <c r="M7" s="138">
        <v>56</v>
      </c>
      <c r="O7" s="185">
        <f>(H6-H7)*(H21-H22)+(H36-H37*(H51-H52))</f>
        <v>324.11639999999994</v>
      </c>
      <c r="P7" s="185">
        <f>(I6-I7)*(I21-I22)*(1-0.11)+(I36-I37*(I51-I52)*(1-0.24))</f>
        <v>-57.525599999999955</v>
      </c>
      <c r="Q7" s="185">
        <f>(J6-J7)*(J21-J22)*(1-0.11)+(J36-J37*(J51-J52)*(1-0.24))</f>
        <v>-68.035060000000399</v>
      </c>
      <c r="R7" s="185">
        <f>(K6-K7)*(K21-K22)*(1-0.11)+(K36-K37*(K51-K52)*(1-0.24))</f>
        <v>-87.43839999999976</v>
      </c>
      <c r="S7" s="185">
        <f>(L6-L7)*(L21-L22)*(1-0.11)+(L36-L37*(L51-L52)*(1-0.24))</f>
        <v>-112.99840000000003</v>
      </c>
      <c r="T7" s="185">
        <f>(M6-M7)*(M21-M22)*(1-0.11)+(M36-M37*(M51-M52)*(1-0.24))</f>
        <v>-110.66899999999995</v>
      </c>
      <c r="W7" s="93"/>
    </row>
    <row r="8" spans="1:23" hidden="1">
      <c r="A8" s="285"/>
      <c r="B8" s="272"/>
      <c r="C8" s="133" t="s">
        <v>1</v>
      </c>
      <c r="D8" s="138">
        <v>89.65</v>
      </c>
      <c r="E8" s="138">
        <v>85.82</v>
      </c>
      <c r="F8" s="138">
        <v>95.14</v>
      </c>
      <c r="G8" s="138">
        <v>71</v>
      </c>
      <c r="H8" s="138">
        <v>66</v>
      </c>
      <c r="I8" s="138">
        <v>72</v>
      </c>
      <c r="J8" s="138">
        <v>76</v>
      </c>
      <c r="K8" s="138">
        <v>80</v>
      </c>
      <c r="L8" s="138"/>
      <c r="M8" s="138"/>
    </row>
    <row r="9" spans="1:23" hidden="1">
      <c r="A9" s="285"/>
      <c r="B9" s="272"/>
      <c r="C9" s="133" t="s">
        <v>1</v>
      </c>
      <c r="D9" s="138">
        <v>89.65</v>
      </c>
      <c r="E9" s="138">
        <v>85.82</v>
      </c>
      <c r="F9" s="138">
        <v>95.75</v>
      </c>
      <c r="G9" s="138">
        <v>92</v>
      </c>
      <c r="H9" s="138">
        <v>88</v>
      </c>
      <c r="I9" s="138">
        <v>87</v>
      </c>
      <c r="J9" s="138">
        <v>86</v>
      </c>
      <c r="K9" s="138">
        <v>85</v>
      </c>
      <c r="L9" s="138"/>
      <c r="M9" s="138"/>
    </row>
    <row r="10" spans="1:23" hidden="1">
      <c r="A10" s="285"/>
      <c r="B10" s="272"/>
      <c r="C10" s="133" t="s">
        <v>1</v>
      </c>
      <c r="D10" s="138">
        <v>90</v>
      </c>
      <c r="E10" s="138">
        <v>87</v>
      </c>
      <c r="F10" s="138">
        <v>94</v>
      </c>
      <c r="G10" s="138">
        <v>87.5</v>
      </c>
      <c r="H10" s="138">
        <v>85</v>
      </c>
      <c r="I10" s="138">
        <v>84</v>
      </c>
      <c r="J10" s="138">
        <v>84</v>
      </c>
      <c r="K10" s="138"/>
      <c r="L10" s="138"/>
      <c r="M10" s="138"/>
    </row>
    <row r="11" spans="1:23" hidden="1">
      <c r="A11" s="285"/>
      <c r="B11" s="272"/>
      <c r="C11" s="133" t="s">
        <v>1</v>
      </c>
      <c r="D11" s="145">
        <v>90</v>
      </c>
      <c r="E11" s="145">
        <v>86.5</v>
      </c>
      <c r="F11" s="145">
        <v>88</v>
      </c>
      <c r="G11" s="145">
        <v>87.5</v>
      </c>
      <c r="H11" s="145">
        <v>87</v>
      </c>
      <c r="I11" s="145">
        <v>86.5</v>
      </c>
      <c r="J11" s="145"/>
      <c r="K11" s="145"/>
      <c r="L11" s="145"/>
      <c r="M11" s="145"/>
    </row>
    <row r="12" spans="1:23" hidden="1">
      <c r="A12" s="285"/>
      <c r="B12" s="33">
        <v>41244</v>
      </c>
      <c r="C12" s="133" t="s">
        <v>1</v>
      </c>
      <c r="D12" s="145">
        <v>89.640506965377526</v>
      </c>
      <c r="E12" s="145">
        <v>85</v>
      </c>
      <c r="F12" s="145">
        <v>84.75</v>
      </c>
      <c r="G12" s="145">
        <v>83.5</v>
      </c>
      <c r="H12" s="145">
        <v>82.5</v>
      </c>
      <c r="I12" s="145">
        <v>83</v>
      </c>
      <c r="J12" s="145">
        <v>83</v>
      </c>
      <c r="K12" s="145"/>
      <c r="L12" s="145"/>
      <c r="M12" s="145"/>
    </row>
    <row r="13" spans="1:23" hidden="1">
      <c r="A13" s="285"/>
      <c r="B13" s="33">
        <v>42217</v>
      </c>
      <c r="C13" s="292" t="s">
        <v>16</v>
      </c>
      <c r="D13" s="293"/>
      <c r="E13" s="146">
        <f t="shared" ref="E13:M13" si="1">+E6/D6-1</f>
        <v>-4.2721695482431765E-2</v>
      </c>
      <c r="F13" s="146">
        <f>+F6/E6-1</f>
        <v>0.10848287112561183</v>
      </c>
      <c r="G13" s="166">
        <f>+G6/F6-1</f>
        <v>-0.36224114369809735</v>
      </c>
      <c r="H13" s="146">
        <f t="shared" si="1"/>
        <v>-0.37613317949563208</v>
      </c>
      <c r="I13" s="146">
        <f t="shared" si="1"/>
        <v>0.13606340819022456</v>
      </c>
      <c r="J13" s="146">
        <f t="shared" si="1"/>
        <v>0.11627906976744184</v>
      </c>
      <c r="K13" s="146">
        <f t="shared" si="1"/>
        <v>4.1666666666666741E-2</v>
      </c>
      <c r="L13" s="146">
        <f t="shared" si="1"/>
        <v>6.0000000000000053E-2</v>
      </c>
      <c r="M13" s="146">
        <f t="shared" si="1"/>
        <v>5.6603773584905648E-2</v>
      </c>
    </row>
    <row r="14" spans="1:23" hidden="1">
      <c r="A14" s="285"/>
      <c r="B14" s="33">
        <v>42031</v>
      </c>
      <c r="C14" s="290" t="s">
        <v>16</v>
      </c>
      <c r="D14" s="291"/>
      <c r="E14" s="147">
        <f t="shared" ref="E14:K15" si="2">(E7-D7)/D7</f>
        <v>-4.2721695482431814E-2</v>
      </c>
      <c r="F14" s="147">
        <f t="shared" si="2"/>
        <v>0.10848287112561178</v>
      </c>
      <c r="G14" s="147">
        <f t="shared" si="2"/>
        <v>-0.36224114369809729</v>
      </c>
      <c r="H14" s="147">
        <f t="shared" si="2"/>
        <v>-0.37778144058018792</v>
      </c>
      <c r="I14" s="147">
        <f t="shared" si="2"/>
        <v>0.19205298013245034</v>
      </c>
      <c r="J14" s="147">
        <f t="shared" si="2"/>
        <v>6.6666666666666666E-2</v>
      </c>
      <c r="K14" s="147">
        <f t="shared" si="2"/>
        <v>4.1666666666666664E-2</v>
      </c>
      <c r="L14" s="147"/>
      <c r="M14" s="147"/>
    </row>
    <row r="15" spans="1:23" hidden="1">
      <c r="A15" s="285"/>
      <c r="B15" s="33">
        <v>41974</v>
      </c>
      <c r="C15" s="290" t="s">
        <v>16</v>
      </c>
      <c r="D15" s="291"/>
      <c r="E15" s="147">
        <f t="shared" si="2"/>
        <v>-4.2721695482431814E-2</v>
      </c>
      <c r="F15" s="147">
        <f t="shared" si="2"/>
        <v>0.10859939408063397</v>
      </c>
      <c r="G15" s="147">
        <f t="shared" si="2"/>
        <v>-0.2537313432835821</v>
      </c>
      <c r="H15" s="147">
        <f t="shared" si="2"/>
        <v>-7.0422535211267609E-2</v>
      </c>
      <c r="I15" s="147">
        <f t="shared" si="2"/>
        <v>9.0909090909090912E-2</v>
      </c>
      <c r="J15" s="147">
        <f t="shared" si="2"/>
        <v>5.5555555555555552E-2</v>
      </c>
      <c r="K15" s="147"/>
      <c r="L15" s="147"/>
      <c r="M15" s="147"/>
    </row>
    <row r="16" spans="1:23" hidden="1">
      <c r="A16" s="286"/>
      <c r="B16" s="33">
        <v>41499</v>
      </c>
      <c r="C16" s="292" t="s">
        <v>16</v>
      </c>
      <c r="D16" s="293"/>
      <c r="E16" s="146">
        <f t="shared" ref="E16:J16" si="3">(E10-D10)/D10</f>
        <v>-3.3333333333333333E-2</v>
      </c>
      <c r="F16" s="146">
        <f t="shared" si="3"/>
        <v>8.0459770114942528E-2</v>
      </c>
      <c r="G16" s="146">
        <f t="shared" si="3"/>
        <v>-6.9148936170212769E-2</v>
      </c>
      <c r="H16" s="146">
        <f t="shared" si="3"/>
        <v>-2.8571428571428571E-2</v>
      </c>
      <c r="I16" s="146">
        <f t="shared" si="3"/>
        <v>-1.1764705882352941E-2</v>
      </c>
      <c r="J16" s="146">
        <f t="shared" si="3"/>
        <v>0</v>
      </c>
      <c r="K16" s="146"/>
      <c r="L16" s="146"/>
      <c r="M16" s="146"/>
    </row>
    <row r="17" spans="1:18">
      <c r="A17" s="65"/>
      <c r="B17" s="65"/>
      <c r="C17" s="65"/>
      <c r="D17" s="65"/>
      <c r="E17" s="65"/>
      <c r="F17" s="65"/>
      <c r="G17" s="126"/>
      <c r="H17" s="128"/>
      <c r="I17" s="128"/>
      <c r="J17" s="128"/>
      <c r="K17" s="128"/>
      <c r="L17" s="128"/>
      <c r="M17" s="128"/>
    </row>
    <row r="18" spans="1:18">
      <c r="A18" s="281" t="s">
        <v>12</v>
      </c>
      <c r="B18" s="273">
        <f>B2</f>
        <v>42705</v>
      </c>
      <c r="C18" s="136" t="s">
        <v>2</v>
      </c>
      <c r="D18" s="148"/>
      <c r="E18" s="148"/>
      <c r="F18" s="148"/>
      <c r="G18" s="148"/>
      <c r="H18" s="148">
        <v>143.69999999999999</v>
      </c>
      <c r="I18" s="148">
        <v>139.4</v>
      </c>
      <c r="J18" s="148">
        <v>136.6</v>
      </c>
      <c r="K18" s="148">
        <v>135.19999999999999</v>
      </c>
      <c r="L18" s="148">
        <v>135.19999999999999</v>
      </c>
      <c r="M18" s="148">
        <v>135.19999999999999</v>
      </c>
    </row>
    <row r="19" spans="1:18">
      <c r="A19" s="281"/>
      <c r="B19" s="272"/>
      <c r="C19" s="139" t="s">
        <v>0</v>
      </c>
      <c r="D19" s="149"/>
      <c r="E19" s="149"/>
      <c r="F19" s="149"/>
      <c r="G19" s="149"/>
      <c r="H19" s="149"/>
      <c r="I19" s="149">
        <v>143</v>
      </c>
      <c r="J19" s="149">
        <v>143</v>
      </c>
      <c r="K19" s="149">
        <v>143</v>
      </c>
      <c r="L19" s="149">
        <v>143</v>
      </c>
      <c r="M19" s="149">
        <v>143</v>
      </c>
      <c r="N19" s="127"/>
    </row>
    <row r="20" spans="1:18">
      <c r="A20" s="281"/>
      <c r="B20" s="272"/>
      <c r="C20" s="141" t="s">
        <v>3</v>
      </c>
      <c r="D20" s="151"/>
      <c r="E20" s="151"/>
      <c r="F20" s="151"/>
      <c r="G20" s="151"/>
      <c r="H20" s="151"/>
      <c r="I20" s="151">
        <v>139.5</v>
      </c>
      <c r="J20" s="151">
        <v>140.1</v>
      </c>
      <c r="K20" s="151">
        <v>144.5</v>
      </c>
      <c r="L20" s="151">
        <v>150.80000000000001</v>
      </c>
      <c r="M20" s="151">
        <v>156.80000000000001</v>
      </c>
    </row>
    <row r="21" spans="1:18">
      <c r="A21" s="281"/>
      <c r="B21" s="272"/>
      <c r="C21" s="143" t="s">
        <v>1</v>
      </c>
      <c r="D21" s="152">
        <v>80.3</v>
      </c>
      <c r="E21" s="152">
        <v>96.4</v>
      </c>
      <c r="F21" s="153">
        <v>113.9</v>
      </c>
      <c r="G21" s="153">
        <v>141.4</v>
      </c>
      <c r="H21" s="153">
        <v>146.69999999999999</v>
      </c>
      <c r="I21" s="153">
        <v>143</v>
      </c>
      <c r="J21" s="153">
        <v>143</v>
      </c>
      <c r="K21" s="153">
        <v>143</v>
      </c>
      <c r="L21" s="153">
        <v>143</v>
      </c>
      <c r="M21" s="153">
        <v>143</v>
      </c>
      <c r="N21" s="93"/>
    </row>
    <row r="22" spans="1:18">
      <c r="A22" s="281"/>
      <c r="B22" s="33">
        <f>B7</f>
        <v>42583</v>
      </c>
      <c r="C22" s="133" t="s">
        <v>1</v>
      </c>
      <c r="D22" s="154">
        <v>80.3</v>
      </c>
      <c r="E22" s="154">
        <v>96.4</v>
      </c>
      <c r="F22" s="154">
        <v>113.9</v>
      </c>
      <c r="G22" s="154">
        <v>141.4</v>
      </c>
      <c r="H22" s="154">
        <v>146</v>
      </c>
      <c r="I22" s="154">
        <v>140</v>
      </c>
      <c r="J22" s="154">
        <v>140</v>
      </c>
      <c r="K22" s="154">
        <v>140</v>
      </c>
      <c r="L22" s="154">
        <v>140</v>
      </c>
      <c r="M22" s="154">
        <v>140</v>
      </c>
      <c r="N22" s="93"/>
      <c r="O22" s="131"/>
      <c r="R22" s="131"/>
    </row>
    <row r="23" spans="1:18" hidden="1">
      <c r="A23" s="281"/>
      <c r="B23" s="33">
        <v>41974</v>
      </c>
      <c r="C23" s="133" t="s">
        <v>1</v>
      </c>
      <c r="D23" s="154">
        <v>80.3</v>
      </c>
      <c r="E23" s="154">
        <v>96.4</v>
      </c>
      <c r="F23" s="154">
        <v>113.4</v>
      </c>
      <c r="G23" s="154">
        <v>122</v>
      </c>
      <c r="H23" s="154">
        <v>127</v>
      </c>
      <c r="I23" s="154">
        <v>131</v>
      </c>
      <c r="J23" s="154">
        <v>133</v>
      </c>
      <c r="K23" s="154">
        <v>135</v>
      </c>
      <c r="L23" s="154"/>
      <c r="M23" s="154"/>
    </row>
    <row r="24" spans="1:18" hidden="1">
      <c r="A24" s="281"/>
      <c r="B24" s="33">
        <v>41852</v>
      </c>
      <c r="C24" s="133" t="s">
        <v>1</v>
      </c>
      <c r="D24" s="154">
        <v>80.3</v>
      </c>
      <c r="E24" s="154">
        <v>96.4</v>
      </c>
      <c r="F24" s="154">
        <v>110</v>
      </c>
      <c r="G24" s="154">
        <v>117</v>
      </c>
      <c r="H24" s="154">
        <v>122</v>
      </c>
      <c r="I24" s="154">
        <v>125</v>
      </c>
      <c r="J24" s="154">
        <v>127</v>
      </c>
      <c r="K24" s="154">
        <v>129</v>
      </c>
      <c r="L24" s="154"/>
      <c r="M24" s="154"/>
    </row>
    <row r="25" spans="1:18" hidden="1">
      <c r="A25" s="281"/>
      <c r="B25" s="33">
        <v>41499</v>
      </c>
      <c r="C25" s="133" t="s">
        <v>1</v>
      </c>
      <c r="D25" s="154">
        <v>80.069999999999993</v>
      </c>
      <c r="E25" s="154">
        <v>90</v>
      </c>
      <c r="F25" s="154">
        <v>93</v>
      </c>
      <c r="G25" s="154">
        <v>97</v>
      </c>
      <c r="H25" s="154">
        <v>100</v>
      </c>
      <c r="I25" s="154">
        <v>101</v>
      </c>
      <c r="J25" s="154">
        <v>102</v>
      </c>
      <c r="K25" s="154"/>
      <c r="L25" s="154"/>
      <c r="M25" s="154"/>
    </row>
    <row r="26" spans="1:18" hidden="1">
      <c r="A26" s="281"/>
      <c r="B26" s="33">
        <v>41317</v>
      </c>
      <c r="C26" s="133" t="s">
        <v>1</v>
      </c>
      <c r="D26" s="155">
        <v>80.099999999999994</v>
      </c>
      <c r="E26" s="155">
        <v>87</v>
      </c>
      <c r="F26" s="155">
        <v>91.4</v>
      </c>
      <c r="G26" s="155">
        <v>94.1</v>
      </c>
      <c r="H26" s="155">
        <v>96</v>
      </c>
      <c r="I26" s="155">
        <v>97.9</v>
      </c>
      <c r="J26" s="155"/>
      <c r="K26" s="155"/>
      <c r="L26" s="155"/>
      <c r="M26" s="155"/>
    </row>
    <row r="27" spans="1:18" hidden="1">
      <c r="A27" s="281"/>
      <c r="B27" s="33">
        <v>41244</v>
      </c>
      <c r="C27" s="133" t="s">
        <v>1</v>
      </c>
      <c r="D27" s="155">
        <v>79.7</v>
      </c>
      <c r="E27" s="155">
        <v>84.119744824999998</v>
      </c>
      <c r="F27" s="155">
        <v>88.406534618000009</v>
      </c>
      <c r="G27" s="155">
        <v>92.434230656539995</v>
      </c>
      <c r="H27" s="155">
        <v>96.132415269670815</v>
      </c>
      <c r="I27" s="155">
        <v>97.6</v>
      </c>
      <c r="J27" s="155">
        <v>97.6</v>
      </c>
      <c r="K27" s="155"/>
      <c r="L27" s="155"/>
      <c r="M27" s="155"/>
    </row>
    <row r="28" spans="1:18">
      <c r="A28" s="281"/>
      <c r="B28" s="33">
        <f>B18</f>
        <v>42705</v>
      </c>
      <c r="C28" s="292" t="s">
        <v>16</v>
      </c>
      <c r="D28" s="293"/>
      <c r="E28" s="167">
        <f t="shared" ref="E28:K29" si="4">(E21-D21)/D21</f>
        <v>0.20049813200498143</v>
      </c>
      <c r="F28" s="167">
        <f>(F21-E21)/E21</f>
        <v>0.18153526970954356</v>
      </c>
      <c r="G28" s="167">
        <f t="shared" si="4"/>
        <v>0.24143985952589991</v>
      </c>
      <c r="H28" s="167">
        <f t="shared" si="4"/>
        <v>3.7482319660537361E-2</v>
      </c>
      <c r="I28" s="167">
        <f t="shared" si="4"/>
        <v>-2.5221540558963796E-2</v>
      </c>
      <c r="J28" s="167">
        <f t="shared" si="4"/>
        <v>0</v>
      </c>
      <c r="K28" s="167">
        <f t="shared" si="4"/>
        <v>0</v>
      </c>
      <c r="L28" s="167">
        <f>(L21-K21)/K21</f>
        <v>0</v>
      </c>
      <c r="M28" s="167">
        <f>(M21-L21)/L21</f>
        <v>0</v>
      </c>
    </row>
    <row r="29" spans="1:18">
      <c r="A29" s="281"/>
      <c r="B29" s="33">
        <f>B7</f>
        <v>42583</v>
      </c>
      <c r="C29" s="290" t="s">
        <v>16</v>
      </c>
      <c r="D29" s="291"/>
      <c r="E29" s="168">
        <f>(E22-D22)/D22</f>
        <v>0.20049813200498143</v>
      </c>
      <c r="F29" s="168">
        <f t="shared" ref="F29:M30" si="5">(F22-E22)/E22</f>
        <v>0.18153526970954356</v>
      </c>
      <c r="G29" s="168">
        <f>(G22-F22)/F22</f>
        <v>0.24143985952589991</v>
      </c>
      <c r="H29" s="168">
        <f t="shared" si="4"/>
        <v>3.2531824611032489E-2</v>
      </c>
      <c r="I29" s="168">
        <f t="shared" si="4"/>
        <v>-4.1095890410958902E-2</v>
      </c>
      <c r="J29" s="168">
        <f t="shared" si="4"/>
        <v>0</v>
      </c>
      <c r="K29" s="168">
        <f t="shared" si="4"/>
        <v>0</v>
      </c>
      <c r="L29" s="168">
        <f>(L22-K22)/K22</f>
        <v>0</v>
      </c>
      <c r="M29" s="168">
        <f>(M22-L22)/L22</f>
        <v>0</v>
      </c>
    </row>
    <row r="30" spans="1:18" hidden="1">
      <c r="A30" s="281"/>
      <c r="B30" s="33">
        <v>41974</v>
      </c>
      <c r="C30" s="290" t="s">
        <v>16</v>
      </c>
      <c r="D30" s="291"/>
      <c r="E30" s="147">
        <f>(E23-D23)/D23</f>
        <v>0.20049813200498143</v>
      </c>
      <c r="F30" s="147">
        <f t="shared" si="5"/>
        <v>0.17634854771784231</v>
      </c>
      <c r="G30" s="147">
        <f t="shared" si="5"/>
        <v>7.5837742504409111E-2</v>
      </c>
      <c r="H30" s="147">
        <f t="shared" si="5"/>
        <v>4.0983606557377046E-2</v>
      </c>
      <c r="I30" s="147">
        <f t="shared" si="5"/>
        <v>3.1496062992125984E-2</v>
      </c>
      <c r="J30" s="147">
        <f t="shared" si="5"/>
        <v>1.5267175572519083E-2</v>
      </c>
      <c r="K30" s="147">
        <f t="shared" si="5"/>
        <v>1.5037593984962405E-2</v>
      </c>
      <c r="L30" s="147">
        <f t="shared" si="5"/>
        <v>-1</v>
      </c>
      <c r="M30" s="147" t="e">
        <f t="shared" si="5"/>
        <v>#DIV/0!</v>
      </c>
    </row>
    <row r="31" spans="1:18" hidden="1">
      <c r="A31" s="281"/>
      <c r="B31" s="33">
        <v>41499</v>
      </c>
      <c r="C31" s="292" t="s">
        <v>16</v>
      </c>
      <c r="D31" s="293"/>
      <c r="E31" s="146">
        <f t="shared" ref="E31:J31" si="6">(E25-D25)/D25</f>
        <v>0.12401648557512186</v>
      </c>
      <c r="F31" s="146">
        <f t="shared" si="6"/>
        <v>3.3333333333333333E-2</v>
      </c>
      <c r="G31" s="146">
        <f t="shared" si="6"/>
        <v>4.3010752688172046E-2</v>
      </c>
      <c r="H31" s="146">
        <f t="shared" si="6"/>
        <v>3.0927835051546393E-2</v>
      </c>
      <c r="I31" s="146">
        <f t="shared" si="6"/>
        <v>0.01</v>
      </c>
      <c r="J31" s="146">
        <f t="shared" si="6"/>
        <v>9.9009900990099011E-3</v>
      </c>
      <c r="K31" s="146"/>
      <c r="L31" s="146"/>
      <c r="M31" s="146"/>
    </row>
    <row r="32" spans="1:18">
      <c r="A32" s="106"/>
      <c r="B32" s="107"/>
      <c r="C32" s="156"/>
      <c r="D32" s="156"/>
      <c r="E32" s="157"/>
      <c r="F32" s="157"/>
      <c r="G32" s="158"/>
      <c r="H32" s="158"/>
      <c r="I32" s="158"/>
      <c r="J32" s="158"/>
      <c r="K32" s="158"/>
      <c r="L32" s="158"/>
      <c r="M32" s="158"/>
    </row>
    <row r="33" spans="1:16">
      <c r="A33" s="287" t="s">
        <v>18</v>
      </c>
      <c r="B33" s="273">
        <f>B2</f>
        <v>42705</v>
      </c>
      <c r="C33" s="136" t="s">
        <v>2</v>
      </c>
      <c r="D33" s="159"/>
      <c r="E33" s="159"/>
      <c r="F33" s="159"/>
      <c r="G33" s="159"/>
      <c r="H33" s="159">
        <v>2.42</v>
      </c>
      <c r="I33" s="159"/>
      <c r="J33" s="159"/>
      <c r="K33" s="159"/>
      <c r="L33" s="159"/>
      <c r="M33" s="159"/>
      <c r="O33" t="s">
        <v>33</v>
      </c>
    </row>
    <row r="34" spans="1:16">
      <c r="A34" s="288"/>
      <c r="B34" s="272"/>
      <c r="C34" s="139" t="s">
        <v>0</v>
      </c>
      <c r="D34" s="140"/>
      <c r="E34" s="140"/>
      <c r="F34" s="140"/>
      <c r="G34" s="140"/>
      <c r="H34" s="140">
        <v>2.4300000000000002</v>
      </c>
      <c r="I34" s="140">
        <v>3.09</v>
      </c>
      <c r="J34" s="140">
        <v>3.37</v>
      </c>
      <c r="K34" s="140">
        <v>3.41</v>
      </c>
      <c r="L34" s="140">
        <v>3.51</v>
      </c>
      <c r="M34" s="140">
        <v>3.62</v>
      </c>
    </row>
    <row r="35" spans="1:16">
      <c r="A35" s="288"/>
      <c r="B35" s="272"/>
      <c r="C35" s="141" t="s">
        <v>3</v>
      </c>
      <c r="D35" s="142"/>
      <c r="E35" s="142"/>
      <c r="F35" s="142"/>
      <c r="G35" s="142"/>
      <c r="H35" s="142">
        <v>2.44</v>
      </c>
      <c r="I35" s="142">
        <v>3.21</v>
      </c>
      <c r="J35" s="142">
        <v>3.24</v>
      </c>
      <c r="K35" s="142">
        <v>3.11</v>
      </c>
      <c r="L35" s="142">
        <v>3.19</v>
      </c>
      <c r="M35" s="142">
        <v>3.27</v>
      </c>
    </row>
    <row r="36" spans="1:16">
      <c r="A36" s="288"/>
      <c r="B36" s="272"/>
      <c r="C36" s="143" t="s">
        <v>1</v>
      </c>
      <c r="D36" s="144">
        <v>5.01</v>
      </c>
      <c r="E36" s="144">
        <v>4.38</v>
      </c>
      <c r="F36" s="144">
        <v>5.14</v>
      </c>
      <c r="G36" s="144">
        <v>3.78</v>
      </c>
      <c r="H36" s="144">
        <v>2.42</v>
      </c>
      <c r="I36" s="144">
        <v>3.15</v>
      </c>
      <c r="J36" s="144">
        <f>+AVERAGE(J33:J35)</f>
        <v>3.3050000000000002</v>
      </c>
      <c r="K36" s="144">
        <f>+AVERAGE(K33:K35)</f>
        <v>3.26</v>
      </c>
      <c r="L36" s="144">
        <f>+AVERAGE(L33:L35)</f>
        <v>3.3499999999999996</v>
      </c>
      <c r="M36" s="144">
        <f>+AVERAGE(M33:M35)</f>
        <v>3.4450000000000003</v>
      </c>
    </row>
    <row r="37" spans="1:16">
      <c r="A37" s="288"/>
      <c r="B37" s="33">
        <f>B7</f>
        <v>42583</v>
      </c>
      <c r="C37" s="133" t="s">
        <v>1</v>
      </c>
      <c r="D37" s="138">
        <v>5.01</v>
      </c>
      <c r="E37" s="138">
        <v>4.38</v>
      </c>
      <c r="F37" s="138">
        <v>5.14</v>
      </c>
      <c r="G37" s="138">
        <v>3.78</v>
      </c>
      <c r="H37" s="138">
        <v>2.4</v>
      </c>
      <c r="I37" s="138">
        <v>3</v>
      </c>
      <c r="J37" s="138">
        <v>3.3</v>
      </c>
      <c r="K37" s="138">
        <v>3.4</v>
      </c>
      <c r="L37" s="138">
        <v>3.5</v>
      </c>
      <c r="M37" s="138">
        <v>3.5</v>
      </c>
      <c r="O37" s="112"/>
      <c r="P37" s="112"/>
    </row>
    <row r="38" spans="1:16" hidden="1">
      <c r="A38" s="288"/>
      <c r="B38" s="33">
        <v>41974</v>
      </c>
      <c r="C38" s="133" t="s">
        <v>1</v>
      </c>
      <c r="D38" s="138">
        <v>5.01</v>
      </c>
      <c r="E38" s="138">
        <v>4.38</v>
      </c>
      <c r="F38" s="138">
        <v>5.13</v>
      </c>
      <c r="G38" s="138">
        <v>4.9000000000000004</v>
      </c>
      <c r="H38" s="138">
        <v>4.9000000000000004</v>
      </c>
      <c r="I38" s="138">
        <v>4.95</v>
      </c>
      <c r="J38" s="138">
        <v>5.0999999999999996</v>
      </c>
      <c r="K38" s="138">
        <v>5.2</v>
      </c>
      <c r="L38" s="138"/>
      <c r="M38" s="138"/>
    </row>
    <row r="39" spans="1:16" hidden="1">
      <c r="A39" s="288"/>
      <c r="B39" s="33">
        <v>41852</v>
      </c>
      <c r="C39" s="133" t="s">
        <v>1</v>
      </c>
      <c r="D39" s="138">
        <v>5.01</v>
      </c>
      <c r="E39" s="138">
        <v>4.38</v>
      </c>
      <c r="F39" s="138">
        <v>5.15</v>
      </c>
      <c r="G39" s="138">
        <v>5.2</v>
      </c>
      <c r="H39" s="138">
        <v>5.25</v>
      </c>
      <c r="I39" s="138">
        <v>5.3</v>
      </c>
      <c r="J39" s="138">
        <v>5.35</v>
      </c>
      <c r="K39" s="138">
        <v>5.4</v>
      </c>
      <c r="L39" s="138"/>
      <c r="M39" s="138"/>
    </row>
    <row r="40" spans="1:16" hidden="1">
      <c r="A40" s="288"/>
      <c r="B40" s="33">
        <v>41499</v>
      </c>
      <c r="C40" s="133" t="s">
        <v>1</v>
      </c>
      <c r="D40" s="138">
        <v>5</v>
      </c>
      <c r="E40" s="138">
        <v>4.5</v>
      </c>
      <c r="F40" s="138">
        <v>5</v>
      </c>
      <c r="G40" s="138">
        <v>5.4</v>
      </c>
      <c r="H40" s="138">
        <v>5.5</v>
      </c>
      <c r="I40" s="138">
        <v>5.5</v>
      </c>
      <c r="J40" s="138">
        <v>5.5</v>
      </c>
      <c r="K40" s="138"/>
      <c r="L40" s="138"/>
      <c r="M40" s="138"/>
    </row>
    <row r="41" spans="1:16" hidden="1">
      <c r="A41" s="288"/>
      <c r="B41" s="33">
        <v>41317</v>
      </c>
      <c r="C41" s="133" t="s">
        <v>1</v>
      </c>
      <c r="D41" s="145">
        <v>5</v>
      </c>
      <c r="E41" s="145">
        <v>4.5</v>
      </c>
      <c r="F41" s="145">
        <v>5.0999999999999996</v>
      </c>
      <c r="G41" s="145">
        <v>5.25</v>
      </c>
      <c r="H41" s="145">
        <v>5.5</v>
      </c>
      <c r="I41" s="145">
        <v>5.5</v>
      </c>
      <c r="J41" s="145"/>
      <c r="K41" s="145"/>
      <c r="L41" s="145"/>
      <c r="M41" s="145"/>
    </row>
    <row r="42" spans="1:16" hidden="1">
      <c r="A42" s="288"/>
      <c r="B42" s="33">
        <v>41244</v>
      </c>
      <c r="C42" s="133" t="s">
        <v>1</v>
      </c>
      <c r="D42" s="145">
        <v>5</v>
      </c>
      <c r="E42" s="145">
        <v>4.5</v>
      </c>
      <c r="F42" s="145">
        <v>5</v>
      </c>
      <c r="G42" s="145">
        <v>5.4</v>
      </c>
      <c r="H42" s="145">
        <v>5.6</v>
      </c>
      <c r="I42" s="145">
        <v>5.5</v>
      </c>
      <c r="J42" s="145">
        <v>5.5</v>
      </c>
      <c r="K42" s="145"/>
      <c r="L42" s="145"/>
      <c r="M42" s="145"/>
    </row>
    <row r="43" spans="1:16" hidden="1">
      <c r="A43" s="288"/>
      <c r="B43" s="33">
        <v>42217</v>
      </c>
      <c r="C43" s="292" t="s">
        <v>16</v>
      </c>
      <c r="D43" s="293"/>
      <c r="E43" s="146">
        <f t="shared" ref="E43:M45" si="7">(E36-D36)/D36</f>
        <v>-0.12574850299401197</v>
      </c>
      <c r="F43" s="146">
        <f t="shared" si="7"/>
        <v>0.17351598173515978</v>
      </c>
      <c r="G43" s="146">
        <f t="shared" si="7"/>
        <v>-0.26459143968871596</v>
      </c>
      <c r="H43" s="146">
        <f t="shared" si="7"/>
        <v>-0.35978835978835977</v>
      </c>
      <c r="I43" s="146">
        <f t="shared" si="7"/>
        <v>0.30165289256198347</v>
      </c>
      <c r="J43" s="146">
        <f t="shared" si="7"/>
        <v>4.9206349206349288E-2</v>
      </c>
      <c r="K43" s="146">
        <f t="shared" si="7"/>
        <v>-1.3615733736762593E-2</v>
      </c>
      <c r="L43" s="146">
        <f t="shared" si="7"/>
        <v>2.7607361963190143E-2</v>
      </c>
      <c r="M43" s="146">
        <f t="shared" si="7"/>
        <v>2.8358208955224073E-2</v>
      </c>
    </row>
    <row r="44" spans="1:16" hidden="1">
      <c r="A44" s="288"/>
      <c r="B44" s="33">
        <f>B29</f>
        <v>42583</v>
      </c>
      <c r="C44" s="290" t="s">
        <v>16</v>
      </c>
      <c r="D44" s="291"/>
      <c r="E44" s="147">
        <f t="shared" si="7"/>
        <v>-0.12574850299401197</v>
      </c>
      <c r="F44" s="147">
        <f t="shared" si="7"/>
        <v>0.17351598173515978</v>
      </c>
      <c r="G44" s="147">
        <f t="shared" si="7"/>
        <v>-0.26459143968871596</v>
      </c>
      <c r="H44" s="147">
        <f t="shared" si="7"/>
        <v>-0.36507936507936506</v>
      </c>
      <c r="I44" s="147">
        <f t="shared" si="7"/>
        <v>0.25000000000000006</v>
      </c>
      <c r="J44" s="147">
        <f t="shared" si="7"/>
        <v>9.9999999999999936E-2</v>
      </c>
      <c r="K44" s="147">
        <f t="shared" si="7"/>
        <v>3.0303030303030332E-2</v>
      </c>
      <c r="L44" s="147"/>
      <c r="M44" s="147"/>
    </row>
    <row r="45" spans="1:16" hidden="1">
      <c r="A45" s="288"/>
      <c r="B45" s="33">
        <v>41974</v>
      </c>
      <c r="C45" s="290" t="s">
        <v>16</v>
      </c>
      <c r="D45" s="291"/>
      <c r="E45" s="147">
        <f t="shared" si="7"/>
        <v>-0.12574850299401197</v>
      </c>
      <c r="F45" s="147">
        <f t="shared" si="7"/>
        <v>0.17123287671232876</v>
      </c>
      <c r="G45" s="147">
        <f t="shared" si="7"/>
        <v>-4.4834307992202643E-2</v>
      </c>
      <c r="H45" s="147">
        <f t="shared" si="7"/>
        <v>0</v>
      </c>
      <c r="I45" s="147">
        <f t="shared" si="7"/>
        <v>1.0204081632653024E-2</v>
      </c>
      <c r="J45" s="147">
        <f t="shared" si="7"/>
        <v>3.0303030303030193E-2</v>
      </c>
      <c r="K45" s="147">
        <f t="shared" si="7"/>
        <v>1.9607843137255009E-2</v>
      </c>
      <c r="L45" s="147">
        <f t="shared" si="7"/>
        <v>-1</v>
      </c>
      <c r="M45" s="147" t="e">
        <f t="shared" si="7"/>
        <v>#DIV/0!</v>
      </c>
    </row>
    <row r="46" spans="1:16" hidden="1">
      <c r="A46" s="289"/>
      <c r="B46" s="33">
        <v>41499</v>
      </c>
      <c r="C46" s="292" t="s">
        <v>16</v>
      </c>
      <c r="D46" s="293"/>
      <c r="E46" s="146">
        <f t="shared" ref="E46:J46" si="8">(E40-D40)/D40</f>
        <v>-0.1</v>
      </c>
      <c r="F46" s="146">
        <f t="shared" si="8"/>
        <v>0.1111111111111111</v>
      </c>
      <c r="G46" s="146">
        <f t="shared" si="8"/>
        <v>8.0000000000000071E-2</v>
      </c>
      <c r="H46" s="146">
        <f t="shared" si="8"/>
        <v>1.8518518518518452E-2</v>
      </c>
      <c r="I46" s="146">
        <f t="shared" si="8"/>
        <v>0</v>
      </c>
      <c r="J46" s="146">
        <f t="shared" si="8"/>
        <v>0</v>
      </c>
      <c r="K46" s="146"/>
      <c r="L46" s="146"/>
      <c r="M46" s="146"/>
    </row>
    <row r="47" spans="1:16">
      <c r="A47" s="65"/>
      <c r="B47" s="65"/>
      <c r="C47" s="65"/>
      <c r="D47" s="76"/>
      <c r="E47" s="76"/>
      <c r="F47" s="76"/>
      <c r="G47" s="130"/>
      <c r="H47" s="130"/>
      <c r="I47" s="130"/>
      <c r="J47" s="130"/>
      <c r="K47" s="130"/>
      <c r="L47" s="130"/>
      <c r="M47" s="130"/>
    </row>
    <row r="48" spans="1:16">
      <c r="A48" s="287" t="s">
        <v>19</v>
      </c>
      <c r="B48" s="273">
        <f>B2</f>
        <v>42705</v>
      </c>
      <c r="C48" s="136" t="s">
        <v>2</v>
      </c>
      <c r="D48" s="160"/>
      <c r="E48" s="161"/>
      <c r="F48" s="161"/>
      <c r="G48" s="161"/>
      <c r="H48" s="161">
        <v>1025</v>
      </c>
      <c r="I48" s="161">
        <v>985</v>
      </c>
      <c r="J48" s="161">
        <v>965</v>
      </c>
      <c r="K48" s="161">
        <v>955</v>
      </c>
      <c r="L48" s="161">
        <v>955</v>
      </c>
      <c r="M48" s="161">
        <v>955</v>
      </c>
    </row>
    <row r="49" spans="1:16">
      <c r="A49" s="288"/>
      <c r="B49" s="272"/>
      <c r="C49" s="139" t="s">
        <v>0</v>
      </c>
      <c r="D49" s="162"/>
      <c r="E49" s="162"/>
      <c r="F49" s="162"/>
      <c r="G49" s="162"/>
      <c r="H49" s="162">
        <v>1174</v>
      </c>
      <c r="I49" s="162">
        <v>1135</v>
      </c>
      <c r="J49" s="162">
        <v>1100</v>
      </c>
      <c r="K49" s="162">
        <v>1060</v>
      </c>
      <c r="L49" s="162">
        <v>1020</v>
      </c>
      <c r="M49" s="162">
        <v>970</v>
      </c>
    </row>
    <row r="50" spans="1:16">
      <c r="A50" s="288"/>
      <c r="B50" s="272"/>
      <c r="C50" s="141" t="s">
        <v>3</v>
      </c>
      <c r="D50" s="163"/>
      <c r="E50" s="163"/>
      <c r="F50" s="163"/>
      <c r="G50" s="163"/>
      <c r="H50" s="163">
        <v>1169.6099999999999</v>
      </c>
      <c r="I50" s="163">
        <v>1153.54</v>
      </c>
      <c r="J50" s="163">
        <v>1116.8900000000001</v>
      </c>
      <c r="K50" s="163">
        <v>1090.2</v>
      </c>
      <c r="L50" s="163">
        <v>1067.48</v>
      </c>
      <c r="M50" s="163">
        <v>1045.8</v>
      </c>
    </row>
    <row r="51" spans="1:16">
      <c r="A51" s="288"/>
      <c r="B51" s="272"/>
      <c r="C51" s="143" t="s">
        <v>1</v>
      </c>
      <c r="D51" s="164">
        <v>1227</v>
      </c>
      <c r="E51" s="164">
        <v>1177.5</v>
      </c>
      <c r="F51" s="164">
        <v>1184.7</v>
      </c>
      <c r="G51" s="164">
        <v>1184.8</v>
      </c>
      <c r="H51" s="164">
        <v>1025.989</v>
      </c>
      <c r="I51" s="164">
        <f>+AVERAGE(I49:I50)</f>
        <v>1144.27</v>
      </c>
      <c r="J51" s="164">
        <f>+AVERAGE(J49:J50)</f>
        <v>1108.4450000000002</v>
      </c>
      <c r="K51" s="164">
        <f>+AVERAGE(K49:K50)</f>
        <v>1075.0999999999999</v>
      </c>
      <c r="L51" s="164">
        <f>+AVERAGE(L49:L50)</f>
        <v>1043.74</v>
      </c>
      <c r="M51" s="164">
        <f>+AVERAGE(M49:M50)</f>
        <v>1007.9</v>
      </c>
    </row>
    <row r="52" spans="1:16">
      <c r="A52" s="288"/>
      <c r="B52" s="33">
        <f>B37</f>
        <v>42583</v>
      </c>
      <c r="C52" s="133" t="s">
        <v>1</v>
      </c>
      <c r="D52" s="160">
        <v>1227</v>
      </c>
      <c r="E52" s="160">
        <v>1177.5</v>
      </c>
      <c r="F52" s="160">
        <v>1184.7</v>
      </c>
      <c r="G52" s="160">
        <v>1184.8</v>
      </c>
      <c r="H52" s="160">
        <v>1160</v>
      </c>
      <c r="I52" s="160">
        <v>1120</v>
      </c>
      <c r="J52" s="160">
        <v>1080</v>
      </c>
      <c r="K52" s="160">
        <v>1040</v>
      </c>
      <c r="L52" s="160">
        <v>1000</v>
      </c>
      <c r="M52" s="160">
        <v>965</v>
      </c>
      <c r="O52" s="112"/>
      <c r="P52" s="112"/>
    </row>
    <row r="53" spans="1:16" hidden="1">
      <c r="A53" s="288"/>
      <c r="B53" s="33">
        <v>41974</v>
      </c>
      <c r="C53" s="133" t="s">
        <v>1</v>
      </c>
      <c r="D53" s="160">
        <v>1227</v>
      </c>
      <c r="E53" s="160">
        <v>1177.5</v>
      </c>
      <c r="F53" s="160">
        <v>1187.3</v>
      </c>
      <c r="G53" s="160">
        <v>1181</v>
      </c>
      <c r="H53" s="160">
        <v>1150</v>
      </c>
      <c r="I53" s="160">
        <v>1118</v>
      </c>
      <c r="J53" s="160">
        <v>1088</v>
      </c>
      <c r="K53" s="160">
        <v>1052</v>
      </c>
      <c r="L53" s="160"/>
      <c r="M53" s="160"/>
    </row>
    <row r="54" spans="1:16" hidden="1">
      <c r="A54" s="288"/>
      <c r="B54" s="33">
        <v>41852</v>
      </c>
      <c r="C54" s="133" t="s">
        <v>1</v>
      </c>
      <c r="D54" s="160">
        <v>1227</v>
      </c>
      <c r="E54" s="160">
        <v>1177.5</v>
      </c>
      <c r="F54" s="160">
        <v>1170</v>
      </c>
      <c r="G54" s="160">
        <v>1158.3</v>
      </c>
      <c r="H54" s="160">
        <v>1123.5509999999999</v>
      </c>
      <c r="I54" s="160">
        <v>1089.84447</v>
      </c>
      <c r="J54" s="160">
        <v>1057.1491358999999</v>
      </c>
      <c r="K54" s="160">
        <v>1025.4346618229999</v>
      </c>
      <c r="L54" s="160"/>
      <c r="M54" s="160"/>
    </row>
    <row r="55" spans="1:16" hidden="1">
      <c r="A55" s="288"/>
      <c r="B55" s="33">
        <v>41499</v>
      </c>
      <c r="C55" s="133" t="s">
        <v>1</v>
      </c>
      <c r="D55" s="160">
        <v>1225.8499999999999</v>
      </c>
      <c r="E55" s="160">
        <v>1165</v>
      </c>
      <c r="F55" s="160">
        <v>1110</v>
      </c>
      <c r="G55" s="160">
        <v>1070</v>
      </c>
      <c r="H55" s="160">
        <v>1030</v>
      </c>
      <c r="I55" s="160">
        <v>1000</v>
      </c>
      <c r="J55" s="160">
        <v>960</v>
      </c>
      <c r="K55" s="165"/>
      <c r="L55" s="165"/>
      <c r="M55" s="165"/>
    </row>
    <row r="56" spans="1:16" hidden="1">
      <c r="A56" s="288"/>
      <c r="B56" s="33">
        <v>41317</v>
      </c>
      <c r="C56" s="133" t="s">
        <v>1</v>
      </c>
      <c r="D56" s="165">
        <v>1226</v>
      </c>
      <c r="E56" s="165">
        <v>1185</v>
      </c>
      <c r="F56" s="165">
        <v>1151</v>
      </c>
      <c r="G56" s="165">
        <v>1121</v>
      </c>
      <c r="H56" s="165">
        <v>1090.1407234210708</v>
      </c>
      <c r="I56" s="165">
        <v>1048</v>
      </c>
      <c r="J56" s="165"/>
      <c r="K56" s="165"/>
      <c r="L56" s="165"/>
      <c r="M56" s="165"/>
    </row>
    <row r="57" spans="1:16" hidden="1">
      <c r="A57" s="288"/>
      <c r="B57" s="33">
        <v>41244</v>
      </c>
      <c r="C57" s="133" t="s">
        <v>1</v>
      </c>
      <c r="D57" s="165">
        <v>1228.5423506666664</v>
      </c>
      <c r="E57" s="165">
        <v>1184.5870287874238</v>
      </c>
      <c r="F57" s="165">
        <v>1151.3778293463738</v>
      </c>
      <c r="G57" s="165">
        <v>1121.0332793283103</v>
      </c>
      <c r="H57" s="165">
        <v>1090.1407234210708</v>
      </c>
      <c r="I57" s="165">
        <v>1048</v>
      </c>
      <c r="J57" s="165">
        <v>1048</v>
      </c>
      <c r="K57" s="165"/>
      <c r="L57" s="165"/>
      <c r="M57" s="165"/>
    </row>
    <row r="58" spans="1:16">
      <c r="A58" s="288"/>
      <c r="B58" s="33">
        <f>B48</f>
        <v>42705</v>
      </c>
      <c r="C58" s="292" t="s">
        <v>16</v>
      </c>
      <c r="D58" s="293"/>
      <c r="E58" s="167">
        <f t="shared" ref="E58:M60" si="9">(E51-D51)/D51</f>
        <v>-4.0342298288508556E-2</v>
      </c>
      <c r="F58" s="167">
        <f t="shared" si="9"/>
        <v>6.1146496815287013E-3</v>
      </c>
      <c r="G58" s="167">
        <f>(G51-F51)/F51</f>
        <v>8.4409555161567526E-5</v>
      </c>
      <c r="H58" s="167">
        <f t="shared" si="9"/>
        <v>-0.13404034436191756</v>
      </c>
      <c r="I58" s="167">
        <f t="shared" si="9"/>
        <v>0.115284861728537</v>
      </c>
      <c r="J58" s="167">
        <f t="shared" si="9"/>
        <v>-3.130817027449799E-2</v>
      </c>
      <c r="K58" s="167">
        <f t="shared" si="9"/>
        <v>-3.0082683398815684E-2</v>
      </c>
      <c r="L58" s="167">
        <f t="shared" si="9"/>
        <v>-2.9169379592595947E-2</v>
      </c>
      <c r="M58" s="167">
        <f t="shared" si="9"/>
        <v>-3.4338053538237524E-2</v>
      </c>
    </row>
    <row r="59" spans="1:16">
      <c r="A59" s="288"/>
      <c r="B59" s="33">
        <f>B44</f>
        <v>42583</v>
      </c>
      <c r="C59" s="290" t="s">
        <v>16</v>
      </c>
      <c r="D59" s="291"/>
      <c r="E59" s="168">
        <f>(E52-D52)/D52</f>
        <v>-4.0342298288508556E-2</v>
      </c>
      <c r="F59" s="168">
        <f t="shared" si="9"/>
        <v>6.1146496815287013E-3</v>
      </c>
      <c r="G59" s="168">
        <f>(G52-F52)/F52</f>
        <v>8.4409555161567526E-5</v>
      </c>
      <c r="H59" s="168">
        <f t="shared" si="9"/>
        <v>-2.0931802835921637E-2</v>
      </c>
      <c r="I59" s="168">
        <f t="shared" si="9"/>
        <v>-3.4482758620689655E-2</v>
      </c>
      <c r="J59" s="168">
        <f t="shared" si="9"/>
        <v>-3.5714285714285712E-2</v>
      </c>
      <c r="K59" s="168">
        <f t="shared" si="9"/>
        <v>-3.7037037037037035E-2</v>
      </c>
      <c r="L59" s="168">
        <f>(L52-K52)/K52</f>
        <v>-3.8461538461538464E-2</v>
      </c>
      <c r="M59" s="168">
        <f>(M52-L52)/L52</f>
        <v>-3.5000000000000003E-2</v>
      </c>
    </row>
    <row r="60" spans="1:16" hidden="1">
      <c r="A60" s="288"/>
      <c r="B60" s="33">
        <v>41974</v>
      </c>
      <c r="C60" s="290" t="s">
        <v>16</v>
      </c>
      <c r="D60" s="291"/>
      <c r="E60" s="147">
        <f>(E53-D53)/D53</f>
        <v>-4.0342298288508556E-2</v>
      </c>
      <c r="F60" s="147">
        <f t="shared" si="9"/>
        <v>8.3227176220806408E-3</v>
      </c>
      <c r="G60" s="147">
        <f t="shared" si="9"/>
        <v>-5.3061568264128316E-3</v>
      </c>
      <c r="H60" s="147">
        <f t="shared" si="9"/>
        <v>-2.6248941574936496E-2</v>
      </c>
      <c r="I60" s="147">
        <f t="shared" si="9"/>
        <v>-2.782608695652174E-2</v>
      </c>
      <c r="J60" s="147">
        <f t="shared" si="9"/>
        <v>-2.6833631484794274E-2</v>
      </c>
      <c r="K60" s="147">
        <f t="shared" si="9"/>
        <v>-3.3088235294117647E-2</v>
      </c>
      <c r="L60" s="147">
        <f t="shared" si="9"/>
        <v>-1</v>
      </c>
      <c r="M60" s="147" t="e">
        <f t="shared" si="9"/>
        <v>#DIV/0!</v>
      </c>
    </row>
    <row r="61" spans="1:16" hidden="1">
      <c r="A61" s="289"/>
      <c r="B61" s="33">
        <v>41499</v>
      </c>
      <c r="C61" s="292" t="s">
        <v>16</v>
      </c>
      <c r="D61" s="293"/>
      <c r="E61" s="146">
        <f t="shared" ref="E61:J61" si="10">(E55-D55)/D55</f>
        <v>-4.9639025981971625E-2</v>
      </c>
      <c r="F61" s="146">
        <f t="shared" si="10"/>
        <v>-4.7210300429184553E-2</v>
      </c>
      <c r="G61" s="146">
        <f t="shared" si="10"/>
        <v>-3.6036036036036036E-2</v>
      </c>
      <c r="H61" s="146">
        <f t="shared" si="10"/>
        <v>-3.7383177570093455E-2</v>
      </c>
      <c r="I61" s="146">
        <f t="shared" si="10"/>
        <v>-2.9126213592233011E-2</v>
      </c>
      <c r="J61" s="146">
        <f t="shared" si="10"/>
        <v>-0.04</v>
      </c>
      <c r="K61" s="146"/>
      <c r="L61" s="146"/>
      <c r="M61" s="146"/>
    </row>
    <row r="62" spans="1:16">
      <c r="A62" s="108"/>
      <c r="B62" s="13"/>
      <c r="F62" s="112"/>
      <c r="G62" s="112"/>
      <c r="H62" s="112"/>
      <c r="I62" s="112"/>
      <c r="J62" s="112"/>
      <c r="K62" s="112"/>
      <c r="L62" s="112"/>
      <c r="M62" s="112"/>
    </row>
    <row r="63" spans="1:16">
      <c r="A63" s="9"/>
      <c r="B63" s="13"/>
      <c r="E63" s="94"/>
      <c r="F63" s="94"/>
      <c r="G63" s="112"/>
      <c r="H63" s="112"/>
      <c r="I63" s="112"/>
      <c r="J63" s="112"/>
      <c r="K63" s="112"/>
      <c r="L63" s="112"/>
      <c r="M63" s="112"/>
    </row>
    <row r="64" spans="1:16">
      <c r="A64" s="9"/>
      <c r="B64" s="13"/>
      <c r="E64" s="94"/>
      <c r="F64" s="94"/>
      <c r="G64" s="94"/>
      <c r="H64" s="112"/>
      <c r="I64" s="112"/>
      <c r="J64" s="112"/>
      <c r="K64" s="112"/>
      <c r="L64" s="112"/>
      <c r="M64" s="112"/>
    </row>
    <row r="65" spans="1:2">
      <c r="A65" s="9"/>
      <c r="B65" s="13"/>
    </row>
    <row r="66" spans="1:2">
      <c r="A66" s="9"/>
      <c r="B66" s="13"/>
    </row>
    <row r="67" spans="1:2">
      <c r="A67" s="9"/>
      <c r="B67" s="13"/>
    </row>
    <row r="68" spans="1:2">
      <c r="A68" s="9"/>
      <c r="B68" s="13"/>
    </row>
    <row r="69" spans="1:2">
      <c r="A69" s="9"/>
      <c r="B69" s="13"/>
    </row>
    <row r="70" spans="1:2">
      <c r="A70" s="9"/>
      <c r="B70" s="13"/>
    </row>
    <row r="71" spans="1:2">
      <c r="A71" s="9"/>
      <c r="B71" s="13"/>
    </row>
    <row r="72" spans="1:2">
      <c r="A72" s="9"/>
      <c r="B72" s="13"/>
    </row>
  </sheetData>
  <mergeCells count="25">
    <mergeCell ref="A2:A16"/>
    <mergeCell ref="B2:B6"/>
    <mergeCell ref="B7:B11"/>
    <mergeCell ref="C13:D13"/>
    <mergeCell ref="C14:D14"/>
    <mergeCell ref="C15:D15"/>
    <mergeCell ref="C16:D16"/>
    <mergeCell ref="A18:A31"/>
    <mergeCell ref="B18:B21"/>
    <mergeCell ref="C28:D28"/>
    <mergeCell ref="C29:D29"/>
    <mergeCell ref="C30:D30"/>
    <mergeCell ref="C31:D31"/>
    <mergeCell ref="A33:A46"/>
    <mergeCell ref="B33:B36"/>
    <mergeCell ref="C43:D43"/>
    <mergeCell ref="C44:D44"/>
    <mergeCell ref="C45:D45"/>
    <mergeCell ref="C46:D46"/>
    <mergeCell ref="A48:A61"/>
    <mergeCell ref="B48:B51"/>
    <mergeCell ref="C58:D58"/>
    <mergeCell ref="C59:D59"/>
    <mergeCell ref="C60:D60"/>
    <mergeCell ref="C61:D61"/>
  </mergeCells>
  <pageMargins left="0.5" right="0.17" top="0.63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pageSetUpPr fitToPage="1"/>
  </sheetPr>
  <dimension ref="A1:W73"/>
  <sheetViews>
    <sheetView zoomScale="120" zoomScaleNormal="120" workbookViewId="0">
      <pane ySplit="1" topLeftCell="A2" activePane="bottomLeft" state="frozen"/>
      <selection activeCell="I6" sqref="I6"/>
      <selection pane="bottomLeft" activeCell="I6" sqref="I6"/>
    </sheetView>
  </sheetViews>
  <sheetFormatPr defaultColWidth="9.28515625" defaultRowHeight="15"/>
  <cols>
    <col min="1" max="1" width="9.42578125" customWidth="1"/>
    <col min="2" max="2" width="7.5703125" bestFit="1" customWidth="1"/>
    <col min="3" max="3" width="8" customWidth="1"/>
    <col min="4" max="8" width="7.5703125" customWidth="1"/>
    <col min="9" max="9" width="9.42578125" bestFit="1" customWidth="1"/>
    <col min="10" max="11" width="8.28515625" bestFit="1" customWidth="1"/>
    <col min="12" max="12" width="9.42578125" bestFit="1" customWidth="1"/>
    <col min="13" max="13" width="8.28515625" bestFit="1" customWidth="1"/>
    <col min="15" max="15" width="14.42578125" customWidth="1"/>
    <col min="16" max="20" width="9.7109375" bestFit="1" customWidth="1"/>
  </cols>
  <sheetData>
    <row r="1" spans="1:23" ht="34.5" customHeight="1">
      <c r="A1" s="8"/>
      <c r="B1" s="11"/>
      <c r="C1" s="133"/>
      <c r="D1" s="132" t="s">
        <v>17</v>
      </c>
      <c r="E1" s="132" t="s">
        <v>25</v>
      </c>
      <c r="F1" s="132" t="s">
        <v>73</v>
      </c>
      <c r="G1" s="132" t="s">
        <v>74</v>
      </c>
      <c r="H1" s="132" t="s">
        <v>75</v>
      </c>
      <c r="I1" s="132" t="s">
        <v>9</v>
      </c>
      <c r="J1" s="132" t="s">
        <v>21</v>
      </c>
      <c r="K1" s="132" t="s">
        <v>24</v>
      </c>
      <c r="L1" s="132" t="s">
        <v>27</v>
      </c>
      <c r="M1" s="132" t="s">
        <v>57</v>
      </c>
      <c r="N1" s="132" t="s">
        <v>76</v>
      </c>
    </row>
    <row r="2" spans="1:23">
      <c r="A2" s="284" t="s">
        <v>10</v>
      </c>
      <c r="B2" s="273">
        <v>42948</v>
      </c>
      <c r="C2" s="134" t="s">
        <v>4</v>
      </c>
      <c r="D2" s="135"/>
      <c r="E2" s="135"/>
      <c r="F2" s="135"/>
      <c r="G2" s="135"/>
      <c r="H2" s="135"/>
      <c r="I2" s="135">
        <v>45.09</v>
      </c>
      <c r="J2" s="135">
        <v>44.57</v>
      </c>
      <c r="K2" s="135">
        <v>45.67</v>
      </c>
      <c r="L2" s="135">
        <v>51.84</v>
      </c>
      <c r="M2" s="135">
        <v>57.28</v>
      </c>
      <c r="N2" s="135"/>
      <c r="O2" t="s">
        <v>28</v>
      </c>
      <c r="P2" t="s">
        <v>29</v>
      </c>
      <c r="Q2" t="s">
        <v>68</v>
      </c>
      <c r="R2" t="s">
        <v>69</v>
      </c>
      <c r="S2" t="s">
        <v>70</v>
      </c>
      <c r="T2" t="s">
        <v>71</v>
      </c>
    </row>
    <row r="3" spans="1:23">
      <c r="A3" s="285"/>
      <c r="B3" s="272"/>
      <c r="C3" s="136" t="s">
        <v>2</v>
      </c>
      <c r="D3" s="137"/>
      <c r="E3" s="138"/>
      <c r="F3" s="138"/>
      <c r="G3" s="138"/>
      <c r="H3" s="138"/>
      <c r="I3" s="138">
        <v>45.08</v>
      </c>
      <c r="J3" s="138">
        <v>45.68</v>
      </c>
      <c r="K3" s="138">
        <f>46.848</f>
        <v>46.847999999999999</v>
      </c>
      <c r="L3" s="138">
        <v>48.03</v>
      </c>
      <c r="M3" s="138">
        <v>49.38</v>
      </c>
      <c r="N3" s="138">
        <v>50.69</v>
      </c>
      <c r="O3" t="s">
        <v>72</v>
      </c>
    </row>
    <row r="4" spans="1:23">
      <c r="A4" s="285"/>
      <c r="B4" s="272"/>
      <c r="C4" s="139" t="s">
        <v>0</v>
      </c>
      <c r="D4" s="140"/>
      <c r="E4" s="140"/>
      <c r="F4" s="140"/>
      <c r="G4" s="140"/>
      <c r="H4" s="140"/>
      <c r="I4" s="140">
        <v>45.13</v>
      </c>
      <c r="J4" s="140">
        <v>44.24</v>
      </c>
      <c r="K4" s="140">
        <v>45.66</v>
      </c>
      <c r="L4" s="140">
        <v>46.81</v>
      </c>
      <c r="M4" s="140">
        <v>48.01</v>
      </c>
      <c r="N4" s="140">
        <v>49.28</v>
      </c>
      <c r="O4" s="185">
        <f t="shared" ref="O4:T4" si="0">(H6*H21)+(H37*H52)</f>
        <v>8396.0949999999993</v>
      </c>
      <c r="P4" s="185">
        <f t="shared" si="0"/>
        <v>10723.196091666669</v>
      </c>
      <c r="Q4" s="185">
        <f t="shared" si="0"/>
        <v>10801.5</v>
      </c>
      <c r="R4" s="185">
        <f t="shared" si="0"/>
        <v>10970</v>
      </c>
      <c r="S4" s="185">
        <f t="shared" si="0"/>
        <v>11224</v>
      </c>
      <c r="T4" s="185">
        <f t="shared" si="0"/>
        <v>11527</v>
      </c>
    </row>
    <row r="5" spans="1:23">
      <c r="A5" s="285"/>
      <c r="B5" s="272"/>
      <c r="C5" s="141" t="s">
        <v>3</v>
      </c>
      <c r="D5" s="142"/>
      <c r="E5" s="142"/>
      <c r="F5" s="142"/>
      <c r="G5" s="142"/>
      <c r="H5" s="142"/>
      <c r="I5" s="142">
        <f>44.63+0.59</f>
        <v>45.220000000000006</v>
      </c>
      <c r="J5" s="142">
        <v>44.2</v>
      </c>
      <c r="K5" s="142">
        <v>45.3</v>
      </c>
      <c r="L5" s="142">
        <v>50.65</v>
      </c>
      <c r="M5" s="142">
        <v>55.35</v>
      </c>
      <c r="N5" s="142">
        <v>58.15</v>
      </c>
    </row>
    <row r="6" spans="1:23">
      <c r="A6" s="285"/>
      <c r="B6" s="272"/>
      <c r="C6" s="143" t="s">
        <v>1</v>
      </c>
      <c r="D6" s="144">
        <v>89.65</v>
      </c>
      <c r="E6" s="144">
        <v>85.82</v>
      </c>
      <c r="F6" s="144">
        <v>95.13</v>
      </c>
      <c r="G6" s="144">
        <v>60.67</v>
      </c>
      <c r="H6" s="144">
        <v>37.85</v>
      </c>
      <c r="I6" s="186">
        <v>45.1</v>
      </c>
      <c r="J6" s="144">
        <v>44.5</v>
      </c>
      <c r="K6" s="144">
        <v>45.5</v>
      </c>
      <c r="L6" s="144">
        <v>47</v>
      </c>
      <c r="M6" s="144">
        <v>48</v>
      </c>
      <c r="N6" s="144">
        <v>50</v>
      </c>
      <c r="O6" t="s">
        <v>30</v>
      </c>
      <c r="W6" s="93"/>
    </row>
    <row r="7" spans="1:23">
      <c r="A7" s="285"/>
      <c r="B7" s="273">
        <v>42705</v>
      </c>
      <c r="C7" s="133" t="s">
        <v>1</v>
      </c>
      <c r="D7" s="138">
        <v>89.65</v>
      </c>
      <c r="E7" s="138">
        <v>85.82</v>
      </c>
      <c r="F7" s="138">
        <v>95.13</v>
      </c>
      <c r="G7" s="138">
        <v>60.67</v>
      </c>
      <c r="H7" s="138">
        <v>37.85</v>
      </c>
      <c r="I7" s="138">
        <v>43</v>
      </c>
      <c r="J7" s="138">
        <v>48</v>
      </c>
      <c r="K7" s="138">
        <v>50</v>
      </c>
      <c r="L7" s="138">
        <v>53</v>
      </c>
      <c r="M7" s="138">
        <v>56</v>
      </c>
      <c r="N7" s="138"/>
      <c r="O7" s="185">
        <f>(H6-H7)*(H21-H22)+(H37-H38*(H52-H53))</f>
        <v>-358.18661999999989</v>
      </c>
      <c r="P7" s="185">
        <f>(I6-I7)*(I21-I22)*(1-0.11)+(I37-I38*(I52-I53)*(1-0.24))</f>
        <v>-141.39433000000025</v>
      </c>
      <c r="Q7" s="185">
        <f>(J6-J7)*(J21-J22)*(1-0.11)+(J37-J38*(J52-J53)*(1-0.24))</f>
        <v>-282.93584899999962</v>
      </c>
      <c r="R7" s="185">
        <f>(K6-K7)*(K21-K22)*(1-0.11)+(K37-K38*(K52-K53)*(1-0.24))</f>
        <v>-383.09324000000021</v>
      </c>
      <c r="S7" s="185">
        <f>(L6-L7)*(L21-L22)*(1-0.11)+(L37-L38*(L52-L53)*(1-0.24))</f>
        <v>-505.63795999999991</v>
      </c>
      <c r="T7" s="185">
        <f>(M6-M7)*(M21-M22)*(1-0.11)+(M37-M38*(M52-M53)*(1-0.24))</f>
        <v>-661.31822000000011</v>
      </c>
      <c r="W7" s="93"/>
    </row>
    <row r="8" spans="1:23" hidden="1">
      <c r="A8" s="285"/>
      <c r="B8" s="272"/>
      <c r="C8" s="133" t="s">
        <v>1</v>
      </c>
      <c r="D8" s="138">
        <v>89.65</v>
      </c>
      <c r="E8" s="138">
        <v>85.82</v>
      </c>
      <c r="F8" s="138">
        <v>95.14</v>
      </c>
      <c r="G8" s="138">
        <v>71</v>
      </c>
      <c r="H8" s="138">
        <v>66</v>
      </c>
      <c r="I8" s="138">
        <v>72</v>
      </c>
      <c r="J8" s="138">
        <v>76</v>
      </c>
      <c r="K8" s="138">
        <v>80</v>
      </c>
      <c r="L8" s="138"/>
      <c r="M8" s="138"/>
    </row>
    <row r="9" spans="1:23" hidden="1">
      <c r="A9" s="285"/>
      <c r="B9" s="272"/>
      <c r="C9" s="133" t="s">
        <v>1</v>
      </c>
      <c r="D9" s="138">
        <v>89.65</v>
      </c>
      <c r="E9" s="138">
        <v>85.82</v>
      </c>
      <c r="F9" s="138">
        <v>95.75</v>
      </c>
      <c r="G9" s="138">
        <v>92</v>
      </c>
      <c r="H9" s="138">
        <v>88</v>
      </c>
      <c r="I9" s="138">
        <v>87</v>
      </c>
      <c r="J9" s="138">
        <v>86</v>
      </c>
      <c r="K9" s="138">
        <v>85</v>
      </c>
      <c r="L9" s="138"/>
      <c r="M9" s="138"/>
    </row>
    <row r="10" spans="1:23" hidden="1">
      <c r="A10" s="285"/>
      <c r="B10" s="272"/>
      <c r="C10" s="133" t="s">
        <v>1</v>
      </c>
      <c r="D10" s="138">
        <v>90</v>
      </c>
      <c r="E10" s="138">
        <v>87</v>
      </c>
      <c r="F10" s="138">
        <v>94</v>
      </c>
      <c r="G10" s="138">
        <v>87.5</v>
      </c>
      <c r="H10" s="138">
        <v>85</v>
      </c>
      <c r="I10" s="138">
        <v>84</v>
      </c>
      <c r="J10" s="138">
        <v>84</v>
      </c>
      <c r="K10" s="138"/>
      <c r="L10" s="138"/>
      <c r="M10" s="138"/>
    </row>
    <row r="11" spans="1:23" hidden="1">
      <c r="A11" s="285"/>
      <c r="B11" s="272"/>
      <c r="C11" s="133" t="s">
        <v>1</v>
      </c>
      <c r="D11" s="145">
        <v>90</v>
      </c>
      <c r="E11" s="145">
        <v>86.5</v>
      </c>
      <c r="F11" s="145">
        <v>88</v>
      </c>
      <c r="G11" s="145">
        <v>87.5</v>
      </c>
      <c r="H11" s="145">
        <v>87</v>
      </c>
      <c r="I11" s="145">
        <v>86.5</v>
      </c>
      <c r="J11" s="145"/>
      <c r="K11" s="145"/>
      <c r="L11" s="145"/>
      <c r="M11" s="145"/>
    </row>
    <row r="12" spans="1:23" hidden="1">
      <c r="A12" s="285"/>
      <c r="B12" s="33">
        <v>41244</v>
      </c>
      <c r="C12" s="133" t="s">
        <v>1</v>
      </c>
      <c r="D12" s="145">
        <v>89.640506965377526</v>
      </c>
      <c r="E12" s="145">
        <v>85</v>
      </c>
      <c r="F12" s="145">
        <v>84.75</v>
      </c>
      <c r="G12" s="145">
        <v>83.5</v>
      </c>
      <c r="H12" s="145">
        <v>82.5</v>
      </c>
      <c r="I12" s="145">
        <v>83</v>
      </c>
      <c r="J12" s="145">
        <v>83</v>
      </c>
      <c r="K12" s="145"/>
      <c r="L12" s="145"/>
      <c r="M12" s="145"/>
    </row>
    <row r="13" spans="1:23" hidden="1">
      <c r="A13" s="285"/>
      <c r="B13" s="33">
        <v>42217</v>
      </c>
      <c r="C13" s="292" t="s">
        <v>16</v>
      </c>
      <c r="D13" s="293"/>
      <c r="E13" s="146">
        <f t="shared" ref="E13:M13" si="1">+E6/D6-1</f>
        <v>-4.2721695482431765E-2</v>
      </c>
      <c r="F13" s="146">
        <f>+F6/E6-1</f>
        <v>0.10848287112561183</v>
      </c>
      <c r="G13" s="166">
        <f>+G6/F6-1</f>
        <v>-0.36224114369809735</v>
      </c>
      <c r="H13" s="146">
        <f t="shared" si="1"/>
        <v>-0.37613317949563208</v>
      </c>
      <c r="I13" s="146">
        <f t="shared" si="1"/>
        <v>0.19154557463672384</v>
      </c>
      <c r="J13" s="146">
        <f t="shared" si="1"/>
        <v>-1.3303769401330379E-2</v>
      </c>
      <c r="K13" s="146">
        <f t="shared" si="1"/>
        <v>2.2471910112359605E-2</v>
      </c>
      <c r="L13" s="146">
        <f t="shared" si="1"/>
        <v>3.2967032967033072E-2</v>
      </c>
      <c r="M13" s="146">
        <f t="shared" si="1"/>
        <v>2.1276595744680771E-2</v>
      </c>
    </row>
    <row r="14" spans="1:23" hidden="1">
      <c r="A14" s="285"/>
      <c r="B14" s="33">
        <v>42031</v>
      </c>
      <c r="C14" s="290" t="s">
        <v>16</v>
      </c>
      <c r="D14" s="291"/>
      <c r="E14" s="147">
        <f t="shared" ref="E14:K15" si="2">(E7-D7)/D7</f>
        <v>-4.2721695482431814E-2</v>
      </c>
      <c r="F14" s="147">
        <f t="shared" si="2"/>
        <v>0.10848287112561178</v>
      </c>
      <c r="G14" s="147">
        <f t="shared" si="2"/>
        <v>-0.36224114369809729</v>
      </c>
      <c r="H14" s="147">
        <f t="shared" si="2"/>
        <v>-0.37613317949563208</v>
      </c>
      <c r="I14" s="147">
        <f t="shared" si="2"/>
        <v>0.13606340819022453</v>
      </c>
      <c r="J14" s="147">
        <f t="shared" si="2"/>
        <v>0.11627906976744186</v>
      </c>
      <c r="K14" s="147">
        <f t="shared" si="2"/>
        <v>4.1666666666666664E-2</v>
      </c>
      <c r="L14" s="147"/>
      <c r="M14" s="147"/>
    </row>
    <row r="15" spans="1:23" hidden="1">
      <c r="A15" s="285"/>
      <c r="B15" s="33">
        <v>41974</v>
      </c>
      <c r="C15" s="290" t="s">
        <v>16</v>
      </c>
      <c r="D15" s="291"/>
      <c r="E15" s="147">
        <f t="shared" si="2"/>
        <v>-4.2721695482431814E-2</v>
      </c>
      <c r="F15" s="147">
        <f t="shared" si="2"/>
        <v>0.10859939408063397</v>
      </c>
      <c r="G15" s="147">
        <f t="shared" si="2"/>
        <v>-0.2537313432835821</v>
      </c>
      <c r="H15" s="147">
        <f t="shared" si="2"/>
        <v>-7.0422535211267609E-2</v>
      </c>
      <c r="I15" s="147">
        <f t="shared" si="2"/>
        <v>9.0909090909090912E-2</v>
      </c>
      <c r="J15" s="147">
        <f t="shared" si="2"/>
        <v>5.5555555555555552E-2</v>
      </c>
      <c r="K15" s="147"/>
      <c r="L15" s="147"/>
      <c r="M15" s="147"/>
    </row>
    <row r="16" spans="1:23" hidden="1">
      <c r="A16" s="286"/>
      <c r="B16" s="33">
        <v>41499</v>
      </c>
      <c r="C16" s="292" t="s">
        <v>16</v>
      </c>
      <c r="D16" s="293"/>
      <c r="E16" s="146">
        <f t="shared" ref="E16:J16" si="3">(E10-D10)/D10</f>
        <v>-3.3333333333333333E-2</v>
      </c>
      <c r="F16" s="146">
        <f t="shared" si="3"/>
        <v>8.0459770114942528E-2</v>
      </c>
      <c r="G16" s="146">
        <f t="shared" si="3"/>
        <v>-6.9148936170212769E-2</v>
      </c>
      <c r="H16" s="146">
        <f t="shared" si="3"/>
        <v>-2.8571428571428571E-2</v>
      </c>
      <c r="I16" s="146">
        <f t="shared" si="3"/>
        <v>-1.1764705882352941E-2</v>
      </c>
      <c r="J16" s="146">
        <f t="shared" si="3"/>
        <v>0</v>
      </c>
      <c r="K16" s="146"/>
      <c r="L16" s="146"/>
      <c r="M16" s="146"/>
    </row>
    <row r="17" spans="1:20">
      <c r="A17" s="65"/>
      <c r="B17" s="65"/>
      <c r="C17" s="65"/>
      <c r="D17" s="65"/>
      <c r="E17" s="65"/>
      <c r="F17" s="65"/>
      <c r="G17" s="126"/>
      <c r="H17" s="128"/>
      <c r="I17" s="128"/>
      <c r="J17" s="128"/>
      <c r="K17" s="128"/>
      <c r="L17" s="128"/>
      <c r="M17" s="128"/>
      <c r="P17" s="112">
        <f>P7/P4</f>
        <v>-1.3185838325747136E-2</v>
      </c>
      <c r="Q17" s="112">
        <f t="shared" ref="Q17:T17" si="4">Q7/Q4</f>
        <v>-2.619412572327914E-2</v>
      </c>
      <c r="R17" s="112">
        <f t="shared" si="4"/>
        <v>-3.4921899726526907E-2</v>
      </c>
      <c r="S17" s="112">
        <f t="shared" si="4"/>
        <v>-4.504971133285815E-2</v>
      </c>
      <c r="T17" s="112">
        <f t="shared" si="4"/>
        <v>-5.7371234492929656E-2</v>
      </c>
    </row>
    <row r="18" spans="1:20">
      <c r="A18" s="281" t="s">
        <v>12</v>
      </c>
      <c r="B18" s="273">
        <f>B2</f>
        <v>42948</v>
      </c>
      <c r="C18" s="136" t="s">
        <v>2</v>
      </c>
      <c r="D18" s="148"/>
      <c r="E18" s="148"/>
      <c r="F18" s="148"/>
      <c r="G18" s="148"/>
      <c r="H18" s="148"/>
      <c r="I18" s="148">
        <v>149.87</v>
      </c>
      <c r="J18" s="148">
        <v>150.88999999999999</v>
      </c>
      <c r="K18" s="148">
        <v>154.29</v>
      </c>
      <c r="L18" s="148">
        <v>157.6</v>
      </c>
      <c r="M18" s="148">
        <v>160.62</v>
      </c>
      <c r="N18" s="148">
        <v>163.31</v>
      </c>
    </row>
    <row r="19" spans="1:20">
      <c r="A19" s="281"/>
      <c r="B19" s="272"/>
      <c r="C19" s="139" t="s">
        <v>0</v>
      </c>
      <c r="D19" s="149"/>
      <c r="E19" s="149"/>
      <c r="F19" s="149"/>
      <c r="G19" s="149"/>
      <c r="H19" s="149"/>
      <c r="I19" s="149">
        <v>150</v>
      </c>
      <c r="J19" s="149">
        <f>I19*1.025</f>
        <v>153.75</v>
      </c>
      <c r="K19" s="149">
        <f t="shared" ref="K19:N19" si="5">J19*1.025</f>
        <v>157.59375</v>
      </c>
      <c r="L19" s="149">
        <f t="shared" si="5"/>
        <v>161.53359374999999</v>
      </c>
      <c r="M19" s="149">
        <f t="shared" si="5"/>
        <v>165.57193359374997</v>
      </c>
      <c r="N19" s="149">
        <f t="shared" si="5"/>
        <v>169.71123193359372</v>
      </c>
    </row>
    <row r="20" spans="1:20">
      <c r="A20" s="281"/>
      <c r="B20" s="272"/>
      <c r="C20" s="141" t="s">
        <v>3</v>
      </c>
      <c r="D20" s="151"/>
      <c r="E20" s="151"/>
      <c r="F20" s="151"/>
      <c r="G20" s="151"/>
      <c r="H20" s="151"/>
      <c r="I20" s="151">
        <v>150</v>
      </c>
      <c r="J20" s="151">
        <v>152</v>
      </c>
      <c r="K20" s="151"/>
      <c r="L20" s="151"/>
      <c r="M20" s="151"/>
      <c r="N20" s="151"/>
    </row>
    <row r="21" spans="1:20">
      <c r="A21" s="281"/>
      <c r="B21" s="272"/>
      <c r="C21" s="143" t="s">
        <v>1</v>
      </c>
      <c r="D21" s="152">
        <v>80.3</v>
      </c>
      <c r="E21" s="152">
        <v>96.4</v>
      </c>
      <c r="F21" s="153">
        <v>113.9</v>
      </c>
      <c r="G21" s="153">
        <v>141.4</v>
      </c>
      <c r="H21" s="153">
        <v>146.69999999999999</v>
      </c>
      <c r="I21" s="153">
        <f>+AVERAGE(I18:I20)</f>
        <v>149.95666666666668</v>
      </c>
      <c r="J21" s="153">
        <v>153</v>
      </c>
      <c r="K21" s="153">
        <v>156</v>
      </c>
      <c r="L21" s="153">
        <v>159</v>
      </c>
      <c r="M21" s="153">
        <v>162</v>
      </c>
      <c r="N21" s="153">
        <v>165</v>
      </c>
    </row>
    <row r="22" spans="1:20">
      <c r="A22" s="281"/>
      <c r="B22" s="33">
        <f>B7</f>
        <v>42705</v>
      </c>
      <c r="C22" s="133" t="s">
        <v>1</v>
      </c>
      <c r="D22" s="154">
        <v>80.3</v>
      </c>
      <c r="E22" s="154">
        <v>96.4</v>
      </c>
      <c r="F22" s="154">
        <v>113.9</v>
      </c>
      <c r="G22" s="154">
        <v>141.4</v>
      </c>
      <c r="H22" s="154">
        <v>146.69999999999999</v>
      </c>
      <c r="I22" s="154">
        <v>143</v>
      </c>
      <c r="J22" s="154">
        <v>143</v>
      </c>
      <c r="K22" s="154">
        <v>143</v>
      </c>
      <c r="L22" s="154">
        <v>143</v>
      </c>
      <c r="M22" s="154">
        <v>143</v>
      </c>
      <c r="N22" s="154"/>
      <c r="O22" s="131"/>
      <c r="R22" s="131"/>
    </row>
    <row r="23" spans="1:20" hidden="1">
      <c r="A23" s="281"/>
      <c r="B23" s="33">
        <v>41974</v>
      </c>
      <c r="C23" s="133" t="s">
        <v>1</v>
      </c>
      <c r="D23" s="154">
        <v>80.3</v>
      </c>
      <c r="E23" s="154">
        <v>96.4</v>
      </c>
      <c r="F23" s="154">
        <v>113.4</v>
      </c>
      <c r="G23" s="154">
        <v>122</v>
      </c>
      <c r="H23" s="154">
        <v>127</v>
      </c>
      <c r="I23" s="154">
        <v>131</v>
      </c>
      <c r="J23" s="154">
        <v>133</v>
      </c>
      <c r="K23" s="154">
        <v>135</v>
      </c>
      <c r="L23" s="154"/>
      <c r="M23" s="154"/>
      <c r="N23" s="154"/>
    </row>
    <row r="24" spans="1:20" hidden="1">
      <c r="A24" s="281"/>
      <c r="B24" s="33">
        <v>41852</v>
      </c>
      <c r="C24" s="133" t="s">
        <v>1</v>
      </c>
      <c r="D24" s="154">
        <v>80.3</v>
      </c>
      <c r="E24" s="154">
        <v>96.4</v>
      </c>
      <c r="F24" s="154">
        <v>110</v>
      </c>
      <c r="G24" s="154">
        <v>117</v>
      </c>
      <c r="H24" s="154">
        <v>122</v>
      </c>
      <c r="I24" s="154">
        <v>125</v>
      </c>
      <c r="J24" s="154">
        <v>127</v>
      </c>
      <c r="K24" s="154">
        <v>129</v>
      </c>
      <c r="L24" s="154"/>
      <c r="M24" s="154"/>
      <c r="N24" s="154"/>
    </row>
    <row r="25" spans="1:20" hidden="1">
      <c r="A25" s="281"/>
      <c r="B25" s="33">
        <v>41499</v>
      </c>
      <c r="C25" s="133" t="s">
        <v>1</v>
      </c>
      <c r="D25" s="154">
        <v>80.069999999999993</v>
      </c>
      <c r="E25" s="154">
        <v>90</v>
      </c>
      <c r="F25" s="154">
        <v>93</v>
      </c>
      <c r="G25" s="154">
        <v>97</v>
      </c>
      <c r="H25" s="154">
        <v>100</v>
      </c>
      <c r="I25" s="154">
        <v>101</v>
      </c>
      <c r="J25" s="154">
        <v>102</v>
      </c>
      <c r="K25" s="154"/>
      <c r="L25" s="154"/>
      <c r="M25" s="154"/>
      <c r="N25" s="154"/>
    </row>
    <row r="26" spans="1:20" hidden="1">
      <c r="A26" s="281"/>
      <c r="B26" s="33">
        <v>41317</v>
      </c>
      <c r="C26" s="133" t="s">
        <v>1</v>
      </c>
      <c r="D26" s="155">
        <v>80.099999999999994</v>
      </c>
      <c r="E26" s="155">
        <v>87</v>
      </c>
      <c r="F26" s="155">
        <v>91.4</v>
      </c>
      <c r="G26" s="155">
        <v>94.1</v>
      </c>
      <c r="H26" s="155">
        <v>96</v>
      </c>
      <c r="I26" s="155">
        <v>97.9</v>
      </c>
      <c r="J26" s="155"/>
      <c r="K26" s="155"/>
      <c r="L26" s="155"/>
      <c r="M26" s="155"/>
      <c r="N26" s="155"/>
    </row>
    <row r="27" spans="1:20" hidden="1">
      <c r="A27" s="281"/>
      <c r="B27" s="33">
        <v>41244</v>
      </c>
      <c r="C27" s="133" t="s">
        <v>1</v>
      </c>
      <c r="D27" s="155">
        <v>79.7</v>
      </c>
      <c r="E27" s="155">
        <v>84.119744824999998</v>
      </c>
      <c r="F27" s="155">
        <v>88.406534618000009</v>
      </c>
      <c r="G27" s="155">
        <v>92.434230656539995</v>
      </c>
      <c r="H27" s="155">
        <v>96.132415269670815</v>
      </c>
      <c r="I27" s="155">
        <v>97.6</v>
      </c>
      <c r="J27" s="155">
        <v>97.6</v>
      </c>
      <c r="K27" s="155"/>
      <c r="L27" s="155"/>
      <c r="M27" s="155"/>
      <c r="N27" s="155"/>
    </row>
    <row r="28" spans="1:20">
      <c r="A28" s="281"/>
      <c r="B28" s="33">
        <f>B18</f>
        <v>42948</v>
      </c>
      <c r="C28" s="292" t="s">
        <v>16</v>
      </c>
      <c r="D28" s="293"/>
      <c r="E28" s="167">
        <f t="shared" ref="E28:N29" si="6">(E21-D21)/D21</f>
        <v>0.20049813200498143</v>
      </c>
      <c r="F28" s="167">
        <f>(F21-E21)/E21</f>
        <v>0.18153526970954356</v>
      </c>
      <c r="G28" s="167">
        <f t="shared" si="6"/>
        <v>0.24143985952589991</v>
      </c>
      <c r="H28" s="167">
        <f t="shared" si="6"/>
        <v>3.7482319660537361E-2</v>
      </c>
      <c r="I28" s="167">
        <f t="shared" si="6"/>
        <v>2.2199500113610698E-2</v>
      </c>
      <c r="J28" s="167">
        <f>(J21-I21)/I21</f>
        <v>2.0294751817191557E-2</v>
      </c>
      <c r="K28" s="167">
        <f t="shared" si="6"/>
        <v>1.9607843137254902E-2</v>
      </c>
      <c r="L28" s="167">
        <f>(L21-K21)/K21</f>
        <v>1.9230769230769232E-2</v>
      </c>
      <c r="M28" s="167">
        <f>(M21-L21)/L21</f>
        <v>1.8867924528301886E-2</v>
      </c>
      <c r="N28" s="167">
        <f>(N21-M21)/M21</f>
        <v>1.8518518518518517E-2</v>
      </c>
    </row>
    <row r="29" spans="1:20">
      <c r="A29" s="281"/>
      <c r="B29" s="33">
        <f>B7</f>
        <v>42705</v>
      </c>
      <c r="C29" s="290" t="s">
        <v>16</v>
      </c>
      <c r="D29" s="291"/>
      <c r="E29" s="168">
        <f>(E22-D22)/D22</f>
        <v>0.20049813200498143</v>
      </c>
      <c r="F29" s="168">
        <f t="shared" ref="F29:N30" si="7">(F22-E22)/E22</f>
        <v>0.18153526970954356</v>
      </c>
      <c r="G29" s="168">
        <f>(G22-F22)/F22</f>
        <v>0.24143985952589991</v>
      </c>
      <c r="H29" s="168">
        <f t="shared" si="6"/>
        <v>3.7482319660537361E-2</v>
      </c>
      <c r="I29" s="168">
        <f t="shared" si="6"/>
        <v>-2.5221540558963796E-2</v>
      </c>
      <c r="J29" s="168">
        <f t="shared" si="6"/>
        <v>0</v>
      </c>
      <c r="K29" s="168">
        <f t="shared" si="6"/>
        <v>0</v>
      </c>
      <c r="L29" s="168">
        <f t="shared" si="6"/>
        <v>0</v>
      </c>
      <c r="M29" s="168">
        <f t="shared" si="6"/>
        <v>0</v>
      </c>
      <c r="N29" s="168">
        <f t="shared" si="6"/>
        <v>-1</v>
      </c>
    </row>
    <row r="30" spans="1:20" hidden="1">
      <c r="A30" s="281"/>
      <c r="B30" s="33">
        <v>41974</v>
      </c>
      <c r="C30" s="290" t="s">
        <v>16</v>
      </c>
      <c r="D30" s="291"/>
      <c r="E30" s="147">
        <f>(E23-D23)/D23</f>
        <v>0.20049813200498143</v>
      </c>
      <c r="F30" s="147">
        <f t="shared" si="7"/>
        <v>0.17634854771784231</v>
      </c>
      <c r="G30" s="147">
        <f t="shared" si="7"/>
        <v>7.5837742504409111E-2</v>
      </c>
      <c r="H30" s="147">
        <f t="shared" si="7"/>
        <v>4.0983606557377046E-2</v>
      </c>
      <c r="I30" s="147">
        <f t="shared" si="7"/>
        <v>3.1496062992125984E-2</v>
      </c>
      <c r="J30" s="147">
        <f t="shared" si="7"/>
        <v>1.5267175572519083E-2</v>
      </c>
      <c r="K30" s="147">
        <f t="shared" si="7"/>
        <v>1.5037593984962405E-2</v>
      </c>
      <c r="L30" s="147">
        <f t="shared" si="7"/>
        <v>-1</v>
      </c>
      <c r="M30" s="147" t="e">
        <f t="shared" si="7"/>
        <v>#DIV/0!</v>
      </c>
      <c r="N30" s="147" t="e">
        <f t="shared" si="7"/>
        <v>#DIV/0!</v>
      </c>
    </row>
    <row r="31" spans="1:20" hidden="1">
      <c r="A31" s="281"/>
      <c r="B31" s="33">
        <v>41499</v>
      </c>
      <c r="C31" s="292" t="s">
        <v>16</v>
      </c>
      <c r="D31" s="293"/>
      <c r="E31" s="146">
        <f t="shared" ref="E31:J31" si="8">(E25-D25)/D25</f>
        <v>0.12401648557512186</v>
      </c>
      <c r="F31" s="146">
        <f t="shared" si="8"/>
        <v>3.3333333333333333E-2</v>
      </c>
      <c r="G31" s="146">
        <f t="shared" si="8"/>
        <v>4.3010752688172046E-2</v>
      </c>
      <c r="H31" s="146">
        <f t="shared" si="8"/>
        <v>3.0927835051546393E-2</v>
      </c>
      <c r="I31" s="146">
        <f t="shared" si="8"/>
        <v>0.01</v>
      </c>
      <c r="J31" s="146">
        <f t="shared" si="8"/>
        <v>9.9009900990099011E-3</v>
      </c>
      <c r="K31" s="146"/>
      <c r="L31" s="146"/>
      <c r="M31" s="146"/>
      <c r="N31" s="146"/>
    </row>
    <row r="32" spans="1:20">
      <c r="A32" s="106"/>
      <c r="B32" s="107"/>
      <c r="C32" s="156"/>
      <c r="D32" s="156"/>
      <c r="E32" s="157"/>
      <c r="F32" s="157"/>
      <c r="G32" s="158"/>
      <c r="H32" s="158"/>
      <c r="I32" s="158"/>
      <c r="J32" s="158"/>
      <c r="K32" s="158"/>
      <c r="L32" s="158"/>
      <c r="M32" s="158"/>
      <c r="N32" s="158"/>
    </row>
    <row r="33" spans="1:16">
      <c r="A33" s="182"/>
      <c r="B33" s="107"/>
      <c r="C33" s="134" t="s">
        <v>4</v>
      </c>
      <c r="D33" s="173"/>
      <c r="E33" s="174"/>
      <c r="F33" s="174"/>
      <c r="G33" s="158"/>
      <c r="H33" s="158"/>
      <c r="I33" s="135">
        <v>3.29</v>
      </c>
      <c r="J33" s="135">
        <v>3.43</v>
      </c>
      <c r="K33" s="135">
        <v>3.3</v>
      </c>
      <c r="L33" s="135">
        <v>3.15</v>
      </c>
      <c r="M33" s="135">
        <v>3.17</v>
      </c>
      <c r="N33" s="135"/>
    </row>
    <row r="34" spans="1:16">
      <c r="A34" s="287" t="s">
        <v>18</v>
      </c>
      <c r="B34" s="273">
        <f>B2</f>
        <v>42948</v>
      </c>
      <c r="C34" s="136" t="s">
        <v>2</v>
      </c>
      <c r="D34" s="159"/>
      <c r="E34" s="159"/>
      <c r="F34" s="159"/>
      <c r="G34" s="159"/>
      <c r="H34" s="159"/>
      <c r="I34" s="159">
        <v>3.29</v>
      </c>
      <c r="J34" s="159">
        <v>3.34</v>
      </c>
      <c r="K34" s="159">
        <v>3.3</v>
      </c>
      <c r="L34" s="159">
        <v>3.24</v>
      </c>
      <c r="M34" s="159">
        <v>3.26</v>
      </c>
      <c r="N34" s="159">
        <v>3.31</v>
      </c>
    </row>
    <row r="35" spans="1:16">
      <c r="A35" s="288"/>
      <c r="B35" s="272"/>
      <c r="C35" s="139" t="s">
        <v>0</v>
      </c>
      <c r="D35" s="140"/>
      <c r="E35" s="140"/>
      <c r="F35" s="140"/>
      <c r="G35" s="140"/>
      <c r="H35" s="140"/>
      <c r="I35" s="140">
        <v>3.26</v>
      </c>
      <c r="J35" s="140">
        <f>3.13</f>
        <v>3.13</v>
      </c>
      <c r="K35" s="140">
        <v>3.06</v>
      </c>
      <c r="L35" s="140">
        <v>3.04</v>
      </c>
      <c r="M35" s="140">
        <v>3.08</v>
      </c>
      <c r="N35" s="140">
        <v>3.11</v>
      </c>
    </row>
    <row r="36" spans="1:16">
      <c r="A36" s="288"/>
      <c r="B36" s="272"/>
      <c r="C36" s="141" t="s">
        <v>3</v>
      </c>
      <c r="D36" s="142"/>
      <c r="E36" s="142"/>
      <c r="F36" s="142"/>
      <c r="G36" s="142"/>
      <c r="H36" s="142"/>
      <c r="I36" s="142">
        <v>3.25</v>
      </c>
      <c r="J36" s="142">
        <v>3.36</v>
      </c>
      <c r="K36" s="142">
        <v>3.22</v>
      </c>
      <c r="L36" s="142">
        <v>3</v>
      </c>
      <c r="M36" s="142">
        <v>3.02</v>
      </c>
      <c r="N36" s="142">
        <v>3.08</v>
      </c>
    </row>
    <row r="37" spans="1:16">
      <c r="A37" s="288"/>
      <c r="B37" s="272"/>
      <c r="C37" s="143" t="s">
        <v>1</v>
      </c>
      <c r="D37" s="144">
        <v>5.01</v>
      </c>
      <c r="E37" s="144">
        <v>4.38</v>
      </c>
      <c r="F37" s="144">
        <v>5.14</v>
      </c>
      <c r="G37" s="144">
        <v>3.78</v>
      </c>
      <c r="H37" s="144">
        <v>2.42</v>
      </c>
      <c r="I37" s="144">
        <f>+AVERAGE(I33:I36)</f>
        <v>3.2725</v>
      </c>
      <c r="J37" s="144">
        <v>3.3</v>
      </c>
      <c r="K37" s="144">
        <v>3.2</v>
      </c>
      <c r="L37" s="144">
        <v>3.1</v>
      </c>
      <c r="M37" s="144">
        <v>3.1</v>
      </c>
      <c r="N37" s="144">
        <v>3.1</v>
      </c>
    </row>
    <row r="38" spans="1:16">
      <c r="A38" s="288"/>
      <c r="B38" s="33">
        <f>B7</f>
        <v>42705</v>
      </c>
      <c r="C38" s="133" t="s">
        <v>1</v>
      </c>
      <c r="D38" s="138">
        <v>5.01</v>
      </c>
      <c r="E38" s="138">
        <v>4.38</v>
      </c>
      <c r="F38" s="138">
        <v>5.14</v>
      </c>
      <c r="G38" s="138">
        <v>3.78</v>
      </c>
      <c r="H38" s="138">
        <v>2.42</v>
      </c>
      <c r="I38" s="138">
        <v>3.15</v>
      </c>
      <c r="J38" s="138">
        <v>3.3050000000000002</v>
      </c>
      <c r="K38" s="138">
        <v>3.26</v>
      </c>
      <c r="L38" s="138">
        <v>3.3499999999999996</v>
      </c>
      <c r="M38" s="138">
        <v>3.4450000000000003</v>
      </c>
      <c r="N38" s="138"/>
      <c r="O38" s="112"/>
      <c r="P38" s="112"/>
    </row>
    <row r="39" spans="1:16" hidden="1">
      <c r="A39" s="288"/>
      <c r="B39" s="33">
        <v>41974</v>
      </c>
      <c r="C39" s="133" t="s">
        <v>1</v>
      </c>
      <c r="D39" s="138">
        <v>5.01</v>
      </c>
      <c r="E39" s="138">
        <v>4.38</v>
      </c>
      <c r="F39" s="138">
        <v>5.13</v>
      </c>
      <c r="G39" s="138">
        <v>4.9000000000000004</v>
      </c>
      <c r="H39" s="138">
        <v>4.9000000000000004</v>
      </c>
      <c r="I39" s="138">
        <v>4.95</v>
      </c>
      <c r="J39" s="138">
        <v>5.0999999999999996</v>
      </c>
      <c r="K39" s="138">
        <v>5.2</v>
      </c>
      <c r="L39" s="138"/>
      <c r="M39" s="138"/>
    </row>
    <row r="40" spans="1:16" hidden="1">
      <c r="A40" s="288"/>
      <c r="B40" s="33">
        <v>41852</v>
      </c>
      <c r="C40" s="133" t="s">
        <v>1</v>
      </c>
      <c r="D40" s="138">
        <v>5.01</v>
      </c>
      <c r="E40" s="138">
        <v>4.38</v>
      </c>
      <c r="F40" s="138">
        <v>5.15</v>
      </c>
      <c r="G40" s="138">
        <v>5.2</v>
      </c>
      <c r="H40" s="138">
        <v>5.25</v>
      </c>
      <c r="I40" s="138">
        <v>5.3</v>
      </c>
      <c r="J40" s="138">
        <v>5.35</v>
      </c>
      <c r="K40" s="138">
        <v>5.4</v>
      </c>
      <c r="L40" s="138"/>
      <c r="M40" s="138"/>
    </row>
    <row r="41" spans="1:16" hidden="1">
      <c r="A41" s="288"/>
      <c r="B41" s="33">
        <v>41499</v>
      </c>
      <c r="C41" s="133" t="s">
        <v>1</v>
      </c>
      <c r="D41" s="138">
        <v>5</v>
      </c>
      <c r="E41" s="138">
        <v>4.5</v>
      </c>
      <c r="F41" s="138">
        <v>5</v>
      </c>
      <c r="G41" s="138">
        <v>5.4</v>
      </c>
      <c r="H41" s="138">
        <v>5.5</v>
      </c>
      <c r="I41" s="138">
        <v>5.5</v>
      </c>
      <c r="J41" s="138">
        <v>5.5</v>
      </c>
      <c r="K41" s="138"/>
      <c r="L41" s="138"/>
      <c r="M41" s="138"/>
    </row>
    <row r="42" spans="1:16" hidden="1">
      <c r="A42" s="288"/>
      <c r="B42" s="33">
        <v>41317</v>
      </c>
      <c r="C42" s="133" t="s">
        <v>1</v>
      </c>
      <c r="D42" s="145">
        <v>5</v>
      </c>
      <c r="E42" s="145">
        <v>4.5</v>
      </c>
      <c r="F42" s="145">
        <v>5.0999999999999996</v>
      </c>
      <c r="G42" s="145">
        <v>5.25</v>
      </c>
      <c r="H42" s="145">
        <v>5.5</v>
      </c>
      <c r="I42" s="145">
        <v>5.5</v>
      </c>
      <c r="J42" s="145"/>
      <c r="K42" s="145"/>
      <c r="L42" s="145"/>
      <c r="M42" s="145"/>
    </row>
    <row r="43" spans="1:16" hidden="1">
      <c r="A43" s="288"/>
      <c r="B43" s="33">
        <v>41244</v>
      </c>
      <c r="C43" s="133" t="s">
        <v>1</v>
      </c>
      <c r="D43" s="145">
        <v>5</v>
      </c>
      <c r="E43" s="145">
        <v>4.5</v>
      </c>
      <c r="F43" s="145">
        <v>5</v>
      </c>
      <c r="G43" s="145">
        <v>5.4</v>
      </c>
      <c r="H43" s="145">
        <v>5.6</v>
      </c>
      <c r="I43" s="145">
        <v>5.5</v>
      </c>
      <c r="J43" s="145">
        <v>5.5</v>
      </c>
      <c r="K43" s="145"/>
      <c r="L43" s="145"/>
      <c r="M43" s="145"/>
    </row>
    <row r="44" spans="1:16" hidden="1">
      <c r="A44" s="288"/>
      <c r="B44" s="33">
        <v>42217</v>
      </c>
      <c r="C44" s="292" t="s">
        <v>16</v>
      </c>
      <c r="D44" s="293"/>
      <c r="E44" s="146">
        <f t="shared" ref="E44:M46" si="9">(E37-D37)/D37</f>
        <v>-0.12574850299401197</v>
      </c>
      <c r="F44" s="146">
        <f t="shared" si="9"/>
        <v>0.17351598173515978</v>
      </c>
      <c r="G44" s="146">
        <f t="shared" si="9"/>
        <v>-0.26459143968871596</v>
      </c>
      <c r="H44" s="146">
        <f t="shared" si="9"/>
        <v>-0.35978835978835977</v>
      </c>
      <c r="I44" s="146">
        <f t="shared" si="9"/>
        <v>0.35227272727272729</v>
      </c>
      <c r="J44" s="146">
        <f t="shared" si="9"/>
        <v>8.4033613445377714E-3</v>
      </c>
      <c r="K44" s="146">
        <f t="shared" si="9"/>
        <v>-3.0303030303030196E-2</v>
      </c>
      <c r="L44" s="146">
        <f t="shared" si="9"/>
        <v>-3.1250000000000028E-2</v>
      </c>
      <c r="M44" s="146">
        <f t="shared" si="9"/>
        <v>0</v>
      </c>
    </row>
    <row r="45" spans="1:16" hidden="1">
      <c r="A45" s="288"/>
      <c r="B45" s="33">
        <f>B29</f>
        <v>42705</v>
      </c>
      <c r="C45" s="290" t="s">
        <v>16</v>
      </c>
      <c r="D45" s="291"/>
      <c r="E45" s="147">
        <f t="shared" si="9"/>
        <v>-0.12574850299401197</v>
      </c>
      <c r="F45" s="147">
        <f t="shared" si="9"/>
        <v>0.17351598173515978</v>
      </c>
      <c r="G45" s="147">
        <f t="shared" si="9"/>
        <v>-0.26459143968871596</v>
      </c>
      <c r="H45" s="147">
        <f t="shared" si="9"/>
        <v>-0.35978835978835977</v>
      </c>
      <c r="I45" s="147">
        <f t="shared" si="9"/>
        <v>0.30165289256198347</v>
      </c>
      <c r="J45" s="147">
        <f t="shared" si="9"/>
        <v>4.9206349206349288E-2</v>
      </c>
      <c r="K45" s="147">
        <f t="shared" si="9"/>
        <v>-1.3615733736762593E-2</v>
      </c>
      <c r="L45" s="147"/>
      <c r="M45" s="147"/>
    </row>
    <row r="46" spans="1:16" hidden="1">
      <c r="A46" s="288"/>
      <c r="B46" s="33">
        <v>41974</v>
      </c>
      <c r="C46" s="290" t="s">
        <v>16</v>
      </c>
      <c r="D46" s="291"/>
      <c r="E46" s="147">
        <f t="shared" si="9"/>
        <v>-0.12574850299401197</v>
      </c>
      <c r="F46" s="147">
        <f t="shared" si="9"/>
        <v>0.17123287671232876</v>
      </c>
      <c r="G46" s="147">
        <f t="shared" si="9"/>
        <v>-4.4834307992202643E-2</v>
      </c>
      <c r="H46" s="147">
        <f t="shared" si="9"/>
        <v>0</v>
      </c>
      <c r="I46" s="147">
        <f t="shared" si="9"/>
        <v>1.0204081632653024E-2</v>
      </c>
      <c r="J46" s="147">
        <f t="shared" si="9"/>
        <v>3.0303030303030193E-2</v>
      </c>
      <c r="K46" s="147">
        <f t="shared" si="9"/>
        <v>1.9607843137255009E-2</v>
      </c>
      <c r="L46" s="147">
        <f t="shared" si="9"/>
        <v>-1</v>
      </c>
      <c r="M46" s="147" t="e">
        <f t="shared" si="9"/>
        <v>#DIV/0!</v>
      </c>
    </row>
    <row r="47" spans="1:16" hidden="1">
      <c r="A47" s="289"/>
      <c r="B47" s="33">
        <v>41499</v>
      </c>
      <c r="C47" s="292" t="s">
        <v>16</v>
      </c>
      <c r="D47" s="293"/>
      <c r="E47" s="146">
        <f t="shared" ref="E47:J47" si="10">(E41-D41)/D41</f>
        <v>-0.1</v>
      </c>
      <c r="F47" s="146">
        <f t="shared" si="10"/>
        <v>0.1111111111111111</v>
      </c>
      <c r="G47" s="146">
        <f t="shared" si="10"/>
        <v>8.0000000000000071E-2</v>
      </c>
      <c r="H47" s="146">
        <f t="shared" si="10"/>
        <v>1.8518518518518452E-2</v>
      </c>
      <c r="I47" s="146">
        <f t="shared" si="10"/>
        <v>0</v>
      </c>
      <c r="J47" s="146">
        <f t="shared" si="10"/>
        <v>0</v>
      </c>
      <c r="K47" s="146"/>
      <c r="L47" s="146"/>
      <c r="M47" s="146"/>
    </row>
    <row r="48" spans="1:16">
      <c r="A48" s="65"/>
      <c r="B48" s="65"/>
      <c r="C48" s="65"/>
      <c r="D48" s="76"/>
      <c r="E48" s="76"/>
      <c r="F48" s="76"/>
      <c r="G48" s="130"/>
      <c r="H48" s="130"/>
      <c r="I48" s="130"/>
      <c r="J48" s="130"/>
      <c r="K48" s="130"/>
      <c r="L48" s="130"/>
      <c r="M48" s="130"/>
    </row>
    <row r="49" spans="1:16">
      <c r="A49" s="287" t="s">
        <v>19</v>
      </c>
      <c r="B49" s="273">
        <f>B2</f>
        <v>42948</v>
      </c>
      <c r="C49" s="136" t="s">
        <v>2</v>
      </c>
      <c r="D49" s="160"/>
      <c r="E49" s="161"/>
      <c r="F49" s="161"/>
      <c r="G49" s="161"/>
      <c r="H49" s="161"/>
      <c r="I49" s="161">
        <v>1208.69</v>
      </c>
      <c r="J49" s="161">
        <v>1201.19</v>
      </c>
      <c r="K49" s="161">
        <v>1191.44</v>
      </c>
      <c r="L49" s="161">
        <v>1181.7</v>
      </c>
      <c r="M49" s="161">
        <v>1171.95</v>
      </c>
      <c r="N49" s="161">
        <v>1162.21</v>
      </c>
    </row>
    <row r="50" spans="1:16">
      <c r="A50" s="288"/>
      <c r="B50" s="272"/>
      <c r="C50" s="139" t="s">
        <v>0</v>
      </c>
      <c r="D50" s="162"/>
      <c r="E50" s="162"/>
      <c r="F50" s="162"/>
      <c r="G50" s="162"/>
      <c r="H50" s="162"/>
      <c r="I50" s="162">
        <v>1210</v>
      </c>
      <c r="J50" s="162">
        <f>I50*1.007</f>
        <v>1218.4699999999998</v>
      </c>
      <c r="K50" s="162">
        <f>J50*1.011</f>
        <v>1231.8731699999996</v>
      </c>
      <c r="L50" s="162">
        <f>K50*1.014</f>
        <v>1249.1193943799997</v>
      </c>
      <c r="M50" s="162">
        <f>L50*1.0176</f>
        <v>1271.1038957210878</v>
      </c>
      <c r="N50" s="162">
        <f>M50*1.018</f>
        <v>1293.9837658440674</v>
      </c>
    </row>
    <row r="51" spans="1:16">
      <c r="A51" s="288"/>
      <c r="B51" s="272"/>
      <c r="C51" s="141" t="s">
        <v>3</v>
      </c>
      <c r="D51" s="163"/>
      <c r="E51" s="163"/>
      <c r="F51" s="163"/>
      <c r="G51" s="163"/>
      <c r="H51" s="163"/>
      <c r="I51" s="163">
        <v>1211.7</v>
      </c>
      <c r="J51" s="163">
        <v>1201.9000000000001</v>
      </c>
      <c r="K51" s="163"/>
      <c r="L51" s="163"/>
      <c r="M51" s="163"/>
      <c r="N51" s="163"/>
    </row>
    <row r="52" spans="1:16">
      <c r="A52" s="288"/>
      <c r="B52" s="272"/>
      <c r="C52" s="143" t="s">
        <v>1</v>
      </c>
      <c r="D52" s="164">
        <v>1227</v>
      </c>
      <c r="E52" s="164">
        <v>1177.5</v>
      </c>
      <c r="F52" s="164">
        <v>1184.7</v>
      </c>
      <c r="G52" s="164">
        <v>1184.8</v>
      </c>
      <c r="H52" s="164">
        <v>1175</v>
      </c>
      <c r="I52" s="164">
        <f>+AVERAGE(I49:I51)</f>
        <v>1210.1300000000001</v>
      </c>
      <c r="J52" s="164">
        <v>1210</v>
      </c>
      <c r="K52" s="164">
        <f>J52</f>
        <v>1210</v>
      </c>
      <c r="L52" s="164">
        <f t="shared" ref="L52:N52" si="11">K52</f>
        <v>1210</v>
      </c>
      <c r="M52" s="164">
        <f t="shared" si="11"/>
        <v>1210</v>
      </c>
      <c r="N52" s="164">
        <f t="shared" si="11"/>
        <v>1210</v>
      </c>
    </row>
    <row r="53" spans="1:16">
      <c r="A53" s="288"/>
      <c r="B53" s="33">
        <f>B38</f>
        <v>42705</v>
      </c>
      <c r="C53" s="133" t="s">
        <v>1</v>
      </c>
      <c r="D53" s="160">
        <v>1227</v>
      </c>
      <c r="E53" s="160">
        <v>1177.5</v>
      </c>
      <c r="F53" s="160">
        <v>1184.7</v>
      </c>
      <c r="G53" s="160">
        <v>1184.8</v>
      </c>
      <c r="H53" s="160">
        <v>1025.989</v>
      </c>
      <c r="I53" s="160">
        <v>1144.27</v>
      </c>
      <c r="J53" s="160">
        <v>1108.4450000000002</v>
      </c>
      <c r="K53" s="160">
        <v>1075.0999999999999</v>
      </c>
      <c r="L53" s="160">
        <v>1043.74</v>
      </c>
      <c r="M53" s="160">
        <v>1007.9</v>
      </c>
      <c r="N53" s="160"/>
      <c r="O53" s="112"/>
      <c r="P53" s="112"/>
    </row>
    <row r="54" spans="1:16" hidden="1">
      <c r="A54" s="288"/>
      <c r="B54" s="33">
        <v>41974</v>
      </c>
      <c r="C54" s="133" t="s">
        <v>1</v>
      </c>
      <c r="D54" s="160">
        <v>1227</v>
      </c>
      <c r="E54" s="160">
        <v>1177.5</v>
      </c>
      <c r="F54" s="160">
        <v>1187.3</v>
      </c>
      <c r="G54" s="160">
        <v>1181</v>
      </c>
      <c r="H54" s="160">
        <v>1150</v>
      </c>
      <c r="I54" s="160">
        <v>1118</v>
      </c>
      <c r="J54" s="160">
        <v>1088</v>
      </c>
      <c r="K54" s="160">
        <v>1052</v>
      </c>
      <c r="L54" s="160"/>
      <c r="M54" s="160"/>
      <c r="N54" s="160"/>
    </row>
    <row r="55" spans="1:16" hidden="1">
      <c r="A55" s="288"/>
      <c r="B55" s="33">
        <v>41852</v>
      </c>
      <c r="C55" s="133" t="s">
        <v>1</v>
      </c>
      <c r="D55" s="160">
        <v>1227</v>
      </c>
      <c r="E55" s="160">
        <v>1177.5</v>
      </c>
      <c r="F55" s="160">
        <v>1170</v>
      </c>
      <c r="G55" s="160">
        <v>1158.3</v>
      </c>
      <c r="H55" s="160">
        <v>1123.5509999999999</v>
      </c>
      <c r="I55" s="160">
        <v>1089.84447</v>
      </c>
      <c r="J55" s="160">
        <v>1057.1491358999999</v>
      </c>
      <c r="K55" s="160">
        <v>1025.4346618229999</v>
      </c>
      <c r="L55" s="160"/>
      <c r="M55" s="160"/>
      <c r="N55" s="160"/>
    </row>
    <row r="56" spans="1:16" hidden="1">
      <c r="A56" s="288"/>
      <c r="B56" s="33">
        <v>41499</v>
      </c>
      <c r="C56" s="133" t="s">
        <v>1</v>
      </c>
      <c r="D56" s="160">
        <v>1225.8499999999999</v>
      </c>
      <c r="E56" s="160">
        <v>1165</v>
      </c>
      <c r="F56" s="160">
        <v>1110</v>
      </c>
      <c r="G56" s="160">
        <v>1070</v>
      </c>
      <c r="H56" s="160">
        <v>1030</v>
      </c>
      <c r="I56" s="160">
        <v>1000</v>
      </c>
      <c r="J56" s="160">
        <v>960</v>
      </c>
      <c r="K56" s="165"/>
      <c r="L56" s="165"/>
      <c r="M56" s="165"/>
      <c r="N56" s="165"/>
    </row>
    <row r="57" spans="1:16" hidden="1">
      <c r="A57" s="288"/>
      <c r="B57" s="33">
        <v>41317</v>
      </c>
      <c r="C57" s="133" t="s">
        <v>1</v>
      </c>
      <c r="D57" s="165">
        <v>1226</v>
      </c>
      <c r="E57" s="165">
        <v>1185</v>
      </c>
      <c r="F57" s="165">
        <v>1151</v>
      </c>
      <c r="G57" s="165">
        <v>1121</v>
      </c>
      <c r="H57" s="165">
        <v>1090.1407234210708</v>
      </c>
      <c r="I57" s="165">
        <v>1048</v>
      </c>
      <c r="J57" s="165"/>
      <c r="K57" s="165"/>
      <c r="L57" s="165"/>
      <c r="M57" s="165"/>
      <c r="N57" s="165"/>
    </row>
    <row r="58" spans="1:16" hidden="1">
      <c r="A58" s="288"/>
      <c r="B58" s="33">
        <v>41244</v>
      </c>
      <c r="C58" s="133" t="s">
        <v>1</v>
      </c>
      <c r="D58" s="165">
        <v>1228.5423506666664</v>
      </c>
      <c r="E58" s="165">
        <v>1184.5870287874238</v>
      </c>
      <c r="F58" s="165">
        <v>1151.3778293463738</v>
      </c>
      <c r="G58" s="165">
        <v>1121.0332793283103</v>
      </c>
      <c r="H58" s="165">
        <v>1090.1407234210708</v>
      </c>
      <c r="I58" s="165">
        <v>1048</v>
      </c>
      <c r="J58" s="165">
        <v>1048</v>
      </c>
      <c r="K58" s="165"/>
      <c r="L58" s="165"/>
      <c r="M58" s="165"/>
      <c r="N58" s="165"/>
    </row>
    <row r="59" spans="1:16">
      <c r="A59" s="288"/>
      <c r="B59" s="33">
        <f>B49</f>
        <v>42948</v>
      </c>
      <c r="C59" s="292" t="s">
        <v>16</v>
      </c>
      <c r="D59" s="293"/>
      <c r="E59" s="167">
        <f t="shared" ref="E59:N61" si="12">(E52-D52)/D52</f>
        <v>-4.0342298288508556E-2</v>
      </c>
      <c r="F59" s="167">
        <f t="shared" si="12"/>
        <v>6.1146496815287013E-3</v>
      </c>
      <c r="G59" s="167">
        <f>(G52-F52)/F52</f>
        <v>8.4409555161567526E-5</v>
      </c>
      <c r="H59" s="167">
        <f t="shared" si="12"/>
        <v>-8.2714382174206239E-3</v>
      </c>
      <c r="I59" s="167">
        <f t="shared" si="12"/>
        <v>2.9897872340425624E-2</v>
      </c>
      <c r="J59" s="167">
        <f t="shared" si="12"/>
        <v>-1.0742647484163613E-4</v>
      </c>
      <c r="K59" s="167">
        <f t="shared" si="12"/>
        <v>0</v>
      </c>
      <c r="L59" s="167">
        <f t="shared" si="12"/>
        <v>0</v>
      </c>
      <c r="M59" s="167">
        <f t="shared" si="12"/>
        <v>0</v>
      </c>
      <c r="N59" s="167">
        <f t="shared" si="12"/>
        <v>0</v>
      </c>
    </row>
    <row r="60" spans="1:16">
      <c r="A60" s="288"/>
      <c r="B60" s="33">
        <f>B45</f>
        <v>42705</v>
      </c>
      <c r="C60" s="290" t="s">
        <v>16</v>
      </c>
      <c r="D60" s="291"/>
      <c r="E60" s="168">
        <f>(E53-D53)/D53</f>
        <v>-4.0342298288508556E-2</v>
      </c>
      <c r="F60" s="168">
        <f t="shared" si="12"/>
        <v>6.1146496815287013E-3</v>
      </c>
      <c r="G60" s="168">
        <f>(G53-F53)/F53</f>
        <v>8.4409555161567526E-5</v>
      </c>
      <c r="H60" s="168">
        <f t="shared" si="12"/>
        <v>-0.13404034436191756</v>
      </c>
      <c r="I60" s="168">
        <f t="shared" si="12"/>
        <v>0.115284861728537</v>
      </c>
      <c r="J60" s="168">
        <f t="shared" si="12"/>
        <v>-3.130817027449799E-2</v>
      </c>
      <c r="K60" s="168">
        <f t="shared" si="12"/>
        <v>-3.0082683398815684E-2</v>
      </c>
      <c r="L60" s="168">
        <f t="shared" si="12"/>
        <v>-2.9169379592595947E-2</v>
      </c>
      <c r="M60" s="168">
        <f t="shared" si="12"/>
        <v>-3.4338053538237524E-2</v>
      </c>
      <c r="N60" s="168">
        <f t="shared" si="12"/>
        <v>-1</v>
      </c>
    </row>
    <row r="61" spans="1:16" hidden="1">
      <c r="A61" s="288"/>
      <c r="B61" s="33">
        <v>41974</v>
      </c>
      <c r="C61" s="290" t="s">
        <v>16</v>
      </c>
      <c r="D61" s="291"/>
      <c r="E61" s="147">
        <f>(E54-D54)/D54</f>
        <v>-4.0342298288508556E-2</v>
      </c>
      <c r="F61" s="147">
        <f t="shared" si="12"/>
        <v>8.3227176220806408E-3</v>
      </c>
      <c r="G61" s="147">
        <f t="shared" si="12"/>
        <v>-5.3061568264128316E-3</v>
      </c>
      <c r="H61" s="147">
        <f t="shared" si="12"/>
        <v>-2.6248941574936496E-2</v>
      </c>
      <c r="I61" s="147">
        <f t="shared" si="12"/>
        <v>-2.782608695652174E-2</v>
      </c>
      <c r="J61" s="147">
        <f t="shared" si="12"/>
        <v>-2.6833631484794274E-2</v>
      </c>
      <c r="K61" s="147">
        <f t="shared" si="12"/>
        <v>-3.3088235294117647E-2</v>
      </c>
      <c r="L61" s="147">
        <f t="shared" si="12"/>
        <v>-1</v>
      </c>
      <c r="M61" s="147" t="e">
        <f t="shared" si="12"/>
        <v>#DIV/0!</v>
      </c>
    </row>
    <row r="62" spans="1:16" hidden="1">
      <c r="A62" s="289"/>
      <c r="B62" s="33">
        <v>41499</v>
      </c>
      <c r="C62" s="292" t="s">
        <v>16</v>
      </c>
      <c r="D62" s="293"/>
      <c r="E62" s="146">
        <f t="shared" ref="E62:J62" si="13">(E56-D56)/D56</f>
        <v>-4.9639025981971625E-2</v>
      </c>
      <c r="F62" s="146">
        <f t="shared" si="13"/>
        <v>-4.7210300429184553E-2</v>
      </c>
      <c r="G62" s="146">
        <f t="shared" si="13"/>
        <v>-3.6036036036036036E-2</v>
      </c>
      <c r="H62" s="146">
        <f t="shared" si="13"/>
        <v>-3.7383177570093455E-2</v>
      </c>
      <c r="I62" s="146">
        <f t="shared" si="13"/>
        <v>-2.9126213592233011E-2</v>
      </c>
      <c r="J62" s="146">
        <f t="shared" si="13"/>
        <v>-0.04</v>
      </c>
      <c r="K62" s="146"/>
      <c r="L62" s="146"/>
      <c r="M62" s="146"/>
    </row>
    <row r="63" spans="1:16">
      <c r="A63" s="108"/>
      <c r="B63" s="13"/>
      <c r="F63" s="112"/>
      <c r="G63" s="112"/>
      <c r="H63" s="112"/>
      <c r="I63" s="112"/>
      <c r="J63" s="112"/>
      <c r="K63" s="112"/>
      <c r="L63" s="112"/>
      <c r="M63" s="112"/>
    </row>
    <row r="64" spans="1:16">
      <c r="A64" s="9"/>
      <c r="B64" s="13"/>
      <c r="E64" s="94"/>
      <c r="F64" s="94"/>
      <c r="G64" s="112"/>
      <c r="H64" s="112"/>
      <c r="I64" s="112"/>
      <c r="J64" s="112"/>
      <c r="K64" s="112"/>
      <c r="L64" s="112"/>
      <c r="M64" s="112"/>
    </row>
    <row r="65" spans="1:13">
      <c r="A65" s="9"/>
      <c r="B65" s="13"/>
      <c r="E65" s="94"/>
      <c r="F65" s="94"/>
      <c r="G65" s="94"/>
      <c r="H65" s="112"/>
      <c r="I65" s="112"/>
      <c r="J65" s="112"/>
      <c r="K65" s="112"/>
      <c r="L65" s="112"/>
      <c r="M65" s="112"/>
    </row>
    <row r="66" spans="1:13">
      <c r="A66" s="9"/>
      <c r="B66" s="13"/>
    </row>
    <row r="67" spans="1:13">
      <c r="A67" s="9"/>
      <c r="B67" s="13"/>
    </row>
    <row r="68" spans="1:13">
      <c r="A68" s="9"/>
      <c r="B68" s="13"/>
    </row>
    <row r="69" spans="1:13">
      <c r="A69" s="9"/>
      <c r="B69" s="13"/>
    </row>
    <row r="70" spans="1:13">
      <c r="A70" s="9"/>
      <c r="B70" s="13"/>
    </row>
    <row r="71" spans="1:13">
      <c r="A71" s="9"/>
      <c r="B71" s="13"/>
    </row>
    <row r="72" spans="1:13">
      <c r="A72" s="9"/>
      <c r="B72" s="13"/>
    </row>
    <row r="73" spans="1:13">
      <c r="A73" s="9"/>
      <c r="B73" s="13"/>
    </row>
  </sheetData>
  <mergeCells count="25">
    <mergeCell ref="A2:A16"/>
    <mergeCell ref="B2:B6"/>
    <mergeCell ref="B7:B11"/>
    <mergeCell ref="C13:D13"/>
    <mergeCell ref="C14:D14"/>
    <mergeCell ref="C15:D15"/>
    <mergeCell ref="C16:D16"/>
    <mergeCell ref="A18:A31"/>
    <mergeCell ref="B18:B21"/>
    <mergeCell ref="C28:D28"/>
    <mergeCell ref="C29:D29"/>
    <mergeCell ref="C30:D30"/>
    <mergeCell ref="C31:D31"/>
    <mergeCell ref="A34:A47"/>
    <mergeCell ref="B34:B37"/>
    <mergeCell ref="C44:D44"/>
    <mergeCell ref="C45:D45"/>
    <mergeCell ref="C46:D46"/>
    <mergeCell ref="C47:D47"/>
    <mergeCell ref="A49:A62"/>
    <mergeCell ref="B49:B52"/>
    <mergeCell ref="C59:D59"/>
    <mergeCell ref="C60:D60"/>
    <mergeCell ref="C61:D61"/>
    <mergeCell ref="C62:D62"/>
  </mergeCells>
  <pageMargins left="0.5" right="0.17" top="0.63" bottom="0.75" header="0.3" footer="0.3"/>
  <pageSetup orientation="landscape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1:X73"/>
  <sheetViews>
    <sheetView zoomScale="110" zoomScaleNormal="110" workbookViewId="0">
      <pane ySplit="1" topLeftCell="A2" activePane="bottomLeft" state="frozen"/>
      <selection activeCell="I6" sqref="I6"/>
      <selection pane="bottomLeft" activeCell="I6" sqref="I6"/>
    </sheetView>
  </sheetViews>
  <sheetFormatPr defaultColWidth="9.28515625" defaultRowHeight="15"/>
  <cols>
    <col min="1" max="1" width="9.42578125" customWidth="1"/>
    <col min="2" max="2" width="7.5703125" bestFit="1" customWidth="1"/>
    <col min="3" max="3" width="8" customWidth="1"/>
    <col min="4" max="9" width="7.5703125" customWidth="1"/>
    <col min="10" max="14" width="9" customWidth="1"/>
    <col min="16" max="16" width="14.42578125" customWidth="1"/>
    <col min="17" max="21" width="9.7109375" bestFit="1" customWidth="1"/>
  </cols>
  <sheetData>
    <row r="1" spans="1:24" ht="34.5" customHeight="1">
      <c r="A1" s="8"/>
      <c r="B1" s="11"/>
      <c r="C1" s="133"/>
      <c r="D1" s="132" t="s">
        <v>17</v>
      </c>
      <c r="E1" s="132" t="s">
        <v>25</v>
      </c>
      <c r="F1" s="132" t="s">
        <v>73</v>
      </c>
      <c r="G1" s="132" t="s">
        <v>74</v>
      </c>
      <c r="H1" s="132" t="s">
        <v>75</v>
      </c>
      <c r="I1" s="132" t="s">
        <v>77</v>
      </c>
      <c r="J1" s="132" t="s">
        <v>21</v>
      </c>
      <c r="K1" s="132" t="s">
        <v>24</v>
      </c>
      <c r="L1" s="132" t="s">
        <v>27</v>
      </c>
      <c r="M1" s="132" t="s">
        <v>57</v>
      </c>
      <c r="N1" s="132" t="s">
        <v>76</v>
      </c>
      <c r="O1" s="187"/>
    </row>
    <row r="2" spans="1:24">
      <c r="A2" s="284" t="s">
        <v>10</v>
      </c>
      <c r="B2" s="273">
        <v>43070</v>
      </c>
      <c r="C2" s="134" t="s">
        <v>4</v>
      </c>
      <c r="D2" s="135"/>
      <c r="E2" s="135"/>
      <c r="F2" s="135"/>
      <c r="G2" s="135"/>
      <c r="H2" s="135"/>
      <c r="I2" s="135"/>
      <c r="J2" s="135">
        <v>47.49</v>
      </c>
      <c r="K2" s="135">
        <v>49.92</v>
      </c>
      <c r="L2" s="135">
        <v>52.47</v>
      </c>
      <c r="M2" s="135">
        <v>56.9</v>
      </c>
      <c r="N2" s="135">
        <v>58.61</v>
      </c>
      <c r="O2" s="188"/>
      <c r="P2" t="s">
        <v>28</v>
      </c>
      <c r="Q2" t="s">
        <v>29</v>
      </c>
      <c r="R2" t="s">
        <v>68</v>
      </c>
      <c r="S2" t="s">
        <v>69</v>
      </c>
      <c r="T2" t="s">
        <v>70</v>
      </c>
      <c r="U2" t="s">
        <v>71</v>
      </c>
      <c r="V2" t="s">
        <v>78</v>
      </c>
    </row>
    <row r="3" spans="1:24">
      <c r="A3" s="285"/>
      <c r="B3" s="272"/>
      <c r="C3" s="136" t="s">
        <v>2</v>
      </c>
      <c r="D3" s="137"/>
      <c r="E3" s="138"/>
      <c r="F3" s="138"/>
      <c r="G3" s="138"/>
      <c r="H3" s="138"/>
      <c r="I3" s="138"/>
      <c r="J3" s="138">
        <v>48.89</v>
      </c>
      <c r="K3" s="138">
        <v>51.04</v>
      </c>
      <c r="L3" s="138">
        <v>53.19</v>
      </c>
      <c r="M3" s="138">
        <v>57.53</v>
      </c>
      <c r="N3" s="138">
        <v>59.42</v>
      </c>
      <c r="O3" s="188"/>
      <c r="P3" t="s">
        <v>72</v>
      </c>
    </row>
    <row r="4" spans="1:24">
      <c r="A4" s="285"/>
      <c r="B4" s="272"/>
      <c r="C4" s="139" t="s">
        <v>0</v>
      </c>
      <c r="D4" s="140"/>
      <c r="E4" s="140"/>
      <c r="F4" s="140"/>
      <c r="G4" s="140"/>
      <c r="H4" s="140"/>
      <c r="I4" s="140"/>
      <c r="J4" s="140">
        <v>47.74</v>
      </c>
      <c r="K4" s="140">
        <v>49.49</v>
      </c>
      <c r="L4" s="140">
        <v>49.01</v>
      </c>
      <c r="M4" s="140">
        <v>48.94</v>
      </c>
      <c r="N4" s="140">
        <v>49.19</v>
      </c>
      <c r="O4" s="189"/>
      <c r="P4" s="185">
        <f t="shared" ref="P4:V4" si="0">(H6*H21)+(H37*H52)</f>
        <v>8396.0949999999993</v>
      </c>
      <c r="Q4" s="185">
        <f t="shared" si="0"/>
        <v>10862.2</v>
      </c>
      <c r="R4" s="185">
        <f t="shared" si="0"/>
        <v>11501.525</v>
      </c>
      <c r="S4" s="185">
        <f t="shared" si="0"/>
        <v>11984</v>
      </c>
      <c r="T4" s="185">
        <f t="shared" si="0"/>
        <v>12237.095095386667</v>
      </c>
      <c r="U4" s="185">
        <f t="shared" si="0"/>
        <v>12460</v>
      </c>
      <c r="V4" s="185">
        <f t="shared" si="0"/>
        <v>12701</v>
      </c>
    </row>
    <row r="5" spans="1:24">
      <c r="A5" s="285"/>
      <c r="B5" s="272"/>
      <c r="C5" s="141" t="s">
        <v>3</v>
      </c>
      <c r="D5" s="142"/>
      <c r="E5" s="142"/>
      <c r="F5" s="142"/>
      <c r="G5" s="142"/>
      <c r="H5" s="142"/>
      <c r="I5" s="142"/>
      <c r="J5" s="142">
        <v>46.58</v>
      </c>
      <c r="K5" s="142">
        <v>48.51</v>
      </c>
      <c r="L5" s="142">
        <v>49.38</v>
      </c>
      <c r="M5" s="142">
        <v>51.82</v>
      </c>
      <c r="N5" s="142">
        <v>52.94</v>
      </c>
      <c r="O5" s="188"/>
    </row>
    <row r="6" spans="1:24">
      <c r="A6" s="285"/>
      <c r="B6" s="272"/>
      <c r="C6" s="143" t="s">
        <v>1</v>
      </c>
      <c r="D6" s="144">
        <v>89.65</v>
      </c>
      <c r="E6" s="144">
        <v>85.82</v>
      </c>
      <c r="F6" s="144">
        <v>95.13</v>
      </c>
      <c r="G6" s="144">
        <v>60.67</v>
      </c>
      <c r="H6" s="144">
        <v>37.85</v>
      </c>
      <c r="I6" s="144">
        <v>45</v>
      </c>
      <c r="J6" s="144">
        <v>47.5</v>
      </c>
      <c r="K6" s="144">
        <v>49.5</v>
      </c>
      <c r="L6" s="144">
        <v>50.5</v>
      </c>
      <c r="M6" s="144">
        <v>51.5</v>
      </c>
      <c r="N6" s="144">
        <v>52.5</v>
      </c>
      <c r="O6" s="200"/>
      <c r="P6" t="s">
        <v>30</v>
      </c>
      <c r="X6" s="93"/>
    </row>
    <row r="7" spans="1:24">
      <c r="A7" s="285"/>
      <c r="B7" s="273">
        <v>42948</v>
      </c>
      <c r="C7" s="133" t="s">
        <v>1</v>
      </c>
      <c r="D7" s="138">
        <v>89.65</v>
      </c>
      <c r="E7" s="138">
        <v>85.82</v>
      </c>
      <c r="F7" s="138">
        <v>95.13</v>
      </c>
      <c r="G7" s="138">
        <v>60.67</v>
      </c>
      <c r="H7" s="138">
        <v>37.85</v>
      </c>
      <c r="I7" s="138">
        <v>45.1</v>
      </c>
      <c r="J7" s="138">
        <v>44.5</v>
      </c>
      <c r="K7" s="138">
        <v>45.5</v>
      </c>
      <c r="L7" s="138">
        <v>47</v>
      </c>
      <c r="M7" s="138">
        <v>48</v>
      </c>
      <c r="N7" s="138">
        <v>50</v>
      </c>
      <c r="O7" s="189"/>
      <c r="P7" s="185">
        <f>(H6-H7)*(H21-H22)+(H37-H38*(H52-H53))</f>
        <v>2.42</v>
      </c>
      <c r="Q7" s="185">
        <f t="shared" ref="Q7:V7" si="1">(I6-I7)*(I21-I22)*(1-0.11)+(I37-I38*(I52-I53)*(1-0.24))</f>
        <v>-21.859000000000009</v>
      </c>
      <c r="R7" s="185">
        <f t="shared" si="1"/>
        <v>-32.807600000000114</v>
      </c>
      <c r="S7" s="185">
        <f t="shared" si="1"/>
        <v>0.28999999999999915</v>
      </c>
      <c r="T7" s="185">
        <f t="shared" si="1"/>
        <v>44.34706733866701</v>
      </c>
      <c r="U7" s="185">
        <f t="shared" si="1"/>
        <v>69.010000000000005</v>
      </c>
      <c r="V7" s="185">
        <f t="shared" si="1"/>
        <v>85.00500000000001</v>
      </c>
      <c r="X7" s="93"/>
    </row>
    <row r="8" spans="1:24" hidden="1">
      <c r="A8" s="285"/>
      <c r="B8" s="272"/>
      <c r="C8" s="133" t="s">
        <v>1</v>
      </c>
      <c r="D8" s="138">
        <v>89.65</v>
      </c>
      <c r="E8" s="138">
        <v>85.82</v>
      </c>
      <c r="F8" s="138">
        <v>95.14</v>
      </c>
      <c r="G8" s="138">
        <v>71</v>
      </c>
      <c r="H8" s="138">
        <v>66</v>
      </c>
      <c r="I8" s="138">
        <v>72</v>
      </c>
      <c r="J8" s="138">
        <v>76</v>
      </c>
      <c r="K8" s="138">
        <v>80</v>
      </c>
      <c r="L8" s="138"/>
      <c r="M8" s="138"/>
    </row>
    <row r="9" spans="1:24" hidden="1">
      <c r="A9" s="285"/>
      <c r="B9" s="272"/>
      <c r="C9" s="133" t="s">
        <v>1</v>
      </c>
      <c r="D9" s="138">
        <v>89.65</v>
      </c>
      <c r="E9" s="138">
        <v>85.82</v>
      </c>
      <c r="F9" s="138">
        <v>95.75</v>
      </c>
      <c r="G9" s="138">
        <v>92</v>
      </c>
      <c r="H9" s="138">
        <v>88</v>
      </c>
      <c r="I9" s="138">
        <v>87</v>
      </c>
      <c r="J9" s="138">
        <v>86</v>
      </c>
      <c r="K9" s="138">
        <v>85</v>
      </c>
      <c r="L9" s="138"/>
      <c r="M9" s="138"/>
    </row>
    <row r="10" spans="1:24" hidden="1">
      <c r="A10" s="285"/>
      <c r="B10" s="272"/>
      <c r="C10" s="133" t="s">
        <v>1</v>
      </c>
      <c r="D10" s="138">
        <v>90</v>
      </c>
      <c r="E10" s="138">
        <v>87</v>
      </c>
      <c r="F10" s="138">
        <v>94</v>
      </c>
      <c r="G10" s="138">
        <v>87.5</v>
      </c>
      <c r="H10" s="138">
        <v>85</v>
      </c>
      <c r="I10" s="138">
        <v>84</v>
      </c>
      <c r="J10" s="138">
        <v>84</v>
      </c>
      <c r="K10" s="138"/>
      <c r="L10" s="138"/>
      <c r="M10" s="138"/>
    </row>
    <row r="11" spans="1:24" hidden="1">
      <c r="A11" s="285"/>
      <c r="B11" s="272"/>
      <c r="C11" s="133" t="s">
        <v>1</v>
      </c>
      <c r="D11" s="145">
        <v>90</v>
      </c>
      <c r="E11" s="145">
        <v>86.5</v>
      </c>
      <c r="F11" s="145">
        <v>88</v>
      </c>
      <c r="G11" s="145">
        <v>87.5</v>
      </c>
      <c r="H11" s="145">
        <v>87</v>
      </c>
      <c r="I11" s="145">
        <v>86.5</v>
      </c>
      <c r="J11" s="145"/>
      <c r="K11" s="145"/>
      <c r="L11" s="145"/>
      <c r="M11" s="145"/>
    </row>
    <row r="12" spans="1:24" hidden="1">
      <c r="A12" s="285"/>
      <c r="B12" s="33">
        <v>41244</v>
      </c>
      <c r="C12" s="133" t="s">
        <v>1</v>
      </c>
      <c r="D12" s="145">
        <v>89.640506965377526</v>
      </c>
      <c r="E12" s="145">
        <v>85</v>
      </c>
      <c r="F12" s="145">
        <v>84.75</v>
      </c>
      <c r="G12" s="145">
        <v>83.5</v>
      </c>
      <c r="H12" s="145">
        <v>82.5</v>
      </c>
      <c r="I12" s="145">
        <v>83</v>
      </c>
      <c r="J12" s="145">
        <v>83</v>
      </c>
      <c r="K12" s="145"/>
      <c r="L12" s="145"/>
      <c r="M12" s="145"/>
    </row>
    <row r="13" spans="1:24" hidden="1">
      <c r="A13" s="285"/>
      <c r="B13" s="33">
        <v>42217</v>
      </c>
      <c r="C13" s="292" t="s">
        <v>16</v>
      </c>
      <c r="D13" s="293"/>
      <c r="E13" s="146">
        <f t="shared" ref="E13:M13" si="2">+E6/D6-1</f>
        <v>-4.2721695482431765E-2</v>
      </c>
      <c r="F13" s="146">
        <f>+F6/E6-1</f>
        <v>0.10848287112561183</v>
      </c>
      <c r="G13" s="166">
        <f>+G6/F6-1</f>
        <v>-0.36224114369809735</v>
      </c>
      <c r="H13" s="146">
        <f t="shared" si="2"/>
        <v>-0.37613317949563208</v>
      </c>
      <c r="I13" s="146">
        <f t="shared" si="2"/>
        <v>0.18890356671070019</v>
      </c>
      <c r="J13" s="146">
        <f t="shared" si="2"/>
        <v>5.555555555555558E-2</v>
      </c>
      <c r="K13" s="146">
        <f t="shared" si="2"/>
        <v>4.2105263157894646E-2</v>
      </c>
      <c r="L13" s="146">
        <f t="shared" si="2"/>
        <v>2.020202020202011E-2</v>
      </c>
      <c r="M13" s="146">
        <f t="shared" si="2"/>
        <v>1.980198019801982E-2</v>
      </c>
    </row>
    <row r="14" spans="1:24" hidden="1">
      <c r="A14" s="285"/>
      <c r="B14" s="33">
        <v>42031</v>
      </c>
      <c r="C14" s="290" t="s">
        <v>16</v>
      </c>
      <c r="D14" s="291"/>
      <c r="E14" s="147">
        <f t="shared" ref="E14:K15" si="3">(E7-D7)/D7</f>
        <v>-4.2721695482431814E-2</v>
      </c>
      <c r="F14" s="147">
        <f t="shared" si="3"/>
        <v>0.10848287112561178</v>
      </c>
      <c r="G14" s="147">
        <f t="shared" si="3"/>
        <v>-0.36224114369809729</v>
      </c>
      <c r="H14" s="147">
        <f t="shared" si="3"/>
        <v>-0.37613317949563208</v>
      </c>
      <c r="I14" s="147">
        <f t="shared" si="3"/>
        <v>0.19154557463672389</v>
      </c>
      <c r="J14" s="147">
        <f t="shared" si="3"/>
        <v>-1.3303769401330408E-2</v>
      </c>
      <c r="K14" s="147">
        <f t="shared" si="3"/>
        <v>2.247191011235955E-2</v>
      </c>
      <c r="L14" s="147"/>
      <c r="M14" s="147"/>
    </row>
    <row r="15" spans="1:24" hidden="1">
      <c r="A15" s="285"/>
      <c r="B15" s="33">
        <v>41974</v>
      </c>
      <c r="C15" s="290" t="s">
        <v>16</v>
      </c>
      <c r="D15" s="291"/>
      <c r="E15" s="147">
        <f t="shared" si="3"/>
        <v>-4.2721695482431814E-2</v>
      </c>
      <c r="F15" s="147">
        <f t="shared" si="3"/>
        <v>0.10859939408063397</v>
      </c>
      <c r="G15" s="147">
        <f t="shared" si="3"/>
        <v>-0.2537313432835821</v>
      </c>
      <c r="H15" s="147">
        <f t="shared" si="3"/>
        <v>-7.0422535211267609E-2</v>
      </c>
      <c r="I15" s="147">
        <f t="shared" si="3"/>
        <v>9.0909090909090912E-2</v>
      </c>
      <c r="J15" s="147">
        <f t="shared" si="3"/>
        <v>5.5555555555555552E-2</v>
      </c>
      <c r="K15" s="147"/>
      <c r="L15" s="147"/>
      <c r="M15" s="147"/>
    </row>
    <row r="16" spans="1:24" hidden="1">
      <c r="A16" s="286"/>
      <c r="B16" s="33">
        <v>41499</v>
      </c>
      <c r="C16" s="292" t="s">
        <v>16</v>
      </c>
      <c r="D16" s="293"/>
      <c r="E16" s="146">
        <f t="shared" ref="E16:J16" si="4">(E10-D10)/D10</f>
        <v>-3.3333333333333333E-2</v>
      </c>
      <c r="F16" s="146">
        <f t="shared" si="4"/>
        <v>8.0459770114942528E-2</v>
      </c>
      <c r="G16" s="146">
        <f t="shared" si="4"/>
        <v>-6.9148936170212769E-2</v>
      </c>
      <c r="H16" s="146">
        <f t="shared" si="4"/>
        <v>-2.8571428571428571E-2</v>
      </c>
      <c r="I16" s="146">
        <f t="shared" si="4"/>
        <v>-1.1764705882352941E-2</v>
      </c>
      <c r="J16" s="146">
        <f t="shared" si="4"/>
        <v>0</v>
      </c>
      <c r="K16" s="146"/>
      <c r="L16" s="146"/>
      <c r="M16" s="146"/>
    </row>
    <row r="17" spans="1:21">
      <c r="A17" s="65"/>
      <c r="B17" s="65"/>
      <c r="C17" s="65"/>
      <c r="D17" s="65"/>
      <c r="E17" s="65"/>
      <c r="F17" s="65"/>
      <c r="G17" s="126"/>
      <c r="H17" s="128"/>
      <c r="I17" s="128"/>
      <c r="J17" s="128"/>
      <c r="K17" s="128"/>
      <c r="L17" s="128"/>
      <c r="M17" s="128"/>
      <c r="Q17" s="112">
        <f>Q7/Q4</f>
        <v>-2.0123915965458202E-3</v>
      </c>
      <c r="R17" s="112">
        <f t="shared" ref="R17:U17" si="5">R7/R4</f>
        <v>-2.8524565220699096E-3</v>
      </c>
      <c r="S17" s="112">
        <f t="shared" si="5"/>
        <v>2.4198931909212211E-5</v>
      </c>
      <c r="T17" s="112">
        <f t="shared" si="5"/>
        <v>3.6239864929533535E-3</v>
      </c>
      <c r="U17" s="112">
        <f t="shared" si="5"/>
        <v>5.5385232744783307E-3</v>
      </c>
    </row>
    <row r="18" spans="1:21">
      <c r="A18" s="281" t="s">
        <v>12</v>
      </c>
      <c r="B18" s="273">
        <f>B2</f>
        <v>43070</v>
      </c>
      <c r="C18" s="136" t="s">
        <v>2</v>
      </c>
      <c r="D18" s="148"/>
      <c r="E18" s="148"/>
      <c r="F18" s="148"/>
      <c r="G18" s="148"/>
      <c r="H18" s="148"/>
      <c r="I18" s="148"/>
      <c r="J18" s="148">
        <v>158.1</v>
      </c>
      <c r="K18" s="148">
        <v>162.9</v>
      </c>
      <c r="L18" s="148">
        <v>169</v>
      </c>
      <c r="M18" s="148">
        <v>174.9</v>
      </c>
      <c r="N18" s="148">
        <v>180.6</v>
      </c>
      <c r="O18" s="190"/>
    </row>
    <row r="19" spans="1:21">
      <c r="A19" s="281"/>
      <c r="B19" s="272"/>
      <c r="C19" s="139" t="s">
        <v>0</v>
      </c>
      <c r="D19" s="149"/>
      <c r="E19" s="149"/>
      <c r="F19" s="149"/>
      <c r="G19" s="149"/>
      <c r="H19" s="149"/>
      <c r="I19" s="149"/>
      <c r="J19" s="149">
        <f>(I21*0.04)+I21</f>
        <v>159.12</v>
      </c>
      <c r="K19" s="149">
        <f>J19+(J19*0.03)</f>
        <v>163.89359999999999</v>
      </c>
      <c r="L19" s="149">
        <f>K19+(K19*0.02)</f>
        <v>167.17147199999999</v>
      </c>
      <c r="M19" s="149">
        <f>L19+(L19*0.01)</f>
        <v>168.84318672000001</v>
      </c>
      <c r="N19" s="149">
        <f>M19+(M19*0.01)</f>
        <v>170.5316185872</v>
      </c>
      <c r="O19" s="191"/>
    </row>
    <row r="20" spans="1:21">
      <c r="A20" s="281"/>
      <c r="B20" s="272"/>
      <c r="C20" s="141" t="s">
        <v>3</v>
      </c>
      <c r="D20" s="151"/>
      <c r="E20" s="151"/>
      <c r="F20" s="151"/>
      <c r="G20" s="151"/>
      <c r="H20" s="151"/>
      <c r="I20" s="151"/>
      <c r="J20" s="151">
        <v>158.5</v>
      </c>
      <c r="K20" s="151">
        <v>161.69999999999999</v>
      </c>
      <c r="L20" s="151">
        <v>164.9</v>
      </c>
      <c r="M20" s="151">
        <v>165</v>
      </c>
      <c r="N20" s="151">
        <v>165</v>
      </c>
      <c r="O20" s="191"/>
    </row>
    <row r="21" spans="1:21">
      <c r="A21" s="281"/>
      <c r="B21" s="272"/>
      <c r="C21" s="143" t="s">
        <v>1</v>
      </c>
      <c r="D21" s="152">
        <v>80.3</v>
      </c>
      <c r="E21" s="152">
        <v>96.4</v>
      </c>
      <c r="F21" s="153">
        <v>113.9</v>
      </c>
      <c r="G21" s="153">
        <v>141.4</v>
      </c>
      <c r="H21" s="153">
        <v>146.69999999999999</v>
      </c>
      <c r="I21" s="153">
        <v>153</v>
      </c>
      <c r="J21" s="153">
        <v>158</v>
      </c>
      <c r="K21" s="153">
        <v>162</v>
      </c>
      <c r="L21" s="153">
        <v>165</v>
      </c>
      <c r="M21" s="153">
        <v>168</v>
      </c>
      <c r="N21" s="153">
        <v>170</v>
      </c>
      <c r="O21" s="201"/>
    </row>
    <row r="22" spans="1:21">
      <c r="A22" s="281"/>
      <c r="B22" s="33">
        <f>B7</f>
        <v>42948</v>
      </c>
      <c r="C22" s="133" t="s">
        <v>1</v>
      </c>
      <c r="D22" s="154">
        <v>80.3</v>
      </c>
      <c r="E22" s="154">
        <v>96.4</v>
      </c>
      <c r="F22" s="154">
        <v>113.9</v>
      </c>
      <c r="G22" s="154">
        <v>141.4</v>
      </c>
      <c r="H22" s="154">
        <v>146.69999999999999</v>
      </c>
      <c r="I22" s="154">
        <v>150</v>
      </c>
      <c r="J22" s="154">
        <v>153</v>
      </c>
      <c r="K22" s="154">
        <v>156</v>
      </c>
      <c r="L22" s="154">
        <v>159</v>
      </c>
      <c r="M22" s="154">
        <v>162</v>
      </c>
      <c r="N22" s="154">
        <v>165</v>
      </c>
      <c r="O22" s="191"/>
      <c r="P22" s="131"/>
      <c r="S22" s="131"/>
    </row>
    <row r="23" spans="1:21" hidden="1">
      <c r="A23" s="281"/>
      <c r="B23" s="33">
        <v>41974</v>
      </c>
      <c r="C23" s="133" t="s">
        <v>1</v>
      </c>
      <c r="D23" s="154">
        <v>80.3</v>
      </c>
      <c r="E23" s="154">
        <v>96.4</v>
      </c>
      <c r="F23" s="154">
        <v>113.4</v>
      </c>
      <c r="G23" s="154">
        <v>122</v>
      </c>
      <c r="H23" s="154">
        <v>127</v>
      </c>
      <c r="I23" s="154">
        <v>131</v>
      </c>
      <c r="J23" s="154">
        <v>133</v>
      </c>
      <c r="K23" s="154">
        <v>135</v>
      </c>
      <c r="L23" s="154"/>
      <c r="M23" s="154"/>
      <c r="N23" s="154"/>
      <c r="O23" s="191"/>
    </row>
    <row r="24" spans="1:21" hidden="1">
      <c r="A24" s="281"/>
      <c r="B24" s="33">
        <v>41852</v>
      </c>
      <c r="C24" s="133" t="s">
        <v>1</v>
      </c>
      <c r="D24" s="154">
        <v>80.3</v>
      </c>
      <c r="E24" s="154">
        <v>96.4</v>
      </c>
      <c r="F24" s="154">
        <v>110</v>
      </c>
      <c r="G24" s="154">
        <v>117</v>
      </c>
      <c r="H24" s="154">
        <v>122</v>
      </c>
      <c r="I24" s="154">
        <v>125</v>
      </c>
      <c r="J24" s="154">
        <v>127</v>
      </c>
      <c r="K24" s="154">
        <v>129</v>
      </c>
      <c r="L24" s="154"/>
      <c r="M24" s="154"/>
      <c r="N24" s="154"/>
      <c r="O24" s="191"/>
    </row>
    <row r="25" spans="1:21" hidden="1">
      <c r="A25" s="281"/>
      <c r="B25" s="33">
        <v>41499</v>
      </c>
      <c r="C25" s="133" t="s">
        <v>1</v>
      </c>
      <c r="D25" s="154">
        <v>80.069999999999993</v>
      </c>
      <c r="E25" s="154">
        <v>90</v>
      </c>
      <c r="F25" s="154">
        <v>93</v>
      </c>
      <c r="G25" s="154">
        <v>97</v>
      </c>
      <c r="H25" s="154">
        <v>100</v>
      </c>
      <c r="I25" s="154">
        <v>101</v>
      </c>
      <c r="J25" s="154">
        <v>102</v>
      </c>
      <c r="K25" s="154"/>
      <c r="L25" s="154"/>
      <c r="M25" s="154"/>
      <c r="N25" s="154"/>
      <c r="O25" s="191"/>
    </row>
    <row r="26" spans="1:21" hidden="1">
      <c r="A26" s="281"/>
      <c r="B26" s="33">
        <v>41317</v>
      </c>
      <c r="C26" s="133" t="s">
        <v>1</v>
      </c>
      <c r="D26" s="155">
        <v>80.099999999999994</v>
      </c>
      <c r="E26" s="155">
        <v>87</v>
      </c>
      <c r="F26" s="155">
        <v>91.4</v>
      </c>
      <c r="G26" s="155">
        <v>94.1</v>
      </c>
      <c r="H26" s="155">
        <v>96</v>
      </c>
      <c r="I26" s="155">
        <v>97.9</v>
      </c>
      <c r="J26" s="155"/>
      <c r="K26" s="155"/>
      <c r="L26" s="155"/>
      <c r="M26" s="155"/>
      <c r="N26" s="155"/>
      <c r="O26" s="192"/>
    </row>
    <row r="27" spans="1:21" hidden="1">
      <c r="A27" s="281"/>
      <c r="B27" s="33">
        <v>41244</v>
      </c>
      <c r="C27" s="133" t="s">
        <v>1</v>
      </c>
      <c r="D27" s="155">
        <v>79.7</v>
      </c>
      <c r="E27" s="155">
        <v>84.119744824999998</v>
      </c>
      <c r="F27" s="155">
        <v>88.406534618000009</v>
      </c>
      <c r="G27" s="155">
        <v>92.434230656539995</v>
      </c>
      <c r="H27" s="155">
        <v>96.132415269670815</v>
      </c>
      <c r="I27" s="155">
        <v>97.6</v>
      </c>
      <c r="J27" s="155">
        <v>97.6</v>
      </c>
      <c r="K27" s="155"/>
      <c r="L27" s="155"/>
      <c r="M27" s="155"/>
      <c r="N27" s="155"/>
      <c r="O27" s="192"/>
    </row>
    <row r="28" spans="1:21">
      <c r="A28" s="281"/>
      <c r="B28" s="33">
        <f>B18</f>
        <v>43070</v>
      </c>
      <c r="C28" s="292" t="s">
        <v>16</v>
      </c>
      <c r="D28" s="293"/>
      <c r="E28" s="167">
        <f t="shared" ref="E28:N29" si="6">(E21-D21)/D21</f>
        <v>0.20049813200498143</v>
      </c>
      <c r="F28" s="167">
        <f>(F21-E21)/E21</f>
        <v>0.18153526970954356</v>
      </c>
      <c r="G28" s="167">
        <f t="shared" si="6"/>
        <v>0.24143985952589991</v>
      </c>
      <c r="H28" s="167">
        <f t="shared" si="6"/>
        <v>3.7482319660537361E-2</v>
      </c>
      <c r="I28" s="167">
        <f>(I21-H21)/H21</f>
        <v>4.2944785276073698E-2</v>
      </c>
      <c r="J28" s="167">
        <f>(J21-I21)/I21</f>
        <v>3.2679738562091505E-2</v>
      </c>
      <c r="K28" s="167">
        <f t="shared" si="6"/>
        <v>2.5316455696202531E-2</v>
      </c>
      <c r="L28" s="167">
        <f>(L21-K21)/K21</f>
        <v>1.8518518518518517E-2</v>
      </c>
      <c r="M28" s="167">
        <f>(M21-L21)/L21</f>
        <v>1.8181818181818181E-2</v>
      </c>
      <c r="N28" s="167">
        <f>(N21-M21)/M21</f>
        <v>1.1904761904761904E-2</v>
      </c>
      <c r="O28" s="193"/>
    </row>
    <row r="29" spans="1:21">
      <c r="A29" s="281"/>
      <c r="B29" s="33">
        <f>B7</f>
        <v>42948</v>
      </c>
      <c r="C29" s="290" t="s">
        <v>16</v>
      </c>
      <c r="D29" s="291"/>
      <c r="E29" s="168">
        <f>(E22-D22)/D22</f>
        <v>0.20049813200498143</v>
      </c>
      <c r="F29" s="168">
        <f t="shared" ref="F29:N30" si="7">(F22-E22)/E22</f>
        <v>0.18153526970954356</v>
      </c>
      <c r="G29" s="168">
        <f>(G22-F22)/F22</f>
        <v>0.24143985952589991</v>
      </c>
      <c r="H29" s="168">
        <f t="shared" si="6"/>
        <v>3.7482319660537361E-2</v>
      </c>
      <c r="I29" s="168">
        <f>(I22-H22)/H22</f>
        <v>2.2494887525562453E-2</v>
      </c>
      <c r="J29" s="168">
        <f t="shared" si="6"/>
        <v>0.02</v>
      </c>
      <c r="K29" s="168">
        <f>(K22-J22)/J22</f>
        <v>1.9607843137254902E-2</v>
      </c>
      <c r="L29" s="168">
        <f t="shared" si="6"/>
        <v>1.9230769230769232E-2</v>
      </c>
      <c r="M29" s="168">
        <f t="shared" si="6"/>
        <v>1.8867924528301886E-2</v>
      </c>
      <c r="N29" s="168">
        <f t="shared" si="6"/>
        <v>1.8518518518518517E-2</v>
      </c>
      <c r="O29" s="194"/>
      <c r="P29" s="127"/>
    </row>
    <row r="30" spans="1:21" hidden="1">
      <c r="A30" s="281"/>
      <c r="B30" s="33">
        <v>41974</v>
      </c>
      <c r="C30" s="290" t="s">
        <v>16</v>
      </c>
      <c r="D30" s="291"/>
      <c r="E30" s="147">
        <f>(E23-D23)/D23</f>
        <v>0.20049813200498143</v>
      </c>
      <c r="F30" s="147">
        <f t="shared" si="7"/>
        <v>0.17634854771784231</v>
      </c>
      <c r="G30" s="147">
        <f t="shared" si="7"/>
        <v>7.5837742504409111E-2</v>
      </c>
      <c r="H30" s="147">
        <f t="shared" si="7"/>
        <v>4.0983606557377046E-2</v>
      </c>
      <c r="I30" s="147">
        <f t="shared" si="7"/>
        <v>3.1496062992125984E-2</v>
      </c>
      <c r="J30" s="147">
        <f t="shared" si="7"/>
        <v>1.5267175572519083E-2</v>
      </c>
      <c r="K30" s="147">
        <f t="shared" si="7"/>
        <v>1.5037593984962405E-2</v>
      </c>
      <c r="L30" s="147">
        <f t="shared" si="7"/>
        <v>-1</v>
      </c>
      <c r="M30" s="147" t="e">
        <f t="shared" si="7"/>
        <v>#DIV/0!</v>
      </c>
      <c r="N30" s="147" t="e">
        <f t="shared" si="7"/>
        <v>#DIV/0!</v>
      </c>
      <c r="O30" s="195"/>
    </row>
    <row r="31" spans="1:21" hidden="1">
      <c r="A31" s="281"/>
      <c r="B31" s="33">
        <v>41499</v>
      </c>
      <c r="C31" s="292" t="s">
        <v>16</v>
      </c>
      <c r="D31" s="293"/>
      <c r="E31" s="146">
        <f t="shared" ref="E31:J31" si="8">(E25-D25)/D25</f>
        <v>0.12401648557512186</v>
      </c>
      <c r="F31" s="146">
        <f t="shared" si="8"/>
        <v>3.3333333333333333E-2</v>
      </c>
      <c r="G31" s="146">
        <f t="shared" si="8"/>
        <v>4.3010752688172046E-2</v>
      </c>
      <c r="H31" s="146">
        <f t="shared" si="8"/>
        <v>3.0927835051546393E-2</v>
      </c>
      <c r="I31" s="146">
        <f t="shared" si="8"/>
        <v>0.01</v>
      </c>
      <c r="J31" s="146">
        <f t="shared" si="8"/>
        <v>9.9009900990099011E-3</v>
      </c>
      <c r="K31" s="146"/>
      <c r="L31" s="146"/>
      <c r="M31" s="146"/>
      <c r="N31" s="146"/>
      <c r="O31" s="174"/>
    </row>
    <row r="32" spans="1:21">
      <c r="A32" s="106"/>
      <c r="B32" s="107"/>
      <c r="C32" s="156"/>
      <c r="D32" s="156"/>
      <c r="E32" s="157"/>
      <c r="F32" s="157"/>
      <c r="G32" s="158"/>
      <c r="H32" s="158"/>
      <c r="I32" s="158"/>
      <c r="J32" s="158"/>
      <c r="K32" s="158"/>
      <c r="L32" s="158"/>
      <c r="M32" s="158"/>
      <c r="N32" s="158"/>
      <c r="O32" s="196"/>
    </row>
    <row r="33" spans="1:17">
      <c r="A33" s="298" t="s">
        <v>18</v>
      </c>
      <c r="B33" s="300">
        <f>B2</f>
        <v>43070</v>
      </c>
      <c r="C33" s="134" t="s">
        <v>4</v>
      </c>
      <c r="D33" s="135"/>
      <c r="E33" s="135"/>
      <c r="F33" s="135"/>
      <c r="G33" s="135"/>
      <c r="H33" s="135"/>
      <c r="I33" s="135"/>
      <c r="J33" s="135">
        <v>3.23</v>
      </c>
      <c r="K33" s="135">
        <v>3.26</v>
      </c>
      <c r="L33" s="135">
        <v>3.3</v>
      </c>
      <c r="M33" s="135">
        <v>3.23</v>
      </c>
      <c r="N33" s="135">
        <v>3.29</v>
      </c>
      <c r="O33" s="188"/>
    </row>
    <row r="34" spans="1:17" ht="15" customHeight="1">
      <c r="A34" s="299"/>
      <c r="B34" s="301"/>
      <c r="C34" s="136" t="s">
        <v>2</v>
      </c>
      <c r="D34" s="159"/>
      <c r="E34" s="159"/>
      <c r="F34" s="159"/>
      <c r="G34" s="159"/>
      <c r="H34" s="159"/>
      <c r="I34" s="159"/>
      <c r="J34" s="159"/>
      <c r="K34" s="159"/>
      <c r="L34" s="159">
        <v>3.37</v>
      </c>
      <c r="M34" s="159">
        <v>3.33</v>
      </c>
      <c r="N34" s="159">
        <v>3.32</v>
      </c>
      <c r="O34" s="197"/>
    </row>
    <row r="35" spans="1:17">
      <c r="A35" s="299"/>
      <c r="B35" s="301"/>
      <c r="C35" s="139" t="s">
        <v>0</v>
      </c>
      <c r="D35" s="140"/>
      <c r="E35" s="140"/>
      <c r="F35" s="140"/>
      <c r="G35" s="140"/>
      <c r="H35" s="140"/>
      <c r="I35" s="140"/>
      <c r="J35" s="140">
        <v>3.3</v>
      </c>
      <c r="K35" s="140">
        <v>3.25</v>
      </c>
      <c r="L35" s="140">
        <v>3.1</v>
      </c>
      <c r="M35" s="140">
        <v>3.1</v>
      </c>
      <c r="N35" s="140">
        <v>3.1</v>
      </c>
      <c r="O35" s="188"/>
    </row>
    <row r="36" spans="1:17">
      <c r="A36" s="299"/>
      <c r="B36" s="301"/>
      <c r="C36" s="141" t="s">
        <v>3</v>
      </c>
      <c r="D36" s="142"/>
      <c r="E36" s="142"/>
      <c r="F36" s="142"/>
      <c r="G36" s="142"/>
      <c r="H36" s="142"/>
      <c r="I36" s="142"/>
      <c r="J36" s="142">
        <v>3.2</v>
      </c>
      <c r="K36" s="142">
        <v>3.24</v>
      </c>
      <c r="L36" s="142">
        <v>3.24</v>
      </c>
      <c r="M36" s="142">
        <v>3.19</v>
      </c>
      <c r="N36" s="142">
        <v>3.26</v>
      </c>
      <c r="O36" s="188"/>
    </row>
    <row r="37" spans="1:17">
      <c r="A37" s="299"/>
      <c r="B37" s="302"/>
      <c r="C37" s="143" t="s">
        <v>1</v>
      </c>
      <c r="D37" s="144">
        <v>5.01</v>
      </c>
      <c r="E37" s="144">
        <v>4.38</v>
      </c>
      <c r="F37" s="144">
        <v>5.14</v>
      </c>
      <c r="G37" s="144">
        <v>3.78</v>
      </c>
      <c r="H37" s="144">
        <v>2.42</v>
      </c>
      <c r="I37" s="144">
        <v>3.26</v>
      </c>
      <c r="J37" s="144">
        <v>3.25</v>
      </c>
      <c r="K37" s="144">
        <f t="shared" ref="K37:L37" si="9">+AVERAGE(K33:K36)</f>
        <v>3.25</v>
      </c>
      <c r="L37" s="144">
        <f t="shared" si="9"/>
        <v>3.2524999999999999</v>
      </c>
      <c r="M37" s="144">
        <v>3.2</v>
      </c>
      <c r="N37" s="144">
        <v>3.2</v>
      </c>
      <c r="O37" s="200"/>
    </row>
    <row r="38" spans="1:17">
      <c r="A38" s="299"/>
      <c r="B38" s="33">
        <f>B7</f>
        <v>42948</v>
      </c>
      <c r="C38" s="133" t="s">
        <v>1</v>
      </c>
      <c r="D38" s="138">
        <v>5.01</v>
      </c>
      <c r="E38" s="138">
        <v>4.38</v>
      </c>
      <c r="F38" s="138">
        <v>5.14</v>
      </c>
      <c r="G38" s="138">
        <v>3.78</v>
      </c>
      <c r="H38" s="138">
        <v>2.42</v>
      </c>
      <c r="I38" s="138">
        <v>3.27</v>
      </c>
      <c r="J38" s="138">
        <v>3.3</v>
      </c>
      <c r="K38" s="138">
        <v>3.2</v>
      </c>
      <c r="L38" s="138">
        <v>3.1</v>
      </c>
      <c r="M38" s="138">
        <v>3.1</v>
      </c>
      <c r="N38" s="138">
        <v>3.1</v>
      </c>
      <c r="O38" s="188"/>
      <c r="P38" s="112"/>
      <c r="Q38" s="112"/>
    </row>
    <row r="39" spans="1:17" ht="15" hidden="1" customHeight="1">
      <c r="A39" s="204"/>
      <c r="B39" s="33">
        <v>41974</v>
      </c>
      <c r="C39" s="133" t="s">
        <v>1</v>
      </c>
      <c r="D39" s="138">
        <v>5.01</v>
      </c>
      <c r="E39" s="138">
        <v>4.38</v>
      </c>
      <c r="F39" s="138">
        <v>5.13</v>
      </c>
      <c r="G39" s="138">
        <v>4.9000000000000004</v>
      </c>
      <c r="H39" s="138">
        <v>4.9000000000000004</v>
      </c>
      <c r="I39" s="138">
        <v>4.95</v>
      </c>
      <c r="J39" s="138">
        <v>5.0999999999999996</v>
      </c>
      <c r="K39" s="138">
        <v>5.2</v>
      </c>
      <c r="L39" s="138"/>
      <c r="M39" s="138"/>
    </row>
    <row r="40" spans="1:17" ht="15" hidden="1" customHeight="1">
      <c r="A40" s="204"/>
      <c r="B40" s="33">
        <v>41852</v>
      </c>
      <c r="C40" s="133" t="s">
        <v>1</v>
      </c>
      <c r="D40" s="138">
        <v>5.01</v>
      </c>
      <c r="E40" s="138">
        <v>4.38</v>
      </c>
      <c r="F40" s="138">
        <v>5.15</v>
      </c>
      <c r="G40" s="138">
        <v>5.2</v>
      </c>
      <c r="H40" s="138">
        <v>5.25</v>
      </c>
      <c r="I40" s="138">
        <v>5.3</v>
      </c>
      <c r="J40" s="138">
        <v>5.35</v>
      </c>
      <c r="K40" s="138">
        <v>5.4</v>
      </c>
      <c r="L40" s="138"/>
      <c r="M40" s="138"/>
    </row>
    <row r="41" spans="1:17" ht="15" hidden="1" customHeight="1">
      <c r="A41" s="204"/>
      <c r="B41" s="33">
        <v>41499</v>
      </c>
      <c r="C41" s="133" t="s">
        <v>1</v>
      </c>
      <c r="D41" s="138">
        <v>5</v>
      </c>
      <c r="E41" s="138">
        <v>4.5</v>
      </c>
      <c r="F41" s="138">
        <v>5</v>
      </c>
      <c r="G41" s="138">
        <v>5.4</v>
      </c>
      <c r="H41" s="138">
        <v>5.5</v>
      </c>
      <c r="I41" s="138">
        <v>5.5</v>
      </c>
      <c r="J41" s="138">
        <v>5.5</v>
      </c>
      <c r="K41" s="138"/>
      <c r="L41" s="138"/>
      <c r="M41" s="138"/>
    </row>
    <row r="42" spans="1:17" ht="15" hidden="1" customHeight="1">
      <c r="A42" s="204"/>
      <c r="B42" s="33">
        <v>41317</v>
      </c>
      <c r="C42" s="133" t="s">
        <v>1</v>
      </c>
      <c r="D42" s="145">
        <v>5</v>
      </c>
      <c r="E42" s="145">
        <v>4.5</v>
      </c>
      <c r="F42" s="145">
        <v>5.0999999999999996</v>
      </c>
      <c r="G42" s="145">
        <v>5.25</v>
      </c>
      <c r="H42" s="145">
        <v>5.5</v>
      </c>
      <c r="I42" s="145">
        <v>5.5</v>
      </c>
      <c r="J42" s="145"/>
      <c r="K42" s="145"/>
      <c r="L42" s="145"/>
      <c r="M42" s="145"/>
    </row>
    <row r="43" spans="1:17" ht="15" hidden="1" customHeight="1">
      <c r="A43" s="204"/>
      <c r="B43" s="33">
        <v>41244</v>
      </c>
      <c r="C43" s="133" t="s">
        <v>1</v>
      </c>
      <c r="D43" s="145">
        <v>5</v>
      </c>
      <c r="E43" s="145">
        <v>4.5</v>
      </c>
      <c r="F43" s="145">
        <v>5</v>
      </c>
      <c r="G43" s="145">
        <v>5.4</v>
      </c>
      <c r="H43" s="145">
        <v>5.6</v>
      </c>
      <c r="I43" s="145">
        <v>5.5</v>
      </c>
      <c r="J43" s="145">
        <v>5.5</v>
      </c>
      <c r="K43" s="145"/>
      <c r="L43" s="145"/>
      <c r="M43" s="145"/>
    </row>
    <row r="44" spans="1:17" ht="15" hidden="1" customHeight="1">
      <c r="A44" s="204"/>
      <c r="B44" s="33">
        <v>42217</v>
      </c>
      <c r="C44" s="292" t="s">
        <v>16</v>
      </c>
      <c r="D44" s="293"/>
      <c r="E44" s="146">
        <f t="shared" ref="E44:M46" si="10">(E37-D37)/D37</f>
        <v>-0.12574850299401197</v>
      </c>
      <c r="F44" s="146">
        <f t="shared" si="10"/>
        <v>0.17351598173515978</v>
      </c>
      <c r="G44" s="146">
        <f t="shared" si="10"/>
        <v>-0.26459143968871596</v>
      </c>
      <c r="H44" s="146">
        <f t="shared" si="10"/>
        <v>-0.35978835978835977</v>
      </c>
      <c r="I44" s="146">
        <f t="shared" si="10"/>
        <v>0.34710743801652888</v>
      </c>
      <c r="J44" s="146">
        <f t="shared" si="10"/>
        <v>-3.0674846625766221E-3</v>
      </c>
      <c r="K44" s="146">
        <f t="shared" si="10"/>
        <v>0</v>
      </c>
      <c r="L44" s="146">
        <f t="shared" si="10"/>
        <v>7.6923076923075286E-4</v>
      </c>
      <c r="M44" s="146">
        <f t="shared" si="10"/>
        <v>-1.6141429669484942E-2</v>
      </c>
    </row>
    <row r="45" spans="1:17" ht="15" hidden="1" customHeight="1">
      <c r="A45" s="204"/>
      <c r="B45" s="33">
        <f>B29</f>
        <v>42948</v>
      </c>
      <c r="C45" s="290" t="s">
        <v>16</v>
      </c>
      <c r="D45" s="291"/>
      <c r="E45" s="147">
        <f t="shared" si="10"/>
        <v>-0.12574850299401197</v>
      </c>
      <c r="F45" s="147">
        <f t="shared" si="10"/>
        <v>0.17351598173515978</v>
      </c>
      <c r="G45" s="147">
        <f t="shared" si="10"/>
        <v>-0.26459143968871596</v>
      </c>
      <c r="H45" s="147">
        <f t="shared" si="10"/>
        <v>-0.35978835978835977</v>
      </c>
      <c r="I45" s="147">
        <f t="shared" si="10"/>
        <v>0.35123966942148765</v>
      </c>
      <c r="J45" s="147">
        <f t="shared" si="10"/>
        <v>9.1743119266054444E-3</v>
      </c>
      <c r="K45" s="147">
        <f t="shared" si="10"/>
        <v>-3.0303030303030196E-2</v>
      </c>
      <c r="L45" s="147"/>
      <c r="M45" s="147"/>
    </row>
    <row r="46" spans="1:17" ht="15" hidden="1" customHeight="1">
      <c r="A46" s="204"/>
      <c r="B46" s="33">
        <v>41974</v>
      </c>
      <c r="C46" s="290" t="s">
        <v>16</v>
      </c>
      <c r="D46" s="291"/>
      <c r="E46" s="147">
        <f t="shared" si="10"/>
        <v>-0.12574850299401197</v>
      </c>
      <c r="F46" s="147">
        <f t="shared" si="10"/>
        <v>0.17123287671232876</v>
      </c>
      <c r="G46" s="147">
        <f t="shared" si="10"/>
        <v>-4.4834307992202643E-2</v>
      </c>
      <c r="H46" s="147">
        <f t="shared" si="10"/>
        <v>0</v>
      </c>
      <c r="I46" s="147">
        <f t="shared" si="10"/>
        <v>1.0204081632653024E-2</v>
      </c>
      <c r="J46" s="147">
        <f t="shared" si="10"/>
        <v>3.0303030303030193E-2</v>
      </c>
      <c r="K46" s="147">
        <f t="shared" si="10"/>
        <v>1.9607843137255009E-2</v>
      </c>
      <c r="L46" s="147">
        <f t="shared" si="10"/>
        <v>-1</v>
      </c>
      <c r="M46" s="147" t="e">
        <f t="shared" si="10"/>
        <v>#DIV/0!</v>
      </c>
    </row>
    <row r="47" spans="1:17" ht="15" hidden="1" customHeight="1">
      <c r="A47" s="205"/>
      <c r="B47" s="33">
        <v>41499</v>
      </c>
      <c r="C47" s="292" t="s">
        <v>16</v>
      </c>
      <c r="D47" s="293"/>
      <c r="E47" s="146">
        <f t="shared" ref="E47:J47" si="11">(E41-D41)/D41</f>
        <v>-0.1</v>
      </c>
      <c r="F47" s="146">
        <f t="shared" si="11"/>
        <v>0.1111111111111111</v>
      </c>
      <c r="G47" s="146">
        <f t="shared" si="11"/>
        <v>8.0000000000000071E-2</v>
      </c>
      <c r="H47" s="146">
        <f t="shared" si="11"/>
        <v>1.8518518518518452E-2</v>
      </c>
      <c r="I47" s="146">
        <f t="shared" si="11"/>
        <v>0</v>
      </c>
      <c r="J47" s="146">
        <f t="shared" si="11"/>
        <v>0</v>
      </c>
      <c r="K47" s="146"/>
      <c r="L47" s="146"/>
      <c r="M47" s="146"/>
    </row>
    <row r="48" spans="1:17">
      <c r="A48" s="65"/>
      <c r="B48" s="65"/>
      <c r="C48" s="65"/>
      <c r="D48" s="76"/>
      <c r="E48" s="76"/>
      <c r="F48" s="76"/>
      <c r="G48" s="130"/>
      <c r="H48" s="130"/>
      <c r="I48" s="130"/>
      <c r="J48" s="130"/>
      <c r="K48" s="130"/>
      <c r="L48" s="130"/>
      <c r="M48" s="130"/>
    </row>
    <row r="49" spans="1:17">
      <c r="A49" s="287" t="s">
        <v>19</v>
      </c>
      <c r="B49" s="273">
        <f>B2</f>
        <v>43070</v>
      </c>
      <c r="C49" s="136" t="s">
        <v>2</v>
      </c>
      <c r="D49" s="160"/>
      <c r="E49" s="161"/>
      <c r="F49" s="161"/>
      <c r="G49" s="161"/>
      <c r="H49" s="161"/>
      <c r="I49" s="161"/>
      <c r="J49" s="161">
        <v>1231</v>
      </c>
      <c r="K49" s="161">
        <v>1228</v>
      </c>
      <c r="L49" s="161">
        <v>1225</v>
      </c>
      <c r="M49" s="161">
        <v>1222</v>
      </c>
      <c r="N49" s="161">
        <v>1220</v>
      </c>
      <c r="O49" s="202"/>
    </row>
    <row r="50" spans="1:17">
      <c r="A50" s="288"/>
      <c r="B50" s="272"/>
      <c r="C50" s="139" t="s">
        <v>0</v>
      </c>
      <c r="D50" s="162"/>
      <c r="E50" s="162"/>
      <c r="F50" s="162"/>
      <c r="G50" s="162"/>
      <c r="H50" s="162"/>
      <c r="I50" s="162"/>
      <c r="J50" s="162">
        <f>I52+(I52*0.015)</f>
        <v>1238.3</v>
      </c>
      <c r="K50" s="162">
        <f>J50*(1-0.04)</f>
        <v>1188.7679999999998</v>
      </c>
      <c r="L50" s="162">
        <f>K50*(1-0.027)</f>
        <v>1156.6712639999998</v>
      </c>
      <c r="M50" s="162">
        <f>L50*(1-0.028)</f>
        <v>1124.2844686079998</v>
      </c>
      <c r="N50" s="162">
        <f>M50*(1-0.028)</f>
        <v>1092.8045034869758</v>
      </c>
      <c r="O50" s="198"/>
      <c r="P50" s="112"/>
    </row>
    <row r="51" spans="1:17">
      <c r="A51" s="288"/>
      <c r="B51" s="272"/>
      <c r="C51" s="141" t="s">
        <v>3</v>
      </c>
      <c r="D51" s="163"/>
      <c r="E51" s="163"/>
      <c r="F51" s="163"/>
      <c r="G51" s="163"/>
      <c r="H51" s="163"/>
      <c r="I51" s="163"/>
      <c r="J51" s="163">
        <v>1219.8</v>
      </c>
      <c r="K51" s="163">
        <v>1219.8</v>
      </c>
      <c r="L51" s="163">
        <v>1219.8</v>
      </c>
      <c r="M51" s="163">
        <v>1219.8</v>
      </c>
      <c r="N51" s="163">
        <v>1219.8</v>
      </c>
      <c r="O51" s="198"/>
    </row>
    <row r="52" spans="1:17">
      <c r="A52" s="288"/>
      <c r="B52" s="272"/>
      <c r="C52" s="143" t="s">
        <v>1</v>
      </c>
      <c r="D52" s="164">
        <v>1227</v>
      </c>
      <c r="E52" s="164">
        <v>1177.5</v>
      </c>
      <c r="F52" s="164">
        <v>1184.7</v>
      </c>
      <c r="G52" s="164">
        <v>1184.8</v>
      </c>
      <c r="H52" s="164">
        <v>1175</v>
      </c>
      <c r="I52" s="164">
        <v>1220</v>
      </c>
      <c r="J52" s="164">
        <f>(+AVERAGE(J49:J51))</f>
        <v>1229.7</v>
      </c>
      <c r="K52" s="164">
        <v>1220</v>
      </c>
      <c r="L52" s="164">
        <f t="shared" ref="L52" si="12">(+AVERAGE(L49:L51))</f>
        <v>1200.4904213333332</v>
      </c>
      <c r="M52" s="164">
        <v>1190</v>
      </c>
      <c r="N52" s="164">
        <v>1180</v>
      </c>
      <c r="O52" s="203"/>
    </row>
    <row r="53" spans="1:17">
      <c r="A53" s="288"/>
      <c r="B53" s="33">
        <f>B38</f>
        <v>42948</v>
      </c>
      <c r="C53" s="133" t="s">
        <v>1</v>
      </c>
      <c r="D53" s="160">
        <v>1227</v>
      </c>
      <c r="E53" s="160">
        <v>1177.5</v>
      </c>
      <c r="F53" s="160">
        <v>1184.7</v>
      </c>
      <c r="G53" s="160">
        <v>1184.8</v>
      </c>
      <c r="H53" s="160">
        <v>1175</v>
      </c>
      <c r="I53" s="160">
        <v>1210</v>
      </c>
      <c r="J53" s="160">
        <v>1210</v>
      </c>
      <c r="K53" s="160">
        <v>1210</v>
      </c>
      <c r="L53" s="160">
        <v>1210</v>
      </c>
      <c r="M53" s="160">
        <v>1210</v>
      </c>
      <c r="N53" s="160">
        <v>1210</v>
      </c>
      <c r="O53" s="198"/>
      <c r="P53" s="112"/>
      <c r="Q53" s="112"/>
    </row>
    <row r="54" spans="1:17" hidden="1">
      <c r="A54" s="288"/>
      <c r="B54" s="33">
        <v>41974</v>
      </c>
      <c r="C54" s="133" t="s">
        <v>1</v>
      </c>
      <c r="D54" s="160">
        <v>1227</v>
      </c>
      <c r="E54" s="160">
        <v>1177.5</v>
      </c>
      <c r="F54" s="160">
        <v>1187.3</v>
      </c>
      <c r="G54" s="160">
        <v>1181</v>
      </c>
      <c r="H54" s="160">
        <v>1150</v>
      </c>
      <c r="I54" s="160">
        <v>1118</v>
      </c>
      <c r="J54" s="160">
        <v>1088</v>
      </c>
      <c r="K54" s="160">
        <v>1052</v>
      </c>
      <c r="L54" s="160"/>
      <c r="M54" s="160"/>
      <c r="N54" s="160"/>
      <c r="O54" s="198"/>
    </row>
    <row r="55" spans="1:17" hidden="1">
      <c r="A55" s="288"/>
      <c r="B55" s="33">
        <v>41852</v>
      </c>
      <c r="C55" s="133" t="s">
        <v>1</v>
      </c>
      <c r="D55" s="160">
        <v>1227</v>
      </c>
      <c r="E55" s="160">
        <v>1177.5</v>
      </c>
      <c r="F55" s="160">
        <v>1170</v>
      </c>
      <c r="G55" s="160">
        <v>1158.3</v>
      </c>
      <c r="H55" s="160">
        <v>1123.5509999999999</v>
      </c>
      <c r="I55" s="160">
        <v>1089.84447</v>
      </c>
      <c r="J55" s="160">
        <v>1057.1491358999999</v>
      </c>
      <c r="K55" s="160">
        <v>1025.4346618229999</v>
      </c>
      <c r="L55" s="160"/>
      <c r="M55" s="160"/>
      <c r="N55" s="160"/>
      <c r="O55" s="198"/>
    </row>
    <row r="56" spans="1:17" hidden="1">
      <c r="A56" s="288"/>
      <c r="B56" s="33">
        <v>41499</v>
      </c>
      <c r="C56" s="133" t="s">
        <v>1</v>
      </c>
      <c r="D56" s="160">
        <v>1225.8499999999999</v>
      </c>
      <c r="E56" s="160">
        <v>1165</v>
      </c>
      <c r="F56" s="160">
        <v>1110</v>
      </c>
      <c r="G56" s="160">
        <v>1070</v>
      </c>
      <c r="H56" s="160">
        <v>1030</v>
      </c>
      <c r="I56" s="160">
        <v>1000</v>
      </c>
      <c r="J56" s="160">
        <v>960</v>
      </c>
      <c r="K56" s="165"/>
      <c r="L56" s="165"/>
      <c r="M56" s="165"/>
      <c r="N56" s="165"/>
      <c r="O56" s="199"/>
    </row>
    <row r="57" spans="1:17" hidden="1">
      <c r="A57" s="288"/>
      <c r="B57" s="33">
        <v>41317</v>
      </c>
      <c r="C57" s="133" t="s">
        <v>1</v>
      </c>
      <c r="D57" s="165">
        <v>1226</v>
      </c>
      <c r="E57" s="165">
        <v>1185</v>
      </c>
      <c r="F57" s="165">
        <v>1151</v>
      </c>
      <c r="G57" s="165">
        <v>1121</v>
      </c>
      <c r="H57" s="165">
        <v>1090.1407234210708</v>
      </c>
      <c r="I57" s="165">
        <v>1048</v>
      </c>
      <c r="J57" s="165"/>
      <c r="K57" s="165"/>
      <c r="L57" s="165"/>
      <c r="M57" s="165"/>
      <c r="N57" s="165"/>
      <c r="O57" s="199"/>
    </row>
    <row r="58" spans="1:17" hidden="1">
      <c r="A58" s="288"/>
      <c r="B58" s="33">
        <v>41244</v>
      </c>
      <c r="C58" s="133" t="s">
        <v>1</v>
      </c>
      <c r="D58" s="165">
        <v>1228.5423506666664</v>
      </c>
      <c r="E58" s="165">
        <v>1184.5870287874238</v>
      </c>
      <c r="F58" s="165">
        <v>1151.3778293463738</v>
      </c>
      <c r="G58" s="165">
        <v>1121.0332793283103</v>
      </c>
      <c r="H58" s="165">
        <v>1090.1407234210708</v>
      </c>
      <c r="I58" s="165">
        <v>1048</v>
      </c>
      <c r="J58" s="165">
        <v>1048</v>
      </c>
      <c r="K58" s="165"/>
      <c r="L58" s="165"/>
      <c r="M58" s="165"/>
      <c r="N58" s="165"/>
      <c r="O58" s="199"/>
    </row>
    <row r="59" spans="1:17">
      <c r="A59" s="288"/>
      <c r="B59" s="33">
        <f>B49</f>
        <v>43070</v>
      </c>
      <c r="C59" s="292" t="s">
        <v>16</v>
      </c>
      <c r="D59" s="293"/>
      <c r="E59" s="167">
        <f t="shared" ref="E59:N61" si="13">(E52-D52)/D52</f>
        <v>-4.0342298288508556E-2</v>
      </c>
      <c r="F59" s="167">
        <f t="shared" si="13"/>
        <v>6.1146496815287013E-3</v>
      </c>
      <c r="G59" s="167">
        <f>(G52-F52)/F52</f>
        <v>8.4409555161567526E-5</v>
      </c>
      <c r="H59" s="167">
        <f t="shared" si="13"/>
        <v>-8.2714382174206239E-3</v>
      </c>
      <c r="I59" s="167">
        <f t="shared" si="13"/>
        <v>3.8297872340425532E-2</v>
      </c>
      <c r="J59" s="167">
        <f t="shared" si="13"/>
        <v>7.9508196721311854E-3</v>
      </c>
      <c r="K59" s="167">
        <f t="shared" si="13"/>
        <v>-7.8881027892982389E-3</v>
      </c>
      <c r="L59" s="167">
        <f t="shared" si="13"/>
        <v>-1.5991457923497387E-2</v>
      </c>
      <c r="M59" s="167">
        <f t="shared" si="13"/>
        <v>-8.7384465106201577E-3</v>
      </c>
      <c r="N59" s="167">
        <f t="shared" si="13"/>
        <v>-8.4033613445378148E-3</v>
      </c>
      <c r="O59" s="193"/>
    </row>
    <row r="60" spans="1:17">
      <c r="A60" s="288"/>
      <c r="B60" s="33">
        <f>B45</f>
        <v>42948</v>
      </c>
      <c r="C60" s="290" t="s">
        <v>16</v>
      </c>
      <c r="D60" s="291"/>
      <c r="E60" s="168">
        <f>(E53-D53)/D53</f>
        <v>-4.0342298288508556E-2</v>
      </c>
      <c r="F60" s="168">
        <f t="shared" si="13"/>
        <v>6.1146496815287013E-3</v>
      </c>
      <c r="G60" s="168">
        <f>(G53-F53)/F53</f>
        <v>8.4409555161567526E-5</v>
      </c>
      <c r="H60" s="168">
        <f t="shared" si="13"/>
        <v>-8.2714382174206239E-3</v>
      </c>
      <c r="I60" s="168">
        <f t="shared" si="13"/>
        <v>2.9787234042553193E-2</v>
      </c>
      <c r="J60" s="168">
        <f t="shared" si="13"/>
        <v>0</v>
      </c>
      <c r="K60" s="168">
        <f t="shared" si="13"/>
        <v>0</v>
      </c>
      <c r="L60" s="168">
        <f t="shared" si="13"/>
        <v>0</v>
      </c>
      <c r="M60" s="168">
        <f t="shared" si="13"/>
        <v>0</v>
      </c>
      <c r="N60" s="168">
        <f t="shared" si="13"/>
        <v>0</v>
      </c>
      <c r="O60" s="194"/>
    </row>
    <row r="61" spans="1:17" hidden="1">
      <c r="A61" s="288"/>
      <c r="B61" s="33">
        <v>41974</v>
      </c>
      <c r="C61" s="290" t="s">
        <v>16</v>
      </c>
      <c r="D61" s="291"/>
      <c r="E61" s="147">
        <f>(E54-D54)/D54</f>
        <v>-4.0342298288508556E-2</v>
      </c>
      <c r="F61" s="147">
        <f t="shared" si="13"/>
        <v>8.3227176220806408E-3</v>
      </c>
      <c r="G61" s="147">
        <f t="shared" si="13"/>
        <v>-5.3061568264128316E-3</v>
      </c>
      <c r="H61" s="147">
        <f t="shared" si="13"/>
        <v>-2.6248941574936496E-2</v>
      </c>
      <c r="I61" s="147">
        <f t="shared" si="13"/>
        <v>-2.782608695652174E-2</v>
      </c>
      <c r="J61" s="147">
        <f t="shared" si="13"/>
        <v>-2.6833631484794274E-2</v>
      </c>
      <c r="K61" s="147">
        <f t="shared" si="13"/>
        <v>-3.3088235294117647E-2</v>
      </c>
      <c r="L61" s="147">
        <f t="shared" si="13"/>
        <v>-1</v>
      </c>
      <c r="M61" s="147" t="e">
        <f t="shared" si="13"/>
        <v>#DIV/0!</v>
      </c>
    </row>
    <row r="62" spans="1:17" hidden="1">
      <c r="A62" s="289"/>
      <c r="B62" s="33">
        <v>41499</v>
      </c>
      <c r="C62" s="292" t="s">
        <v>16</v>
      </c>
      <c r="D62" s="293"/>
      <c r="E62" s="146">
        <f t="shared" ref="E62:J62" si="14">(E56-D56)/D56</f>
        <v>-4.9639025981971625E-2</v>
      </c>
      <c r="F62" s="146">
        <f t="shared" si="14"/>
        <v>-4.7210300429184553E-2</v>
      </c>
      <c r="G62" s="146">
        <f t="shared" si="14"/>
        <v>-3.6036036036036036E-2</v>
      </c>
      <c r="H62" s="146">
        <f t="shared" si="14"/>
        <v>-3.7383177570093455E-2</v>
      </c>
      <c r="I62" s="146">
        <f t="shared" si="14"/>
        <v>-2.9126213592233011E-2</v>
      </c>
      <c r="J62" s="146">
        <f t="shared" si="14"/>
        <v>-0.04</v>
      </c>
      <c r="K62" s="146"/>
      <c r="L62" s="146"/>
      <c r="M62" s="146"/>
    </row>
    <row r="63" spans="1:17">
      <c r="A63" s="108"/>
      <c r="B63" s="13"/>
      <c r="F63" s="112"/>
      <c r="G63" s="112"/>
      <c r="H63" s="112"/>
      <c r="I63" s="112"/>
      <c r="J63" s="112"/>
      <c r="K63" s="112"/>
      <c r="L63" s="112"/>
      <c r="M63" s="112"/>
    </row>
    <row r="64" spans="1:17">
      <c r="A64" s="9"/>
      <c r="B64" s="13"/>
      <c r="E64" s="94"/>
      <c r="F64" s="94"/>
      <c r="G64" s="112"/>
      <c r="H64" s="112"/>
      <c r="I64" s="112"/>
      <c r="J64" s="112"/>
      <c r="K64" s="112"/>
      <c r="L64" s="112"/>
      <c r="M64" s="112"/>
    </row>
    <row r="65" spans="1:13">
      <c r="A65" s="9"/>
      <c r="B65" s="13"/>
      <c r="E65" s="94"/>
      <c r="F65" s="94"/>
      <c r="G65" s="94"/>
      <c r="H65" s="112"/>
      <c r="I65" s="112"/>
      <c r="J65" s="112"/>
      <c r="K65" s="112"/>
      <c r="L65" s="112"/>
      <c r="M65" s="112"/>
    </row>
    <row r="66" spans="1:13">
      <c r="A66" s="9"/>
      <c r="B66" s="13"/>
    </row>
    <row r="67" spans="1:13">
      <c r="A67" s="9"/>
      <c r="B67" s="13"/>
    </row>
    <row r="68" spans="1:13">
      <c r="A68" s="9"/>
      <c r="B68" s="13"/>
    </row>
    <row r="69" spans="1:13">
      <c r="A69" s="9"/>
      <c r="B69" s="13"/>
    </row>
    <row r="70" spans="1:13">
      <c r="A70" s="9"/>
      <c r="B70" s="13"/>
    </row>
    <row r="71" spans="1:13">
      <c r="A71" s="9"/>
      <c r="B71" s="13"/>
    </row>
    <row r="72" spans="1:13">
      <c r="A72" s="9"/>
      <c r="B72" s="13"/>
    </row>
    <row r="73" spans="1:13">
      <c r="A73" s="9"/>
      <c r="B73" s="13"/>
    </row>
  </sheetData>
  <mergeCells count="25">
    <mergeCell ref="A49:A62"/>
    <mergeCell ref="B49:B52"/>
    <mergeCell ref="C59:D59"/>
    <mergeCell ref="C60:D60"/>
    <mergeCell ref="C61:D61"/>
    <mergeCell ref="C62:D62"/>
    <mergeCell ref="C44:D44"/>
    <mergeCell ref="C45:D45"/>
    <mergeCell ref="C46:D46"/>
    <mergeCell ref="C47:D47"/>
    <mergeCell ref="A33:A38"/>
    <mergeCell ref="B33:B37"/>
    <mergeCell ref="A18:A31"/>
    <mergeCell ref="B18:B21"/>
    <mergeCell ref="C28:D28"/>
    <mergeCell ref="C29:D29"/>
    <mergeCell ref="C30:D30"/>
    <mergeCell ref="C31:D31"/>
    <mergeCell ref="A2:A16"/>
    <mergeCell ref="B2:B6"/>
    <mergeCell ref="B7:B11"/>
    <mergeCell ref="C13:D13"/>
    <mergeCell ref="C14:D14"/>
    <mergeCell ref="C15:D15"/>
    <mergeCell ref="C16:D16"/>
  </mergeCells>
  <pageMargins left="0.5" right="0.17" top="0.63" bottom="0.75" header="0.3" footer="0.3"/>
  <pageSetup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fitToPage="1"/>
  </sheetPr>
  <dimension ref="A1:Y73"/>
  <sheetViews>
    <sheetView zoomScale="120" zoomScaleNormal="120" workbookViewId="0">
      <pane ySplit="1" topLeftCell="A2" activePane="bottomLeft" state="frozen"/>
      <selection activeCell="I6" sqref="I6"/>
      <selection pane="bottomLeft" activeCell="I6" sqref="I6"/>
    </sheetView>
  </sheetViews>
  <sheetFormatPr defaultColWidth="9.28515625" defaultRowHeight="15"/>
  <cols>
    <col min="1" max="1" width="9.42578125" customWidth="1"/>
    <col min="2" max="2" width="7.5703125" bestFit="1" customWidth="1"/>
    <col min="3" max="3" width="8" customWidth="1"/>
    <col min="4" max="9" width="7.5703125" customWidth="1"/>
    <col min="10" max="15" width="9" customWidth="1"/>
    <col min="17" max="17" width="14.42578125" customWidth="1"/>
    <col min="18" max="22" width="9.7109375" bestFit="1" customWidth="1"/>
  </cols>
  <sheetData>
    <row r="1" spans="1:25" ht="34.5" customHeight="1">
      <c r="A1" s="8"/>
      <c r="B1" s="11"/>
      <c r="C1" s="133"/>
      <c r="D1" s="132" t="s">
        <v>17</v>
      </c>
      <c r="E1" s="132" t="s">
        <v>25</v>
      </c>
      <c r="F1" s="132" t="s">
        <v>73</v>
      </c>
      <c r="G1" s="132" t="s">
        <v>74</v>
      </c>
      <c r="H1" s="132" t="s">
        <v>75</v>
      </c>
      <c r="I1" s="132" t="s">
        <v>77</v>
      </c>
      <c r="J1" s="132" t="s">
        <v>79</v>
      </c>
      <c r="K1" s="132" t="s">
        <v>24</v>
      </c>
      <c r="L1" s="132" t="s">
        <v>27</v>
      </c>
      <c r="M1" s="132" t="s">
        <v>57</v>
      </c>
      <c r="N1" s="132" t="s">
        <v>76</v>
      </c>
      <c r="O1" s="132" t="s">
        <v>80</v>
      </c>
      <c r="P1" s="187"/>
    </row>
    <row r="2" spans="1:25">
      <c r="A2" s="284" t="s">
        <v>10</v>
      </c>
      <c r="B2" s="273">
        <v>43313</v>
      </c>
      <c r="C2" s="134" t="s">
        <v>4</v>
      </c>
      <c r="D2" s="135"/>
      <c r="E2" s="135"/>
      <c r="F2" s="135"/>
      <c r="G2" s="135"/>
      <c r="H2" s="135"/>
      <c r="I2" s="135">
        <v>44.74</v>
      </c>
      <c r="J2" s="135">
        <v>54.4</v>
      </c>
      <c r="K2" s="135">
        <v>56.52</v>
      </c>
      <c r="L2" s="135">
        <v>59.05</v>
      </c>
      <c r="M2" s="135">
        <v>60.72</v>
      </c>
      <c r="N2" s="135">
        <v>59.19</v>
      </c>
      <c r="O2" s="135">
        <v>59.04</v>
      </c>
      <c r="P2" s="188"/>
      <c r="Q2" t="s">
        <v>28</v>
      </c>
      <c r="R2" t="s">
        <v>29</v>
      </c>
      <c r="S2" t="s">
        <v>68</v>
      </c>
      <c r="T2" t="s">
        <v>69</v>
      </c>
      <c r="U2" t="s">
        <v>70</v>
      </c>
      <c r="V2" t="s">
        <v>71</v>
      </c>
      <c r="W2" t="s">
        <v>78</v>
      </c>
    </row>
    <row r="3" spans="1:25">
      <c r="A3" s="285"/>
      <c r="B3" s="272"/>
      <c r="C3" s="136" t="s">
        <v>2</v>
      </c>
      <c r="D3" s="137"/>
      <c r="E3" s="138"/>
      <c r="F3" s="138"/>
      <c r="G3" s="138"/>
      <c r="H3" s="138"/>
      <c r="I3" s="138">
        <v>44.76</v>
      </c>
      <c r="J3" s="138">
        <v>54.62</v>
      </c>
      <c r="K3" s="138">
        <v>56.43</v>
      </c>
      <c r="L3" s="138">
        <v>56.22</v>
      </c>
      <c r="M3" s="138">
        <v>61.11</v>
      </c>
      <c r="N3" s="138">
        <v>60.91</v>
      </c>
      <c r="O3" s="138">
        <v>61.15</v>
      </c>
      <c r="P3" s="188"/>
      <c r="Q3" t="s">
        <v>72</v>
      </c>
    </row>
    <row r="4" spans="1:25">
      <c r="A4" s="285"/>
      <c r="B4" s="272"/>
      <c r="C4" s="139" t="s">
        <v>0</v>
      </c>
      <c r="D4" s="140"/>
      <c r="E4" s="140"/>
      <c r="F4" s="140"/>
      <c r="G4" s="140"/>
      <c r="H4" s="140"/>
      <c r="I4" s="140">
        <v>44.75</v>
      </c>
      <c r="J4" s="140">
        <v>54.3</v>
      </c>
      <c r="K4" s="140">
        <v>55</v>
      </c>
      <c r="L4" s="140">
        <v>55</v>
      </c>
      <c r="M4" s="140">
        <v>55</v>
      </c>
      <c r="N4" s="140">
        <v>55</v>
      </c>
      <c r="O4" s="140">
        <v>55</v>
      </c>
      <c r="P4" s="189"/>
      <c r="Q4" s="185">
        <f t="shared" ref="Q4:W4" si="0">(H6*H21)+(H37*H52)</f>
        <v>8396.0949999999993</v>
      </c>
      <c r="R4" s="185">
        <f t="shared" si="0"/>
        <v>10833.396875</v>
      </c>
      <c r="S4" s="185">
        <f t="shared" si="0"/>
        <v>15214.098083333331</v>
      </c>
      <c r="T4" s="185">
        <f t="shared" si="0"/>
        <v>17999.86</v>
      </c>
      <c r="U4" s="185">
        <f t="shared" si="0"/>
        <v>19564.589250000001</v>
      </c>
      <c r="V4" s="185">
        <f t="shared" si="0"/>
        <v>20959.871834999998</v>
      </c>
      <c r="W4" s="185">
        <f t="shared" si="0"/>
        <v>22034.964232949998</v>
      </c>
    </row>
    <row r="5" spans="1:25">
      <c r="A5" s="285"/>
      <c r="B5" s="272"/>
      <c r="C5" s="141" t="s">
        <v>3</v>
      </c>
      <c r="D5" s="142"/>
      <c r="E5" s="142"/>
      <c r="F5" s="142"/>
      <c r="G5" s="142"/>
      <c r="H5" s="142"/>
      <c r="I5" s="142">
        <v>44.39</v>
      </c>
      <c r="J5" s="142">
        <v>54.25</v>
      </c>
      <c r="K5" s="142">
        <v>56.05</v>
      </c>
      <c r="L5" s="142">
        <v>59.13</v>
      </c>
      <c r="M5" s="142">
        <v>59.8</v>
      </c>
      <c r="N5" s="142">
        <v>60.05</v>
      </c>
      <c r="O5" s="142">
        <v>60.94</v>
      </c>
      <c r="P5" s="188"/>
    </row>
    <row r="6" spans="1:25">
      <c r="A6" s="285"/>
      <c r="B6" s="272"/>
      <c r="C6" s="143" t="s">
        <v>1</v>
      </c>
      <c r="D6" s="144">
        <v>89.65</v>
      </c>
      <c r="E6" s="144">
        <v>85.82</v>
      </c>
      <c r="F6" s="144">
        <v>95.13</v>
      </c>
      <c r="G6" s="144">
        <v>60.67</v>
      </c>
      <c r="H6" s="144">
        <v>37.85</v>
      </c>
      <c r="I6" s="144">
        <f t="shared" ref="I6:J6" si="1">+AVERAGE(I2:I5)</f>
        <v>44.66</v>
      </c>
      <c r="J6" s="144">
        <f t="shared" si="1"/>
        <v>54.392499999999998</v>
      </c>
      <c r="K6" s="144">
        <v>56</v>
      </c>
      <c r="L6" s="144">
        <v>57</v>
      </c>
      <c r="M6" s="144">
        <v>59</v>
      </c>
      <c r="N6" s="144">
        <v>59</v>
      </c>
      <c r="O6" s="144">
        <v>59</v>
      </c>
      <c r="P6" s="200"/>
      <c r="Q6" t="s">
        <v>30</v>
      </c>
      <c r="Y6" s="93"/>
    </row>
    <row r="7" spans="1:25">
      <c r="A7" s="285"/>
      <c r="B7" s="273">
        <v>43070</v>
      </c>
      <c r="C7" s="133" t="s">
        <v>1</v>
      </c>
      <c r="D7" s="138">
        <v>89.65</v>
      </c>
      <c r="E7" s="138">
        <v>85.82</v>
      </c>
      <c r="F7" s="138">
        <v>95.13</v>
      </c>
      <c r="G7" s="138">
        <v>60.67</v>
      </c>
      <c r="H7" s="138">
        <v>37.85</v>
      </c>
      <c r="I7" s="138">
        <v>45</v>
      </c>
      <c r="J7" s="138">
        <v>47.5</v>
      </c>
      <c r="K7" s="138">
        <v>49.5</v>
      </c>
      <c r="L7" s="138">
        <v>50.5</v>
      </c>
      <c r="M7" s="138">
        <v>51.5</v>
      </c>
      <c r="N7" s="138">
        <v>52.5</v>
      </c>
      <c r="O7" s="138">
        <v>52.5</v>
      </c>
      <c r="P7" s="189"/>
      <c r="Q7" s="185">
        <f>(H6-H7)*(H21-H22)+(H37-H38*(H52-H53))</f>
        <v>2.42</v>
      </c>
      <c r="R7" s="185">
        <f t="shared" ref="R7:W7" si="2">(I6-I7)*(I21-I22)*(1-0.11)+(I37-I38*(I52-I53)*(1-0.24))</f>
        <v>-35.536940000000222</v>
      </c>
      <c r="S7" s="185">
        <f t="shared" si="2"/>
        <v>99.723777499999898</v>
      </c>
      <c r="T7" s="185">
        <f t="shared" si="2"/>
        <v>86.572999999999695</v>
      </c>
      <c r="U7" s="185">
        <f t="shared" si="2"/>
        <v>79.844503993866283</v>
      </c>
      <c r="V7" s="185">
        <f t="shared" si="2"/>
        <v>201.97972320000008</v>
      </c>
      <c r="W7" s="185">
        <f t="shared" si="2"/>
        <v>110.59899515520067</v>
      </c>
      <c r="Y7" s="93"/>
    </row>
    <row r="8" spans="1:25" hidden="1">
      <c r="A8" s="285"/>
      <c r="B8" s="272"/>
      <c r="C8" s="133" t="s">
        <v>1</v>
      </c>
      <c r="D8" s="138">
        <v>89.65</v>
      </c>
      <c r="E8" s="138">
        <v>85.82</v>
      </c>
      <c r="F8" s="138">
        <v>95.14</v>
      </c>
      <c r="G8" s="138">
        <v>71</v>
      </c>
      <c r="H8" s="138">
        <v>66</v>
      </c>
      <c r="I8" s="138">
        <v>72</v>
      </c>
      <c r="J8" s="138">
        <v>76</v>
      </c>
      <c r="K8" s="138">
        <v>80</v>
      </c>
      <c r="L8" s="138"/>
      <c r="M8" s="138"/>
    </row>
    <row r="9" spans="1:25" hidden="1">
      <c r="A9" s="285"/>
      <c r="B9" s="272"/>
      <c r="C9" s="133" t="s">
        <v>1</v>
      </c>
      <c r="D9" s="138">
        <v>89.65</v>
      </c>
      <c r="E9" s="138">
        <v>85.82</v>
      </c>
      <c r="F9" s="138">
        <v>95.75</v>
      </c>
      <c r="G9" s="138">
        <v>92</v>
      </c>
      <c r="H9" s="138">
        <v>88</v>
      </c>
      <c r="I9" s="138">
        <v>87</v>
      </c>
      <c r="J9" s="138">
        <v>86</v>
      </c>
      <c r="K9" s="138">
        <v>85</v>
      </c>
      <c r="L9" s="138"/>
      <c r="M9" s="138"/>
    </row>
    <row r="10" spans="1:25" hidden="1">
      <c r="A10" s="285"/>
      <c r="B10" s="272"/>
      <c r="C10" s="133" t="s">
        <v>1</v>
      </c>
      <c r="D10" s="138">
        <v>90</v>
      </c>
      <c r="E10" s="138">
        <v>87</v>
      </c>
      <c r="F10" s="138">
        <v>94</v>
      </c>
      <c r="G10" s="138">
        <v>87.5</v>
      </c>
      <c r="H10" s="138">
        <v>85</v>
      </c>
      <c r="I10" s="138">
        <v>84</v>
      </c>
      <c r="J10" s="138">
        <v>84</v>
      </c>
      <c r="K10" s="138"/>
      <c r="L10" s="138"/>
      <c r="M10" s="138"/>
    </row>
    <row r="11" spans="1:25" hidden="1">
      <c r="A11" s="285"/>
      <c r="B11" s="272"/>
      <c r="C11" s="133" t="s">
        <v>1</v>
      </c>
      <c r="D11" s="145">
        <v>90</v>
      </c>
      <c r="E11" s="145">
        <v>86.5</v>
      </c>
      <c r="F11" s="145">
        <v>88</v>
      </c>
      <c r="G11" s="145">
        <v>87.5</v>
      </c>
      <c r="H11" s="145">
        <v>87</v>
      </c>
      <c r="I11" s="145">
        <v>86.5</v>
      </c>
      <c r="J11" s="145"/>
      <c r="K11" s="145"/>
      <c r="L11" s="145"/>
      <c r="M11" s="145"/>
    </row>
    <row r="12" spans="1:25" hidden="1">
      <c r="A12" s="285"/>
      <c r="B12" s="33">
        <v>41244</v>
      </c>
      <c r="C12" s="133" t="s">
        <v>1</v>
      </c>
      <c r="D12" s="145">
        <v>89.640506965377526</v>
      </c>
      <c r="E12" s="145">
        <v>85</v>
      </c>
      <c r="F12" s="145">
        <v>84.75</v>
      </c>
      <c r="G12" s="145">
        <v>83.5</v>
      </c>
      <c r="H12" s="145">
        <v>82.5</v>
      </c>
      <c r="I12" s="145">
        <v>83</v>
      </c>
      <c r="J12" s="145">
        <v>83</v>
      </c>
      <c r="K12" s="145"/>
      <c r="L12" s="145"/>
      <c r="M12" s="145"/>
    </row>
    <row r="13" spans="1:25" hidden="1">
      <c r="A13" s="285"/>
      <c r="B13" s="33">
        <v>42217</v>
      </c>
      <c r="C13" s="292" t="s">
        <v>16</v>
      </c>
      <c r="D13" s="293"/>
      <c r="E13" s="146">
        <f t="shared" ref="E13:M13" si="3">+E6/D6-1</f>
        <v>-4.2721695482431765E-2</v>
      </c>
      <c r="F13" s="146">
        <f>+F6/E6-1</f>
        <v>0.10848287112561183</v>
      </c>
      <c r="G13" s="166">
        <f>+G6/F6-1</f>
        <v>-0.36224114369809735</v>
      </c>
      <c r="H13" s="146">
        <f t="shared" si="3"/>
        <v>-0.37613317949563208</v>
      </c>
      <c r="I13" s="146">
        <f t="shared" si="3"/>
        <v>0.17992073976221912</v>
      </c>
      <c r="J13" s="146">
        <f t="shared" si="3"/>
        <v>0.21792431706224824</v>
      </c>
      <c r="K13" s="146">
        <f t="shared" si="3"/>
        <v>2.9553706852966988E-2</v>
      </c>
      <c r="L13" s="146">
        <f t="shared" si="3"/>
        <v>1.7857142857142794E-2</v>
      </c>
      <c r="M13" s="146">
        <f t="shared" si="3"/>
        <v>3.5087719298245723E-2</v>
      </c>
    </row>
    <row r="14" spans="1:25" hidden="1">
      <c r="A14" s="285"/>
      <c r="B14" s="33">
        <v>42031</v>
      </c>
      <c r="C14" s="290" t="s">
        <v>16</v>
      </c>
      <c r="D14" s="291"/>
      <c r="E14" s="147">
        <f t="shared" ref="E14:K15" si="4">(E7-D7)/D7</f>
        <v>-4.2721695482431814E-2</v>
      </c>
      <c r="F14" s="147">
        <f t="shared" si="4"/>
        <v>0.10848287112561178</v>
      </c>
      <c r="G14" s="147">
        <f t="shared" si="4"/>
        <v>-0.36224114369809729</v>
      </c>
      <c r="H14" s="147">
        <f t="shared" si="4"/>
        <v>-0.37613317949563208</v>
      </c>
      <c r="I14" s="147">
        <f t="shared" si="4"/>
        <v>0.18890356671070008</v>
      </c>
      <c r="J14" s="147">
        <f t="shared" si="4"/>
        <v>5.5555555555555552E-2</v>
      </c>
      <c r="K14" s="147">
        <f t="shared" si="4"/>
        <v>4.2105263157894736E-2</v>
      </c>
      <c r="L14" s="147"/>
      <c r="M14" s="147"/>
    </row>
    <row r="15" spans="1:25" hidden="1">
      <c r="A15" s="285"/>
      <c r="B15" s="33">
        <v>41974</v>
      </c>
      <c r="C15" s="290" t="s">
        <v>16</v>
      </c>
      <c r="D15" s="291"/>
      <c r="E15" s="147">
        <f t="shared" si="4"/>
        <v>-4.2721695482431814E-2</v>
      </c>
      <c r="F15" s="147">
        <f t="shared" si="4"/>
        <v>0.10859939408063397</v>
      </c>
      <c r="G15" s="147">
        <f t="shared" si="4"/>
        <v>-0.2537313432835821</v>
      </c>
      <c r="H15" s="147">
        <f t="shared" si="4"/>
        <v>-7.0422535211267609E-2</v>
      </c>
      <c r="I15" s="147">
        <f t="shared" si="4"/>
        <v>9.0909090909090912E-2</v>
      </c>
      <c r="J15" s="147">
        <f t="shared" si="4"/>
        <v>5.5555555555555552E-2</v>
      </c>
      <c r="K15" s="147"/>
      <c r="L15" s="147"/>
      <c r="M15" s="147"/>
    </row>
    <row r="16" spans="1:25" hidden="1">
      <c r="A16" s="286"/>
      <c r="B16" s="33">
        <v>41499</v>
      </c>
      <c r="C16" s="292" t="s">
        <v>16</v>
      </c>
      <c r="D16" s="293"/>
      <c r="E16" s="146">
        <f t="shared" ref="E16:J16" si="5">(E10-D10)/D10</f>
        <v>-3.3333333333333333E-2</v>
      </c>
      <c r="F16" s="146">
        <f t="shared" si="5"/>
        <v>8.0459770114942528E-2</v>
      </c>
      <c r="G16" s="146">
        <f t="shared" si="5"/>
        <v>-6.9148936170212769E-2</v>
      </c>
      <c r="H16" s="146">
        <f t="shared" si="5"/>
        <v>-2.8571428571428571E-2</v>
      </c>
      <c r="I16" s="146">
        <f t="shared" si="5"/>
        <v>-1.1764705882352941E-2</v>
      </c>
      <c r="J16" s="146">
        <f t="shared" si="5"/>
        <v>0</v>
      </c>
      <c r="K16" s="146"/>
      <c r="L16" s="146"/>
      <c r="M16" s="146"/>
    </row>
    <row r="17" spans="1:22">
      <c r="A17" s="65"/>
      <c r="B17" s="65"/>
      <c r="C17" s="65"/>
      <c r="D17" s="65"/>
      <c r="E17" s="65"/>
      <c r="F17" s="65"/>
      <c r="G17" s="126"/>
      <c r="H17" s="128"/>
      <c r="I17" s="128"/>
      <c r="J17" s="128"/>
      <c r="K17" s="128"/>
      <c r="L17" s="128"/>
      <c r="M17" s="128"/>
      <c r="R17" s="112">
        <f>R7/R4</f>
        <v>-3.2803136827755349E-3</v>
      </c>
      <c r="S17" s="112">
        <f t="shared" ref="S17:V17" si="6">S7/S4</f>
        <v>6.5546953196814759E-3</v>
      </c>
      <c r="T17" s="112">
        <f t="shared" si="6"/>
        <v>4.8096485194884676E-3</v>
      </c>
      <c r="U17" s="112">
        <f t="shared" si="6"/>
        <v>4.0810723380694681E-3</v>
      </c>
      <c r="V17" s="112">
        <f t="shared" si="6"/>
        <v>9.6364961002634916E-3</v>
      </c>
    </row>
    <row r="18" spans="1:22">
      <c r="A18" s="281" t="s">
        <v>12</v>
      </c>
      <c r="B18" s="273">
        <f>B2</f>
        <v>43313</v>
      </c>
      <c r="C18" s="136" t="s">
        <v>2</v>
      </c>
      <c r="D18" s="148"/>
      <c r="E18" s="148"/>
      <c r="F18" s="148"/>
      <c r="G18" s="148"/>
      <c r="H18" s="148"/>
      <c r="I18" s="148">
        <v>155.96</v>
      </c>
      <c r="J18" s="148">
        <v>202.4</v>
      </c>
      <c r="K18" s="148">
        <v>243</v>
      </c>
      <c r="L18" s="148">
        <v>260</v>
      </c>
      <c r="M18" s="148">
        <v>248.3</v>
      </c>
      <c r="N18" s="148">
        <v>250.9</v>
      </c>
      <c r="O18" s="148">
        <v>253.6</v>
      </c>
      <c r="P18" s="190"/>
    </row>
    <row r="19" spans="1:22">
      <c r="A19" s="281"/>
      <c r="B19" s="272"/>
      <c r="C19" s="139" t="s">
        <v>0</v>
      </c>
      <c r="D19" s="149"/>
      <c r="E19" s="149"/>
      <c r="F19" s="149"/>
      <c r="G19" s="149"/>
      <c r="H19" s="149"/>
      <c r="I19" s="149"/>
      <c r="J19" s="149">
        <v>202</v>
      </c>
      <c r="K19" s="149">
        <v>250</v>
      </c>
      <c r="L19" s="149">
        <f>+K19*1.1</f>
        <v>275</v>
      </c>
      <c r="M19" s="149">
        <f t="shared" ref="M19:O19" si="7">L19*1.07</f>
        <v>294.25</v>
      </c>
      <c r="N19" s="149">
        <f t="shared" si="7"/>
        <v>314.84750000000003</v>
      </c>
      <c r="O19" s="149">
        <f t="shared" si="7"/>
        <v>336.88682500000004</v>
      </c>
      <c r="P19" s="208"/>
    </row>
    <row r="20" spans="1:22">
      <c r="A20" s="281"/>
      <c r="B20" s="272"/>
      <c r="C20" s="141" t="s">
        <v>3</v>
      </c>
      <c r="D20" s="151"/>
      <c r="E20" s="151"/>
      <c r="F20" s="151"/>
      <c r="G20" s="151"/>
      <c r="H20" s="151"/>
      <c r="I20" s="151">
        <v>155.9</v>
      </c>
      <c r="J20" s="151">
        <v>201.7</v>
      </c>
      <c r="K20" s="151">
        <v>239.7</v>
      </c>
      <c r="L20" s="151">
        <v>270.2</v>
      </c>
      <c r="M20" s="151">
        <v>286.2</v>
      </c>
      <c r="N20" s="151">
        <v>308.60000000000002</v>
      </c>
      <c r="O20" s="151">
        <v>322.39999999999998</v>
      </c>
      <c r="P20" s="191"/>
    </row>
    <row r="21" spans="1:22">
      <c r="A21" s="281"/>
      <c r="B21" s="272"/>
      <c r="C21" s="143" t="s">
        <v>1</v>
      </c>
      <c r="D21" s="152">
        <v>80.3</v>
      </c>
      <c r="E21" s="152">
        <v>96.4</v>
      </c>
      <c r="F21" s="153">
        <v>113.9</v>
      </c>
      <c r="G21" s="153">
        <v>141.4</v>
      </c>
      <c r="H21" s="153">
        <v>146.69999999999999</v>
      </c>
      <c r="I21" s="153">
        <v>153</v>
      </c>
      <c r="J21" s="206">
        <f>(+AVERAGE(J18:J20))</f>
        <v>202.0333333333333</v>
      </c>
      <c r="K21" s="206">
        <v>245</v>
      </c>
      <c r="L21" s="206">
        <v>270</v>
      </c>
      <c r="M21" s="206">
        <v>285</v>
      </c>
      <c r="N21" s="206">
        <v>300</v>
      </c>
      <c r="O21" s="206">
        <v>315</v>
      </c>
      <c r="P21" s="201"/>
    </row>
    <row r="22" spans="1:22">
      <c r="A22" s="281"/>
      <c r="B22" s="33">
        <f>B7</f>
        <v>43070</v>
      </c>
      <c r="C22" s="133" t="s">
        <v>1</v>
      </c>
      <c r="D22" s="154">
        <v>80.3</v>
      </c>
      <c r="E22" s="154">
        <v>96.4</v>
      </c>
      <c r="F22" s="154">
        <v>113.9</v>
      </c>
      <c r="G22" s="154">
        <v>141.4</v>
      </c>
      <c r="H22" s="154">
        <v>146.69999999999999</v>
      </c>
      <c r="I22" s="154">
        <v>153</v>
      </c>
      <c r="J22" s="154">
        <v>158</v>
      </c>
      <c r="K22" s="154">
        <v>162</v>
      </c>
      <c r="L22" s="154">
        <v>165</v>
      </c>
      <c r="M22" s="154">
        <v>168</v>
      </c>
      <c r="N22" s="154">
        <v>170</v>
      </c>
      <c r="O22" s="154">
        <v>170</v>
      </c>
      <c r="P22" s="191"/>
      <c r="Q22" s="131"/>
      <c r="T22" s="131"/>
    </row>
    <row r="23" spans="1:22" hidden="1">
      <c r="A23" s="281"/>
      <c r="B23" s="33">
        <v>41974</v>
      </c>
      <c r="C23" s="133" t="s">
        <v>1</v>
      </c>
      <c r="D23" s="154">
        <v>80.3</v>
      </c>
      <c r="E23" s="154">
        <v>96.4</v>
      </c>
      <c r="F23" s="154">
        <v>113.4</v>
      </c>
      <c r="G23" s="154">
        <v>122</v>
      </c>
      <c r="H23" s="154">
        <v>127</v>
      </c>
      <c r="I23" s="154">
        <v>131</v>
      </c>
      <c r="J23" s="154">
        <v>133</v>
      </c>
      <c r="K23" s="154">
        <v>135</v>
      </c>
      <c r="L23" s="154"/>
      <c r="M23" s="154"/>
      <c r="N23" s="154"/>
      <c r="O23" s="154"/>
      <c r="P23" s="191"/>
    </row>
    <row r="24" spans="1:22" hidden="1">
      <c r="A24" s="281"/>
      <c r="B24" s="33">
        <v>41852</v>
      </c>
      <c r="C24" s="133" t="s">
        <v>1</v>
      </c>
      <c r="D24" s="154">
        <v>80.3</v>
      </c>
      <c r="E24" s="154">
        <v>96.4</v>
      </c>
      <c r="F24" s="154">
        <v>110</v>
      </c>
      <c r="G24" s="154">
        <v>117</v>
      </c>
      <c r="H24" s="154">
        <v>122</v>
      </c>
      <c r="I24" s="154">
        <v>125</v>
      </c>
      <c r="J24" s="154">
        <v>127</v>
      </c>
      <c r="K24" s="154">
        <v>129</v>
      </c>
      <c r="L24" s="154"/>
      <c r="M24" s="154"/>
      <c r="N24" s="154"/>
      <c r="O24" s="154"/>
      <c r="P24" s="191"/>
    </row>
    <row r="25" spans="1:22" hidden="1">
      <c r="A25" s="281"/>
      <c r="B25" s="33">
        <v>41499</v>
      </c>
      <c r="C25" s="133" t="s">
        <v>1</v>
      </c>
      <c r="D25" s="154">
        <v>80.069999999999993</v>
      </c>
      <c r="E25" s="154">
        <v>90</v>
      </c>
      <c r="F25" s="154">
        <v>93</v>
      </c>
      <c r="G25" s="154">
        <v>97</v>
      </c>
      <c r="H25" s="154">
        <v>100</v>
      </c>
      <c r="I25" s="154">
        <v>101</v>
      </c>
      <c r="J25" s="154">
        <v>102</v>
      </c>
      <c r="K25" s="154"/>
      <c r="L25" s="154"/>
      <c r="M25" s="154"/>
      <c r="N25" s="154"/>
      <c r="O25" s="154"/>
      <c r="P25" s="191"/>
    </row>
    <row r="26" spans="1:22" hidden="1">
      <c r="A26" s="281"/>
      <c r="B26" s="33">
        <v>41317</v>
      </c>
      <c r="C26" s="133" t="s">
        <v>1</v>
      </c>
      <c r="D26" s="155">
        <v>80.099999999999994</v>
      </c>
      <c r="E26" s="155">
        <v>87</v>
      </c>
      <c r="F26" s="155">
        <v>91.4</v>
      </c>
      <c r="G26" s="155">
        <v>94.1</v>
      </c>
      <c r="H26" s="155">
        <v>96</v>
      </c>
      <c r="I26" s="155">
        <v>97.9</v>
      </c>
      <c r="J26" s="155"/>
      <c r="K26" s="155"/>
      <c r="L26" s="155"/>
      <c r="M26" s="155"/>
      <c r="N26" s="155"/>
      <c r="O26" s="155"/>
      <c r="P26" s="192"/>
    </row>
    <row r="27" spans="1:22" hidden="1">
      <c r="A27" s="281"/>
      <c r="B27" s="33">
        <v>41244</v>
      </c>
      <c r="C27" s="133" t="s">
        <v>1</v>
      </c>
      <c r="D27" s="155">
        <v>79.7</v>
      </c>
      <c r="E27" s="155">
        <v>84.119744824999998</v>
      </c>
      <c r="F27" s="155">
        <v>88.406534618000009</v>
      </c>
      <c r="G27" s="155">
        <v>92.434230656539995</v>
      </c>
      <c r="H27" s="155">
        <v>96.132415269670815</v>
      </c>
      <c r="I27" s="155">
        <v>97.6</v>
      </c>
      <c r="J27" s="155">
        <v>97.6</v>
      </c>
      <c r="K27" s="155"/>
      <c r="L27" s="155"/>
      <c r="M27" s="155"/>
      <c r="N27" s="155"/>
      <c r="O27" s="155"/>
      <c r="P27" s="192"/>
    </row>
    <row r="28" spans="1:22">
      <c r="A28" s="281"/>
      <c r="B28" s="33">
        <f>B18</f>
        <v>43313</v>
      </c>
      <c r="C28" s="292" t="s">
        <v>16</v>
      </c>
      <c r="D28" s="293"/>
      <c r="E28" s="167">
        <f t="shared" ref="E28:O29" si="8">(E21-D21)/D21</f>
        <v>0.20049813200498143</v>
      </c>
      <c r="F28" s="167">
        <f>(F21-E21)/E21</f>
        <v>0.18153526970954356</v>
      </c>
      <c r="G28" s="167">
        <f t="shared" si="8"/>
        <v>0.24143985952589991</v>
      </c>
      <c r="H28" s="167">
        <f t="shared" si="8"/>
        <v>3.7482319660537361E-2</v>
      </c>
      <c r="I28" s="167">
        <f>(I21-H21)/H21</f>
        <v>4.2944785276073698E-2</v>
      </c>
      <c r="J28" s="167">
        <f>(J21-I21)/I21</f>
        <v>0.3204793028322438</v>
      </c>
      <c r="K28" s="167">
        <f t="shared" si="8"/>
        <v>0.21267117637353591</v>
      </c>
      <c r="L28" s="167">
        <f>(L21-K21)/K21</f>
        <v>0.10204081632653061</v>
      </c>
      <c r="M28" s="167">
        <f>(M21-L21)/L21</f>
        <v>5.5555555555555552E-2</v>
      </c>
      <c r="N28" s="167">
        <f>(N21-M21)/M21</f>
        <v>5.2631578947368418E-2</v>
      </c>
      <c r="O28" s="167">
        <f>(O21-N21)/N21</f>
        <v>0.05</v>
      </c>
      <c r="P28" s="193"/>
      <c r="Q28" s="207"/>
    </row>
    <row r="29" spans="1:22">
      <c r="A29" s="281"/>
      <c r="B29" s="33">
        <f>B7</f>
        <v>43070</v>
      </c>
      <c r="C29" s="290" t="s">
        <v>16</v>
      </c>
      <c r="D29" s="291"/>
      <c r="E29" s="168">
        <f>(E22-D22)/D22</f>
        <v>0.20049813200498143</v>
      </c>
      <c r="F29" s="168">
        <f t="shared" ref="F29:O30" si="9">(F22-E22)/E22</f>
        <v>0.18153526970954356</v>
      </c>
      <c r="G29" s="168">
        <f>(G22-F22)/F22</f>
        <v>0.24143985952589991</v>
      </c>
      <c r="H29" s="168">
        <f t="shared" si="8"/>
        <v>3.7482319660537361E-2</v>
      </c>
      <c r="I29" s="168">
        <f>(I22-H22)/H22</f>
        <v>4.2944785276073698E-2</v>
      </c>
      <c r="J29" s="168">
        <f t="shared" si="8"/>
        <v>3.2679738562091505E-2</v>
      </c>
      <c r="K29" s="168">
        <f>(K22-J22)/J22</f>
        <v>2.5316455696202531E-2</v>
      </c>
      <c r="L29" s="168">
        <f t="shared" si="8"/>
        <v>1.8518518518518517E-2</v>
      </c>
      <c r="M29" s="168">
        <f t="shared" si="8"/>
        <v>1.8181818181818181E-2</v>
      </c>
      <c r="N29" s="168">
        <f t="shared" si="8"/>
        <v>1.1904761904761904E-2</v>
      </c>
      <c r="O29" s="168">
        <f t="shared" si="8"/>
        <v>0</v>
      </c>
      <c r="P29" s="194"/>
      <c r="Q29" s="127"/>
    </row>
    <row r="30" spans="1:22" hidden="1">
      <c r="A30" s="281"/>
      <c r="B30" s="33">
        <v>41974</v>
      </c>
      <c r="C30" s="290" t="s">
        <v>16</v>
      </c>
      <c r="D30" s="291"/>
      <c r="E30" s="147">
        <f>(E23-D23)/D23</f>
        <v>0.20049813200498143</v>
      </c>
      <c r="F30" s="147">
        <f t="shared" si="9"/>
        <v>0.17634854771784231</v>
      </c>
      <c r="G30" s="147">
        <f t="shared" si="9"/>
        <v>7.5837742504409111E-2</v>
      </c>
      <c r="H30" s="147">
        <f t="shared" si="9"/>
        <v>4.0983606557377046E-2</v>
      </c>
      <c r="I30" s="147">
        <f t="shared" si="9"/>
        <v>3.1496062992125984E-2</v>
      </c>
      <c r="J30" s="147">
        <f t="shared" si="9"/>
        <v>1.5267175572519083E-2</v>
      </c>
      <c r="K30" s="147">
        <f t="shared" si="9"/>
        <v>1.5037593984962405E-2</v>
      </c>
      <c r="L30" s="147">
        <f t="shared" si="9"/>
        <v>-1</v>
      </c>
      <c r="M30" s="147" t="e">
        <f t="shared" si="9"/>
        <v>#DIV/0!</v>
      </c>
      <c r="N30" s="147" t="e">
        <f t="shared" si="9"/>
        <v>#DIV/0!</v>
      </c>
      <c r="O30" s="147" t="e">
        <f t="shared" si="9"/>
        <v>#DIV/0!</v>
      </c>
      <c r="P30" s="195"/>
    </row>
    <row r="31" spans="1:22" hidden="1">
      <c r="A31" s="281"/>
      <c r="B31" s="33">
        <v>41499</v>
      </c>
      <c r="C31" s="292" t="s">
        <v>16</v>
      </c>
      <c r="D31" s="293"/>
      <c r="E31" s="146">
        <f t="shared" ref="E31:J31" si="10">(E25-D25)/D25</f>
        <v>0.12401648557512186</v>
      </c>
      <c r="F31" s="146">
        <f t="shared" si="10"/>
        <v>3.3333333333333333E-2</v>
      </c>
      <c r="G31" s="146">
        <f t="shared" si="10"/>
        <v>4.3010752688172046E-2</v>
      </c>
      <c r="H31" s="146">
        <f t="shared" si="10"/>
        <v>3.0927835051546393E-2</v>
      </c>
      <c r="I31" s="146">
        <f t="shared" si="10"/>
        <v>0.01</v>
      </c>
      <c r="J31" s="146">
        <f t="shared" si="10"/>
        <v>9.9009900990099011E-3</v>
      </c>
      <c r="K31" s="146"/>
      <c r="L31" s="146"/>
      <c r="M31" s="146"/>
      <c r="N31" s="146"/>
      <c r="O31" s="146"/>
      <c r="P31" s="174"/>
    </row>
    <row r="32" spans="1:22">
      <c r="A32" s="106"/>
      <c r="B32" s="107"/>
      <c r="C32" s="156"/>
      <c r="D32" s="156"/>
      <c r="E32" s="157"/>
      <c r="F32" s="157"/>
      <c r="G32" s="158"/>
      <c r="H32" s="158"/>
      <c r="I32" s="158"/>
      <c r="J32" s="158"/>
      <c r="K32" s="158"/>
      <c r="L32" s="158"/>
      <c r="M32" s="158"/>
      <c r="N32" s="158"/>
      <c r="O32" s="158"/>
      <c r="P32" s="196"/>
    </row>
    <row r="33" spans="1:18">
      <c r="A33" s="298" t="s">
        <v>18</v>
      </c>
      <c r="B33" s="300">
        <f>B2</f>
        <v>43313</v>
      </c>
      <c r="C33" s="134" t="s">
        <v>4</v>
      </c>
      <c r="D33" s="135"/>
      <c r="E33" s="135"/>
      <c r="F33" s="135"/>
      <c r="G33" s="135"/>
      <c r="H33" s="135"/>
      <c r="I33" s="135">
        <v>3.24</v>
      </c>
      <c r="J33" s="135">
        <v>3.23</v>
      </c>
      <c r="K33" s="135">
        <v>3.09</v>
      </c>
      <c r="L33" s="135">
        <v>2.8</v>
      </c>
      <c r="M33" s="135">
        <v>2.82</v>
      </c>
      <c r="N33" s="135">
        <v>2.9</v>
      </c>
      <c r="O33" s="135">
        <v>3.12</v>
      </c>
      <c r="P33" s="188"/>
    </row>
    <row r="34" spans="1:18" ht="15" customHeight="1">
      <c r="A34" s="299"/>
      <c r="B34" s="301"/>
      <c r="C34" s="136" t="s">
        <v>2</v>
      </c>
      <c r="D34" s="159"/>
      <c r="E34" s="159"/>
      <c r="F34" s="159"/>
      <c r="G34" s="159"/>
      <c r="H34" s="159"/>
      <c r="I34" s="159">
        <v>3.24</v>
      </c>
      <c r="J34" s="159"/>
      <c r="K34" s="159"/>
      <c r="L34" s="159"/>
      <c r="M34" s="159"/>
      <c r="N34" s="159"/>
      <c r="O34" s="159"/>
      <c r="P34" s="197"/>
    </row>
    <row r="35" spans="1:18">
      <c r="A35" s="299"/>
      <c r="B35" s="301"/>
      <c r="C35" s="139" t="s">
        <v>0</v>
      </c>
      <c r="D35" s="140"/>
      <c r="E35" s="140"/>
      <c r="F35" s="140"/>
      <c r="G35" s="140"/>
      <c r="H35" s="140"/>
      <c r="I35" s="140">
        <v>3.25</v>
      </c>
      <c r="J35" s="140">
        <v>3.22</v>
      </c>
      <c r="K35" s="140">
        <v>3.1</v>
      </c>
      <c r="L35" s="140">
        <v>3.1</v>
      </c>
      <c r="M35" s="140">
        <v>3.1</v>
      </c>
      <c r="N35" s="140">
        <v>3.1</v>
      </c>
      <c r="O35" s="140">
        <v>3.1</v>
      </c>
      <c r="P35" s="188"/>
    </row>
    <row r="36" spans="1:18">
      <c r="A36" s="299"/>
      <c r="B36" s="301"/>
      <c r="C36" s="141" t="s">
        <v>3</v>
      </c>
      <c r="D36" s="142"/>
      <c r="E36" s="142"/>
      <c r="F36" s="142"/>
      <c r="G36" s="142"/>
      <c r="H36" s="142"/>
      <c r="I36" s="142">
        <v>3.22</v>
      </c>
      <c r="J36" s="142">
        <v>3.28</v>
      </c>
      <c r="K36" s="142">
        <v>3.11</v>
      </c>
      <c r="L36" s="142">
        <v>2.91</v>
      </c>
      <c r="M36" s="142">
        <v>2.81</v>
      </c>
      <c r="N36" s="142">
        <v>2.94</v>
      </c>
      <c r="O36" s="142">
        <v>3.04</v>
      </c>
      <c r="P36" s="188"/>
    </row>
    <row r="37" spans="1:18">
      <c r="A37" s="299"/>
      <c r="B37" s="302"/>
      <c r="C37" s="143" t="s">
        <v>1</v>
      </c>
      <c r="D37" s="144">
        <v>5.01</v>
      </c>
      <c r="E37" s="144">
        <v>4.38</v>
      </c>
      <c r="F37" s="144">
        <v>5.14</v>
      </c>
      <c r="G37" s="144">
        <v>3.78</v>
      </c>
      <c r="H37" s="144">
        <v>2.42</v>
      </c>
      <c r="I37" s="144">
        <f t="shared" ref="I37:K37" si="11">+AVERAGE(I33:I36)</f>
        <v>3.2375000000000003</v>
      </c>
      <c r="J37" s="144">
        <v>3.25</v>
      </c>
      <c r="K37" s="144">
        <f t="shared" si="11"/>
        <v>3.0999999999999996</v>
      </c>
      <c r="L37" s="144">
        <v>2.95</v>
      </c>
      <c r="M37" s="144">
        <v>2.9</v>
      </c>
      <c r="N37" s="144">
        <v>3</v>
      </c>
      <c r="O37" s="144">
        <v>3.1</v>
      </c>
      <c r="P37" s="200"/>
    </row>
    <row r="38" spans="1:18">
      <c r="A38" s="299"/>
      <c r="B38" s="33">
        <f>B7</f>
        <v>43070</v>
      </c>
      <c r="C38" s="133" t="s">
        <v>1</v>
      </c>
      <c r="D38" s="138">
        <v>5.01</v>
      </c>
      <c r="E38" s="138">
        <v>4.38</v>
      </c>
      <c r="F38" s="138">
        <v>5.14</v>
      </c>
      <c r="G38" s="138">
        <v>3.78</v>
      </c>
      <c r="H38" s="138">
        <v>2.42</v>
      </c>
      <c r="I38" s="138">
        <v>3.26</v>
      </c>
      <c r="J38" s="138">
        <v>3.25</v>
      </c>
      <c r="K38" s="138">
        <v>3.25</v>
      </c>
      <c r="L38" s="138">
        <v>3.2524999999999999</v>
      </c>
      <c r="M38" s="138">
        <v>3.2</v>
      </c>
      <c r="N38" s="138">
        <v>3.2</v>
      </c>
      <c r="O38" s="138">
        <v>3.2</v>
      </c>
      <c r="P38" s="188"/>
      <c r="Q38" s="112"/>
      <c r="R38" s="112"/>
    </row>
    <row r="39" spans="1:18" ht="15" hidden="1" customHeight="1">
      <c r="A39" s="204"/>
      <c r="B39" s="33">
        <v>41974</v>
      </c>
      <c r="C39" s="133" t="s">
        <v>1</v>
      </c>
      <c r="D39" s="138">
        <v>5.01</v>
      </c>
      <c r="E39" s="138">
        <v>4.38</v>
      </c>
      <c r="F39" s="138">
        <v>5.13</v>
      </c>
      <c r="G39" s="138">
        <v>4.9000000000000004</v>
      </c>
      <c r="H39" s="138">
        <v>4.9000000000000004</v>
      </c>
      <c r="I39" s="138">
        <v>4.95</v>
      </c>
      <c r="J39" s="138">
        <v>5.0999999999999996</v>
      </c>
      <c r="K39" s="138">
        <v>5.2</v>
      </c>
      <c r="L39" s="138"/>
      <c r="M39" s="138"/>
    </row>
    <row r="40" spans="1:18" ht="15" hidden="1" customHeight="1">
      <c r="A40" s="204"/>
      <c r="B40" s="33">
        <v>41852</v>
      </c>
      <c r="C40" s="133" t="s">
        <v>1</v>
      </c>
      <c r="D40" s="138">
        <v>5.01</v>
      </c>
      <c r="E40" s="138">
        <v>4.38</v>
      </c>
      <c r="F40" s="138">
        <v>5.15</v>
      </c>
      <c r="G40" s="138">
        <v>5.2</v>
      </c>
      <c r="H40" s="138">
        <v>5.25</v>
      </c>
      <c r="I40" s="138">
        <v>5.3</v>
      </c>
      <c r="J40" s="138">
        <v>5.35</v>
      </c>
      <c r="K40" s="138">
        <v>5.4</v>
      </c>
      <c r="L40" s="138"/>
      <c r="M40" s="138"/>
    </row>
    <row r="41" spans="1:18" ht="15" hidden="1" customHeight="1">
      <c r="A41" s="204"/>
      <c r="B41" s="33">
        <v>41499</v>
      </c>
      <c r="C41" s="133" t="s">
        <v>1</v>
      </c>
      <c r="D41" s="138">
        <v>5</v>
      </c>
      <c r="E41" s="138">
        <v>4.5</v>
      </c>
      <c r="F41" s="138">
        <v>5</v>
      </c>
      <c r="G41" s="138">
        <v>5.4</v>
      </c>
      <c r="H41" s="138">
        <v>5.5</v>
      </c>
      <c r="I41" s="138">
        <v>5.5</v>
      </c>
      <c r="J41" s="138">
        <v>5.5</v>
      </c>
      <c r="K41" s="138"/>
      <c r="L41" s="138"/>
      <c r="M41" s="138"/>
    </row>
    <row r="42" spans="1:18" ht="15" hidden="1" customHeight="1">
      <c r="A42" s="204"/>
      <c r="B42" s="33">
        <v>41317</v>
      </c>
      <c r="C42" s="133" t="s">
        <v>1</v>
      </c>
      <c r="D42" s="145">
        <v>5</v>
      </c>
      <c r="E42" s="145">
        <v>4.5</v>
      </c>
      <c r="F42" s="145">
        <v>5.0999999999999996</v>
      </c>
      <c r="G42" s="145">
        <v>5.25</v>
      </c>
      <c r="H42" s="145">
        <v>5.5</v>
      </c>
      <c r="I42" s="145">
        <v>5.5</v>
      </c>
      <c r="J42" s="145"/>
      <c r="K42" s="145"/>
      <c r="L42" s="145"/>
      <c r="M42" s="145"/>
    </row>
    <row r="43" spans="1:18" ht="15" hidden="1" customHeight="1">
      <c r="A43" s="204"/>
      <c r="B43" s="33">
        <v>41244</v>
      </c>
      <c r="C43" s="133" t="s">
        <v>1</v>
      </c>
      <c r="D43" s="145">
        <v>5</v>
      </c>
      <c r="E43" s="145">
        <v>4.5</v>
      </c>
      <c r="F43" s="145">
        <v>5</v>
      </c>
      <c r="G43" s="145">
        <v>5.4</v>
      </c>
      <c r="H43" s="145">
        <v>5.6</v>
      </c>
      <c r="I43" s="145">
        <v>5.5</v>
      </c>
      <c r="J43" s="145">
        <v>5.5</v>
      </c>
      <c r="K43" s="145"/>
      <c r="L43" s="145"/>
      <c r="M43" s="145"/>
    </row>
    <row r="44" spans="1:18" ht="15" hidden="1" customHeight="1">
      <c r="A44" s="204"/>
      <c r="B44" s="33">
        <v>42217</v>
      </c>
      <c r="C44" s="292" t="s">
        <v>16</v>
      </c>
      <c r="D44" s="293"/>
      <c r="E44" s="146">
        <f t="shared" ref="E44:M46" si="12">(E37-D37)/D37</f>
        <v>-0.12574850299401197</v>
      </c>
      <c r="F44" s="146">
        <f t="shared" si="12"/>
        <v>0.17351598173515978</v>
      </c>
      <c r="G44" s="146">
        <f t="shared" si="12"/>
        <v>-0.26459143968871596</v>
      </c>
      <c r="H44" s="146">
        <f t="shared" si="12"/>
        <v>-0.35978835978835977</v>
      </c>
      <c r="I44" s="146">
        <f t="shared" si="12"/>
        <v>0.33780991735537202</v>
      </c>
      <c r="J44" s="146">
        <f t="shared" si="12"/>
        <v>3.8610038610037783E-3</v>
      </c>
      <c r="K44" s="146">
        <f t="shared" si="12"/>
        <v>-4.615384615384626E-2</v>
      </c>
      <c r="L44" s="146">
        <f t="shared" si="12"/>
        <v>-4.8387096774193381E-2</v>
      </c>
      <c r="M44" s="146">
        <f t="shared" si="12"/>
        <v>-1.6949152542372972E-2</v>
      </c>
    </row>
    <row r="45" spans="1:18" ht="15" hidden="1" customHeight="1">
      <c r="A45" s="204"/>
      <c r="B45" s="33">
        <f>B29</f>
        <v>43070</v>
      </c>
      <c r="C45" s="290" t="s">
        <v>16</v>
      </c>
      <c r="D45" s="291"/>
      <c r="E45" s="147">
        <f t="shared" si="12"/>
        <v>-0.12574850299401197</v>
      </c>
      <c r="F45" s="147">
        <f t="shared" si="12"/>
        <v>0.17351598173515978</v>
      </c>
      <c r="G45" s="147">
        <f t="shared" si="12"/>
        <v>-0.26459143968871596</v>
      </c>
      <c r="H45" s="147">
        <f t="shared" si="12"/>
        <v>-0.35978835978835977</v>
      </c>
      <c r="I45" s="147">
        <f t="shared" si="12"/>
        <v>0.34710743801652888</v>
      </c>
      <c r="J45" s="147">
        <f t="shared" si="12"/>
        <v>-3.0674846625766221E-3</v>
      </c>
      <c r="K45" s="147">
        <f t="shared" si="12"/>
        <v>0</v>
      </c>
      <c r="L45" s="147"/>
      <c r="M45" s="147"/>
    </row>
    <row r="46" spans="1:18" ht="15" hidden="1" customHeight="1">
      <c r="A46" s="204"/>
      <c r="B46" s="33">
        <v>41974</v>
      </c>
      <c r="C46" s="290" t="s">
        <v>16</v>
      </c>
      <c r="D46" s="291"/>
      <c r="E46" s="147">
        <f t="shared" si="12"/>
        <v>-0.12574850299401197</v>
      </c>
      <c r="F46" s="147">
        <f t="shared" si="12"/>
        <v>0.17123287671232876</v>
      </c>
      <c r="G46" s="147">
        <f t="shared" si="12"/>
        <v>-4.4834307992202643E-2</v>
      </c>
      <c r="H46" s="147">
        <f t="shared" si="12"/>
        <v>0</v>
      </c>
      <c r="I46" s="147">
        <f t="shared" si="12"/>
        <v>1.0204081632653024E-2</v>
      </c>
      <c r="J46" s="147">
        <f t="shared" si="12"/>
        <v>3.0303030303030193E-2</v>
      </c>
      <c r="K46" s="147">
        <f t="shared" si="12"/>
        <v>1.9607843137255009E-2</v>
      </c>
      <c r="L46" s="147">
        <f t="shared" si="12"/>
        <v>-1</v>
      </c>
      <c r="M46" s="147" t="e">
        <f t="shared" si="12"/>
        <v>#DIV/0!</v>
      </c>
    </row>
    <row r="47" spans="1:18" ht="15" hidden="1" customHeight="1">
      <c r="A47" s="205"/>
      <c r="B47" s="33">
        <v>41499</v>
      </c>
      <c r="C47" s="292" t="s">
        <v>16</v>
      </c>
      <c r="D47" s="293"/>
      <c r="E47" s="146">
        <f t="shared" ref="E47:J47" si="13">(E41-D41)/D41</f>
        <v>-0.1</v>
      </c>
      <c r="F47" s="146">
        <f t="shared" si="13"/>
        <v>0.1111111111111111</v>
      </c>
      <c r="G47" s="146">
        <f t="shared" si="13"/>
        <v>8.0000000000000071E-2</v>
      </c>
      <c r="H47" s="146">
        <f t="shared" si="13"/>
        <v>1.8518518518518452E-2</v>
      </c>
      <c r="I47" s="146">
        <f t="shared" si="13"/>
        <v>0</v>
      </c>
      <c r="J47" s="146">
        <f t="shared" si="13"/>
        <v>0</v>
      </c>
      <c r="K47" s="146"/>
      <c r="L47" s="146"/>
      <c r="M47" s="146"/>
    </row>
    <row r="48" spans="1:18">
      <c r="A48" s="65"/>
      <c r="B48" s="65"/>
      <c r="C48" s="65"/>
      <c r="D48" s="76"/>
      <c r="E48" s="76"/>
      <c r="F48" s="76"/>
      <c r="G48" s="130"/>
      <c r="H48" s="130"/>
      <c r="I48" s="130"/>
      <c r="J48" s="130"/>
      <c r="K48" s="130"/>
      <c r="L48" s="130"/>
      <c r="M48" s="130"/>
    </row>
    <row r="49" spans="1:18">
      <c r="A49" s="287" t="s">
        <v>19</v>
      </c>
      <c r="B49" s="273">
        <f>B2</f>
        <v>43313</v>
      </c>
      <c r="C49" s="136" t="s">
        <v>2</v>
      </c>
      <c r="D49" s="160"/>
      <c r="E49" s="161"/>
      <c r="F49" s="161"/>
      <c r="G49" s="161"/>
      <c r="H49" s="161"/>
      <c r="I49" s="161">
        <v>1235.7</v>
      </c>
      <c r="J49" s="161">
        <v>1295</v>
      </c>
      <c r="K49" s="161">
        <v>1309.4000000000001</v>
      </c>
      <c r="L49" s="161">
        <v>1320.4</v>
      </c>
      <c r="M49" s="161">
        <v>1331.4</v>
      </c>
      <c r="N49" s="161">
        <v>1342.4</v>
      </c>
      <c r="O49" s="161">
        <v>1353.4</v>
      </c>
      <c r="P49" s="202"/>
    </row>
    <row r="50" spans="1:18">
      <c r="A50" s="288"/>
      <c r="B50" s="272"/>
      <c r="C50" s="139" t="s">
        <v>0</v>
      </c>
      <c r="D50" s="162"/>
      <c r="E50" s="162"/>
      <c r="F50" s="162"/>
      <c r="G50" s="162"/>
      <c r="H50" s="162"/>
      <c r="I50" s="162"/>
      <c r="J50" s="162">
        <v>1300</v>
      </c>
      <c r="K50" s="162">
        <f>J50*1.063</f>
        <v>1381.8999999999999</v>
      </c>
      <c r="L50" s="162">
        <f>K50*1.032</f>
        <v>1426.1207999999999</v>
      </c>
      <c r="M50" s="162">
        <f>L50*1.01</f>
        <v>1440.382008</v>
      </c>
      <c r="N50" s="162">
        <f>M50*1.011</f>
        <v>1456.2262100879998</v>
      </c>
      <c r="O50" s="162">
        <f>N50*1.013</f>
        <v>1475.1571508191437</v>
      </c>
      <c r="P50" s="198"/>
      <c r="Q50" s="112"/>
    </row>
    <row r="51" spans="1:18">
      <c r="A51" s="288"/>
      <c r="B51" s="272"/>
      <c r="C51" s="141" t="s">
        <v>3</v>
      </c>
      <c r="D51" s="163"/>
      <c r="E51" s="163"/>
      <c r="F51" s="163"/>
      <c r="G51" s="163"/>
      <c r="H51" s="163"/>
      <c r="I51" s="163">
        <v>1235.5999999999999</v>
      </c>
      <c r="J51" s="163">
        <f>1343*(1-0.015)</f>
        <v>1322.855</v>
      </c>
      <c r="K51" s="163">
        <f>J51*1.061</f>
        <v>1403.5491549999999</v>
      </c>
      <c r="L51" s="163">
        <f>K51*1.021</f>
        <v>1433.0236872549997</v>
      </c>
      <c r="M51" s="163">
        <f>L51*1.042</f>
        <v>1493.2106821197096</v>
      </c>
      <c r="N51" s="163">
        <f>M51*1.037</f>
        <v>1548.4594773581389</v>
      </c>
      <c r="O51" s="163">
        <f>N51*1.006</f>
        <v>1557.7502342222876</v>
      </c>
      <c r="P51" s="198"/>
    </row>
    <row r="52" spans="1:18">
      <c r="A52" s="288"/>
      <c r="B52" s="272"/>
      <c r="C52" s="143" t="s">
        <v>1</v>
      </c>
      <c r="D52" s="164">
        <v>1227</v>
      </c>
      <c r="E52" s="164">
        <v>1177.5</v>
      </c>
      <c r="F52" s="164">
        <v>1184.7</v>
      </c>
      <c r="G52" s="164">
        <v>1184.8</v>
      </c>
      <c r="H52" s="164">
        <v>1175</v>
      </c>
      <c r="I52" s="164">
        <f>(+AVERAGE(I49:I51))</f>
        <v>1235.6500000000001</v>
      </c>
      <c r="J52" s="164">
        <v>1300</v>
      </c>
      <c r="K52" s="164">
        <f>J52*1.062</f>
        <v>1380.6000000000001</v>
      </c>
      <c r="L52" s="164">
        <f>K52*1.025</f>
        <v>1415.115</v>
      </c>
      <c r="M52" s="164">
        <f>L52*1.01</f>
        <v>1429.2661499999999</v>
      </c>
      <c r="N52" s="164">
        <f>M52*1.011</f>
        <v>1444.9880776499997</v>
      </c>
      <c r="O52" s="164">
        <f>N52*1.013</f>
        <v>1463.7729226594495</v>
      </c>
      <c r="P52" s="203"/>
    </row>
    <row r="53" spans="1:18">
      <c r="A53" s="288"/>
      <c r="B53" s="33">
        <f>B38</f>
        <v>43070</v>
      </c>
      <c r="C53" s="133" t="s">
        <v>1</v>
      </c>
      <c r="D53" s="160">
        <v>1227</v>
      </c>
      <c r="E53" s="160">
        <v>1177.5</v>
      </c>
      <c r="F53" s="160">
        <v>1184.7</v>
      </c>
      <c r="G53" s="160">
        <v>1184.8</v>
      </c>
      <c r="H53" s="160">
        <v>1175</v>
      </c>
      <c r="I53" s="160">
        <v>1220</v>
      </c>
      <c r="J53" s="160">
        <v>1229.7</v>
      </c>
      <c r="K53" s="160">
        <v>1220</v>
      </c>
      <c r="L53" s="160">
        <v>1200.4904213333332</v>
      </c>
      <c r="M53" s="160">
        <v>1190</v>
      </c>
      <c r="N53" s="160">
        <v>1180</v>
      </c>
      <c r="O53" s="160">
        <v>1180</v>
      </c>
      <c r="P53" s="198"/>
      <c r="Q53" s="112"/>
      <c r="R53" s="112"/>
    </row>
    <row r="54" spans="1:18" hidden="1">
      <c r="A54" s="288"/>
      <c r="B54" s="33">
        <v>41974</v>
      </c>
      <c r="C54" s="133" t="s">
        <v>1</v>
      </c>
      <c r="D54" s="160">
        <v>1227</v>
      </c>
      <c r="E54" s="160">
        <v>1177.5</v>
      </c>
      <c r="F54" s="160">
        <v>1187.3</v>
      </c>
      <c r="G54" s="160">
        <v>1181</v>
      </c>
      <c r="H54" s="160">
        <v>1150</v>
      </c>
      <c r="I54" s="160">
        <v>1118</v>
      </c>
      <c r="J54" s="160">
        <v>1088</v>
      </c>
      <c r="K54" s="160">
        <v>1052</v>
      </c>
      <c r="L54" s="160"/>
      <c r="M54" s="160"/>
      <c r="N54" s="160"/>
      <c r="O54" s="160"/>
      <c r="P54" s="198"/>
    </row>
    <row r="55" spans="1:18" hidden="1">
      <c r="A55" s="288"/>
      <c r="B55" s="33">
        <v>41852</v>
      </c>
      <c r="C55" s="133" t="s">
        <v>1</v>
      </c>
      <c r="D55" s="160">
        <v>1227</v>
      </c>
      <c r="E55" s="160">
        <v>1177.5</v>
      </c>
      <c r="F55" s="160">
        <v>1170</v>
      </c>
      <c r="G55" s="160">
        <v>1158.3</v>
      </c>
      <c r="H55" s="160">
        <v>1123.5509999999999</v>
      </c>
      <c r="I55" s="160">
        <v>1089.84447</v>
      </c>
      <c r="J55" s="160">
        <v>1057.1491358999999</v>
      </c>
      <c r="K55" s="160">
        <v>1025.4346618229999</v>
      </c>
      <c r="L55" s="160"/>
      <c r="M55" s="160"/>
      <c r="N55" s="160"/>
      <c r="O55" s="160"/>
      <c r="P55" s="198"/>
    </row>
    <row r="56" spans="1:18" hidden="1">
      <c r="A56" s="288"/>
      <c r="B56" s="33">
        <v>41499</v>
      </c>
      <c r="C56" s="133" t="s">
        <v>1</v>
      </c>
      <c r="D56" s="160">
        <v>1225.8499999999999</v>
      </c>
      <c r="E56" s="160">
        <v>1165</v>
      </c>
      <c r="F56" s="160">
        <v>1110</v>
      </c>
      <c r="G56" s="160">
        <v>1070</v>
      </c>
      <c r="H56" s="160">
        <v>1030</v>
      </c>
      <c r="I56" s="160">
        <v>1000</v>
      </c>
      <c r="J56" s="160">
        <v>960</v>
      </c>
      <c r="K56" s="165"/>
      <c r="L56" s="165"/>
      <c r="M56" s="165"/>
      <c r="N56" s="165"/>
      <c r="O56" s="165"/>
      <c r="P56" s="199"/>
    </row>
    <row r="57" spans="1:18" hidden="1">
      <c r="A57" s="288"/>
      <c r="B57" s="33">
        <v>41317</v>
      </c>
      <c r="C57" s="133" t="s">
        <v>1</v>
      </c>
      <c r="D57" s="165">
        <v>1226</v>
      </c>
      <c r="E57" s="165">
        <v>1185</v>
      </c>
      <c r="F57" s="165">
        <v>1151</v>
      </c>
      <c r="G57" s="165">
        <v>1121</v>
      </c>
      <c r="H57" s="165">
        <v>1090.1407234210708</v>
      </c>
      <c r="I57" s="165">
        <v>1048</v>
      </c>
      <c r="J57" s="165"/>
      <c r="K57" s="165"/>
      <c r="L57" s="165"/>
      <c r="M57" s="165"/>
      <c r="N57" s="165"/>
      <c r="O57" s="165"/>
      <c r="P57" s="199"/>
    </row>
    <row r="58" spans="1:18" hidden="1">
      <c r="A58" s="288"/>
      <c r="B58" s="33">
        <v>41244</v>
      </c>
      <c r="C58" s="133" t="s">
        <v>1</v>
      </c>
      <c r="D58" s="165">
        <v>1228.5423506666664</v>
      </c>
      <c r="E58" s="165">
        <v>1184.5870287874238</v>
      </c>
      <c r="F58" s="165">
        <v>1151.3778293463738</v>
      </c>
      <c r="G58" s="165">
        <v>1121.0332793283103</v>
      </c>
      <c r="H58" s="165">
        <v>1090.1407234210708</v>
      </c>
      <c r="I58" s="165">
        <v>1048</v>
      </c>
      <c r="J58" s="165">
        <v>1048</v>
      </c>
      <c r="K58" s="165"/>
      <c r="L58" s="165"/>
      <c r="M58" s="165"/>
      <c r="N58" s="165"/>
      <c r="O58" s="165"/>
      <c r="P58" s="199"/>
    </row>
    <row r="59" spans="1:18">
      <c r="A59" s="288"/>
      <c r="B59" s="33">
        <f>B49</f>
        <v>43313</v>
      </c>
      <c r="C59" s="292" t="s">
        <v>16</v>
      </c>
      <c r="D59" s="293"/>
      <c r="E59" s="167">
        <f t="shared" ref="E59:O61" si="14">(E52-D52)/D52</f>
        <v>-4.0342298288508556E-2</v>
      </c>
      <c r="F59" s="167">
        <f t="shared" si="14"/>
        <v>6.1146496815287013E-3</v>
      </c>
      <c r="G59" s="167">
        <f>(G52-F52)/F52</f>
        <v>8.4409555161567526E-5</v>
      </c>
      <c r="H59" s="167">
        <f t="shared" si="14"/>
        <v>-8.2714382174206239E-3</v>
      </c>
      <c r="I59" s="167">
        <f t="shared" si="14"/>
        <v>5.1617021276595822E-2</v>
      </c>
      <c r="J59" s="167">
        <f t="shared" si="14"/>
        <v>5.2077853761178253E-2</v>
      </c>
      <c r="K59" s="167">
        <f t="shared" si="14"/>
        <v>6.2000000000000104E-2</v>
      </c>
      <c r="L59" s="167">
        <f t="shared" si="14"/>
        <v>2.4999999999999904E-2</v>
      </c>
      <c r="M59" s="167">
        <f t="shared" si="14"/>
        <v>9.9999999999999412E-3</v>
      </c>
      <c r="N59" s="167">
        <f t="shared" si="14"/>
        <v>1.099999999999984E-2</v>
      </c>
      <c r="O59" s="167">
        <f t="shared" si="14"/>
        <v>1.2999999999999852E-2</v>
      </c>
      <c r="P59" s="193"/>
    </row>
    <row r="60" spans="1:18">
      <c r="A60" s="288"/>
      <c r="B60" s="33">
        <f>B45</f>
        <v>43070</v>
      </c>
      <c r="C60" s="290" t="s">
        <v>16</v>
      </c>
      <c r="D60" s="291"/>
      <c r="E60" s="168">
        <f>(E53-D53)/D53</f>
        <v>-4.0342298288508556E-2</v>
      </c>
      <c r="F60" s="168">
        <f t="shared" si="14"/>
        <v>6.1146496815287013E-3</v>
      </c>
      <c r="G60" s="168">
        <f>(G53-F53)/F53</f>
        <v>8.4409555161567526E-5</v>
      </c>
      <c r="H60" s="168">
        <f t="shared" si="14"/>
        <v>-8.2714382174206239E-3</v>
      </c>
      <c r="I60" s="168">
        <f t="shared" si="14"/>
        <v>3.8297872340425532E-2</v>
      </c>
      <c r="J60" s="168">
        <f t="shared" si="14"/>
        <v>7.9508196721311854E-3</v>
      </c>
      <c r="K60" s="168">
        <f t="shared" si="14"/>
        <v>-7.8881027892982389E-3</v>
      </c>
      <c r="L60" s="168">
        <f t="shared" si="14"/>
        <v>-1.5991457923497387E-2</v>
      </c>
      <c r="M60" s="168">
        <f t="shared" si="14"/>
        <v>-8.7384465106201577E-3</v>
      </c>
      <c r="N60" s="168">
        <f t="shared" si="14"/>
        <v>-8.4033613445378148E-3</v>
      </c>
      <c r="O60" s="168">
        <f t="shared" si="14"/>
        <v>0</v>
      </c>
      <c r="P60" s="194"/>
    </row>
    <row r="61" spans="1:18" hidden="1">
      <c r="A61" s="288"/>
      <c r="B61" s="33">
        <v>41974</v>
      </c>
      <c r="C61" s="290" t="s">
        <v>16</v>
      </c>
      <c r="D61" s="291"/>
      <c r="E61" s="147">
        <f>(E54-D54)/D54</f>
        <v>-4.0342298288508556E-2</v>
      </c>
      <c r="F61" s="147">
        <f t="shared" si="14"/>
        <v>8.3227176220806408E-3</v>
      </c>
      <c r="G61" s="147">
        <f t="shared" si="14"/>
        <v>-5.3061568264128316E-3</v>
      </c>
      <c r="H61" s="147">
        <f t="shared" si="14"/>
        <v>-2.6248941574936496E-2</v>
      </c>
      <c r="I61" s="147">
        <f t="shared" si="14"/>
        <v>-2.782608695652174E-2</v>
      </c>
      <c r="J61" s="147">
        <f t="shared" si="14"/>
        <v>-2.6833631484794274E-2</v>
      </c>
      <c r="K61" s="147">
        <f t="shared" si="14"/>
        <v>-3.3088235294117647E-2</v>
      </c>
      <c r="L61" s="147">
        <f t="shared" si="14"/>
        <v>-1</v>
      </c>
      <c r="M61" s="147" t="e">
        <f t="shared" si="14"/>
        <v>#DIV/0!</v>
      </c>
    </row>
    <row r="62" spans="1:18" hidden="1">
      <c r="A62" s="289"/>
      <c r="B62" s="33">
        <v>41499</v>
      </c>
      <c r="C62" s="292" t="s">
        <v>16</v>
      </c>
      <c r="D62" s="293"/>
      <c r="E62" s="146">
        <f t="shared" ref="E62:J62" si="15">(E56-D56)/D56</f>
        <v>-4.9639025981971625E-2</v>
      </c>
      <c r="F62" s="146">
        <f t="shared" si="15"/>
        <v>-4.7210300429184553E-2</v>
      </c>
      <c r="G62" s="146">
        <f t="shared" si="15"/>
        <v>-3.6036036036036036E-2</v>
      </c>
      <c r="H62" s="146">
        <f t="shared" si="15"/>
        <v>-3.7383177570093455E-2</v>
      </c>
      <c r="I62" s="146">
        <f t="shared" si="15"/>
        <v>-2.9126213592233011E-2</v>
      </c>
      <c r="J62" s="146">
        <f t="shared" si="15"/>
        <v>-0.04</v>
      </c>
      <c r="K62" s="146"/>
      <c r="L62" s="146"/>
      <c r="M62" s="146"/>
    </row>
    <row r="63" spans="1:18">
      <c r="A63" s="108"/>
      <c r="B63" s="13"/>
      <c r="F63" s="112"/>
      <c r="G63" s="112"/>
      <c r="H63" s="112"/>
      <c r="I63" s="112"/>
      <c r="J63" s="112"/>
      <c r="K63" s="112"/>
      <c r="L63" s="112"/>
      <c r="M63" s="112"/>
    </row>
    <row r="64" spans="1:18">
      <c r="A64" s="9"/>
      <c r="B64" s="13"/>
      <c r="E64" s="94"/>
      <c r="F64" s="94"/>
      <c r="G64" s="112"/>
      <c r="H64" s="112"/>
      <c r="I64" s="112"/>
      <c r="J64" s="112"/>
      <c r="K64" s="112"/>
      <c r="L64" s="112"/>
      <c r="M64" s="112"/>
    </row>
    <row r="65" spans="1:13">
      <c r="A65" s="9"/>
      <c r="B65" s="13"/>
      <c r="E65" s="94"/>
      <c r="F65" s="94"/>
      <c r="G65" s="94"/>
      <c r="H65" s="112"/>
      <c r="I65" s="112"/>
      <c r="J65" s="112"/>
      <c r="K65" s="112"/>
      <c r="L65" s="112"/>
      <c r="M65" s="112"/>
    </row>
    <row r="66" spans="1:13">
      <c r="A66" s="9"/>
      <c r="B66" s="13"/>
    </row>
    <row r="67" spans="1:13">
      <c r="A67" s="9"/>
      <c r="B67" s="13"/>
    </row>
    <row r="68" spans="1:13">
      <c r="A68" s="9"/>
      <c r="B68" s="13"/>
    </row>
    <row r="69" spans="1:13">
      <c r="A69" s="9"/>
      <c r="B69" s="13"/>
    </row>
    <row r="70" spans="1:13">
      <c r="A70" s="9"/>
      <c r="B70" s="13"/>
    </row>
    <row r="71" spans="1:13">
      <c r="A71" s="9"/>
      <c r="B71" s="13"/>
    </row>
    <row r="72" spans="1:13">
      <c r="A72" s="9"/>
      <c r="B72" s="13"/>
    </row>
    <row r="73" spans="1:13">
      <c r="A73" s="9"/>
      <c r="B73" s="13"/>
    </row>
  </sheetData>
  <mergeCells count="25">
    <mergeCell ref="A49:A62"/>
    <mergeCell ref="B49:B52"/>
    <mergeCell ref="C59:D59"/>
    <mergeCell ref="C60:D60"/>
    <mergeCell ref="C61:D61"/>
    <mergeCell ref="C62:D62"/>
    <mergeCell ref="C47:D47"/>
    <mergeCell ref="A18:A31"/>
    <mergeCell ref="B18:B21"/>
    <mergeCell ref="C28:D28"/>
    <mergeCell ref="C29:D29"/>
    <mergeCell ref="C30:D30"/>
    <mergeCell ref="C31:D31"/>
    <mergeCell ref="A33:A38"/>
    <mergeCell ref="B33:B37"/>
    <mergeCell ref="C44:D44"/>
    <mergeCell ref="C45:D45"/>
    <mergeCell ref="C46:D46"/>
    <mergeCell ref="A2:A16"/>
    <mergeCell ref="B2:B6"/>
    <mergeCell ref="B7:B11"/>
    <mergeCell ref="C13:D13"/>
    <mergeCell ref="C14:D14"/>
    <mergeCell ref="C15:D15"/>
    <mergeCell ref="C16:D16"/>
  </mergeCells>
  <pageMargins left="0.5" right="0.17" top="0.63" bottom="0.75" header="0.3" footer="0.3"/>
  <pageSetup orientation="landscape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A1:R73"/>
  <sheetViews>
    <sheetView zoomScale="120" zoomScaleNormal="120" workbookViewId="0">
      <pane xSplit="3" ySplit="1" topLeftCell="I2" activePane="bottomRight" state="frozen"/>
      <selection activeCell="I6" sqref="I6"/>
      <selection pane="topRight" activeCell="I6" sqref="I6"/>
      <selection pane="bottomLeft" activeCell="I6" sqref="I6"/>
      <selection pane="bottomRight" activeCell="I6" sqref="I6"/>
    </sheetView>
  </sheetViews>
  <sheetFormatPr defaultColWidth="9.28515625" defaultRowHeight="15"/>
  <cols>
    <col min="1" max="1" width="9.42578125" customWidth="1"/>
    <col min="2" max="2" width="7.5703125" bestFit="1" customWidth="1"/>
    <col min="3" max="3" width="8" customWidth="1"/>
    <col min="4" max="9" width="7.5703125" customWidth="1"/>
    <col min="10" max="15" width="9" customWidth="1"/>
  </cols>
  <sheetData>
    <row r="1" spans="1:18" ht="34.5" customHeight="1">
      <c r="A1" s="8"/>
      <c r="B1" s="11"/>
      <c r="C1" s="133"/>
      <c r="D1" s="132" t="s">
        <v>17</v>
      </c>
      <c r="E1" s="132" t="s">
        <v>25</v>
      </c>
      <c r="F1" s="132" t="s">
        <v>73</v>
      </c>
      <c r="G1" s="132" t="s">
        <v>74</v>
      </c>
      <c r="H1" s="132" t="s">
        <v>75</v>
      </c>
      <c r="I1" s="132" t="s">
        <v>77</v>
      </c>
      <c r="J1" s="132" t="s">
        <v>79</v>
      </c>
      <c r="K1" s="132" t="s">
        <v>24</v>
      </c>
      <c r="L1" s="132" t="s">
        <v>27</v>
      </c>
      <c r="M1" s="132" t="s">
        <v>57</v>
      </c>
      <c r="N1" s="132" t="s">
        <v>76</v>
      </c>
      <c r="O1" s="132" t="s">
        <v>80</v>
      </c>
      <c r="P1" s="187"/>
    </row>
    <row r="2" spans="1:18">
      <c r="A2" s="284" t="s">
        <v>10</v>
      </c>
      <c r="B2" s="273">
        <v>43435</v>
      </c>
      <c r="C2" s="134" t="s">
        <v>4</v>
      </c>
      <c r="D2" s="135"/>
      <c r="E2" s="135"/>
      <c r="F2" s="135"/>
      <c r="G2" s="135"/>
      <c r="H2" s="135"/>
      <c r="I2" s="135">
        <v>44.74</v>
      </c>
      <c r="J2" s="135">
        <v>55.07</v>
      </c>
      <c r="K2" s="135">
        <v>49.87</v>
      </c>
      <c r="L2" s="135">
        <v>52.12</v>
      </c>
      <c r="M2" s="135">
        <v>53.98</v>
      </c>
      <c r="N2" s="135">
        <v>55.2</v>
      </c>
      <c r="O2" s="135">
        <v>55.64</v>
      </c>
      <c r="P2" s="188"/>
    </row>
    <row r="3" spans="1:18">
      <c r="A3" s="285"/>
      <c r="B3" s="272"/>
      <c r="C3" s="136" t="s">
        <v>2</v>
      </c>
      <c r="D3" s="137"/>
      <c r="E3" s="138"/>
      <c r="F3" s="138"/>
      <c r="G3" s="138"/>
      <c r="H3" s="138"/>
      <c r="I3" s="138">
        <v>44.76</v>
      </c>
      <c r="J3" s="138">
        <v>55.05</v>
      </c>
      <c r="K3" s="138">
        <v>49.18</v>
      </c>
      <c r="L3" s="138">
        <v>52.58</v>
      </c>
      <c r="M3" s="138">
        <v>55.7</v>
      </c>
      <c r="N3" s="138">
        <v>56.79</v>
      </c>
      <c r="O3" s="138">
        <v>57.26</v>
      </c>
      <c r="P3" s="188"/>
    </row>
    <row r="4" spans="1:18">
      <c r="A4" s="285"/>
      <c r="B4" s="272"/>
      <c r="C4" s="139" t="s">
        <v>0</v>
      </c>
      <c r="D4" s="140"/>
      <c r="E4" s="140"/>
      <c r="F4" s="140"/>
      <c r="G4" s="140"/>
      <c r="H4" s="140"/>
      <c r="I4" s="140">
        <v>44.75</v>
      </c>
      <c r="J4" s="140">
        <v>55.05</v>
      </c>
      <c r="K4" s="140">
        <v>48.92</v>
      </c>
      <c r="L4" s="140">
        <v>50.1</v>
      </c>
      <c r="M4" s="140">
        <v>49.03</v>
      </c>
      <c r="N4" s="140">
        <v>49.35</v>
      </c>
      <c r="O4" s="140">
        <v>50.89</v>
      </c>
      <c r="P4" s="189"/>
    </row>
    <row r="5" spans="1:18">
      <c r="A5" s="285"/>
      <c r="B5" s="272"/>
      <c r="C5" s="141" t="s">
        <v>3</v>
      </c>
      <c r="D5" s="142"/>
      <c r="E5" s="142"/>
      <c r="F5" s="142"/>
      <c r="G5" s="142"/>
      <c r="H5" s="142"/>
      <c r="I5" s="142">
        <v>44.39</v>
      </c>
      <c r="J5" s="142">
        <v>55.09</v>
      </c>
      <c r="K5" s="142">
        <v>49.43</v>
      </c>
      <c r="L5" s="142">
        <v>52.57</v>
      </c>
      <c r="M5" s="142">
        <v>54.04</v>
      </c>
      <c r="N5" s="142">
        <v>54.84</v>
      </c>
      <c r="O5" s="142">
        <v>55.37</v>
      </c>
      <c r="P5" s="188"/>
    </row>
    <row r="6" spans="1:18">
      <c r="A6" s="285"/>
      <c r="B6" s="272"/>
      <c r="C6" s="143" t="s">
        <v>1</v>
      </c>
      <c r="D6" s="144">
        <v>89.65</v>
      </c>
      <c r="E6" s="144">
        <v>85.82</v>
      </c>
      <c r="F6" s="144">
        <v>95.13</v>
      </c>
      <c r="G6" s="144">
        <v>60.67</v>
      </c>
      <c r="H6" s="144">
        <v>37.85</v>
      </c>
      <c r="I6" s="144">
        <f t="shared" ref="I6" si="0">+AVERAGE(I2:I5)</f>
        <v>44.66</v>
      </c>
      <c r="J6" s="144">
        <v>55.05</v>
      </c>
      <c r="K6" s="144">
        <v>49.5</v>
      </c>
      <c r="L6" s="144">
        <v>52</v>
      </c>
      <c r="M6" s="144">
        <v>53</v>
      </c>
      <c r="N6" s="144">
        <v>54</v>
      </c>
      <c r="O6" s="144">
        <v>54.5</v>
      </c>
      <c r="P6" s="200"/>
      <c r="R6" s="93"/>
    </row>
    <row r="7" spans="1:18">
      <c r="A7" s="285"/>
      <c r="B7" s="273">
        <v>43313</v>
      </c>
      <c r="C7" s="133" t="s">
        <v>1</v>
      </c>
      <c r="D7" s="138">
        <f>'Aug18'!D6</f>
        <v>89.65</v>
      </c>
      <c r="E7" s="138">
        <f>'Aug18'!E6</f>
        <v>85.82</v>
      </c>
      <c r="F7" s="138">
        <f>'Aug18'!F6</f>
        <v>95.13</v>
      </c>
      <c r="G7" s="138">
        <f>'Aug18'!G6</f>
        <v>60.67</v>
      </c>
      <c r="H7" s="138">
        <f>'Aug18'!H6</f>
        <v>37.85</v>
      </c>
      <c r="I7" s="138">
        <f>'Aug18'!I6</f>
        <v>44.66</v>
      </c>
      <c r="J7" s="138">
        <f>'Aug18'!J6</f>
        <v>54.392499999999998</v>
      </c>
      <c r="K7" s="138">
        <f>'Aug18'!K6</f>
        <v>56</v>
      </c>
      <c r="L7" s="138">
        <f>'Aug18'!L6</f>
        <v>57</v>
      </c>
      <c r="M7" s="138">
        <f>'Aug18'!M6</f>
        <v>59</v>
      </c>
      <c r="N7" s="138">
        <f>'Aug18'!N6</f>
        <v>59</v>
      </c>
      <c r="O7" s="138">
        <f>'Aug18'!O6</f>
        <v>59</v>
      </c>
      <c r="P7" s="189"/>
      <c r="R7" s="93"/>
    </row>
    <row r="8" spans="1:18" hidden="1">
      <c r="A8" s="285"/>
      <c r="B8" s="272"/>
      <c r="C8" s="133" t="s">
        <v>1</v>
      </c>
      <c r="D8" s="138">
        <v>89.65</v>
      </c>
      <c r="E8" s="138">
        <v>85.82</v>
      </c>
      <c r="F8" s="138">
        <v>95.14</v>
      </c>
      <c r="G8" s="138">
        <v>71</v>
      </c>
      <c r="H8" s="138">
        <v>66</v>
      </c>
      <c r="I8" s="138">
        <v>72</v>
      </c>
      <c r="J8" s="138">
        <v>76</v>
      </c>
      <c r="K8" s="138">
        <v>80</v>
      </c>
      <c r="L8" s="138"/>
      <c r="M8" s="138"/>
    </row>
    <row r="9" spans="1:18" hidden="1">
      <c r="A9" s="285"/>
      <c r="B9" s="272"/>
      <c r="C9" s="133" t="s">
        <v>1</v>
      </c>
      <c r="D9" s="138">
        <v>89.65</v>
      </c>
      <c r="E9" s="138">
        <v>85.82</v>
      </c>
      <c r="F9" s="138">
        <v>95.75</v>
      </c>
      <c r="G9" s="138">
        <v>92</v>
      </c>
      <c r="H9" s="138">
        <v>88</v>
      </c>
      <c r="I9" s="138">
        <v>87</v>
      </c>
      <c r="J9" s="138">
        <v>86</v>
      </c>
      <c r="K9" s="138">
        <v>85</v>
      </c>
      <c r="L9" s="138"/>
      <c r="M9" s="138"/>
    </row>
    <row r="10" spans="1:18" hidden="1">
      <c r="A10" s="285"/>
      <c r="B10" s="272"/>
      <c r="C10" s="133" t="s">
        <v>1</v>
      </c>
      <c r="D10" s="138">
        <v>90</v>
      </c>
      <c r="E10" s="138">
        <v>87</v>
      </c>
      <c r="F10" s="138">
        <v>94</v>
      </c>
      <c r="G10" s="138">
        <v>87.5</v>
      </c>
      <c r="H10" s="138">
        <v>85</v>
      </c>
      <c r="I10" s="138">
        <v>84</v>
      </c>
      <c r="J10" s="138">
        <v>84</v>
      </c>
      <c r="K10" s="138"/>
      <c r="L10" s="138"/>
      <c r="M10" s="138"/>
    </row>
    <row r="11" spans="1:18" hidden="1">
      <c r="A11" s="285"/>
      <c r="B11" s="272"/>
      <c r="C11" s="133" t="s">
        <v>1</v>
      </c>
      <c r="D11" s="145">
        <v>90</v>
      </c>
      <c r="E11" s="145">
        <v>86.5</v>
      </c>
      <c r="F11" s="145">
        <v>88</v>
      </c>
      <c r="G11" s="145">
        <v>87.5</v>
      </c>
      <c r="H11" s="145">
        <v>87</v>
      </c>
      <c r="I11" s="145">
        <v>86.5</v>
      </c>
      <c r="J11" s="145"/>
      <c r="K11" s="145"/>
      <c r="L11" s="145"/>
      <c r="M11" s="145"/>
    </row>
    <row r="12" spans="1:18" hidden="1">
      <c r="A12" s="285"/>
      <c r="B12" s="33">
        <v>41244</v>
      </c>
      <c r="C12" s="133" t="s">
        <v>1</v>
      </c>
      <c r="D12" s="145">
        <v>89.640506965377526</v>
      </c>
      <c r="E12" s="145">
        <v>85</v>
      </c>
      <c r="F12" s="145">
        <v>84.75</v>
      </c>
      <c r="G12" s="145">
        <v>83.5</v>
      </c>
      <c r="H12" s="145">
        <v>82.5</v>
      </c>
      <c r="I12" s="145">
        <v>83</v>
      </c>
      <c r="J12" s="145">
        <v>83</v>
      </c>
      <c r="K12" s="145"/>
      <c r="L12" s="145"/>
      <c r="M12" s="145"/>
    </row>
    <row r="13" spans="1:18" hidden="1">
      <c r="A13" s="285"/>
      <c r="B13" s="33">
        <v>42217</v>
      </c>
      <c r="C13" s="292" t="s">
        <v>16</v>
      </c>
      <c r="D13" s="293"/>
      <c r="E13" s="146">
        <f t="shared" ref="E13:M13" si="1">+E6/D6-1</f>
        <v>-4.2721695482431765E-2</v>
      </c>
      <c r="F13" s="146">
        <f>+F6/E6-1</f>
        <v>0.10848287112561183</v>
      </c>
      <c r="G13" s="166">
        <f>+G6/F6-1</f>
        <v>-0.36224114369809735</v>
      </c>
      <c r="H13" s="146">
        <f t="shared" si="1"/>
        <v>-0.37613317949563208</v>
      </c>
      <c r="I13" s="146">
        <f t="shared" si="1"/>
        <v>0.17992073976221912</v>
      </c>
      <c r="J13" s="146">
        <f t="shared" si="1"/>
        <v>0.23264666368114639</v>
      </c>
      <c r="K13" s="146">
        <f t="shared" si="1"/>
        <v>-0.10081743869209803</v>
      </c>
      <c r="L13" s="146">
        <f t="shared" si="1"/>
        <v>5.0505050505050608E-2</v>
      </c>
      <c r="M13" s="146">
        <f t="shared" si="1"/>
        <v>1.9230769230769162E-2</v>
      </c>
    </row>
    <row r="14" spans="1:18" hidden="1">
      <c r="A14" s="285"/>
      <c r="B14" s="33">
        <v>42031</v>
      </c>
      <c r="C14" s="290" t="s">
        <v>16</v>
      </c>
      <c r="D14" s="291"/>
      <c r="E14" s="147">
        <f t="shared" ref="E14:K15" si="2">(E7-D7)/D7</f>
        <v>-4.2721695482431814E-2</v>
      </c>
      <c r="F14" s="147">
        <f t="shared" si="2"/>
        <v>0.10848287112561178</v>
      </c>
      <c r="G14" s="147">
        <f t="shared" si="2"/>
        <v>-0.36224114369809729</v>
      </c>
      <c r="H14" s="147">
        <f t="shared" si="2"/>
        <v>-0.37613317949563208</v>
      </c>
      <c r="I14" s="147">
        <f t="shared" si="2"/>
        <v>0.17992073976221915</v>
      </c>
      <c r="J14" s="147">
        <f t="shared" si="2"/>
        <v>0.21792431706224816</v>
      </c>
      <c r="K14" s="147">
        <f t="shared" si="2"/>
        <v>2.9553706852966894E-2</v>
      </c>
      <c r="L14" s="147"/>
      <c r="M14" s="147"/>
    </row>
    <row r="15" spans="1:18" hidden="1">
      <c r="A15" s="285"/>
      <c r="B15" s="33">
        <v>41974</v>
      </c>
      <c r="C15" s="290" t="s">
        <v>16</v>
      </c>
      <c r="D15" s="291"/>
      <c r="E15" s="147">
        <f t="shared" si="2"/>
        <v>-4.2721695482431814E-2</v>
      </c>
      <c r="F15" s="147">
        <f t="shared" si="2"/>
        <v>0.10859939408063397</v>
      </c>
      <c r="G15" s="147">
        <f t="shared" si="2"/>
        <v>-0.2537313432835821</v>
      </c>
      <c r="H15" s="147">
        <f t="shared" si="2"/>
        <v>-7.0422535211267609E-2</v>
      </c>
      <c r="I15" s="147">
        <f t="shared" si="2"/>
        <v>9.0909090909090912E-2</v>
      </c>
      <c r="J15" s="147">
        <f t="shared" si="2"/>
        <v>5.5555555555555552E-2</v>
      </c>
      <c r="K15" s="147"/>
      <c r="L15" s="147"/>
      <c r="M15" s="147"/>
    </row>
    <row r="16" spans="1:18" hidden="1">
      <c r="A16" s="286"/>
      <c r="B16" s="33">
        <v>41499</v>
      </c>
      <c r="C16" s="292" t="s">
        <v>16</v>
      </c>
      <c r="D16" s="293"/>
      <c r="E16" s="146">
        <f t="shared" ref="E16:J16" si="3">(E10-D10)/D10</f>
        <v>-3.3333333333333333E-2</v>
      </c>
      <c r="F16" s="146">
        <f t="shared" si="3"/>
        <v>8.0459770114942528E-2</v>
      </c>
      <c r="G16" s="146">
        <f t="shared" si="3"/>
        <v>-6.9148936170212769E-2</v>
      </c>
      <c r="H16" s="146">
        <f t="shared" si="3"/>
        <v>-2.8571428571428571E-2</v>
      </c>
      <c r="I16" s="146">
        <f t="shared" si="3"/>
        <v>-1.1764705882352941E-2</v>
      </c>
      <c r="J16" s="146">
        <f t="shared" si="3"/>
        <v>0</v>
      </c>
      <c r="K16" s="146"/>
      <c r="L16" s="146"/>
      <c r="M16" s="146"/>
    </row>
    <row r="17" spans="1:16">
      <c r="A17" s="65"/>
      <c r="B17" s="65"/>
      <c r="C17" s="65"/>
      <c r="D17" s="65"/>
      <c r="E17" s="65"/>
      <c r="F17" s="65"/>
      <c r="G17" s="126"/>
      <c r="H17" s="128"/>
      <c r="I17" s="128"/>
      <c r="J17" s="128"/>
      <c r="K17" s="128"/>
      <c r="L17" s="128"/>
      <c r="M17" s="128"/>
    </row>
    <row r="18" spans="1:16">
      <c r="A18" s="281" t="s">
        <v>12</v>
      </c>
      <c r="B18" s="273">
        <f>B2</f>
        <v>43435</v>
      </c>
      <c r="C18" s="136" t="s">
        <v>2</v>
      </c>
      <c r="D18" s="148"/>
      <c r="E18" s="148"/>
      <c r="F18" s="148"/>
      <c r="G18" s="148"/>
      <c r="H18" s="148"/>
      <c r="I18" s="148">
        <v>155.96</v>
      </c>
      <c r="J18" s="148">
        <v>204.40600000000001</v>
      </c>
      <c r="K18" s="148">
        <f t="shared" ref="K18:K19" si="4">J18*1.23</f>
        <v>251.41937999999999</v>
      </c>
      <c r="L18" s="148">
        <f t="shared" ref="L18:L19" si="5">K18*1.08</f>
        <v>271.5329304</v>
      </c>
      <c r="M18" s="148">
        <f t="shared" ref="M18:M20" si="6">L18*1.05</f>
        <v>285.10957691999999</v>
      </c>
      <c r="N18" s="148">
        <f t="shared" ref="N18:O19" si="7">M18*1.04</f>
        <v>296.5139599968</v>
      </c>
      <c r="O18" s="148">
        <f t="shared" si="7"/>
        <v>308.37451839667199</v>
      </c>
      <c r="P18" s="190"/>
    </row>
    <row r="19" spans="1:16">
      <c r="A19" s="281"/>
      <c r="B19" s="272"/>
      <c r="C19" s="139" t="s">
        <v>0</v>
      </c>
      <c r="D19" s="149"/>
      <c r="E19" s="149"/>
      <c r="F19" s="149"/>
      <c r="G19" s="149"/>
      <c r="H19" s="149"/>
      <c r="I19" s="149"/>
      <c r="J19" s="149">
        <v>204.40600000000001</v>
      </c>
      <c r="K19" s="149">
        <f t="shared" si="4"/>
        <v>251.41937999999999</v>
      </c>
      <c r="L19" s="149">
        <f t="shared" si="5"/>
        <v>271.5329304</v>
      </c>
      <c r="M19" s="149">
        <f t="shared" si="6"/>
        <v>285.10957691999999</v>
      </c>
      <c r="N19" s="149">
        <f t="shared" si="7"/>
        <v>296.5139599968</v>
      </c>
      <c r="O19" s="149">
        <f t="shared" si="7"/>
        <v>308.37451839667199</v>
      </c>
      <c r="P19" s="208"/>
    </row>
    <row r="20" spans="1:16">
      <c r="A20" s="281"/>
      <c r="B20" s="272"/>
      <c r="C20" s="141" t="s">
        <v>3</v>
      </c>
      <c r="D20" s="151"/>
      <c r="E20" s="151"/>
      <c r="F20" s="151"/>
      <c r="G20" s="151"/>
      <c r="H20" s="151"/>
      <c r="I20" s="151">
        <v>155.9</v>
      </c>
      <c r="J20" s="151">
        <v>204.40600000000001</v>
      </c>
      <c r="K20" s="151">
        <f>J20*1.23</f>
        <v>251.41937999999999</v>
      </c>
      <c r="L20" s="151">
        <f>K20*1.08</f>
        <v>271.5329304</v>
      </c>
      <c r="M20" s="151">
        <f t="shared" si="6"/>
        <v>285.10957691999999</v>
      </c>
      <c r="N20" s="151">
        <f>M20*1.04</f>
        <v>296.5139599968</v>
      </c>
      <c r="O20" s="151">
        <f>N20*1.04</f>
        <v>308.37451839667199</v>
      </c>
      <c r="P20" s="191"/>
    </row>
    <row r="21" spans="1:16">
      <c r="A21" s="281"/>
      <c r="B21" s="272"/>
      <c r="C21" s="143" t="s">
        <v>1</v>
      </c>
      <c r="D21" s="152">
        <v>80.3</v>
      </c>
      <c r="E21" s="152">
        <v>96.4</v>
      </c>
      <c r="F21" s="153">
        <v>113.9</v>
      </c>
      <c r="G21" s="153">
        <v>141.4</v>
      </c>
      <c r="H21" s="153">
        <v>146.69999999999999</v>
      </c>
      <c r="I21" s="153">
        <v>153</v>
      </c>
      <c r="J21" s="206">
        <f>(+AVERAGE(J18:J20))</f>
        <v>204.40600000000003</v>
      </c>
      <c r="K21" s="209">
        <v>250</v>
      </c>
      <c r="L21" s="209">
        <v>270</v>
      </c>
      <c r="M21" s="209">
        <v>285</v>
      </c>
      <c r="N21" s="209">
        <v>295</v>
      </c>
      <c r="O21" s="209">
        <v>305</v>
      </c>
      <c r="P21" s="201"/>
    </row>
    <row r="22" spans="1:16">
      <c r="A22" s="281"/>
      <c r="B22" s="33">
        <f>B7</f>
        <v>43313</v>
      </c>
      <c r="C22" s="133" t="s">
        <v>1</v>
      </c>
      <c r="D22" s="154">
        <f>'Aug18'!D21</f>
        <v>80.3</v>
      </c>
      <c r="E22" s="154">
        <f>'Aug18'!E21</f>
        <v>96.4</v>
      </c>
      <c r="F22" s="154">
        <f>'Aug18'!F21</f>
        <v>113.9</v>
      </c>
      <c r="G22" s="154">
        <f>'Aug18'!G21</f>
        <v>141.4</v>
      </c>
      <c r="H22" s="154">
        <f>'Aug18'!H21</f>
        <v>146.69999999999999</v>
      </c>
      <c r="I22" s="154">
        <f>'Aug18'!I21</f>
        <v>153</v>
      </c>
      <c r="J22" s="154">
        <f>'Aug18'!J21</f>
        <v>202.0333333333333</v>
      </c>
      <c r="K22" s="154">
        <f>'Aug18'!K21</f>
        <v>245</v>
      </c>
      <c r="L22" s="154">
        <f>'Aug18'!L21</f>
        <v>270</v>
      </c>
      <c r="M22" s="154">
        <f>'Aug18'!M21</f>
        <v>285</v>
      </c>
      <c r="N22" s="154">
        <f>'Aug18'!N21</f>
        <v>300</v>
      </c>
      <c r="O22" s="154">
        <f>'Aug18'!O21</f>
        <v>315</v>
      </c>
      <c r="P22" s="191"/>
    </row>
    <row r="23" spans="1:16" hidden="1">
      <c r="A23" s="281"/>
      <c r="B23" s="33">
        <v>41974</v>
      </c>
      <c r="C23" s="133" t="s">
        <v>1</v>
      </c>
      <c r="D23" s="154">
        <v>80.3</v>
      </c>
      <c r="E23" s="154">
        <v>96.4</v>
      </c>
      <c r="F23" s="154">
        <v>113.4</v>
      </c>
      <c r="G23" s="154">
        <v>122</v>
      </c>
      <c r="H23" s="154">
        <v>127</v>
      </c>
      <c r="I23" s="154">
        <v>131</v>
      </c>
      <c r="J23" s="154">
        <v>133</v>
      </c>
      <c r="K23" s="154">
        <v>135</v>
      </c>
      <c r="L23" s="154"/>
      <c r="M23" s="154"/>
      <c r="N23" s="154"/>
      <c r="O23" s="154"/>
      <c r="P23" s="191"/>
    </row>
    <row r="24" spans="1:16" hidden="1">
      <c r="A24" s="281"/>
      <c r="B24" s="33">
        <v>41852</v>
      </c>
      <c r="C24" s="133" t="s">
        <v>1</v>
      </c>
      <c r="D24" s="154">
        <v>80.3</v>
      </c>
      <c r="E24" s="154">
        <v>96.4</v>
      </c>
      <c r="F24" s="154">
        <v>110</v>
      </c>
      <c r="G24" s="154">
        <v>117</v>
      </c>
      <c r="H24" s="154">
        <v>122</v>
      </c>
      <c r="I24" s="154">
        <v>125</v>
      </c>
      <c r="J24" s="154">
        <v>127</v>
      </c>
      <c r="K24" s="154">
        <v>129</v>
      </c>
      <c r="L24" s="154"/>
      <c r="M24" s="154"/>
      <c r="N24" s="154"/>
      <c r="O24" s="154"/>
      <c r="P24" s="191"/>
    </row>
    <row r="25" spans="1:16" hidden="1">
      <c r="A25" s="281"/>
      <c r="B25" s="33">
        <v>41499</v>
      </c>
      <c r="C25" s="133" t="s">
        <v>1</v>
      </c>
      <c r="D25" s="154">
        <v>80.069999999999993</v>
      </c>
      <c r="E25" s="154">
        <v>90</v>
      </c>
      <c r="F25" s="154">
        <v>93</v>
      </c>
      <c r="G25" s="154">
        <v>97</v>
      </c>
      <c r="H25" s="154">
        <v>100</v>
      </c>
      <c r="I25" s="154">
        <v>101</v>
      </c>
      <c r="J25" s="154">
        <v>102</v>
      </c>
      <c r="K25" s="154"/>
      <c r="L25" s="154"/>
      <c r="M25" s="154"/>
      <c r="N25" s="154"/>
      <c r="O25" s="154"/>
      <c r="P25" s="191"/>
    </row>
    <row r="26" spans="1:16" hidden="1">
      <c r="A26" s="281"/>
      <c r="B26" s="33">
        <v>41317</v>
      </c>
      <c r="C26" s="133" t="s">
        <v>1</v>
      </c>
      <c r="D26" s="155">
        <v>80.099999999999994</v>
      </c>
      <c r="E26" s="155">
        <v>87</v>
      </c>
      <c r="F26" s="155">
        <v>91.4</v>
      </c>
      <c r="G26" s="155">
        <v>94.1</v>
      </c>
      <c r="H26" s="155">
        <v>96</v>
      </c>
      <c r="I26" s="155">
        <v>97.9</v>
      </c>
      <c r="J26" s="155"/>
      <c r="K26" s="155"/>
      <c r="L26" s="155"/>
      <c r="M26" s="155"/>
      <c r="N26" s="155"/>
      <c r="O26" s="155"/>
      <c r="P26" s="192"/>
    </row>
    <row r="27" spans="1:16" hidden="1">
      <c r="A27" s="281"/>
      <c r="B27" s="33">
        <v>41244</v>
      </c>
      <c r="C27" s="133" t="s">
        <v>1</v>
      </c>
      <c r="D27" s="155">
        <v>79.7</v>
      </c>
      <c r="E27" s="155">
        <v>84.119744824999998</v>
      </c>
      <c r="F27" s="155">
        <v>88.406534618000009</v>
      </c>
      <c r="G27" s="155">
        <v>92.434230656539995</v>
      </c>
      <c r="H27" s="155">
        <v>96.132415269670815</v>
      </c>
      <c r="I27" s="155">
        <v>97.6</v>
      </c>
      <c r="J27" s="155">
        <v>97.6</v>
      </c>
      <c r="K27" s="155"/>
      <c r="L27" s="155"/>
      <c r="M27" s="155"/>
      <c r="N27" s="155"/>
      <c r="O27" s="155"/>
      <c r="P27" s="192"/>
    </row>
    <row r="28" spans="1:16">
      <c r="A28" s="281"/>
      <c r="B28" s="33">
        <f>B18</f>
        <v>43435</v>
      </c>
      <c r="C28" s="292" t="s">
        <v>16</v>
      </c>
      <c r="D28" s="293"/>
      <c r="E28" s="167">
        <f t="shared" ref="E28:O29" si="8">(E21-D21)/D21</f>
        <v>0.20049813200498143</v>
      </c>
      <c r="F28" s="167">
        <f>(F21-E21)/E21</f>
        <v>0.18153526970954356</v>
      </c>
      <c r="G28" s="167">
        <f t="shared" si="8"/>
        <v>0.24143985952589991</v>
      </c>
      <c r="H28" s="167">
        <f t="shared" si="8"/>
        <v>3.7482319660537361E-2</v>
      </c>
      <c r="I28" s="167">
        <f>(I21-H21)/H21</f>
        <v>4.2944785276073698E-2</v>
      </c>
      <c r="J28" s="167">
        <f>(J21-I21)/I21</f>
        <v>0.33598692810457537</v>
      </c>
      <c r="K28" s="167">
        <f t="shared" si="8"/>
        <v>0.22305607467491148</v>
      </c>
      <c r="L28" s="167">
        <f>(L21-K21)/K21</f>
        <v>0.08</v>
      </c>
      <c r="M28" s="167">
        <f>(M21-L21)/L21</f>
        <v>5.5555555555555552E-2</v>
      </c>
      <c r="N28" s="167">
        <f>(N21-M21)/M21</f>
        <v>3.5087719298245612E-2</v>
      </c>
      <c r="O28" s="167">
        <f>(O21-N21)/N21</f>
        <v>3.3898305084745763E-2</v>
      </c>
      <c r="P28" s="193"/>
    </row>
    <row r="29" spans="1:16">
      <c r="A29" s="281"/>
      <c r="B29" s="33">
        <f>B7</f>
        <v>43313</v>
      </c>
      <c r="C29" s="290" t="s">
        <v>16</v>
      </c>
      <c r="D29" s="291"/>
      <c r="E29" s="168">
        <f>(E22-D22)/D22</f>
        <v>0.20049813200498143</v>
      </c>
      <c r="F29" s="168">
        <f t="shared" ref="F29:O30" si="9">(F22-E22)/E22</f>
        <v>0.18153526970954356</v>
      </c>
      <c r="G29" s="168">
        <f>(G22-F22)/F22</f>
        <v>0.24143985952589991</v>
      </c>
      <c r="H29" s="168">
        <f t="shared" si="8"/>
        <v>3.7482319660537361E-2</v>
      </c>
      <c r="I29" s="168">
        <f>(I22-H22)/H22</f>
        <v>4.2944785276073698E-2</v>
      </c>
      <c r="J29" s="168">
        <f t="shared" si="8"/>
        <v>0.3204793028322438</v>
      </c>
      <c r="K29" s="168">
        <f>(K22-J22)/J22</f>
        <v>0.21267117637353591</v>
      </c>
      <c r="L29" s="168">
        <f t="shared" si="8"/>
        <v>0.10204081632653061</v>
      </c>
      <c r="M29" s="168">
        <f t="shared" si="8"/>
        <v>5.5555555555555552E-2</v>
      </c>
      <c r="N29" s="168">
        <f t="shared" si="8"/>
        <v>5.2631578947368418E-2</v>
      </c>
      <c r="O29" s="168">
        <f t="shared" si="8"/>
        <v>0.05</v>
      </c>
      <c r="P29" s="194"/>
    </row>
    <row r="30" spans="1:16" hidden="1">
      <c r="A30" s="281"/>
      <c r="B30" s="33">
        <v>41974</v>
      </c>
      <c r="C30" s="290" t="s">
        <v>16</v>
      </c>
      <c r="D30" s="291"/>
      <c r="E30" s="147">
        <f>(E23-D23)/D23</f>
        <v>0.20049813200498143</v>
      </c>
      <c r="F30" s="147">
        <f t="shared" si="9"/>
        <v>0.17634854771784231</v>
      </c>
      <c r="G30" s="147">
        <f t="shared" si="9"/>
        <v>7.5837742504409111E-2</v>
      </c>
      <c r="H30" s="147">
        <f t="shared" si="9"/>
        <v>4.0983606557377046E-2</v>
      </c>
      <c r="I30" s="147">
        <f t="shared" si="9"/>
        <v>3.1496062992125984E-2</v>
      </c>
      <c r="J30" s="147">
        <f t="shared" si="9"/>
        <v>1.5267175572519083E-2</v>
      </c>
      <c r="K30" s="147">
        <f t="shared" si="9"/>
        <v>1.5037593984962405E-2</v>
      </c>
      <c r="L30" s="147">
        <f t="shared" si="9"/>
        <v>-1</v>
      </c>
      <c r="M30" s="147" t="e">
        <f t="shared" si="9"/>
        <v>#DIV/0!</v>
      </c>
      <c r="N30" s="147" t="e">
        <f t="shared" si="9"/>
        <v>#DIV/0!</v>
      </c>
      <c r="O30" s="147" t="e">
        <f t="shared" si="9"/>
        <v>#DIV/0!</v>
      </c>
      <c r="P30" s="195"/>
    </row>
    <row r="31" spans="1:16" hidden="1">
      <c r="A31" s="281"/>
      <c r="B31" s="33">
        <v>41499</v>
      </c>
      <c r="C31" s="292" t="s">
        <v>16</v>
      </c>
      <c r="D31" s="293"/>
      <c r="E31" s="146">
        <f t="shared" ref="E31:J31" si="10">(E25-D25)/D25</f>
        <v>0.12401648557512186</v>
      </c>
      <c r="F31" s="146">
        <f t="shared" si="10"/>
        <v>3.3333333333333333E-2</v>
      </c>
      <c r="G31" s="146">
        <f t="shared" si="10"/>
        <v>4.3010752688172046E-2</v>
      </c>
      <c r="H31" s="146">
        <f t="shared" si="10"/>
        <v>3.0927835051546393E-2</v>
      </c>
      <c r="I31" s="146">
        <f t="shared" si="10"/>
        <v>0.01</v>
      </c>
      <c r="J31" s="146">
        <f t="shared" si="10"/>
        <v>9.9009900990099011E-3</v>
      </c>
      <c r="K31" s="146"/>
      <c r="L31" s="146"/>
      <c r="M31" s="146"/>
      <c r="N31" s="146"/>
      <c r="O31" s="146"/>
      <c r="P31" s="174"/>
    </row>
    <row r="32" spans="1:16">
      <c r="A32" s="106"/>
      <c r="B32" s="107"/>
      <c r="C32" s="156"/>
      <c r="D32" s="156"/>
      <c r="E32" s="157"/>
      <c r="F32" s="157"/>
      <c r="G32" s="158"/>
      <c r="H32" s="158"/>
      <c r="I32" s="158"/>
      <c r="J32" s="158"/>
      <c r="K32" s="158"/>
      <c r="L32" s="158"/>
      <c r="M32" s="158"/>
      <c r="N32" s="158"/>
      <c r="O32" s="158"/>
      <c r="P32" s="196"/>
    </row>
    <row r="33" spans="1:16">
      <c r="A33" s="298" t="s">
        <v>18</v>
      </c>
      <c r="B33" s="300">
        <f>B2</f>
        <v>43435</v>
      </c>
      <c r="C33" s="134" t="s">
        <v>4</v>
      </c>
      <c r="D33" s="135"/>
      <c r="E33" s="135"/>
      <c r="F33" s="135"/>
      <c r="G33" s="135"/>
      <c r="H33" s="135"/>
      <c r="I33" s="135">
        <v>3.24</v>
      </c>
      <c r="J33" s="135">
        <v>3.53</v>
      </c>
      <c r="K33" s="135">
        <v>3.55</v>
      </c>
      <c r="L33" s="135">
        <v>2.8</v>
      </c>
      <c r="M33" s="135">
        <v>3</v>
      </c>
      <c r="N33" s="135">
        <v>3.04</v>
      </c>
      <c r="O33" s="135">
        <v>3.22</v>
      </c>
      <c r="P33" s="188"/>
    </row>
    <row r="34" spans="1:16" ht="15" customHeight="1">
      <c r="A34" s="299"/>
      <c r="B34" s="301"/>
      <c r="C34" s="136" t="s">
        <v>2</v>
      </c>
      <c r="D34" s="159"/>
      <c r="E34" s="159"/>
      <c r="F34" s="159"/>
      <c r="G34" s="159"/>
      <c r="H34" s="159"/>
      <c r="I34" s="159">
        <v>3.24</v>
      </c>
      <c r="J34" s="159">
        <v>3.53</v>
      </c>
      <c r="K34" s="210">
        <v>3.54</v>
      </c>
      <c r="L34" s="210">
        <v>3.14</v>
      </c>
      <c r="M34" s="210">
        <v>3.08</v>
      </c>
      <c r="N34" s="210">
        <v>3.07</v>
      </c>
      <c r="O34" s="210">
        <v>3.08</v>
      </c>
      <c r="P34" s="197"/>
    </row>
    <row r="35" spans="1:16">
      <c r="A35" s="299"/>
      <c r="B35" s="301"/>
      <c r="C35" s="139" t="s">
        <v>0</v>
      </c>
      <c r="D35" s="140"/>
      <c r="E35" s="140"/>
      <c r="F35" s="140"/>
      <c r="G35" s="140"/>
      <c r="H35" s="140"/>
      <c r="I35" s="140">
        <v>3.25</v>
      </c>
      <c r="J35" s="140">
        <v>3.53</v>
      </c>
      <c r="K35" s="140">
        <v>3.54</v>
      </c>
      <c r="L35" s="140">
        <v>3.08</v>
      </c>
      <c r="M35" s="140">
        <v>2.94</v>
      </c>
      <c r="N35" s="140">
        <v>2.93</v>
      </c>
      <c r="O35" s="140">
        <v>2.96</v>
      </c>
      <c r="P35" s="188"/>
    </row>
    <row r="36" spans="1:16">
      <c r="A36" s="299"/>
      <c r="B36" s="301"/>
      <c r="C36" s="141" t="s">
        <v>3</v>
      </c>
      <c r="D36" s="142"/>
      <c r="E36" s="142"/>
      <c r="F36" s="142"/>
      <c r="G36" s="142"/>
      <c r="H36" s="142"/>
      <c r="I36" s="142">
        <v>3.22</v>
      </c>
      <c r="J36" s="170">
        <v>3.4670000000000001</v>
      </c>
      <c r="K36" s="142">
        <v>3.62</v>
      </c>
      <c r="L36" s="142">
        <v>2.86</v>
      </c>
      <c r="M36" s="142">
        <v>2.96</v>
      </c>
      <c r="N36" s="142">
        <v>2.99</v>
      </c>
      <c r="O36" s="142">
        <v>2.94</v>
      </c>
      <c r="P36" s="188"/>
    </row>
    <row r="37" spans="1:16">
      <c r="A37" s="299"/>
      <c r="B37" s="302"/>
      <c r="C37" s="143" t="s">
        <v>1</v>
      </c>
      <c r="D37" s="144">
        <v>5.01</v>
      </c>
      <c r="E37" s="144">
        <v>4.38</v>
      </c>
      <c r="F37" s="144">
        <v>5.14</v>
      </c>
      <c r="G37" s="144">
        <v>3.78</v>
      </c>
      <c r="H37" s="144">
        <v>2.42</v>
      </c>
      <c r="I37" s="144">
        <f t="shared" ref="I37" si="11">+AVERAGE(I33:I36)</f>
        <v>3.2375000000000003</v>
      </c>
      <c r="J37" s="144">
        <f t="shared" ref="J37:M37" si="12">AVERAGE(J33:J36)</f>
        <v>3.5142500000000001</v>
      </c>
      <c r="K37" s="144">
        <v>3.55</v>
      </c>
      <c r="L37" s="144">
        <v>3</v>
      </c>
      <c r="M37" s="144">
        <f t="shared" si="12"/>
        <v>2.9950000000000001</v>
      </c>
      <c r="N37" s="144">
        <v>3</v>
      </c>
      <c r="O37" s="144">
        <v>3</v>
      </c>
      <c r="P37" s="200"/>
    </row>
    <row r="38" spans="1:16">
      <c r="A38" s="299"/>
      <c r="B38" s="33">
        <f>B7</f>
        <v>43313</v>
      </c>
      <c r="C38" s="133" t="s">
        <v>1</v>
      </c>
      <c r="D38" s="138">
        <f>'Aug18'!D37</f>
        <v>5.01</v>
      </c>
      <c r="E38" s="138">
        <f>'Aug18'!E37</f>
        <v>4.38</v>
      </c>
      <c r="F38" s="138">
        <f>'Aug18'!F37</f>
        <v>5.14</v>
      </c>
      <c r="G38" s="138">
        <f>'Aug18'!G37</f>
        <v>3.78</v>
      </c>
      <c r="H38" s="138">
        <f>'Aug18'!H37</f>
        <v>2.42</v>
      </c>
      <c r="I38" s="138">
        <f>'Aug18'!I37</f>
        <v>3.2375000000000003</v>
      </c>
      <c r="J38" s="138">
        <f>'Aug18'!J37</f>
        <v>3.25</v>
      </c>
      <c r="K38" s="138">
        <f>'Aug18'!K37</f>
        <v>3.0999999999999996</v>
      </c>
      <c r="L38" s="138">
        <f>'Aug18'!L37</f>
        <v>2.95</v>
      </c>
      <c r="M38" s="138">
        <f>'Aug18'!M37</f>
        <v>2.9</v>
      </c>
      <c r="N38" s="138">
        <f>'Aug18'!N37</f>
        <v>3</v>
      </c>
      <c r="O38" s="138">
        <f>'Aug18'!O37</f>
        <v>3.1</v>
      </c>
      <c r="P38" s="188"/>
    </row>
    <row r="39" spans="1:16" ht="15" hidden="1" customHeight="1">
      <c r="A39" s="204"/>
      <c r="B39" s="33">
        <v>41974</v>
      </c>
      <c r="C39" s="133" t="s">
        <v>1</v>
      </c>
      <c r="D39" s="138">
        <v>5.01</v>
      </c>
      <c r="E39" s="138">
        <v>4.38</v>
      </c>
      <c r="F39" s="138">
        <v>5.13</v>
      </c>
      <c r="G39" s="138">
        <v>4.9000000000000004</v>
      </c>
      <c r="H39" s="138">
        <v>4.9000000000000004</v>
      </c>
      <c r="I39" s="138">
        <v>4.95</v>
      </c>
      <c r="J39" s="138">
        <v>5.0999999999999996</v>
      </c>
      <c r="K39" s="138">
        <v>5.2</v>
      </c>
      <c r="L39" s="138"/>
      <c r="M39" s="138"/>
    </row>
    <row r="40" spans="1:16" ht="15" hidden="1" customHeight="1">
      <c r="A40" s="204"/>
      <c r="B40" s="33">
        <v>41852</v>
      </c>
      <c r="C40" s="133" t="s">
        <v>1</v>
      </c>
      <c r="D40" s="138">
        <v>5.01</v>
      </c>
      <c r="E40" s="138">
        <v>4.38</v>
      </c>
      <c r="F40" s="138">
        <v>5.15</v>
      </c>
      <c r="G40" s="138">
        <v>5.2</v>
      </c>
      <c r="H40" s="138">
        <v>5.25</v>
      </c>
      <c r="I40" s="138">
        <v>5.3</v>
      </c>
      <c r="J40" s="138">
        <v>5.35</v>
      </c>
      <c r="K40" s="138">
        <v>5.4</v>
      </c>
      <c r="L40" s="138"/>
      <c r="M40" s="138"/>
    </row>
    <row r="41" spans="1:16" ht="15" hidden="1" customHeight="1">
      <c r="A41" s="204"/>
      <c r="B41" s="33">
        <v>41499</v>
      </c>
      <c r="C41" s="133" t="s">
        <v>1</v>
      </c>
      <c r="D41" s="138">
        <v>5</v>
      </c>
      <c r="E41" s="138">
        <v>4.5</v>
      </c>
      <c r="F41" s="138">
        <v>5</v>
      </c>
      <c r="G41" s="138">
        <v>5.4</v>
      </c>
      <c r="H41" s="138">
        <v>5.5</v>
      </c>
      <c r="I41" s="138">
        <v>5.5</v>
      </c>
      <c r="J41" s="138">
        <v>5.5</v>
      </c>
      <c r="K41" s="138"/>
      <c r="L41" s="138"/>
      <c r="M41" s="138"/>
    </row>
    <row r="42" spans="1:16" ht="15" hidden="1" customHeight="1">
      <c r="A42" s="204"/>
      <c r="B42" s="33">
        <v>41317</v>
      </c>
      <c r="C42" s="133" t="s">
        <v>1</v>
      </c>
      <c r="D42" s="145">
        <v>5</v>
      </c>
      <c r="E42" s="145">
        <v>4.5</v>
      </c>
      <c r="F42" s="145">
        <v>5.0999999999999996</v>
      </c>
      <c r="G42" s="145">
        <v>5.25</v>
      </c>
      <c r="H42" s="145">
        <v>5.5</v>
      </c>
      <c r="I42" s="145">
        <v>5.5</v>
      </c>
      <c r="J42" s="145"/>
      <c r="K42" s="145"/>
      <c r="L42" s="145"/>
      <c r="M42" s="145"/>
    </row>
    <row r="43" spans="1:16" ht="15" hidden="1" customHeight="1">
      <c r="A43" s="204"/>
      <c r="B43" s="33">
        <v>41244</v>
      </c>
      <c r="C43" s="133" t="s">
        <v>1</v>
      </c>
      <c r="D43" s="145">
        <v>5</v>
      </c>
      <c r="E43" s="145">
        <v>4.5</v>
      </c>
      <c r="F43" s="145">
        <v>5</v>
      </c>
      <c r="G43" s="145">
        <v>5.4</v>
      </c>
      <c r="H43" s="145">
        <v>5.6</v>
      </c>
      <c r="I43" s="145">
        <v>5.5</v>
      </c>
      <c r="J43" s="145">
        <v>5.5</v>
      </c>
      <c r="K43" s="145"/>
      <c r="L43" s="145"/>
      <c r="M43" s="145"/>
    </row>
    <row r="44" spans="1:16" ht="15" hidden="1" customHeight="1">
      <c r="A44" s="204"/>
      <c r="B44" s="33">
        <v>42217</v>
      </c>
      <c r="C44" s="292" t="s">
        <v>16</v>
      </c>
      <c r="D44" s="293"/>
      <c r="E44" s="146">
        <f t="shared" ref="E44:M46" si="13">(E37-D37)/D37</f>
        <v>-0.12574850299401197</v>
      </c>
      <c r="F44" s="146">
        <f t="shared" si="13"/>
        <v>0.17351598173515978</v>
      </c>
      <c r="G44" s="146">
        <f t="shared" si="13"/>
        <v>-0.26459143968871596</v>
      </c>
      <c r="H44" s="146">
        <f t="shared" si="13"/>
        <v>-0.35978835978835977</v>
      </c>
      <c r="I44" s="146">
        <f t="shared" si="13"/>
        <v>0.33780991735537202</v>
      </c>
      <c r="J44" s="146">
        <f t="shared" si="13"/>
        <v>8.5482625482625418E-2</v>
      </c>
      <c r="K44" s="146">
        <f t="shared" si="13"/>
        <v>1.0172867610443118E-2</v>
      </c>
      <c r="L44" s="146">
        <f t="shared" si="13"/>
        <v>-0.15492957746478869</v>
      </c>
      <c r="M44" s="146">
        <f t="shared" si="13"/>
        <v>-1.6666666666666312E-3</v>
      </c>
    </row>
    <row r="45" spans="1:16" ht="15" hidden="1" customHeight="1">
      <c r="A45" s="204"/>
      <c r="B45" s="33">
        <f>B29</f>
        <v>43313</v>
      </c>
      <c r="C45" s="290" t="s">
        <v>16</v>
      </c>
      <c r="D45" s="291"/>
      <c r="E45" s="147">
        <f t="shared" si="13"/>
        <v>-0.12574850299401197</v>
      </c>
      <c r="F45" s="147">
        <f t="shared" si="13"/>
        <v>0.17351598173515978</v>
      </c>
      <c r="G45" s="147">
        <f t="shared" si="13"/>
        <v>-0.26459143968871596</v>
      </c>
      <c r="H45" s="147">
        <f t="shared" si="13"/>
        <v>-0.35978835978835977</v>
      </c>
      <c r="I45" s="147">
        <f t="shared" si="13"/>
        <v>0.33780991735537202</v>
      </c>
      <c r="J45" s="147">
        <f t="shared" si="13"/>
        <v>3.8610038610037783E-3</v>
      </c>
      <c r="K45" s="147">
        <f t="shared" si="13"/>
        <v>-4.615384615384626E-2</v>
      </c>
      <c r="L45" s="147"/>
      <c r="M45" s="147"/>
    </row>
    <row r="46" spans="1:16" ht="15" hidden="1" customHeight="1">
      <c r="A46" s="204"/>
      <c r="B46" s="33">
        <v>41974</v>
      </c>
      <c r="C46" s="290" t="s">
        <v>16</v>
      </c>
      <c r="D46" s="291"/>
      <c r="E46" s="147">
        <f t="shared" si="13"/>
        <v>-0.12574850299401197</v>
      </c>
      <c r="F46" s="147">
        <f t="shared" si="13"/>
        <v>0.17123287671232876</v>
      </c>
      <c r="G46" s="147">
        <f t="shared" si="13"/>
        <v>-4.4834307992202643E-2</v>
      </c>
      <c r="H46" s="147">
        <f t="shared" si="13"/>
        <v>0</v>
      </c>
      <c r="I46" s="147">
        <f t="shared" si="13"/>
        <v>1.0204081632653024E-2</v>
      </c>
      <c r="J46" s="147">
        <f t="shared" si="13"/>
        <v>3.0303030303030193E-2</v>
      </c>
      <c r="K46" s="147">
        <f t="shared" si="13"/>
        <v>1.9607843137255009E-2</v>
      </c>
      <c r="L46" s="147">
        <f t="shared" si="13"/>
        <v>-1</v>
      </c>
      <c r="M46" s="147" t="e">
        <f t="shared" si="13"/>
        <v>#DIV/0!</v>
      </c>
    </row>
    <row r="47" spans="1:16" ht="15" hidden="1" customHeight="1">
      <c r="A47" s="205"/>
      <c r="B47" s="33">
        <v>41499</v>
      </c>
      <c r="C47" s="292" t="s">
        <v>16</v>
      </c>
      <c r="D47" s="293"/>
      <c r="E47" s="146">
        <f t="shared" ref="E47:J47" si="14">(E41-D41)/D41</f>
        <v>-0.1</v>
      </c>
      <c r="F47" s="146">
        <f t="shared" si="14"/>
        <v>0.1111111111111111</v>
      </c>
      <c r="G47" s="146">
        <f t="shared" si="14"/>
        <v>8.0000000000000071E-2</v>
      </c>
      <c r="H47" s="146">
        <f t="shared" si="14"/>
        <v>1.8518518518518452E-2</v>
      </c>
      <c r="I47" s="146">
        <f t="shared" si="14"/>
        <v>0</v>
      </c>
      <c r="J47" s="146">
        <f t="shared" si="14"/>
        <v>0</v>
      </c>
      <c r="K47" s="146"/>
      <c r="L47" s="146"/>
      <c r="M47" s="146"/>
    </row>
    <row r="48" spans="1:16">
      <c r="A48" s="65"/>
      <c r="B48" s="65"/>
      <c r="C48" s="65"/>
      <c r="D48" s="76"/>
      <c r="E48" s="76"/>
      <c r="F48" s="76"/>
      <c r="G48" s="130"/>
      <c r="H48" s="130"/>
      <c r="I48" s="130"/>
      <c r="J48" s="130"/>
      <c r="K48" s="130"/>
      <c r="L48" s="130"/>
      <c r="M48" s="130"/>
    </row>
    <row r="49" spans="1:16">
      <c r="A49" s="287" t="s">
        <v>19</v>
      </c>
      <c r="B49" s="273">
        <f>B2</f>
        <v>43435</v>
      </c>
      <c r="C49" s="136" t="s">
        <v>2</v>
      </c>
      <c r="D49" s="160"/>
      <c r="E49" s="161"/>
      <c r="F49" s="161"/>
      <c r="G49" s="161"/>
      <c r="H49" s="161"/>
      <c r="I49" s="161">
        <v>1235.7</v>
      </c>
      <c r="J49" s="161">
        <v>1361</v>
      </c>
      <c r="K49" s="161">
        <f t="shared" ref="K49:K50" si="15">+J50*1.08</f>
        <v>1469.88</v>
      </c>
      <c r="L49" s="161">
        <f t="shared" ref="L49:L50" si="16">K49*1.03</f>
        <v>1513.9764000000002</v>
      </c>
      <c r="M49" s="161">
        <f t="shared" ref="M49" si="17">L49*1.02</f>
        <v>1544.2559280000003</v>
      </c>
      <c r="N49" s="161">
        <f t="shared" ref="N49:O49" si="18">M49*1.01</f>
        <v>1559.6984872800003</v>
      </c>
      <c r="O49" s="161">
        <f t="shared" si="18"/>
        <v>1575.2954721528004</v>
      </c>
      <c r="P49" s="202"/>
    </row>
    <row r="50" spans="1:16">
      <c r="A50" s="288"/>
      <c r="B50" s="272"/>
      <c r="C50" s="139" t="s">
        <v>0</v>
      </c>
      <c r="D50" s="162"/>
      <c r="E50" s="162"/>
      <c r="F50" s="162"/>
      <c r="G50" s="162"/>
      <c r="H50" s="162"/>
      <c r="I50" s="162"/>
      <c r="J50" s="162">
        <v>1361</v>
      </c>
      <c r="K50" s="162">
        <f t="shared" si="15"/>
        <v>1469.88</v>
      </c>
      <c r="L50" s="162">
        <f t="shared" si="16"/>
        <v>1513.9764000000002</v>
      </c>
      <c r="M50" s="162">
        <f>L50*1.02</f>
        <v>1544.2559280000003</v>
      </c>
      <c r="N50" s="162">
        <f>M50*1.01</f>
        <v>1559.6984872800003</v>
      </c>
      <c r="O50" s="162">
        <f>N50*1.01</f>
        <v>1575.2954721528004</v>
      </c>
      <c r="P50" s="198"/>
    </row>
    <row r="51" spans="1:16">
      <c r="A51" s="288"/>
      <c r="B51" s="272"/>
      <c r="C51" s="141" t="s">
        <v>3</v>
      </c>
      <c r="D51" s="163"/>
      <c r="E51" s="163"/>
      <c r="F51" s="163"/>
      <c r="G51" s="163"/>
      <c r="H51" s="163"/>
      <c r="I51" s="163">
        <v>1235.5999999999999</v>
      </c>
      <c r="J51" s="163">
        <v>1361</v>
      </c>
      <c r="K51" s="163">
        <f>+J52*1.08</f>
        <v>1469.88</v>
      </c>
      <c r="L51" s="163">
        <f>K51*1.03</f>
        <v>1513.9764000000002</v>
      </c>
      <c r="M51" s="163">
        <f t="shared" ref="M51" si="19">L51*1.02</f>
        <v>1544.2559280000003</v>
      </c>
      <c r="N51" s="163">
        <f t="shared" ref="N51:O51" si="20">M51*1.01</f>
        <v>1559.6984872800003</v>
      </c>
      <c r="O51" s="163">
        <f t="shared" si="20"/>
        <v>1575.2954721528004</v>
      </c>
      <c r="P51" s="198"/>
    </row>
    <row r="52" spans="1:16">
      <c r="A52" s="288"/>
      <c r="B52" s="272"/>
      <c r="C52" s="143" t="s">
        <v>1</v>
      </c>
      <c r="D52" s="164">
        <v>1227</v>
      </c>
      <c r="E52" s="164">
        <v>1177.5</v>
      </c>
      <c r="F52" s="164">
        <v>1184.7</v>
      </c>
      <c r="G52" s="164">
        <v>1184.8</v>
      </c>
      <c r="H52" s="164">
        <v>1175</v>
      </c>
      <c r="I52" s="164">
        <f>(+AVERAGE(I49:I51))</f>
        <v>1235.6500000000001</v>
      </c>
      <c r="J52" s="206">
        <f t="shared" ref="J52" si="21">AVERAGE(J49:J51)</f>
        <v>1361</v>
      </c>
      <c r="K52" s="209">
        <v>1470</v>
      </c>
      <c r="L52" s="209">
        <v>1515</v>
      </c>
      <c r="M52" s="209">
        <v>1545</v>
      </c>
      <c r="N52" s="209">
        <v>1560</v>
      </c>
      <c r="O52" s="209">
        <v>1575</v>
      </c>
      <c r="P52" s="203"/>
    </row>
    <row r="53" spans="1:16">
      <c r="A53" s="288"/>
      <c r="B53" s="33">
        <f>B38</f>
        <v>43313</v>
      </c>
      <c r="C53" s="133" t="s">
        <v>1</v>
      </c>
      <c r="D53" s="160">
        <f>'Aug18'!D52</f>
        <v>1227</v>
      </c>
      <c r="E53" s="160">
        <f>'Aug18'!E52</f>
        <v>1177.5</v>
      </c>
      <c r="F53" s="160">
        <f>'Aug18'!F52</f>
        <v>1184.7</v>
      </c>
      <c r="G53" s="160">
        <f>'Aug18'!G52</f>
        <v>1184.8</v>
      </c>
      <c r="H53" s="160">
        <f>'Aug18'!H52</f>
        <v>1175</v>
      </c>
      <c r="I53" s="160">
        <f>'Aug18'!I52</f>
        <v>1235.6500000000001</v>
      </c>
      <c r="J53" s="160">
        <f>'Aug18'!J52</f>
        <v>1300</v>
      </c>
      <c r="K53" s="160">
        <f>'Aug18'!K52</f>
        <v>1380.6000000000001</v>
      </c>
      <c r="L53" s="160">
        <f>'Aug18'!L52</f>
        <v>1415.115</v>
      </c>
      <c r="M53" s="160">
        <f>'Aug18'!M52</f>
        <v>1429.2661499999999</v>
      </c>
      <c r="N53" s="160">
        <f>'Aug18'!N52</f>
        <v>1444.9880776499997</v>
      </c>
      <c r="O53" s="160">
        <f>'Aug18'!O52</f>
        <v>1463.7729226594495</v>
      </c>
      <c r="P53" s="198"/>
    </row>
    <row r="54" spans="1:16" hidden="1">
      <c r="A54" s="288"/>
      <c r="B54" s="33">
        <v>41974</v>
      </c>
      <c r="C54" s="133" t="s">
        <v>1</v>
      </c>
      <c r="D54" s="160">
        <v>1227</v>
      </c>
      <c r="E54" s="160">
        <v>1177.5</v>
      </c>
      <c r="F54" s="160">
        <v>1187.3</v>
      </c>
      <c r="G54" s="160">
        <v>1181</v>
      </c>
      <c r="H54" s="160">
        <v>1150</v>
      </c>
      <c r="I54" s="160">
        <v>1118</v>
      </c>
      <c r="J54" s="160">
        <v>1088</v>
      </c>
      <c r="K54" s="160">
        <v>1052</v>
      </c>
      <c r="L54" s="160"/>
      <c r="M54" s="160"/>
      <c r="N54" s="160"/>
      <c r="O54" s="160"/>
      <c r="P54" s="198"/>
    </row>
    <row r="55" spans="1:16" hidden="1">
      <c r="A55" s="288"/>
      <c r="B55" s="33">
        <v>41852</v>
      </c>
      <c r="C55" s="133" t="s">
        <v>1</v>
      </c>
      <c r="D55" s="160">
        <v>1227</v>
      </c>
      <c r="E55" s="160">
        <v>1177.5</v>
      </c>
      <c r="F55" s="160">
        <v>1170</v>
      </c>
      <c r="G55" s="160">
        <v>1158.3</v>
      </c>
      <c r="H55" s="160">
        <v>1123.5509999999999</v>
      </c>
      <c r="I55" s="160">
        <v>1089.84447</v>
      </c>
      <c r="J55" s="160">
        <v>1057.1491358999999</v>
      </c>
      <c r="K55" s="160">
        <v>1025.4346618229999</v>
      </c>
      <c r="L55" s="160"/>
      <c r="M55" s="160"/>
      <c r="N55" s="160"/>
      <c r="O55" s="160"/>
      <c r="P55" s="198"/>
    </row>
    <row r="56" spans="1:16" hidden="1">
      <c r="A56" s="288"/>
      <c r="B56" s="33">
        <v>41499</v>
      </c>
      <c r="C56" s="133" t="s">
        <v>1</v>
      </c>
      <c r="D56" s="160">
        <v>1225.8499999999999</v>
      </c>
      <c r="E56" s="160">
        <v>1165</v>
      </c>
      <c r="F56" s="160">
        <v>1110</v>
      </c>
      <c r="G56" s="160">
        <v>1070</v>
      </c>
      <c r="H56" s="160">
        <v>1030</v>
      </c>
      <c r="I56" s="160">
        <v>1000</v>
      </c>
      <c r="J56" s="160">
        <v>960</v>
      </c>
      <c r="K56" s="165"/>
      <c r="L56" s="165"/>
      <c r="M56" s="165"/>
      <c r="N56" s="165"/>
      <c r="O56" s="165"/>
      <c r="P56" s="199"/>
    </row>
    <row r="57" spans="1:16" hidden="1">
      <c r="A57" s="288"/>
      <c r="B57" s="33">
        <v>41317</v>
      </c>
      <c r="C57" s="133" t="s">
        <v>1</v>
      </c>
      <c r="D57" s="165">
        <v>1226</v>
      </c>
      <c r="E57" s="165">
        <v>1185</v>
      </c>
      <c r="F57" s="165">
        <v>1151</v>
      </c>
      <c r="G57" s="165">
        <v>1121</v>
      </c>
      <c r="H57" s="165">
        <v>1090.1407234210708</v>
      </c>
      <c r="I57" s="165">
        <v>1048</v>
      </c>
      <c r="J57" s="165"/>
      <c r="K57" s="165"/>
      <c r="L57" s="165"/>
      <c r="M57" s="165"/>
      <c r="N57" s="165"/>
      <c r="O57" s="165"/>
      <c r="P57" s="199"/>
    </row>
    <row r="58" spans="1:16" hidden="1">
      <c r="A58" s="288"/>
      <c r="B58" s="33">
        <v>41244</v>
      </c>
      <c r="C58" s="133" t="s">
        <v>1</v>
      </c>
      <c r="D58" s="165">
        <v>1228.5423506666664</v>
      </c>
      <c r="E58" s="165">
        <v>1184.5870287874238</v>
      </c>
      <c r="F58" s="165">
        <v>1151.3778293463738</v>
      </c>
      <c r="G58" s="165">
        <v>1121.0332793283103</v>
      </c>
      <c r="H58" s="165">
        <v>1090.1407234210708</v>
      </c>
      <c r="I58" s="165">
        <v>1048</v>
      </c>
      <c r="J58" s="165">
        <v>1048</v>
      </c>
      <c r="K58" s="165"/>
      <c r="L58" s="165"/>
      <c r="M58" s="165"/>
      <c r="N58" s="165"/>
      <c r="O58" s="165"/>
      <c r="P58" s="199"/>
    </row>
    <row r="59" spans="1:16">
      <c r="A59" s="288"/>
      <c r="B59" s="33">
        <f>B49</f>
        <v>43435</v>
      </c>
      <c r="C59" s="292" t="s">
        <v>16</v>
      </c>
      <c r="D59" s="293"/>
      <c r="E59" s="167">
        <f t="shared" ref="E59:O61" si="22">(E52-D52)/D52</f>
        <v>-4.0342298288508556E-2</v>
      </c>
      <c r="F59" s="167">
        <f t="shared" si="22"/>
        <v>6.1146496815287013E-3</v>
      </c>
      <c r="G59" s="167">
        <f>(G52-F52)/F52</f>
        <v>8.4409555161567526E-5</v>
      </c>
      <c r="H59" s="167">
        <f t="shared" si="22"/>
        <v>-8.2714382174206239E-3</v>
      </c>
      <c r="I59" s="167">
        <f t="shared" si="22"/>
        <v>5.1617021276595822E-2</v>
      </c>
      <c r="J59" s="167">
        <f t="shared" si="22"/>
        <v>0.10144458382227969</v>
      </c>
      <c r="K59" s="167">
        <f t="shared" si="22"/>
        <v>8.0088170462894931E-2</v>
      </c>
      <c r="L59" s="167">
        <f t="shared" si="22"/>
        <v>3.0612244897959183E-2</v>
      </c>
      <c r="M59" s="167">
        <f t="shared" si="22"/>
        <v>1.9801980198019802E-2</v>
      </c>
      <c r="N59" s="167">
        <f t="shared" si="22"/>
        <v>9.7087378640776691E-3</v>
      </c>
      <c r="O59" s="167">
        <f t="shared" si="22"/>
        <v>9.6153846153846159E-3</v>
      </c>
      <c r="P59" s="193"/>
    </row>
    <row r="60" spans="1:16">
      <c r="A60" s="288"/>
      <c r="B60" s="33">
        <f>B45</f>
        <v>43313</v>
      </c>
      <c r="C60" s="290" t="s">
        <v>16</v>
      </c>
      <c r="D60" s="291"/>
      <c r="E60" s="168">
        <f>(E53-D53)/D53</f>
        <v>-4.0342298288508556E-2</v>
      </c>
      <c r="F60" s="168">
        <f t="shared" si="22"/>
        <v>6.1146496815287013E-3</v>
      </c>
      <c r="G60" s="168">
        <f>(G53-F53)/F53</f>
        <v>8.4409555161567526E-5</v>
      </c>
      <c r="H60" s="168">
        <f t="shared" si="22"/>
        <v>-8.2714382174206239E-3</v>
      </c>
      <c r="I60" s="168">
        <f t="shared" si="22"/>
        <v>5.1617021276595822E-2</v>
      </c>
      <c r="J60" s="168">
        <f t="shared" si="22"/>
        <v>5.2077853761178253E-2</v>
      </c>
      <c r="K60" s="168">
        <f t="shared" si="22"/>
        <v>6.2000000000000104E-2</v>
      </c>
      <c r="L60" s="168">
        <f t="shared" si="22"/>
        <v>2.4999999999999904E-2</v>
      </c>
      <c r="M60" s="168">
        <f t="shared" si="22"/>
        <v>9.9999999999999412E-3</v>
      </c>
      <c r="N60" s="168">
        <f t="shared" si="22"/>
        <v>1.099999999999984E-2</v>
      </c>
      <c r="O60" s="168">
        <f t="shared" si="22"/>
        <v>1.2999999999999852E-2</v>
      </c>
      <c r="P60" s="194"/>
    </row>
    <row r="61" spans="1:16" hidden="1">
      <c r="A61" s="288"/>
      <c r="B61" s="33">
        <v>41974</v>
      </c>
      <c r="C61" s="290" t="s">
        <v>16</v>
      </c>
      <c r="D61" s="291"/>
      <c r="E61" s="147">
        <f>(E54-D54)/D54</f>
        <v>-4.0342298288508556E-2</v>
      </c>
      <c r="F61" s="147">
        <f t="shared" si="22"/>
        <v>8.3227176220806408E-3</v>
      </c>
      <c r="G61" s="147">
        <f t="shared" si="22"/>
        <v>-5.3061568264128316E-3</v>
      </c>
      <c r="H61" s="147">
        <f t="shared" si="22"/>
        <v>-2.6248941574936496E-2</v>
      </c>
      <c r="I61" s="147">
        <f t="shared" si="22"/>
        <v>-2.782608695652174E-2</v>
      </c>
      <c r="J61" s="147">
        <f t="shared" si="22"/>
        <v>-2.6833631484794274E-2</v>
      </c>
      <c r="K61" s="147">
        <f t="shared" si="22"/>
        <v>-3.3088235294117647E-2</v>
      </c>
      <c r="L61" s="147">
        <f t="shared" si="22"/>
        <v>-1</v>
      </c>
      <c r="M61" s="147" t="e">
        <f t="shared" si="22"/>
        <v>#DIV/0!</v>
      </c>
    </row>
    <row r="62" spans="1:16" hidden="1">
      <c r="A62" s="289"/>
      <c r="B62" s="33">
        <v>41499</v>
      </c>
      <c r="C62" s="292" t="s">
        <v>16</v>
      </c>
      <c r="D62" s="293"/>
      <c r="E62" s="146">
        <f t="shared" ref="E62:J62" si="23">(E56-D56)/D56</f>
        <v>-4.9639025981971625E-2</v>
      </c>
      <c r="F62" s="146">
        <f t="shared" si="23"/>
        <v>-4.7210300429184553E-2</v>
      </c>
      <c r="G62" s="146">
        <f t="shared" si="23"/>
        <v>-3.6036036036036036E-2</v>
      </c>
      <c r="H62" s="146">
        <f t="shared" si="23"/>
        <v>-3.7383177570093455E-2</v>
      </c>
      <c r="I62" s="146">
        <f t="shared" si="23"/>
        <v>-2.9126213592233011E-2</v>
      </c>
      <c r="J62" s="146">
        <f t="shared" si="23"/>
        <v>-0.04</v>
      </c>
      <c r="K62" s="146"/>
      <c r="L62" s="146"/>
      <c r="M62" s="146"/>
    </row>
    <row r="63" spans="1:16">
      <c r="A63" s="108"/>
      <c r="B63" s="13"/>
      <c r="F63" s="112"/>
      <c r="G63" s="112"/>
      <c r="H63" s="112"/>
      <c r="I63" s="112"/>
      <c r="J63" s="112"/>
      <c r="K63" s="112"/>
      <c r="L63" s="112"/>
      <c r="M63" s="112"/>
    </row>
    <row r="64" spans="1:16">
      <c r="A64" s="9"/>
      <c r="B64" s="13"/>
      <c r="E64" s="94"/>
      <c r="F64" s="94"/>
      <c r="G64" s="112"/>
      <c r="H64" s="112"/>
      <c r="I64" s="112"/>
      <c r="J64" s="112"/>
      <c r="K64" s="112"/>
      <c r="L64" s="112"/>
      <c r="M64" s="112"/>
    </row>
    <row r="65" spans="1:13">
      <c r="A65" s="9"/>
      <c r="B65" s="13"/>
      <c r="E65" s="94"/>
      <c r="F65" s="94"/>
      <c r="G65" s="94"/>
      <c r="H65" s="112"/>
      <c r="I65" s="112"/>
      <c r="J65" s="112"/>
      <c r="K65" s="112"/>
      <c r="L65" s="112"/>
      <c r="M65" s="112"/>
    </row>
    <row r="66" spans="1:13">
      <c r="A66" s="9"/>
      <c r="B66" s="13"/>
    </row>
    <row r="67" spans="1:13">
      <c r="A67" s="9"/>
      <c r="B67" s="13"/>
    </row>
    <row r="68" spans="1:13">
      <c r="A68" s="9"/>
      <c r="B68" s="13"/>
    </row>
    <row r="69" spans="1:13">
      <c r="A69" s="9"/>
      <c r="B69" s="13"/>
    </row>
    <row r="70" spans="1:13">
      <c r="A70" s="9"/>
      <c r="B70" s="13"/>
    </row>
    <row r="71" spans="1:13">
      <c r="A71" s="9"/>
      <c r="B71" s="13"/>
    </row>
    <row r="72" spans="1:13">
      <c r="A72" s="9"/>
      <c r="B72" s="13"/>
    </row>
    <row r="73" spans="1:13">
      <c r="A73" s="9"/>
      <c r="B73" s="13"/>
    </row>
  </sheetData>
  <mergeCells count="25">
    <mergeCell ref="A2:A16"/>
    <mergeCell ref="B2:B6"/>
    <mergeCell ref="B7:B11"/>
    <mergeCell ref="C13:D13"/>
    <mergeCell ref="C14:D14"/>
    <mergeCell ref="C15:D15"/>
    <mergeCell ref="C16:D16"/>
    <mergeCell ref="C47:D47"/>
    <mergeCell ref="A18:A31"/>
    <mergeCell ref="B18:B21"/>
    <mergeCell ref="C28:D28"/>
    <mergeCell ref="C29:D29"/>
    <mergeCell ref="C30:D30"/>
    <mergeCell ref="C31:D31"/>
    <mergeCell ref="A33:A38"/>
    <mergeCell ref="B33:B37"/>
    <mergeCell ref="C44:D44"/>
    <mergeCell ref="C45:D45"/>
    <mergeCell ref="C46:D46"/>
    <mergeCell ref="A49:A62"/>
    <mergeCell ref="B49:B52"/>
    <mergeCell ref="C59:D59"/>
    <mergeCell ref="C60:D60"/>
    <mergeCell ref="C61:D61"/>
    <mergeCell ref="C62:D62"/>
  </mergeCells>
  <pageMargins left="0.5" right="0.17" top="0.63" bottom="0.75" header="0.3" footer="0.3"/>
  <pageSetup orientation="landscape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pageSetUpPr fitToPage="1"/>
  </sheetPr>
  <dimension ref="A1:R73"/>
  <sheetViews>
    <sheetView zoomScale="120" zoomScaleNormal="120" workbookViewId="0">
      <pane xSplit="3" ySplit="1" topLeftCell="D2" activePane="bottomRight" state="frozen"/>
      <selection activeCell="I6" sqref="I6"/>
      <selection pane="topRight" activeCell="I6" sqref="I6"/>
      <selection pane="bottomLeft" activeCell="I6" sqref="I6"/>
      <selection pane="bottomRight" activeCell="I6" sqref="I6"/>
    </sheetView>
  </sheetViews>
  <sheetFormatPr defaultColWidth="9.28515625" defaultRowHeight="15"/>
  <cols>
    <col min="1" max="1" width="9.42578125" customWidth="1"/>
    <col min="2" max="2" width="7.5703125" bestFit="1" customWidth="1"/>
    <col min="3" max="3" width="8" customWidth="1"/>
    <col min="4" max="9" width="7.5703125" hidden="1" customWidth="1"/>
    <col min="10" max="15" width="9" customWidth="1"/>
  </cols>
  <sheetData>
    <row r="1" spans="1:18" ht="34.5" customHeight="1">
      <c r="A1" s="8"/>
      <c r="B1" s="11"/>
      <c r="C1" s="133"/>
      <c r="D1" s="132" t="s">
        <v>17</v>
      </c>
      <c r="E1" s="132" t="s">
        <v>25</v>
      </c>
      <c r="F1" s="132" t="s">
        <v>73</v>
      </c>
      <c r="G1" s="132" t="s">
        <v>74</v>
      </c>
      <c r="H1" s="132" t="s">
        <v>75</v>
      </c>
      <c r="I1" s="132" t="s">
        <v>77</v>
      </c>
      <c r="J1" s="132" t="s">
        <v>81</v>
      </c>
      <c r="K1" s="132" t="s">
        <v>24</v>
      </c>
      <c r="L1" s="132" t="s">
        <v>27</v>
      </c>
      <c r="M1" s="132" t="s">
        <v>57</v>
      </c>
      <c r="N1" s="132" t="s">
        <v>76</v>
      </c>
      <c r="O1" s="132" t="s">
        <v>80</v>
      </c>
      <c r="P1" s="187"/>
    </row>
    <row r="2" spans="1:18">
      <c r="A2" s="284" t="s">
        <v>10</v>
      </c>
      <c r="B2" s="273">
        <v>43497</v>
      </c>
      <c r="C2" s="134" t="s">
        <v>4</v>
      </c>
      <c r="D2" s="135"/>
      <c r="E2" s="135"/>
      <c r="F2" s="135"/>
      <c r="G2" s="135"/>
      <c r="H2" s="135"/>
      <c r="I2" s="135">
        <v>44.74</v>
      </c>
      <c r="J2" s="135">
        <v>55.07</v>
      </c>
      <c r="K2" s="135">
        <v>47.85</v>
      </c>
      <c r="L2" s="135">
        <v>49.58</v>
      </c>
      <c r="M2" s="135">
        <v>51.53</v>
      </c>
      <c r="N2" s="135">
        <v>53.41</v>
      </c>
      <c r="O2" s="135">
        <v>53.49</v>
      </c>
      <c r="P2" s="188"/>
    </row>
    <row r="3" spans="1:18">
      <c r="A3" s="285"/>
      <c r="B3" s="272"/>
      <c r="C3" s="136" t="s">
        <v>2</v>
      </c>
      <c r="D3" s="137"/>
      <c r="E3" s="138"/>
      <c r="F3" s="138"/>
      <c r="G3" s="138"/>
      <c r="H3" s="138"/>
      <c r="I3" s="138">
        <v>44.76</v>
      </c>
      <c r="J3" s="138">
        <v>55.05</v>
      </c>
      <c r="K3" s="138">
        <v>46.47</v>
      </c>
      <c r="L3" s="138">
        <v>51.62</v>
      </c>
      <c r="M3" s="138">
        <v>55.52</v>
      </c>
      <c r="N3" s="138">
        <v>56.37</v>
      </c>
      <c r="O3" s="138">
        <v>56.82</v>
      </c>
      <c r="P3" s="188"/>
    </row>
    <row r="4" spans="1:18">
      <c r="A4" s="285"/>
      <c r="B4" s="272"/>
      <c r="C4" s="139" t="s">
        <v>0</v>
      </c>
      <c r="D4" s="140"/>
      <c r="E4" s="140"/>
      <c r="F4" s="140"/>
      <c r="G4" s="140"/>
      <c r="H4" s="140"/>
      <c r="I4" s="140">
        <v>44.75</v>
      </c>
      <c r="J4" s="140">
        <v>55.05</v>
      </c>
      <c r="K4" s="140">
        <v>47.77</v>
      </c>
      <c r="L4" s="140">
        <v>50.58</v>
      </c>
      <c r="M4" s="140">
        <v>51.25</v>
      </c>
      <c r="N4" s="170">
        <v>48.62</v>
      </c>
      <c r="O4" s="170">
        <v>48.67</v>
      </c>
      <c r="P4" s="189"/>
    </row>
    <row r="5" spans="1:18">
      <c r="A5" s="285"/>
      <c r="B5" s="272"/>
      <c r="C5" s="141" t="s">
        <v>3</v>
      </c>
      <c r="D5" s="142"/>
      <c r="E5" s="142"/>
      <c r="F5" s="142"/>
      <c r="G5" s="142"/>
      <c r="H5" s="142"/>
      <c r="I5" s="142">
        <v>44.39</v>
      </c>
      <c r="J5" s="142">
        <v>55.09</v>
      </c>
      <c r="K5" s="142">
        <v>46.46</v>
      </c>
      <c r="L5" s="142">
        <v>50.88</v>
      </c>
      <c r="M5" s="142">
        <v>54.87</v>
      </c>
      <c r="N5" s="142">
        <v>55.83</v>
      </c>
      <c r="O5" s="142">
        <v>56.1</v>
      </c>
      <c r="P5" s="188"/>
    </row>
    <row r="6" spans="1:18">
      <c r="A6" s="285"/>
      <c r="B6" s="272"/>
      <c r="C6" s="143" t="s">
        <v>1</v>
      </c>
      <c r="D6" s="144">
        <v>89.65</v>
      </c>
      <c r="E6" s="144">
        <v>85.82</v>
      </c>
      <c r="F6" s="144">
        <v>95.13</v>
      </c>
      <c r="G6" s="144">
        <v>60.67</v>
      </c>
      <c r="H6" s="144">
        <v>37.85</v>
      </c>
      <c r="I6" s="144">
        <f t="shared" ref="I6" si="0">+AVERAGE(I2:I5)</f>
        <v>44.66</v>
      </c>
      <c r="J6" s="144">
        <v>55.05</v>
      </c>
      <c r="K6" s="186">
        <v>47</v>
      </c>
      <c r="L6" s="186">
        <v>50.5</v>
      </c>
      <c r="M6" s="186">
        <v>53</v>
      </c>
      <c r="N6" s="186">
        <v>54</v>
      </c>
      <c r="O6" s="186">
        <v>54.5</v>
      </c>
      <c r="P6" s="200"/>
      <c r="R6" s="93"/>
    </row>
    <row r="7" spans="1:18">
      <c r="A7" s="285"/>
      <c r="B7" s="273">
        <v>43435</v>
      </c>
      <c r="C7" s="133" t="s">
        <v>1</v>
      </c>
      <c r="D7" s="138">
        <f>'Aug18'!D6</f>
        <v>89.65</v>
      </c>
      <c r="E7" s="138">
        <f>'Aug18'!E6</f>
        <v>85.82</v>
      </c>
      <c r="F7" s="138">
        <f>'Aug18'!F6</f>
        <v>95.13</v>
      </c>
      <c r="G7" s="138">
        <f>'Aug18'!G6</f>
        <v>60.67</v>
      </c>
      <c r="H7" s="138">
        <f>'Aug18'!H6</f>
        <v>37.85</v>
      </c>
      <c r="I7" s="138">
        <f>'Dec18'!I6</f>
        <v>44.66</v>
      </c>
      <c r="J7" s="138">
        <f>'Dec18'!J6</f>
        <v>55.05</v>
      </c>
      <c r="K7" s="138">
        <f>'Dec18'!K6</f>
        <v>49.5</v>
      </c>
      <c r="L7" s="138">
        <f>'Dec18'!L6</f>
        <v>52</v>
      </c>
      <c r="M7" s="138">
        <f>'Dec18'!M6</f>
        <v>53</v>
      </c>
      <c r="N7" s="138">
        <f>'Dec18'!N6</f>
        <v>54</v>
      </c>
      <c r="O7" s="138">
        <f>'Dec18'!O6</f>
        <v>54.5</v>
      </c>
      <c r="P7" s="189"/>
      <c r="R7" s="93"/>
    </row>
    <row r="8" spans="1:18" hidden="1">
      <c r="A8" s="285"/>
      <c r="B8" s="272"/>
      <c r="C8" s="133" t="s">
        <v>1</v>
      </c>
      <c r="D8" s="138">
        <v>89.65</v>
      </c>
      <c r="E8" s="138">
        <v>85.82</v>
      </c>
      <c r="F8" s="138">
        <v>95.14</v>
      </c>
      <c r="G8" s="138">
        <v>71</v>
      </c>
      <c r="H8" s="138">
        <v>66</v>
      </c>
      <c r="I8" s="138">
        <v>72</v>
      </c>
      <c r="J8" s="138">
        <v>76</v>
      </c>
      <c r="K8" s="138">
        <v>80</v>
      </c>
      <c r="L8" s="138"/>
      <c r="M8" s="138"/>
    </row>
    <row r="9" spans="1:18" hidden="1">
      <c r="A9" s="285"/>
      <c r="B9" s="272"/>
      <c r="C9" s="133" t="s">
        <v>1</v>
      </c>
      <c r="D9" s="138">
        <v>89.65</v>
      </c>
      <c r="E9" s="138">
        <v>85.82</v>
      </c>
      <c r="F9" s="138">
        <v>95.75</v>
      </c>
      <c r="G9" s="138">
        <v>92</v>
      </c>
      <c r="H9" s="138">
        <v>88</v>
      </c>
      <c r="I9" s="138">
        <v>87</v>
      </c>
      <c r="J9" s="138">
        <v>86</v>
      </c>
      <c r="K9" s="138">
        <v>85</v>
      </c>
      <c r="L9" s="138"/>
      <c r="M9" s="138"/>
    </row>
    <row r="10" spans="1:18" hidden="1">
      <c r="A10" s="285"/>
      <c r="B10" s="272"/>
      <c r="C10" s="133" t="s">
        <v>1</v>
      </c>
      <c r="D10" s="138">
        <v>90</v>
      </c>
      <c r="E10" s="138">
        <v>87</v>
      </c>
      <c r="F10" s="138">
        <v>94</v>
      </c>
      <c r="G10" s="138">
        <v>87.5</v>
      </c>
      <c r="H10" s="138">
        <v>85</v>
      </c>
      <c r="I10" s="138">
        <v>84</v>
      </c>
      <c r="J10" s="138">
        <v>84</v>
      </c>
      <c r="K10" s="138"/>
      <c r="L10" s="138"/>
      <c r="M10" s="138"/>
    </row>
    <row r="11" spans="1:18" hidden="1">
      <c r="A11" s="285"/>
      <c r="B11" s="272"/>
      <c r="C11" s="133" t="s">
        <v>1</v>
      </c>
      <c r="D11" s="145">
        <v>90</v>
      </c>
      <c r="E11" s="145">
        <v>86.5</v>
      </c>
      <c r="F11" s="145">
        <v>88</v>
      </c>
      <c r="G11" s="145">
        <v>87.5</v>
      </c>
      <c r="H11" s="145">
        <v>87</v>
      </c>
      <c r="I11" s="145">
        <v>86.5</v>
      </c>
      <c r="J11" s="145"/>
      <c r="K11" s="145"/>
      <c r="L11" s="145"/>
      <c r="M11" s="145"/>
    </row>
    <row r="12" spans="1:18" hidden="1">
      <c r="A12" s="285"/>
      <c r="B12" s="33">
        <v>41244</v>
      </c>
      <c r="C12" s="133" t="s">
        <v>1</v>
      </c>
      <c r="D12" s="145">
        <v>89.640506965377526</v>
      </c>
      <c r="E12" s="145">
        <v>85</v>
      </c>
      <c r="F12" s="145">
        <v>84.75</v>
      </c>
      <c r="G12" s="145">
        <v>83.5</v>
      </c>
      <c r="H12" s="145">
        <v>82.5</v>
      </c>
      <c r="I12" s="145">
        <v>83</v>
      </c>
      <c r="J12" s="145">
        <v>83</v>
      </c>
      <c r="K12" s="145"/>
      <c r="L12" s="145"/>
      <c r="M12" s="145"/>
    </row>
    <row r="13" spans="1:18" hidden="1">
      <c r="A13" s="285"/>
      <c r="B13" s="33">
        <v>42217</v>
      </c>
      <c r="C13" s="292" t="s">
        <v>16</v>
      </c>
      <c r="D13" s="293"/>
      <c r="E13" s="146">
        <f t="shared" ref="E13:M13" si="1">+E6/D6-1</f>
        <v>-4.2721695482431765E-2</v>
      </c>
      <c r="F13" s="146">
        <f>+F6/E6-1</f>
        <v>0.10848287112561183</v>
      </c>
      <c r="G13" s="166">
        <f>+G6/F6-1</f>
        <v>-0.36224114369809735</v>
      </c>
      <c r="H13" s="146">
        <f t="shared" si="1"/>
        <v>-0.37613317949563208</v>
      </c>
      <c r="I13" s="146">
        <f t="shared" si="1"/>
        <v>0.17992073976221912</v>
      </c>
      <c r="J13" s="146">
        <f t="shared" si="1"/>
        <v>0.23264666368114639</v>
      </c>
      <c r="K13" s="146">
        <f t="shared" si="1"/>
        <v>-0.14623069936421429</v>
      </c>
      <c r="L13" s="146">
        <f t="shared" si="1"/>
        <v>7.4468085106383031E-2</v>
      </c>
      <c r="M13" s="146">
        <f t="shared" si="1"/>
        <v>4.9504950495049549E-2</v>
      </c>
    </row>
    <row r="14" spans="1:18" hidden="1">
      <c r="A14" s="285"/>
      <c r="B14" s="33">
        <v>42031</v>
      </c>
      <c r="C14" s="290" t="s">
        <v>16</v>
      </c>
      <c r="D14" s="291"/>
      <c r="E14" s="147">
        <f t="shared" ref="E14:K15" si="2">(E7-D7)/D7</f>
        <v>-4.2721695482431814E-2</v>
      </c>
      <c r="F14" s="147">
        <f t="shared" si="2"/>
        <v>0.10848287112561178</v>
      </c>
      <c r="G14" s="147">
        <f t="shared" si="2"/>
        <v>-0.36224114369809729</v>
      </c>
      <c r="H14" s="147">
        <f t="shared" si="2"/>
        <v>-0.37613317949563208</v>
      </c>
      <c r="I14" s="147">
        <f t="shared" si="2"/>
        <v>0.17992073976221915</v>
      </c>
      <c r="J14" s="147">
        <f t="shared" si="2"/>
        <v>0.23264666368114648</v>
      </c>
      <c r="K14" s="147">
        <f t="shared" si="2"/>
        <v>-0.10081743869209804</v>
      </c>
      <c r="L14" s="147"/>
      <c r="M14" s="147"/>
    </row>
    <row r="15" spans="1:18" hidden="1">
      <c r="A15" s="285"/>
      <c r="B15" s="33">
        <v>41974</v>
      </c>
      <c r="C15" s="290" t="s">
        <v>16</v>
      </c>
      <c r="D15" s="291"/>
      <c r="E15" s="147">
        <f t="shared" si="2"/>
        <v>-4.2721695482431814E-2</v>
      </c>
      <c r="F15" s="147">
        <f t="shared" si="2"/>
        <v>0.10859939408063397</v>
      </c>
      <c r="G15" s="147">
        <f t="shared" si="2"/>
        <v>-0.2537313432835821</v>
      </c>
      <c r="H15" s="147">
        <f t="shared" si="2"/>
        <v>-7.0422535211267609E-2</v>
      </c>
      <c r="I15" s="147">
        <f t="shared" si="2"/>
        <v>9.0909090909090912E-2</v>
      </c>
      <c r="J15" s="147">
        <f t="shared" si="2"/>
        <v>5.5555555555555552E-2</v>
      </c>
      <c r="K15" s="147"/>
      <c r="L15" s="147"/>
      <c r="M15" s="147"/>
    </row>
    <row r="16" spans="1:18" hidden="1">
      <c r="A16" s="286"/>
      <c r="B16" s="33">
        <v>41499</v>
      </c>
      <c r="C16" s="292" t="s">
        <v>16</v>
      </c>
      <c r="D16" s="293"/>
      <c r="E16" s="146">
        <f t="shared" ref="E16:J16" si="3">(E10-D10)/D10</f>
        <v>-3.3333333333333333E-2</v>
      </c>
      <c r="F16" s="146">
        <f t="shared" si="3"/>
        <v>8.0459770114942528E-2</v>
      </c>
      <c r="G16" s="146">
        <f t="shared" si="3"/>
        <v>-6.9148936170212769E-2</v>
      </c>
      <c r="H16" s="146">
        <f t="shared" si="3"/>
        <v>-2.8571428571428571E-2</v>
      </c>
      <c r="I16" s="146">
        <f t="shared" si="3"/>
        <v>-1.1764705882352941E-2</v>
      </c>
      <c r="J16" s="146">
        <f t="shared" si="3"/>
        <v>0</v>
      </c>
      <c r="K16" s="146"/>
      <c r="L16" s="146"/>
      <c r="M16" s="146"/>
    </row>
    <row r="17" spans="1:16">
      <c r="A17" s="65"/>
      <c r="B17" s="65"/>
      <c r="C17" s="65"/>
      <c r="D17" s="65"/>
      <c r="E17" s="65"/>
      <c r="F17" s="65"/>
      <c r="G17" s="126"/>
      <c r="H17" s="128"/>
      <c r="I17" s="128"/>
      <c r="J17" s="128"/>
      <c r="K17" s="128"/>
      <c r="L17" s="128"/>
      <c r="M17" s="128"/>
    </row>
    <row r="18" spans="1:16">
      <c r="A18" s="281" t="s">
        <v>12</v>
      </c>
      <c r="B18" s="273">
        <f>B2</f>
        <v>43497</v>
      </c>
      <c r="C18" s="136" t="s">
        <v>2</v>
      </c>
      <c r="D18" s="148"/>
      <c r="E18" s="148"/>
      <c r="F18" s="148"/>
      <c r="G18" s="148"/>
      <c r="H18" s="148"/>
      <c r="I18" s="148">
        <v>155.96</v>
      </c>
      <c r="J18" s="148">
        <v>204.40600000000001</v>
      </c>
      <c r="K18" s="148">
        <v>275</v>
      </c>
      <c r="L18" s="148">
        <v>308</v>
      </c>
      <c r="M18" s="148">
        <v>340</v>
      </c>
      <c r="N18" s="148"/>
      <c r="O18" s="148"/>
      <c r="P18" s="190"/>
    </row>
    <row r="19" spans="1:16">
      <c r="A19" s="281"/>
      <c r="B19" s="272"/>
      <c r="C19" s="139" t="s">
        <v>0</v>
      </c>
      <c r="D19" s="149"/>
      <c r="E19" s="149"/>
      <c r="F19" s="149"/>
      <c r="G19" s="149"/>
      <c r="H19" s="149"/>
      <c r="I19" s="149"/>
      <c r="J19" s="149">
        <v>204.40600000000001</v>
      </c>
      <c r="K19" s="149">
        <v>280</v>
      </c>
      <c r="L19" s="149">
        <v>310</v>
      </c>
      <c r="M19" s="149">
        <f>L19*1.12</f>
        <v>347.20000000000005</v>
      </c>
      <c r="N19" s="149"/>
      <c r="O19" s="149"/>
      <c r="P19" s="208"/>
    </row>
    <row r="20" spans="1:16">
      <c r="A20" s="281"/>
      <c r="B20" s="272"/>
      <c r="C20" s="141" t="s">
        <v>3</v>
      </c>
      <c r="D20" s="151"/>
      <c r="E20" s="151"/>
      <c r="F20" s="151"/>
      <c r="G20" s="151"/>
      <c r="H20" s="151"/>
      <c r="I20" s="151">
        <v>155.9</v>
      </c>
      <c r="J20" s="151">
        <v>204.40600000000001</v>
      </c>
      <c r="K20" s="151">
        <v>280</v>
      </c>
      <c r="L20" s="151">
        <v>315</v>
      </c>
      <c r="M20" s="151">
        <v>330</v>
      </c>
      <c r="N20" s="151">
        <f>M20*(1+N29)</f>
        <v>341.5789473684211</v>
      </c>
      <c r="O20" s="151">
        <f>N20*(1+O29)</f>
        <v>353.15789473684214</v>
      </c>
      <c r="P20" s="191"/>
    </row>
    <row r="21" spans="1:16">
      <c r="A21" s="281"/>
      <c r="B21" s="272"/>
      <c r="C21" s="143" t="s">
        <v>1</v>
      </c>
      <c r="D21" s="152">
        <v>80.3</v>
      </c>
      <c r="E21" s="152">
        <v>96.4</v>
      </c>
      <c r="F21" s="153">
        <v>113.9</v>
      </c>
      <c r="G21" s="153">
        <v>141.4</v>
      </c>
      <c r="H21" s="153">
        <v>146.69999999999999</v>
      </c>
      <c r="I21" s="153">
        <v>153</v>
      </c>
      <c r="J21" s="206">
        <f>(+AVERAGE(J18:J20))</f>
        <v>204.40600000000003</v>
      </c>
      <c r="K21" s="211">
        <v>275</v>
      </c>
      <c r="L21" s="211">
        <v>310</v>
      </c>
      <c r="M21" s="211">
        <v>340</v>
      </c>
      <c r="N21" s="211">
        <v>350</v>
      </c>
      <c r="O21" s="211">
        <v>360</v>
      </c>
      <c r="P21" s="201"/>
    </row>
    <row r="22" spans="1:16">
      <c r="A22" s="281"/>
      <c r="B22" s="33">
        <f>B7</f>
        <v>43435</v>
      </c>
      <c r="C22" s="133" t="s">
        <v>1</v>
      </c>
      <c r="D22" s="154">
        <f>'Aug18'!D21</f>
        <v>80.3</v>
      </c>
      <c r="E22" s="154">
        <f>'Aug18'!E21</f>
        <v>96.4</v>
      </c>
      <c r="F22" s="154">
        <f>'Aug18'!F21</f>
        <v>113.9</v>
      </c>
      <c r="G22" s="154">
        <f>'Aug18'!G21</f>
        <v>141.4</v>
      </c>
      <c r="H22" s="154">
        <f>'Aug18'!H21</f>
        <v>146.69999999999999</v>
      </c>
      <c r="I22" s="154">
        <f>'Dec18'!I21</f>
        <v>153</v>
      </c>
      <c r="J22" s="154">
        <f>'Dec18'!J21</f>
        <v>204.40600000000003</v>
      </c>
      <c r="K22" s="154">
        <f>'Dec18'!K21</f>
        <v>250</v>
      </c>
      <c r="L22" s="154">
        <f>'Dec18'!L21</f>
        <v>270</v>
      </c>
      <c r="M22" s="154">
        <f>'Dec18'!M21</f>
        <v>285</v>
      </c>
      <c r="N22" s="154">
        <f>'Dec18'!N21</f>
        <v>295</v>
      </c>
      <c r="O22" s="154">
        <f>'Dec18'!O21</f>
        <v>305</v>
      </c>
      <c r="P22" s="191"/>
    </row>
    <row r="23" spans="1:16" hidden="1">
      <c r="A23" s="281"/>
      <c r="B23" s="33">
        <v>41974</v>
      </c>
      <c r="C23" s="133" t="s">
        <v>1</v>
      </c>
      <c r="D23" s="154">
        <v>80.3</v>
      </c>
      <c r="E23" s="154">
        <v>96.4</v>
      </c>
      <c r="F23" s="154">
        <v>113.4</v>
      </c>
      <c r="G23" s="154">
        <v>122</v>
      </c>
      <c r="H23" s="154">
        <v>127</v>
      </c>
      <c r="I23" s="154">
        <v>131</v>
      </c>
      <c r="J23" s="154">
        <v>133</v>
      </c>
      <c r="K23" s="154">
        <v>135</v>
      </c>
      <c r="L23" s="154"/>
      <c r="M23" s="154"/>
      <c r="N23" s="154"/>
      <c r="O23" s="154"/>
      <c r="P23" s="191"/>
    </row>
    <row r="24" spans="1:16" hidden="1">
      <c r="A24" s="281"/>
      <c r="B24" s="33">
        <v>41852</v>
      </c>
      <c r="C24" s="133" t="s">
        <v>1</v>
      </c>
      <c r="D24" s="154">
        <v>80.3</v>
      </c>
      <c r="E24" s="154">
        <v>96.4</v>
      </c>
      <c r="F24" s="154">
        <v>110</v>
      </c>
      <c r="G24" s="154">
        <v>117</v>
      </c>
      <c r="H24" s="154">
        <v>122</v>
      </c>
      <c r="I24" s="154">
        <v>125</v>
      </c>
      <c r="J24" s="154">
        <v>127</v>
      </c>
      <c r="K24" s="154">
        <v>129</v>
      </c>
      <c r="L24" s="154"/>
      <c r="M24" s="154"/>
      <c r="N24" s="154"/>
      <c r="O24" s="154"/>
      <c r="P24" s="191"/>
    </row>
    <row r="25" spans="1:16" hidden="1">
      <c r="A25" s="281"/>
      <c r="B25" s="33">
        <v>41499</v>
      </c>
      <c r="C25" s="133" t="s">
        <v>1</v>
      </c>
      <c r="D25" s="154">
        <v>80.069999999999993</v>
      </c>
      <c r="E25" s="154">
        <v>90</v>
      </c>
      <c r="F25" s="154">
        <v>93</v>
      </c>
      <c r="G25" s="154">
        <v>97</v>
      </c>
      <c r="H25" s="154">
        <v>100</v>
      </c>
      <c r="I25" s="154">
        <v>101</v>
      </c>
      <c r="J25" s="154">
        <v>102</v>
      </c>
      <c r="K25" s="154"/>
      <c r="L25" s="154"/>
      <c r="M25" s="154"/>
      <c r="N25" s="154"/>
      <c r="O25" s="154"/>
      <c r="P25" s="191"/>
    </row>
    <row r="26" spans="1:16" hidden="1">
      <c r="A26" s="281"/>
      <c r="B26" s="33">
        <v>41317</v>
      </c>
      <c r="C26" s="133" t="s">
        <v>1</v>
      </c>
      <c r="D26" s="155">
        <v>80.099999999999994</v>
      </c>
      <c r="E26" s="155">
        <v>87</v>
      </c>
      <c r="F26" s="155">
        <v>91.4</v>
      </c>
      <c r="G26" s="155">
        <v>94.1</v>
      </c>
      <c r="H26" s="155">
        <v>96</v>
      </c>
      <c r="I26" s="155">
        <v>97.9</v>
      </c>
      <c r="J26" s="155"/>
      <c r="K26" s="155"/>
      <c r="L26" s="155"/>
      <c r="M26" s="155"/>
      <c r="N26" s="155"/>
      <c r="O26" s="155"/>
      <c r="P26" s="192"/>
    </row>
    <row r="27" spans="1:16" hidden="1">
      <c r="A27" s="281"/>
      <c r="B27" s="33">
        <v>41244</v>
      </c>
      <c r="C27" s="133" t="s">
        <v>1</v>
      </c>
      <c r="D27" s="155">
        <v>79.7</v>
      </c>
      <c r="E27" s="155">
        <v>84.119744824999998</v>
      </c>
      <c r="F27" s="155">
        <v>88.406534618000009</v>
      </c>
      <c r="G27" s="155">
        <v>92.434230656539995</v>
      </c>
      <c r="H27" s="155">
        <v>96.132415269670815</v>
      </c>
      <c r="I27" s="155">
        <v>97.6</v>
      </c>
      <c r="J27" s="155">
        <v>97.6</v>
      </c>
      <c r="K27" s="155"/>
      <c r="L27" s="155"/>
      <c r="M27" s="155"/>
      <c r="N27" s="155"/>
      <c r="O27" s="155"/>
      <c r="P27" s="192"/>
    </row>
    <row r="28" spans="1:16">
      <c r="A28" s="281"/>
      <c r="B28" s="33">
        <f>B18</f>
        <v>43497</v>
      </c>
      <c r="C28" s="292" t="s">
        <v>16</v>
      </c>
      <c r="D28" s="293"/>
      <c r="E28" s="167">
        <f t="shared" ref="E28:O29" si="4">(E21-D21)/D21</f>
        <v>0.20049813200498143</v>
      </c>
      <c r="F28" s="167">
        <f>(F21-E21)/E21</f>
        <v>0.18153526970954356</v>
      </c>
      <c r="G28" s="167">
        <f t="shared" si="4"/>
        <v>0.24143985952589991</v>
      </c>
      <c r="H28" s="167">
        <f t="shared" si="4"/>
        <v>3.7482319660537361E-2</v>
      </c>
      <c r="I28" s="167">
        <f>(I21-H21)/H21</f>
        <v>4.2944785276073698E-2</v>
      </c>
      <c r="J28" s="167">
        <f>(J21-I21)/I21</f>
        <v>0.33598692810457537</v>
      </c>
      <c r="K28" s="167">
        <f t="shared" si="4"/>
        <v>0.34536168214240265</v>
      </c>
      <c r="L28" s="167">
        <f>(L21-K21)/K21</f>
        <v>0.12727272727272726</v>
      </c>
      <c r="M28" s="167">
        <f>(M21-L21)/L21</f>
        <v>9.6774193548387094E-2</v>
      </c>
      <c r="N28" s="167">
        <f>(N21-M21)/M21</f>
        <v>2.9411764705882353E-2</v>
      </c>
      <c r="O28" s="167">
        <f>(O21-N21)/N21</f>
        <v>2.8571428571428571E-2</v>
      </c>
      <c r="P28" s="193"/>
    </row>
    <row r="29" spans="1:16">
      <c r="A29" s="281"/>
      <c r="B29" s="33">
        <f>B7</f>
        <v>43435</v>
      </c>
      <c r="C29" s="290" t="s">
        <v>16</v>
      </c>
      <c r="D29" s="291"/>
      <c r="E29" s="168">
        <f>(E22-D22)/D22</f>
        <v>0.20049813200498143</v>
      </c>
      <c r="F29" s="168">
        <f t="shared" ref="F29:O30" si="5">(F22-E22)/E22</f>
        <v>0.18153526970954356</v>
      </c>
      <c r="G29" s="168">
        <f>(G22-F22)/F22</f>
        <v>0.24143985952589991</v>
      </c>
      <c r="H29" s="168">
        <f t="shared" si="4"/>
        <v>3.7482319660537361E-2</v>
      </c>
      <c r="I29" s="168">
        <f>(I22-H22)/H22</f>
        <v>4.2944785276073698E-2</v>
      </c>
      <c r="J29" s="168">
        <f t="shared" si="4"/>
        <v>0.33598692810457537</v>
      </c>
      <c r="K29" s="168">
        <f>(K22-J22)/J22</f>
        <v>0.22305607467491148</v>
      </c>
      <c r="L29" s="168">
        <f t="shared" si="4"/>
        <v>0.08</v>
      </c>
      <c r="M29" s="168">
        <f t="shared" si="4"/>
        <v>5.5555555555555552E-2</v>
      </c>
      <c r="N29" s="168">
        <f t="shared" si="4"/>
        <v>3.5087719298245612E-2</v>
      </c>
      <c r="O29" s="168">
        <f t="shared" si="4"/>
        <v>3.3898305084745763E-2</v>
      </c>
      <c r="P29" s="194"/>
    </row>
    <row r="30" spans="1:16" hidden="1">
      <c r="A30" s="281"/>
      <c r="B30" s="33">
        <v>41974</v>
      </c>
      <c r="C30" s="290" t="s">
        <v>16</v>
      </c>
      <c r="D30" s="291"/>
      <c r="E30" s="147">
        <f>(E23-D23)/D23</f>
        <v>0.20049813200498143</v>
      </c>
      <c r="F30" s="147">
        <f t="shared" si="5"/>
        <v>0.17634854771784231</v>
      </c>
      <c r="G30" s="147">
        <f t="shared" si="5"/>
        <v>7.5837742504409111E-2</v>
      </c>
      <c r="H30" s="147">
        <f t="shared" si="5"/>
        <v>4.0983606557377046E-2</v>
      </c>
      <c r="I30" s="147">
        <f t="shared" si="5"/>
        <v>3.1496062992125984E-2</v>
      </c>
      <c r="J30" s="147">
        <f t="shared" si="5"/>
        <v>1.5267175572519083E-2</v>
      </c>
      <c r="K30" s="147">
        <f t="shared" si="5"/>
        <v>1.5037593984962405E-2</v>
      </c>
      <c r="L30" s="147">
        <f t="shared" si="5"/>
        <v>-1</v>
      </c>
      <c r="M30" s="147" t="e">
        <f t="shared" si="5"/>
        <v>#DIV/0!</v>
      </c>
      <c r="N30" s="147" t="e">
        <f t="shared" si="5"/>
        <v>#DIV/0!</v>
      </c>
      <c r="O30" s="147" t="e">
        <f t="shared" si="5"/>
        <v>#DIV/0!</v>
      </c>
      <c r="P30" s="195"/>
    </row>
    <row r="31" spans="1:16" hidden="1">
      <c r="A31" s="281"/>
      <c r="B31" s="33">
        <v>41499</v>
      </c>
      <c r="C31" s="292" t="s">
        <v>16</v>
      </c>
      <c r="D31" s="293"/>
      <c r="E31" s="146">
        <f t="shared" ref="E31:J31" si="6">(E25-D25)/D25</f>
        <v>0.12401648557512186</v>
      </c>
      <c r="F31" s="146">
        <f t="shared" si="6"/>
        <v>3.3333333333333333E-2</v>
      </c>
      <c r="G31" s="146">
        <f t="shared" si="6"/>
        <v>4.3010752688172046E-2</v>
      </c>
      <c r="H31" s="146">
        <f t="shared" si="6"/>
        <v>3.0927835051546393E-2</v>
      </c>
      <c r="I31" s="146">
        <f t="shared" si="6"/>
        <v>0.01</v>
      </c>
      <c r="J31" s="146">
        <f t="shared" si="6"/>
        <v>9.9009900990099011E-3</v>
      </c>
      <c r="K31" s="146"/>
      <c r="L31" s="146"/>
      <c r="M31" s="146"/>
      <c r="N31" s="146"/>
      <c r="O31" s="146"/>
      <c r="P31" s="174"/>
    </row>
    <row r="32" spans="1:16">
      <c r="A32" s="106"/>
      <c r="B32" s="107"/>
      <c r="C32" s="156"/>
      <c r="D32" s="156"/>
      <c r="E32" s="157"/>
      <c r="F32" s="157"/>
      <c r="G32" s="158"/>
      <c r="H32" s="158"/>
      <c r="I32" s="158"/>
      <c r="J32" s="158"/>
      <c r="K32" s="158"/>
      <c r="L32" s="158"/>
      <c r="M32" s="158"/>
      <c r="N32" s="158"/>
      <c r="O32" s="158"/>
      <c r="P32" s="196"/>
    </row>
    <row r="33" spans="1:16">
      <c r="A33" s="298" t="s">
        <v>18</v>
      </c>
      <c r="B33" s="300">
        <f>B2</f>
        <v>43497</v>
      </c>
      <c r="C33" s="134" t="s">
        <v>4</v>
      </c>
      <c r="D33" s="135"/>
      <c r="E33" s="135"/>
      <c r="F33" s="135"/>
      <c r="G33" s="135"/>
      <c r="H33" s="135"/>
      <c r="I33" s="135">
        <v>3.24</v>
      </c>
      <c r="J33" s="135">
        <v>3.53</v>
      </c>
      <c r="K33" s="135">
        <v>3.7</v>
      </c>
      <c r="L33" s="135">
        <v>3.4</v>
      </c>
      <c r="M33" s="135">
        <v>3.27</v>
      </c>
      <c r="N33" s="135"/>
      <c r="O33" s="135"/>
      <c r="P33" s="188"/>
    </row>
    <row r="34" spans="1:16" ht="15" customHeight="1">
      <c r="A34" s="299"/>
      <c r="B34" s="301"/>
      <c r="C34" s="136" t="s">
        <v>2</v>
      </c>
      <c r="D34" s="159"/>
      <c r="E34" s="159"/>
      <c r="F34" s="159"/>
      <c r="G34" s="159"/>
      <c r="H34" s="159"/>
      <c r="I34" s="159">
        <v>3.24</v>
      </c>
      <c r="J34" s="159">
        <v>3.53</v>
      </c>
      <c r="K34" s="210">
        <v>3.65</v>
      </c>
      <c r="L34" s="210">
        <v>3.26</v>
      </c>
      <c r="M34" s="210">
        <v>3.17</v>
      </c>
      <c r="N34" s="210"/>
      <c r="O34" s="210"/>
      <c r="P34" s="197"/>
    </row>
    <row r="35" spans="1:16">
      <c r="A35" s="299"/>
      <c r="B35" s="301"/>
      <c r="C35" s="139" t="s">
        <v>0</v>
      </c>
      <c r="D35" s="140"/>
      <c r="E35" s="140"/>
      <c r="F35" s="140"/>
      <c r="G35" s="140"/>
      <c r="H35" s="140"/>
      <c r="I35" s="140">
        <v>3.25</v>
      </c>
      <c r="J35" s="140">
        <v>3.53</v>
      </c>
      <c r="K35" s="140">
        <v>3.55</v>
      </c>
      <c r="L35" s="140">
        <v>3</v>
      </c>
      <c r="M35" s="140">
        <v>3.01</v>
      </c>
      <c r="N35" s="140"/>
      <c r="O35" s="140"/>
      <c r="P35" s="188"/>
    </row>
    <row r="36" spans="1:16">
      <c r="A36" s="299"/>
      <c r="B36" s="301"/>
      <c r="C36" s="141" t="s">
        <v>3</v>
      </c>
      <c r="D36" s="142"/>
      <c r="E36" s="142"/>
      <c r="F36" s="142"/>
      <c r="G36" s="142"/>
      <c r="H36" s="142"/>
      <c r="I36" s="142">
        <v>3.22</v>
      </c>
      <c r="J36" s="142">
        <v>3.4670000000000001</v>
      </c>
      <c r="K36" s="142">
        <v>3.75</v>
      </c>
      <c r="L36" s="142">
        <v>3.34</v>
      </c>
      <c r="M36" s="142">
        <v>3</v>
      </c>
      <c r="N36" s="142"/>
      <c r="O36" s="142"/>
      <c r="P36" s="188"/>
    </row>
    <row r="37" spans="1:16">
      <c r="A37" s="299"/>
      <c r="B37" s="302"/>
      <c r="C37" s="143" t="s">
        <v>1</v>
      </c>
      <c r="D37" s="144">
        <v>5.01</v>
      </c>
      <c r="E37" s="144">
        <v>4.38</v>
      </c>
      <c r="F37" s="144">
        <v>5.14</v>
      </c>
      <c r="G37" s="144">
        <v>3.78</v>
      </c>
      <c r="H37" s="144">
        <v>2.42</v>
      </c>
      <c r="I37" s="144">
        <f t="shared" ref="I37" si="7">+AVERAGE(I33:I36)</f>
        <v>3.2375000000000003</v>
      </c>
      <c r="J37" s="144">
        <f t="shared" ref="J37" si="8">AVERAGE(J33:J36)</f>
        <v>3.5142500000000001</v>
      </c>
      <c r="K37" s="186">
        <v>3.55</v>
      </c>
      <c r="L37" s="186">
        <f t="shared" ref="L37" si="9">AVERAGE(L33:L36)</f>
        <v>3.25</v>
      </c>
      <c r="M37" s="186">
        <v>3.1</v>
      </c>
      <c r="N37" s="186">
        <v>3</v>
      </c>
      <c r="O37" s="186">
        <v>3</v>
      </c>
      <c r="P37" s="200"/>
    </row>
    <row r="38" spans="1:16">
      <c r="A38" s="299"/>
      <c r="B38" s="33">
        <f>B7</f>
        <v>43435</v>
      </c>
      <c r="C38" s="133" t="s">
        <v>1</v>
      </c>
      <c r="D38" s="138">
        <f>'Aug18'!D37</f>
        <v>5.01</v>
      </c>
      <c r="E38" s="138">
        <f>'Aug18'!E37</f>
        <v>4.38</v>
      </c>
      <c r="F38" s="138">
        <f>'Aug18'!F37</f>
        <v>5.14</v>
      </c>
      <c r="G38" s="138">
        <f>'Aug18'!G37</f>
        <v>3.78</v>
      </c>
      <c r="H38" s="138">
        <f>'Aug18'!H37</f>
        <v>2.42</v>
      </c>
      <c r="I38" s="138">
        <f>'Dec18'!I37</f>
        <v>3.2375000000000003</v>
      </c>
      <c r="J38" s="138">
        <f>'Dec18'!J37</f>
        <v>3.5142500000000001</v>
      </c>
      <c r="K38" s="138">
        <f>'Dec18'!K37</f>
        <v>3.55</v>
      </c>
      <c r="L38" s="138">
        <f>'Dec18'!L37</f>
        <v>3</v>
      </c>
      <c r="M38" s="138">
        <f>'Dec18'!M37</f>
        <v>2.9950000000000001</v>
      </c>
      <c r="N38" s="138">
        <f>'Dec18'!N37</f>
        <v>3</v>
      </c>
      <c r="O38" s="138">
        <f>'Dec18'!O37</f>
        <v>3</v>
      </c>
      <c r="P38" s="188"/>
    </row>
    <row r="39" spans="1:16" ht="15" hidden="1" customHeight="1">
      <c r="A39" s="204"/>
      <c r="B39" s="33">
        <v>41974</v>
      </c>
      <c r="C39" s="133" t="s">
        <v>1</v>
      </c>
      <c r="D39" s="138">
        <v>5.01</v>
      </c>
      <c r="E39" s="138">
        <v>4.38</v>
      </c>
      <c r="F39" s="138">
        <v>5.13</v>
      </c>
      <c r="G39" s="138">
        <v>4.9000000000000004</v>
      </c>
      <c r="H39" s="138">
        <v>4.9000000000000004</v>
      </c>
      <c r="I39" s="138">
        <v>4.95</v>
      </c>
      <c r="J39" s="138">
        <v>5.0999999999999996</v>
      </c>
      <c r="K39" s="138">
        <v>5.2</v>
      </c>
      <c r="L39" s="138"/>
      <c r="M39" s="138"/>
    </row>
    <row r="40" spans="1:16" ht="15" hidden="1" customHeight="1">
      <c r="A40" s="204"/>
      <c r="B40" s="33">
        <v>41852</v>
      </c>
      <c r="C40" s="133" t="s">
        <v>1</v>
      </c>
      <c r="D40" s="138">
        <v>5.01</v>
      </c>
      <c r="E40" s="138">
        <v>4.38</v>
      </c>
      <c r="F40" s="138">
        <v>5.15</v>
      </c>
      <c r="G40" s="138">
        <v>5.2</v>
      </c>
      <c r="H40" s="138">
        <v>5.25</v>
      </c>
      <c r="I40" s="138">
        <v>5.3</v>
      </c>
      <c r="J40" s="138">
        <v>5.35</v>
      </c>
      <c r="K40" s="138">
        <v>5.4</v>
      </c>
      <c r="L40" s="138"/>
      <c r="M40" s="138"/>
    </row>
    <row r="41" spans="1:16" ht="15" hidden="1" customHeight="1">
      <c r="A41" s="204"/>
      <c r="B41" s="33">
        <v>41499</v>
      </c>
      <c r="C41" s="133" t="s">
        <v>1</v>
      </c>
      <c r="D41" s="138">
        <v>5</v>
      </c>
      <c r="E41" s="138">
        <v>4.5</v>
      </c>
      <c r="F41" s="138">
        <v>5</v>
      </c>
      <c r="G41" s="138">
        <v>5.4</v>
      </c>
      <c r="H41" s="138">
        <v>5.5</v>
      </c>
      <c r="I41" s="138">
        <v>5.5</v>
      </c>
      <c r="J41" s="138">
        <v>5.5</v>
      </c>
      <c r="K41" s="138"/>
      <c r="L41" s="138"/>
      <c r="M41" s="138"/>
    </row>
    <row r="42" spans="1:16" ht="15" hidden="1" customHeight="1">
      <c r="A42" s="204"/>
      <c r="B42" s="33">
        <v>41317</v>
      </c>
      <c r="C42" s="133" t="s">
        <v>1</v>
      </c>
      <c r="D42" s="145">
        <v>5</v>
      </c>
      <c r="E42" s="145">
        <v>4.5</v>
      </c>
      <c r="F42" s="145">
        <v>5.0999999999999996</v>
      </c>
      <c r="G42" s="145">
        <v>5.25</v>
      </c>
      <c r="H42" s="145">
        <v>5.5</v>
      </c>
      <c r="I42" s="145">
        <v>5.5</v>
      </c>
      <c r="J42" s="145"/>
      <c r="K42" s="145"/>
      <c r="L42" s="145"/>
      <c r="M42" s="145"/>
    </row>
    <row r="43" spans="1:16" ht="15" hidden="1" customHeight="1">
      <c r="A43" s="204"/>
      <c r="B43" s="33">
        <v>41244</v>
      </c>
      <c r="C43" s="133" t="s">
        <v>1</v>
      </c>
      <c r="D43" s="145">
        <v>5</v>
      </c>
      <c r="E43" s="145">
        <v>4.5</v>
      </c>
      <c r="F43" s="145">
        <v>5</v>
      </c>
      <c r="G43" s="145">
        <v>5.4</v>
      </c>
      <c r="H43" s="145">
        <v>5.6</v>
      </c>
      <c r="I43" s="145">
        <v>5.5</v>
      </c>
      <c r="J43" s="145">
        <v>5.5</v>
      </c>
      <c r="K43" s="145"/>
      <c r="L43" s="145"/>
      <c r="M43" s="145"/>
    </row>
    <row r="44" spans="1:16" ht="15" hidden="1" customHeight="1">
      <c r="A44" s="204"/>
      <c r="B44" s="33">
        <v>42217</v>
      </c>
      <c r="C44" s="292" t="s">
        <v>16</v>
      </c>
      <c r="D44" s="293"/>
      <c r="E44" s="146">
        <f t="shared" ref="E44:M46" si="10">(E37-D37)/D37</f>
        <v>-0.12574850299401197</v>
      </c>
      <c r="F44" s="146">
        <f t="shared" si="10"/>
        <v>0.17351598173515978</v>
      </c>
      <c r="G44" s="146">
        <f t="shared" si="10"/>
        <v>-0.26459143968871596</v>
      </c>
      <c r="H44" s="146">
        <f t="shared" si="10"/>
        <v>-0.35978835978835977</v>
      </c>
      <c r="I44" s="146">
        <f t="shared" si="10"/>
        <v>0.33780991735537202</v>
      </c>
      <c r="J44" s="146">
        <f t="shared" si="10"/>
        <v>8.5482625482625418E-2</v>
      </c>
      <c r="K44" s="146">
        <f t="shared" si="10"/>
        <v>1.0172867610443118E-2</v>
      </c>
      <c r="L44" s="146">
        <f t="shared" si="10"/>
        <v>-8.4507042253521084E-2</v>
      </c>
      <c r="M44" s="146">
        <f t="shared" si="10"/>
        <v>-4.6153846153846129E-2</v>
      </c>
    </row>
    <row r="45" spans="1:16" ht="15" hidden="1" customHeight="1">
      <c r="A45" s="204"/>
      <c r="B45" s="33">
        <f>B29</f>
        <v>43435</v>
      </c>
      <c r="C45" s="290" t="s">
        <v>16</v>
      </c>
      <c r="D45" s="291"/>
      <c r="E45" s="147">
        <f t="shared" si="10"/>
        <v>-0.12574850299401197</v>
      </c>
      <c r="F45" s="147">
        <f t="shared" si="10"/>
        <v>0.17351598173515978</v>
      </c>
      <c r="G45" s="147">
        <f t="shared" si="10"/>
        <v>-0.26459143968871596</v>
      </c>
      <c r="H45" s="147">
        <f t="shared" si="10"/>
        <v>-0.35978835978835977</v>
      </c>
      <c r="I45" s="147">
        <f t="shared" si="10"/>
        <v>0.33780991735537202</v>
      </c>
      <c r="J45" s="147">
        <f t="shared" si="10"/>
        <v>8.5482625482625418E-2</v>
      </c>
      <c r="K45" s="147">
        <f t="shared" si="10"/>
        <v>1.0172867610443118E-2</v>
      </c>
      <c r="L45" s="147"/>
      <c r="M45" s="147"/>
    </row>
    <row r="46" spans="1:16" ht="15" hidden="1" customHeight="1">
      <c r="A46" s="204"/>
      <c r="B46" s="33">
        <v>41974</v>
      </c>
      <c r="C46" s="290" t="s">
        <v>16</v>
      </c>
      <c r="D46" s="291"/>
      <c r="E46" s="147">
        <f t="shared" si="10"/>
        <v>-0.12574850299401197</v>
      </c>
      <c r="F46" s="147">
        <f t="shared" si="10"/>
        <v>0.17123287671232876</v>
      </c>
      <c r="G46" s="147">
        <f t="shared" si="10"/>
        <v>-4.4834307992202643E-2</v>
      </c>
      <c r="H46" s="147">
        <f t="shared" si="10"/>
        <v>0</v>
      </c>
      <c r="I46" s="147">
        <f t="shared" si="10"/>
        <v>1.0204081632653024E-2</v>
      </c>
      <c r="J46" s="147">
        <f t="shared" si="10"/>
        <v>3.0303030303030193E-2</v>
      </c>
      <c r="K46" s="147">
        <f t="shared" si="10"/>
        <v>1.9607843137255009E-2</v>
      </c>
      <c r="L46" s="147">
        <f t="shared" si="10"/>
        <v>-1</v>
      </c>
      <c r="M46" s="147" t="e">
        <f t="shared" si="10"/>
        <v>#DIV/0!</v>
      </c>
    </row>
    <row r="47" spans="1:16" ht="15" hidden="1" customHeight="1">
      <c r="A47" s="205"/>
      <c r="B47" s="33">
        <v>41499</v>
      </c>
      <c r="C47" s="292" t="s">
        <v>16</v>
      </c>
      <c r="D47" s="293"/>
      <c r="E47" s="146">
        <f t="shared" ref="E47:J47" si="11">(E41-D41)/D41</f>
        <v>-0.1</v>
      </c>
      <c r="F47" s="146">
        <f t="shared" si="11"/>
        <v>0.1111111111111111</v>
      </c>
      <c r="G47" s="146">
        <f t="shared" si="11"/>
        <v>8.0000000000000071E-2</v>
      </c>
      <c r="H47" s="146">
        <f t="shared" si="11"/>
        <v>1.8518518518518452E-2</v>
      </c>
      <c r="I47" s="146">
        <f t="shared" si="11"/>
        <v>0</v>
      </c>
      <c r="J47" s="146">
        <f t="shared" si="11"/>
        <v>0</v>
      </c>
      <c r="K47" s="146"/>
      <c r="L47" s="146"/>
      <c r="M47" s="146"/>
    </row>
    <row r="48" spans="1:16">
      <c r="A48" s="65"/>
      <c r="B48" s="65"/>
      <c r="C48" s="65"/>
      <c r="D48" s="76"/>
      <c r="E48" s="76"/>
      <c r="F48" s="76"/>
      <c r="G48" s="130"/>
      <c r="H48" s="130"/>
      <c r="I48" s="130"/>
      <c r="J48" s="130"/>
      <c r="K48" s="130"/>
      <c r="L48" s="130"/>
      <c r="M48" s="130"/>
    </row>
    <row r="49" spans="1:16">
      <c r="A49" s="287" t="s">
        <v>19</v>
      </c>
      <c r="B49" s="273">
        <f>B2</f>
        <v>43497</v>
      </c>
      <c r="C49" s="136" t="s">
        <v>2</v>
      </c>
      <c r="D49" s="160"/>
      <c r="E49" s="161"/>
      <c r="F49" s="161"/>
      <c r="G49" s="161"/>
      <c r="H49" s="161"/>
      <c r="I49" s="161">
        <v>1235.7</v>
      </c>
      <c r="J49" s="161">
        <v>1361</v>
      </c>
      <c r="K49" s="161">
        <v>1545</v>
      </c>
      <c r="L49" s="161">
        <v>1607</v>
      </c>
      <c r="M49" s="161">
        <f>L49*(1+M60)</f>
        <v>1638.8217821782177</v>
      </c>
      <c r="N49" s="161">
        <f>M49*(1+N60)</f>
        <v>1654.7326732673266</v>
      </c>
      <c r="O49" s="161">
        <f>N49*(1+O60)</f>
        <v>1670.6435643564355</v>
      </c>
      <c r="P49" s="202"/>
    </row>
    <row r="50" spans="1:16">
      <c r="A50" s="288"/>
      <c r="B50" s="272"/>
      <c r="C50" s="139" t="s">
        <v>0</v>
      </c>
      <c r="D50" s="162"/>
      <c r="E50" s="162"/>
      <c r="F50" s="162"/>
      <c r="G50" s="162"/>
      <c r="H50" s="162"/>
      <c r="I50" s="162"/>
      <c r="J50" s="162">
        <v>1361</v>
      </c>
      <c r="K50" s="162">
        <f>J50*1.135</f>
        <v>1544.7349999999999</v>
      </c>
      <c r="L50" s="162">
        <f>K50*1.099</f>
        <v>1697.6637649999998</v>
      </c>
      <c r="M50" s="162">
        <f>L50*1.084</f>
        <v>1840.26752126</v>
      </c>
      <c r="N50" s="162">
        <f>M50*1.066</f>
        <v>1961.7251776631601</v>
      </c>
      <c r="O50" s="162">
        <f>N50*1.057</f>
        <v>2073.54351278996</v>
      </c>
      <c r="P50" s="198"/>
    </row>
    <row r="51" spans="1:16">
      <c r="A51" s="288"/>
      <c r="B51" s="272"/>
      <c r="C51" s="141" t="s">
        <v>3</v>
      </c>
      <c r="D51" s="163"/>
      <c r="E51" s="163"/>
      <c r="F51" s="163"/>
      <c r="G51" s="163"/>
      <c r="H51" s="163"/>
      <c r="I51" s="163">
        <v>1235.5999999999999</v>
      </c>
      <c r="J51" s="163">
        <v>1361</v>
      </c>
      <c r="K51" s="163">
        <v>1550</v>
      </c>
      <c r="L51" s="163">
        <v>1610</v>
      </c>
      <c r="M51" s="163">
        <v>1640</v>
      </c>
      <c r="N51" s="163">
        <f>M51*1.01</f>
        <v>1656.4</v>
      </c>
      <c r="O51" s="163">
        <f>N51*1.01</f>
        <v>1672.9640000000002</v>
      </c>
      <c r="P51" s="198"/>
    </row>
    <row r="52" spans="1:16">
      <c r="A52" s="288"/>
      <c r="B52" s="272"/>
      <c r="C52" s="143" t="s">
        <v>1</v>
      </c>
      <c r="D52" s="164">
        <v>1227</v>
      </c>
      <c r="E52" s="164">
        <v>1177.5</v>
      </c>
      <c r="F52" s="164">
        <v>1184.7</v>
      </c>
      <c r="G52" s="164">
        <v>1184.8</v>
      </c>
      <c r="H52" s="164">
        <v>1175</v>
      </c>
      <c r="I52" s="164">
        <f>(+AVERAGE(I49:I51))</f>
        <v>1235.6500000000001</v>
      </c>
      <c r="J52" s="206">
        <f t="shared" ref="J52" si="12">AVERAGE(J49:J51)</f>
        <v>1361</v>
      </c>
      <c r="K52" s="211">
        <v>1545</v>
      </c>
      <c r="L52" s="211">
        <v>1610</v>
      </c>
      <c r="M52" s="211">
        <v>1640</v>
      </c>
      <c r="N52" s="211">
        <v>1660</v>
      </c>
      <c r="O52" s="211">
        <v>1675</v>
      </c>
      <c r="P52" s="203"/>
    </row>
    <row r="53" spans="1:16">
      <c r="A53" s="288"/>
      <c r="B53" s="33">
        <f>B38</f>
        <v>43435</v>
      </c>
      <c r="C53" s="133" t="s">
        <v>1</v>
      </c>
      <c r="D53" s="160">
        <f>'Aug18'!D52</f>
        <v>1227</v>
      </c>
      <c r="E53" s="160">
        <f>'Aug18'!E52</f>
        <v>1177.5</v>
      </c>
      <c r="F53" s="160">
        <f>'Aug18'!F52</f>
        <v>1184.7</v>
      </c>
      <c r="G53" s="160">
        <f>'Aug18'!G52</f>
        <v>1184.8</v>
      </c>
      <c r="H53" s="160">
        <f>'Aug18'!H52</f>
        <v>1175</v>
      </c>
      <c r="I53" s="160">
        <f>'Dec18'!I52</f>
        <v>1235.6500000000001</v>
      </c>
      <c r="J53" s="160">
        <f>'Dec18'!J52</f>
        <v>1361</v>
      </c>
      <c r="K53" s="160">
        <f>'Dec18'!K52</f>
        <v>1470</v>
      </c>
      <c r="L53" s="160">
        <f>'Dec18'!L52</f>
        <v>1515</v>
      </c>
      <c r="M53" s="160">
        <f>'Dec18'!M52</f>
        <v>1545</v>
      </c>
      <c r="N53" s="160">
        <f>'Dec18'!N52</f>
        <v>1560</v>
      </c>
      <c r="O53" s="160">
        <f>'Dec18'!O52</f>
        <v>1575</v>
      </c>
      <c r="P53" s="198"/>
    </row>
    <row r="54" spans="1:16" hidden="1">
      <c r="A54" s="288"/>
      <c r="B54" s="33">
        <v>41974</v>
      </c>
      <c r="C54" s="133" t="s">
        <v>1</v>
      </c>
      <c r="D54" s="160">
        <v>1227</v>
      </c>
      <c r="E54" s="160">
        <v>1177.5</v>
      </c>
      <c r="F54" s="160">
        <v>1187.3</v>
      </c>
      <c r="G54" s="160">
        <v>1181</v>
      </c>
      <c r="H54" s="160">
        <v>1150</v>
      </c>
      <c r="I54" s="160">
        <v>1118</v>
      </c>
      <c r="J54" s="160">
        <v>1088</v>
      </c>
      <c r="K54" s="160">
        <v>1052</v>
      </c>
      <c r="L54" s="160"/>
      <c r="M54" s="160"/>
      <c r="N54" s="160"/>
      <c r="O54" s="160"/>
      <c r="P54" s="198"/>
    </row>
    <row r="55" spans="1:16" hidden="1">
      <c r="A55" s="288"/>
      <c r="B55" s="33">
        <v>41852</v>
      </c>
      <c r="C55" s="133" t="s">
        <v>1</v>
      </c>
      <c r="D55" s="160">
        <v>1227</v>
      </c>
      <c r="E55" s="160">
        <v>1177.5</v>
      </c>
      <c r="F55" s="160">
        <v>1170</v>
      </c>
      <c r="G55" s="160">
        <v>1158.3</v>
      </c>
      <c r="H55" s="160">
        <v>1123.5509999999999</v>
      </c>
      <c r="I55" s="160">
        <v>1089.84447</v>
      </c>
      <c r="J55" s="160">
        <v>1057.1491358999999</v>
      </c>
      <c r="K55" s="160">
        <v>1025.4346618229999</v>
      </c>
      <c r="L55" s="160"/>
      <c r="M55" s="160"/>
      <c r="N55" s="160"/>
      <c r="O55" s="160"/>
      <c r="P55" s="198"/>
    </row>
    <row r="56" spans="1:16" hidden="1">
      <c r="A56" s="288"/>
      <c r="B56" s="33">
        <v>41499</v>
      </c>
      <c r="C56" s="133" t="s">
        <v>1</v>
      </c>
      <c r="D56" s="160">
        <v>1225.8499999999999</v>
      </c>
      <c r="E56" s="160">
        <v>1165</v>
      </c>
      <c r="F56" s="160">
        <v>1110</v>
      </c>
      <c r="G56" s="160">
        <v>1070</v>
      </c>
      <c r="H56" s="160">
        <v>1030</v>
      </c>
      <c r="I56" s="160">
        <v>1000</v>
      </c>
      <c r="J56" s="160">
        <v>960</v>
      </c>
      <c r="K56" s="165"/>
      <c r="L56" s="165"/>
      <c r="M56" s="165"/>
      <c r="N56" s="165"/>
      <c r="O56" s="165"/>
      <c r="P56" s="199"/>
    </row>
    <row r="57" spans="1:16" hidden="1">
      <c r="A57" s="288"/>
      <c r="B57" s="33">
        <v>41317</v>
      </c>
      <c r="C57" s="133" t="s">
        <v>1</v>
      </c>
      <c r="D57" s="165">
        <v>1226</v>
      </c>
      <c r="E57" s="165">
        <v>1185</v>
      </c>
      <c r="F57" s="165">
        <v>1151</v>
      </c>
      <c r="G57" s="165">
        <v>1121</v>
      </c>
      <c r="H57" s="165">
        <v>1090.1407234210708</v>
      </c>
      <c r="I57" s="165">
        <v>1048</v>
      </c>
      <c r="J57" s="165"/>
      <c r="K57" s="165"/>
      <c r="L57" s="165"/>
      <c r="M57" s="165"/>
      <c r="N57" s="165"/>
      <c r="O57" s="165"/>
      <c r="P57" s="199"/>
    </row>
    <row r="58" spans="1:16" hidden="1">
      <c r="A58" s="288"/>
      <c r="B58" s="33">
        <v>41244</v>
      </c>
      <c r="C58" s="133" t="s">
        <v>1</v>
      </c>
      <c r="D58" s="165">
        <v>1228.5423506666664</v>
      </c>
      <c r="E58" s="165">
        <v>1184.5870287874238</v>
      </c>
      <c r="F58" s="165">
        <v>1151.3778293463738</v>
      </c>
      <c r="G58" s="165">
        <v>1121.0332793283103</v>
      </c>
      <c r="H58" s="165">
        <v>1090.1407234210708</v>
      </c>
      <c r="I58" s="165">
        <v>1048</v>
      </c>
      <c r="J58" s="165">
        <v>1048</v>
      </c>
      <c r="K58" s="165"/>
      <c r="L58" s="165"/>
      <c r="M58" s="165"/>
      <c r="N58" s="165"/>
      <c r="O58" s="165"/>
      <c r="P58" s="199"/>
    </row>
    <row r="59" spans="1:16">
      <c r="A59" s="288"/>
      <c r="B59" s="33">
        <f>B49</f>
        <v>43497</v>
      </c>
      <c r="C59" s="292" t="s">
        <v>16</v>
      </c>
      <c r="D59" s="293"/>
      <c r="E59" s="167">
        <f t="shared" ref="E59:O61" si="13">(E52-D52)/D52</f>
        <v>-4.0342298288508556E-2</v>
      </c>
      <c r="F59" s="167">
        <f t="shared" si="13"/>
        <v>6.1146496815287013E-3</v>
      </c>
      <c r="G59" s="167">
        <f>(G52-F52)/F52</f>
        <v>8.4409555161567526E-5</v>
      </c>
      <c r="H59" s="167">
        <f t="shared" si="13"/>
        <v>-8.2714382174206239E-3</v>
      </c>
      <c r="I59" s="167">
        <f t="shared" si="13"/>
        <v>5.1617021276595822E-2</v>
      </c>
      <c r="J59" s="167">
        <f t="shared" si="13"/>
        <v>0.10144458382227969</v>
      </c>
      <c r="K59" s="167">
        <f t="shared" si="13"/>
        <v>0.13519470977222631</v>
      </c>
      <c r="L59" s="167">
        <f t="shared" si="13"/>
        <v>4.2071197411003236E-2</v>
      </c>
      <c r="M59" s="167">
        <f t="shared" si="13"/>
        <v>1.8633540372670808E-2</v>
      </c>
      <c r="N59" s="167">
        <f t="shared" si="13"/>
        <v>1.2195121951219513E-2</v>
      </c>
      <c r="O59" s="167">
        <f t="shared" si="13"/>
        <v>9.0361445783132526E-3</v>
      </c>
      <c r="P59" s="193"/>
    </row>
    <row r="60" spans="1:16">
      <c r="A60" s="288"/>
      <c r="B60" s="33">
        <f>B45</f>
        <v>43435</v>
      </c>
      <c r="C60" s="290" t="s">
        <v>16</v>
      </c>
      <c r="D60" s="291"/>
      <c r="E60" s="168">
        <f>(E53-D53)/D53</f>
        <v>-4.0342298288508556E-2</v>
      </c>
      <c r="F60" s="168">
        <f t="shared" si="13"/>
        <v>6.1146496815287013E-3</v>
      </c>
      <c r="G60" s="168">
        <f>(G53-F53)/F53</f>
        <v>8.4409555161567526E-5</v>
      </c>
      <c r="H60" s="168">
        <f t="shared" si="13"/>
        <v>-8.2714382174206239E-3</v>
      </c>
      <c r="I60" s="168">
        <f t="shared" si="13"/>
        <v>5.1617021276595822E-2</v>
      </c>
      <c r="J60" s="168">
        <f t="shared" si="13"/>
        <v>0.10144458382227969</v>
      </c>
      <c r="K60" s="168">
        <f t="shared" si="13"/>
        <v>8.0088170462894931E-2</v>
      </c>
      <c r="L60" s="168">
        <f t="shared" si="13"/>
        <v>3.0612244897959183E-2</v>
      </c>
      <c r="M60" s="168">
        <f t="shared" si="13"/>
        <v>1.9801980198019802E-2</v>
      </c>
      <c r="N60" s="168">
        <f t="shared" si="13"/>
        <v>9.7087378640776691E-3</v>
      </c>
      <c r="O60" s="168">
        <f t="shared" si="13"/>
        <v>9.6153846153846159E-3</v>
      </c>
      <c r="P60" s="194"/>
    </row>
    <row r="61" spans="1:16" hidden="1">
      <c r="A61" s="288"/>
      <c r="B61" s="33">
        <v>41974</v>
      </c>
      <c r="C61" s="290" t="s">
        <v>16</v>
      </c>
      <c r="D61" s="291"/>
      <c r="E61" s="147">
        <f>(E54-D54)/D54</f>
        <v>-4.0342298288508556E-2</v>
      </c>
      <c r="F61" s="147">
        <f t="shared" si="13"/>
        <v>8.3227176220806408E-3</v>
      </c>
      <c r="G61" s="147">
        <f t="shared" si="13"/>
        <v>-5.3061568264128316E-3</v>
      </c>
      <c r="H61" s="147">
        <f t="shared" si="13"/>
        <v>-2.6248941574936496E-2</v>
      </c>
      <c r="I61" s="147">
        <f t="shared" si="13"/>
        <v>-2.782608695652174E-2</v>
      </c>
      <c r="J61" s="147">
        <f t="shared" si="13"/>
        <v>-2.6833631484794274E-2</v>
      </c>
      <c r="K61" s="147">
        <f t="shared" si="13"/>
        <v>-3.3088235294117647E-2</v>
      </c>
      <c r="L61" s="147">
        <f t="shared" si="13"/>
        <v>-1</v>
      </c>
      <c r="M61" s="147" t="e">
        <f t="shared" si="13"/>
        <v>#DIV/0!</v>
      </c>
    </row>
    <row r="62" spans="1:16" hidden="1">
      <c r="A62" s="289"/>
      <c r="B62" s="33">
        <v>41499</v>
      </c>
      <c r="C62" s="292" t="s">
        <v>16</v>
      </c>
      <c r="D62" s="293"/>
      <c r="E62" s="146">
        <f t="shared" ref="E62:J62" si="14">(E56-D56)/D56</f>
        <v>-4.9639025981971625E-2</v>
      </c>
      <c r="F62" s="146">
        <f t="shared" si="14"/>
        <v>-4.7210300429184553E-2</v>
      </c>
      <c r="G62" s="146">
        <f t="shared" si="14"/>
        <v>-3.6036036036036036E-2</v>
      </c>
      <c r="H62" s="146">
        <f t="shared" si="14"/>
        <v>-3.7383177570093455E-2</v>
      </c>
      <c r="I62" s="146">
        <f t="shared" si="14"/>
        <v>-2.9126213592233011E-2</v>
      </c>
      <c r="J62" s="146">
        <f t="shared" si="14"/>
        <v>-0.04</v>
      </c>
      <c r="K62" s="146"/>
      <c r="L62" s="146"/>
      <c r="M62" s="146"/>
    </row>
    <row r="63" spans="1:16">
      <c r="A63" s="108"/>
      <c r="B63" s="13"/>
      <c r="F63" s="112"/>
      <c r="G63" s="112"/>
      <c r="H63" s="112"/>
      <c r="I63" s="112"/>
      <c r="J63" s="112"/>
      <c r="K63" s="112"/>
      <c r="L63" s="112"/>
      <c r="M63" s="112"/>
    </row>
    <row r="64" spans="1:16">
      <c r="A64" s="9"/>
      <c r="B64" s="13"/>
      <c r="E64" s="94"/>
      <c r="F64" s="94"/>
      <c r="G64" s="112"/>
      <c r="H64" s="112"/>
      <c r="I64" s="112"/>
      <c r="J64" s="112"/>
      <c r="K64" s="112"/>
      <c r="L64" s="112"/>
      <c r="M64" s="112"/>
    </row>
    <row r="65" spans="1:13">
      <c r="A65" s="9"/>
      <c r="B65" s="13"/>
      <c r="E65" s="94"/>
      <c r="F65" s="94"/>
      <c r="G65" s="94"/>
      <c r="H65" s="112"/>
      <c r="I65" s="112"/>
      <c r="J65" s="112"/>
      <c r="K65" s="112"/>
      <c r="L65" s="112"/>
      <c r="M65" s="112"/>
    </row>
    <row r="66" spans="1:13">
      <c r="A66" s="9"/>
      <c r="B66" s="13"/>
    </row>
    <row r="67" spans="1:13">
      <c r="A67" s="9"/>
      <c r="B67" s="13"/>
    </row>
    <row r="68" spans="1:13">
      <c r="A68" s="9"/>
      <c r="B68" s="13"/>
    </row>
    <row r="69" spans="1:13">
      <c r="A69" s="9"/>
      <c r="B69" s="13"/>
    </row>
    <row r="70" spans="1:13">
      <c r="A70" s="9"/>
      <c r="B70" s="13"/>
    </row>
    <row r="71" spans="1:13">
      <c r="A71" s="9"/>
      <c r="B71" s="13"/>
    </row>
    <row r="72" spans="1:13">
      <c r="A72" s="9"/>
      <c r="B72" s="13"/>
    </row>
    <row r="73" spans="1:13">
      <c r="A73" s="9"/>
      <c r="B73" s="13"/>
    </row>
  </sheetData>
  <mergeCells count="25">
    <mergeCell ref="A49:A62"/>
    <mergeCell ref="B49:B52"/>
    <mergeCell ref="C59:D59"/>
    <mergeCell ref="C60:D60"/>
    <mergeCell ref="C61:D61"/>
    <mergeCell ref="C62:D62"/>
    <mergeCell ref="C47:D47"/>
    <mergeCell ref="A18:A31"/>
    <mergeCell ref="B18:B21"/>
    <mergeCell ref="C28:D28"/>
    <mergeCell ref="C29:D29"/>
    <mergeCell ref="C30:D30"/>
    <mergeCell ref="C31:D31"/>
    <mergeCell ref="A33:A38"/>
    <mergeCell ref="B33:B37"/>
    <mergeCell ref="C44:D44"/>
    <mergeCell ref="C45:D45"/>
    <mergeCell ref="C46:D46"/>
    <mergeCell ref="A2:A16"/>
    <mergeCell ref="B2:B6"/>
    <mergeCell ref="B7:B11"/>
    <mergeCell ref="C13:D13"/>
    <mergeCell ref="C14:D14"/>
    <mergeCell ref="C15:D15"/>
    <mergeCell ref="C16:D16"/>
  </mergeCells>
  <pageMargins left="0.5" right="0.17" top="0.63" bottom="0.75" header="0.3" footer="0.3"/>
  <pageSetup orientation="landscape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pageSetUpPr fitToPage="1"/>
  </sheetPr>
  <dimension ref="A1:R73"/>
  <sheetViews>
    <sheetView zoomScale="175" zoomScaleNormal="175" workbookViewId="0">
      <pane xSplit="3" ySplit="1" topLeftCell="D2" activePane="bottomRight" state="frozen"/>
      <selection activeCell="I6" sqref="I6"/>
      <selection pane="topRight" activeCell="I6" sqref="I6"/>
      <selection pane="bottomLeft" activeCell="I6" sqref="I6"/>
      <selection pane="bottomRight" activeCell="I6" sqref="I6"/>
    </sheetView>
  </sheetViews>
  <sheetFormatPr defaultColWidth="9.28515625" defaultRowHeight="15"/>
  <cols>
    <col min="1" max="1" width="9.42578125" customWidth="1"/>
    <col min="2" max="2" width="7.5703125" bestFit="1" customWidth="1"/>
    <col min="3" max="3" width="12.42578125" customWidth="1"/>
    <col min="4" max="9" width="7.5703125" hidden="1" customWidth="1"/>
    <col min="10" max="10" width="9" hidden="1" customWidth="1"/>
    <col min="11" max="15" width="9" customWidth="1"/>
  </cols>
  <sheetData>
    <row r="1" spans="1:18" ht="34.5" customHeight="1">
      <c r="A1" s="8"/>
      <c r="B1" s="11"/>
      <c r="C1" s="133"/>
      <c r="D1" s="132" t="s">
        <v>17</v>
      </c>
      <c r="E1" s="132" t="s">
        <v>25</v>
      </c>
      <c r="F1" s="132" t="s">
        <v>73</v>
      </c>
      <c r="G1" s="132" t="s">
        <v>74</v>
      </c>
      <c r="H1" s="132" t="s">
        <v>75</v>
      </c>
      <c r="I1" s="132" t="s">
        <v>77</v>
      </c>
      <c r="J1" s="132" t="s">
        <v>81</v>
      </c>
      <c r="K1" s="132" t="s">
        <v>24</v>
      </c>
      <c r="L1" s="132" t="s">
        <v>27</v>
      </c>
      <c r="M1" s="132" t="s">
        <v>57</v>
      </c>
      <c r="N1" s="132" t="s">
        <v>76</v>
      </c>
      <c r="O1" s="132" t="s">
        <v>80</v>
      </c>
      <c r="P1" s="132" t="s">
        <v>82</v>
      </c>
    </row>
    <row r="2" spans="1:18">
      <c r="A2" s="284" t="s">
        <v>10</v>
      </c>
      <c r="B2" s="273">
        <v>43678</v>
      </c>
      <c r="C2" s="134" t="s">
        <v>4</v>
      </c>
      <c r="D2" s="135"/>
      <c r="E2" s="135"/>
      <c r="F2" s="135"/>
      <c r="G2" s="135"/>
      <c r="H2" s="135"/>
      <c r="I2" s="135">
        <v>44.74</v>
      </c>
      <c r="J2" s="135"/>
      <c r="K2" s="135">
        <v>51.83</v>
      </c>
      <c r="L2" s="135">
        <v>52.43</v>
      </c>
      <c r="M2" s="135">
        <v>50.57</v>
      </c>
      <c r="N2" s="135">
        <v>50.93</v>
      </c>
      <c r="O2" s="135">
        <v>52.66</v>
      </c>
      <c r="P2" s="135">
        <v>54.41</v>
      </c>
    </row>
    <row r="3" spans="1:18">
      <c r="A3" s="285"/>
      <c r="B3" s="272"/>
      <c r="C3" s="136" t="s">
        <v>2</v>
      </c>
      <c r="D3" s="137"/>
      <c r="E3" s="138"/>
      <c r="F3" s="138"/>
      <c r="G3" s="138"/>
      <c r="H3" s="138"/>
      <c r="I3" s="138">
        <v>44.76</v>
      </c>
      <c r="J3" s="138"/>
      <c r="K3" s="138">
        <v>51.81</v>
      </c>
      <c r="L3" s="138">
        <v>53.73</v>
      </c>
      <c r="M3" s="138">
        <v>52.26</v>
      </c>
      <c r="N3" s="138">
        <v>52.36</v>
      </c>
      <c r="O3" s="138">
        <v>54.13</v>
      </c>
      <c r="P3" s="138">
        <v>55.96</v>
      </c>
    </row>
    <row r="4" spans="1:18">
      <c r="A4" s="285"/>
      <c r="B4" s="272"/>
      <c r="C4" s="139" t="s">
        <v>0</v>
      </c>
      <c r="D4" s="140"/>
      <c r="E4" s="140"/>
      <c r="F4" s="140"/>
      <c r="G4" s="140"/>
      <c r="H4" s="140"/>
      <c r="I4" s="140">
        <v>44.75</v>
      </c>
      <c r="J4" s="140"/>
      <c r="K4" s="140">
        <v>51.82</v>
      </c>
      <c r="L4" s="140">
        <v>54.2</v>
      </c>
      <c r="M4" s="140">
        <v>54.78</v>
      </c>
      <c r="N4" s="140">
        <v>55.51</v>
      </c>
      <c r="O4" s="140">
        <v>56.74</v>
      </c>
      <c r="P4" s="140">
        <v>58.31</v>
      </c>
    </row>
    <row r="5" spans="1:18">
      <c r="A5" s="285"/>
      <c r="B5" s="272"/>
      <c r="C5" s="141" t="s">
        <v>3</v>
      </c>
      <c r="D5" s="142"/>
      <c r="E5" s="142"/>
      <c r="F5" s="142"/>
      <c r="G5" s="142"/>
      <c r="H5" s="142"/>
      <c r="I5" s="142">
        <v>44.39</v>
      </c>
      <c r="J5" s="142"/>
      <c r="K5" s="142">
        <v>52.06</v>
      </c>
      <c r="L5" s="142">
        <v>51.13</v>
      </c>
      <c r="M5" s="142">
        <v>51.65</v>
      </c>
      <c r="N5" s="142">
        <v>52.87</v>
      </c>
      <c r="O5" s="142">
        <v>54.99</v>
      </c>
      <c r="P5" s="142">
        <v>57.09</v>
      </c>
    </row>
    <row r="6" spans="1:18">
      <c r="A6" s="285"/>
      <c r="B6" s="272"/>
      <c r="C6" s="143" t="s">
        <v>1</v>
      </c>
      <c r="D6" s="144">
        <v>89.65</v>
      </c>
      <c r="E6" s="144">
        <v>85.82</v>
      </c>
      <c r="F6" s="144">
        <v>95.13</v>
      </c>
      <c r="G6" s="144">
        <v>60.67</v>
      </c>
      <c r="H6" s="144">
        <v>37.85</v>
      </c>
      <c r="I6" s="144">
        <f t="shared" ref="I6" si="0">+AVERAGE(I2:I5)</f>
        <v>44.66</v>
      </c>
      <c r="J6" s="144">
        <v>55.05</v>
      </c>
      <c r="K6" s="212">
        <v>51.8</v>
      </c>
      <c r="L6" s="212">
        <v>52.5</v>
      </c>
      <c r="M6" s="212">
        <v>52</v>
      </c>
      <c r="N6" s="212">
        <v>52</v>
      </c>
      <c r="O6" s="212">
        <v>54</v>
      </c>
      <c r="P6" s="212">
        <v>55.5</v>
      </c>
      <c r="Q6" t="s">
        <v>83</v>
      </c>
      <c r="R6" s="93"/>
    </row>
    <row r="7" spans="1:18">
      <c r="A7" s="285"/>
      <c r="B7" s="273">
        <v>43435</v>
      </c>
      <c r="C7" s="133" t="s">
        <v>1</v>
      </c>
      <c r="D7" s="138">
        <f>'Aug18'!D6</f>
        <v>89.65</v>
      </c>
      <c r="E7" s="138">
        <f>'Aug18'!E6</f>
        <v>85.82</v>
      </c>
      <c r="F7" s="138">
        <f>'Aug18'!F6</f>
        <v>95.13</v>
      </c>
      <c r="G7" s="138">
        <f>'Aug18'!G6</f>
        <v>60.67</v>
      </c>
      <c r="H7" s="138">
        <f>'Aug18'!H6</f>
        <v>37.85</v>
      </c>
      <c r="I7" s="138">
        <f>'Dec18'!I6</f>
        <v>44.66</v>
      </c>
      <c r="J7" s="138">
        <f>'Dec18'!J6</f>
        <v>55.05</v>
      </c>
      <c r="K7" s="138">
        <f>'Dec18'!K6</f>
        <v>49.5</v>
      </c>
      <c r="L7" s="138">
        <f>'Dec18'!L6</f>
        <v>52</v>
      </c>
      <c r="M7" s="138">
        <f>'Dec18'!M6</f>
        <v>53</v>
      </c>
      <c r="N7" s="138">
        <f>'Dec18'!N6</f>
        <v>54</v>
      </c>
      <c r="O7" s="138">
        <f>'Dec18'!O6</f>
        <v>54.5</v>
      </c>
      <c r="P7" s="138">
        <f>'Dec18'!P6</f>
        <v>0</v>
      </c>
      <c r="R7" s="93"/>
    </row>
    <row r="8" spans="1:18" hidden="1">
      <c r="A8" s="285"/>
      <c r="B8" s="272"/>
      <c r="C8" s="133" t="s">
        <v>1</v>
      </c>
      <c r="D8" s="138">
        <v>89.65</v>
      </c>
      <c r="E8" s="138">
        <v>85.82</v>
      </c>
      <c r="F8" s="138">
        <v>95.14</v>
      </c>
      <c r="G8" s="138">
        <v>71</v>
      </c>
      <c r="H8" s="138">
        <v>66</v>
      </c>
      <c r="I8" s="138">
        <v>72</v>
      </c>
      <c r="J8" s="138">
        <v>76</v>
      </c>
      <c r="K8" s="138">
        <v>80</v>
      </c>
      <c r="L8" s="138"/>
      <c r="M8" s="138"/>
    </row>
    <row r="9" spans="1:18" hidden="1">
      <c r="A9" s="285"/>
      <c r="B9" s="272"/>
      <c r="C9" s="133" t="s">
        <v>1</v>
      </c>
      <c r="D9" s="138">
        <v>89.65</v>
      </c>
      <c r="E9" s="138">
        <v>85.82</v>
      </c>
      <c r="F9" s="138">
        <v>95.75</v>
      </c>
      <c r="G9" s="138">
        <v>92</v>
      </c>
      <c r="H9" s="138">
        <v>88</v>
      </c>
      <c r="I9" s="138">
        <v>87</v>
      </c>
      <c r="J9" s="138">
        <v>86</v>
      </c>
      <c r="K9" s="138">
        <v>85</v>
      </c>
      <c r="L9" s="138"/>
      <c r="M9" s="138"/>
    </row>
    <row r="10" spans="1:18" hidden="1">
      <c r="A10" s="285"/>
      <c r="B10" s="272"/>
      <c r="C10" s="133" t="s">
        <v>1</v>
      </c>
      <c r="D10" s="138">
        <v>90</v>
      </c>
      <c r="E10" s="138">
        <v>87</v>
      </c>
      <c r="F10" s="138">
        <v>94</v>
      </c>
      <c r="G10" s="138">
        <v>87.5</v>
      </c>
      <c r="H10" s="138">
        <v>85</v>
      </c>
      <c r="I10" s="138">
        <v>84</v>
      </c>
      <c r="J10" s="138">
        <v>84</v>
      </c>
      <c r="K10" s="138"/>
      <c r="L10" s="138"/>
      <c r="M10" s="138"/>
    </row>
    <row r="11" spans="1:18" hidden="1">
      <c r="A11" s="285"/>
      <c r="B11" s="272"/>
      <c r="C11" s="133" t="s">
        <v>1</v>
      </c>
      <c r="D11" s="145">
        <v>90</v>
      </c>
      <c r="E11" s="145">
        <v>86.5</v>
      </c>
      <c r="F11" s="145">
        <v>88</v>
      </c>
      <c r="G11" s="145">
        <v>87.5</v>
      </c>
      <c r="H11" s="145">
        <v>87</v>
      </c>
      <c r="I11" s="145">
        <v>86.5</v>
      </c>
      <c r="J11" s="145"/>
      <c r="K11" s="145"/>
      <c r="L11" s="145"/>
      <c r="M11" s="145"/>
    </row>
    <row r="12" spans="1:18" hidden="1">
      <c r="A12" s="285"/>
      <c r="B12" s="33">
        <v>41244</v>
      </c>
      <c r="C12" s="133" t="s">
        <v>1</v>
      </c>
      <c r="D12" s="145">
        <v>89.640506965377526</v>
      </c>
      <c r="E12" s="145">
        <v>85</v>
      </c>
      <c r="F12" s="145">
        <v>84.75</v>
      </c>
      <c r="G12" s="145">
        <v>83.5</v>
      </c>
      <c r="H12" s="145">
        <v>82.5</v>
      </c>
      <c r="I12" s="145">
        <v>83</v>
      </c>
      <c r="J12" s="145">
        <v>83</v>
      </c>
      <c r="K12" s="145"/>
      <c r="L12" s="145"/>
      <c r="M12" s="145"/>
    </row>
    <row r="13" spans="1:18" hidden="1">
      <c r="A13" s="285"/>
      <c r="B13" s="33">
        <v>42217</v>
      </c>
      <c r="C13" s="292" t="s">
        <v>16</v>
      </c>
      <c r="D13" s="293"/>
      <c r="E13" s="146">
        <f t="shared" ref="E13:M13" si="1">+E6/D6-1</f>
        <v>-4.2721695482431765E-2</v>
      </c>
      <c r="F13" s="146">
        <f>+F6/E6-1</f>
        <v>0.10848287112561183</v>
      </c>
      <c r="G13" s="166">
        <f>+G6/F6-1</f>
        <v>-0.36224114369809735</v>
      </c>
      <c r="H13" s="146">
        <f t="shared" si="1"/>
        <v>-0.37613317949563208</v>
      </c>
      <c r="I13" s="146">
        <f t="shared" si="1"/>
        <v>0.17992073976221912</v>
      </c>
      <c r="J13" s="146">
        <f t="shared" si="1"/>
        <v>0.23264666368114639</v>
      </c>
      <c r="K13" s="146">
        <f t="shared" si="1"/>
        <v>-5.9037238873751119E-2</v>
      </c>
      <c r="L13" s="146">
        <f t="shared" si="1"/>
        <v>1.3513513513513598E-2</v>
      </c>
      <c r="M13" s="146">
        <f t="shared" si="1"/>
        <v>-9.52380952380949E-3</v>
      </c>
    </row>
    <row r="14" spans="1:18" hidden="1">
      <c r="A14" s="285"/>
      <c r="B14" s="33">
        <v>42031</v>
      </c>
      <c r="C14" s="290" t="s">
        <v>16</v>
      </c>
      <c r="D14" s="291"/>
      <c r="E14" s="147">
        <f t="shared" ref="E14:K15" si="2">(E7-D7)/D7</f>
        <v>-4.2721695482431814E-2</v>
      </c>
      <c r="F14" s="147">
        <f t="shared" si="2"/>
        <v>0.10848287112561178</v>
      </c>
      <c r="G14" s="147">
        <f t="shared" si="2"/>
        <v>-0.36224114369809729</v>
      </c>
      <c r="H14" s="147">
        <f t="shared" si="2"/>
        <v>-0.37613317949563208</v>
      </c>
      <c r="I14" s="147">
        <f t="shared" si="2"/>
        <v>0.17992073976221915</v>
      </c>
      <c r="J14" s="147">
        <f t="shared" si="2"/>
        <v>0.23264666368114648</v>
      </c>
      <c r="K14" s="147">
        <f t="shared" si="2"/>
        <v>-0.10081743869209804</v>
      </c>
      <c r="L14" s="147"/>
      <c r="M14" s="147"/>
    </row>
    <row r="15" spans="1:18" hidden="1">
      <c r="A15" s="285"/>
      <c r="B15" s="33">
        <v>41974</v>
      </c>
      <c r="C15" s="290" t="s">
        <v>16</v>
      </c>
      <c r="D15" s="291"/>
      <c r="E15" s="147">
        <f t="shared" si="2"/>
        <v>-4.2721695482431814E-2</v>
      </c>
      <c r="F15" s="147">
        <f t="shared" si="2"/>
        <v>0.10859939408063397</v>
      </c>
      <c r="G15" s="147">
        <f t="shared" si="2"/>
        <v>-0.2537313432835821</v>
      </c>
      <c r="H15" s="147">
        <f t="shared" si="2"/>
        <v>-7.0422535211267609E-2</v>
      </c>
      <c r="I15" s="147">
        <f t="shared" si="2"/>
        <v>9.0909090909090912E-2</v>
      </c>
      <c r="J15" s="147">
        <f t="shared" si="2"/>
        <v>5.5555555555555552E-2</v>
      </c>
      <c r="K15" s="147"/>
      <c r="L15" s="147"/>
      <c r="M15" s="147"/>
    </row>
    <row r="16" spans="1:18" hidden="1">
      <c r="A16" s="286"/>
      <c r="B16" s="33">
        <v>41499</v>
      </c>
      <c r="C16" s="292" t="s">
        <v>16</v>
      </c>
      <c r="D16" s="293"/>
      <c r="E16" s="146">
        <f t="shared" ref="E16:J16" si="3">(E10-D10)/D10</f>
        <v>-3.3333333333333333E-2</v>
      </c>
      <c r="F16" s="146">
        <f t="shared" si="3"/>
        <v>8.0459770114942528E-2</v>
      </c>
      <c r="G16" s="146">
        <f t="shared" si="3"/>
        <v>-6.9148936170212769E-2</v>
      </c>
      <c r="H16" s="146">
        <f t="shared" si="3"/>
        <v>-2.8571428571428571E-2</v>
      </c>
      <c r="I16" s="146">
        <f t="shared" si="3"/>
        <v>-1.1764705882352941E-2</v>
      </c>
      <c r="J16" s="146">
        <f t="shared" si="3"/>
        <v>0</v>
      </c>
      <c r="K16" s="146"/>
      <c r="L16" s="146"/>
      <c r="M16" s="146"/>
    </row>
    <row r="17" spans="1:17">
      <c r="A17" s="65"/>
      <c r="B17" s="65"/>
      <c r="C17" s="65"/>
      <c r="D17" s="65"/>
      <c r="E17" s="65"/>
      <c r="F17" s="65"/>
      <c r="G17" s="126"/>
      <c r="H17" s="128"/>
      <c r="I17" s="128"/>
      <c r="J17" s="128"/>
      <c r="K17" s="128"/>
      <c r="L17" s="128"/>
      <c r="M17" s="128"/>
    </row>
    <row r="18" spans="1:17">
      <c r="A18" s="281" t="s">
        <v>12</v>
      </c>
      <c r="B18" s="273">
        <f>B2</f>
        <v>43678</v>
      </c>
      <c r="C18" s="136" t="s">
        <v>2</v>
      </c>
      <c r="D18" s="148"/>
      <c r="E18" s="148"/>
      <c r="F18" s="148"/>
      <c r="G18" s="148"/>
      <c r="H18" s="148"/>
      <c r="I18" s="148">
        <v>155.96</v>
      </c>
      <c r="J18" s="148"/>
      <c r="K18" s="148">
        <v>300.49</v>
      </c>
      <c r="L18" s="148">
        <v>366.86</v>
      </c>
      <c r="M18" s="148">
        <v>423.78</v>
      </c>
      <c r="N18" s="148">
        <v>457.7</v>
      </c>
      <c r="O18" s="148">
        <v>494.3</v>
      </c>
      <c r="P18" s="148">
        <v>533.79999999999995</v>
      </c>
    </row>
    <row r="19" spans="1:17">
      <c r="A19" s="281"/>
      <c r="B19" s="272"/>
      <c r="C19" s="139" t="s">
        <v>0</v>
      </c>
      <c r="D19" s="149"/>
      <c r="E19" s="149"/>
      <c r="F19" s="149"/>
      <c r="G19" s="149"/>
      <c r="H19" s="149"/>
      <c r="I19" s="149"/>
      <c r="J19" s="149"/>
      <c r="K19" s="149">
        <v>296.61</v>
      </c>
      <c r="L19" s="149">
        <v>347.2</v>
      </c>
      <c r="M19" s="149">
        <v>377.61</v>
      </c>
      <c r="N19" s="149">
        <v>424.78</v>
      </c>
      <c r="O19" s="149">
        <v>466.19</v>
      </c>
      <c r="P19" s="149">
        <v>509.77</v>
      </c>
    </row>
    <row r="20" spans="1:17">
      <c r="A20" s="281"/>
      <c r="B20" s="272"/>
      <c r="C20" s="141" t="s">
        <v>3</v>
      </c>
      <c r="D20" s="151"/>
      <c r="E20" s="151"/>
      <c r="F20" s="151"/>
      <c r="G20" s="151"/>
      <c r="H20" s="151"/>
      <c r="I20" s="151">
        <v>155.9</v>
      </c>
      <c r="J20" s="151"/>
      <c r="K20" s="151">
        <v>297.2</v>
      </c>
      <c r="L20" s="151">
        <v>354.8</v>
      </c>
      <c r="M20" s="151">
        <v>397.4</v>
      </c>
      <c r="N20" s="151">
        <v>432.3</v>
      </c>
      <c r="O20" s="151">
        <v>464.5</v>
      </c>
      <c r="P20" s="151">
        <v>494.9</v>
      </c>
    </row>
    <row r="21" spans="1:17">
      <c r="A21" s="281"/>
      <c r="B21" s="272"/>
      <c r="C21" s="143" t="s">
        <v>1</v>
      </c>
      <c r="D21" s="152">
        <v>80.3</v>
      </c>
      <c r="E21" s="152">
        <v>96.4</v>
      </c>
      <c r="F21" s="153">
        <v>113.9</v>
      </c>
      <c r="G21" s="153">
        <v>141.4</v>
      </c>
      <c r="H21" s="153">
        <v>146.69999999999999</v>
      </c>
      <c r="I21" s="153">
        <v>153</v>
      </c>
      <c r="J21" s="206">
        <f>J22</f>
        <v>204.40600000000003</v>
      </c>
      <c r="K21" s="209">
        <f t="shared" ref="K21:P21" si="4">AVERAGE(K18:K20)</f>
        <v>298.09999999999997</v>
      </c>
      <c r="L21" s="209">
        <f t="shared" si="4"/>
        <v>356.28666666666663</v>
      </c>
      <c r="M21" s="209">
        <f t="shared" si="4"/>
        <v>399.59666666666664</v>
      </c>
      <c r="N21" s="209">
        <f t="shared" si="4"/>
        <v>438.26</v>
      </c>
      <c r="O21" s="209">
        <f t="shared" si="4"/>
        <v>474.99666666666667</v>
      </c>
      <c r="P21" s="209">
        <f t="shared" si="4"/>
        <v>512.82333333333327</v>
      </c>
      <c r="Q21" t="s">
        <v>83</v>
      </c>
    </row>
    <row r="22" spans="1:17">
      <c r="A22" s="281"/>
      <c r="B22" s="33">
        <f>B7</f>
        <v>43435</v>
      </c>
      <c r="C22" s="133" t="s">
        <v>1</v>
      </c>
      <c r="D22" s="154">
        <f>'Aug18'!D21</f>
        <v>80.3</v>
      </c>
      <c r="E22" s="154">
        <f>'Aug18'!E21</f>
        <v>96.4</v>
      </c>
      <c r="F22" s="154">
        <f>'Aug18'!F21</f>
        <v>113.9</v>
      </c>
      <c r="G22" s="154">
        <f>'Aug18'!G21</f>
        <v>141.4</v>
      </c>
      <c r="H22" s="154">
        <f>'Aug18'!H21</f>
        <v>146.69999999999999</v>
      </c>
      <c r="I22" s="154">
        <f>'Dec18'!I21</f>
        <v>153</v>
      </c>
      <c r="J22" s="154">
        <f>'Dec18'!J21</f>
        <v>204.40600000000003</v>
      </c>
      <c r="K22" s="154">
        <f>'Dec18'!K21</f>
        <v>250</v>
      </c>
      <c r="L22" s="154">
        <f>'Dec18'!L21</f>
        <v>270</v>
      </c>
      <c r="M22" s="154">
        <f>'Dec18'!M21</f>
        <v>285</v>
      </c>
      <c r="N22" s="154">
        <f>'Dec18'!N21</f>
        <v>295</v>
      </c>
      <c r="O22" s="154">
        <f>'Dec18'!O21</f>
        <v>305</v>
      </c>
      <c r="P22" s="154">
        <f>'Dec18'!P21</f>
        <v>0</v>
      </c>
    </row>
    <row r="23" spans="1:17" hidden="1">
      <c r="A23" s="281"/>
      <c r="B23" s="33">
        <v>41974</v>
      </c>
      <c r="C23" s="133" t="s">
        <v>1</v>
      </c>
      <c r="D23" s="154">
        <v>80.3</v>
      </c>
      <c r="E23" s="154">
        <v>96.4</v>
      </c>
      <c r="F23" s="154">
        <v>113.4</v>
      </c>
      <c r="G23" s="154">
        <v>122</v>
      </c>
      <c r="H23" s="154">
        <v>127</v>
      </c>
      <c r="I23" s="154">
        <v>131</v>
      </c>
      <c r="J23" s="154">
        <v>133</v>
      </c>
      <c r="K23" s="154">
        <v>135</v>
      </c>
      <c r="L23" s="154"/>
      <c r="M23" s="154"/>
      <c r="N23" s="154"/>
      <c r="O23" s="154"/>
      <c r="P23" s="154"/>
    </row>
    <row r="24" spans="1:17" hidden="1">
      <c r="A24" s="281"/>
      <c r="B24" s="33">
        <v>41852</v>
      </c>
      <c r="C24" s="133" t="s">
        <v>1</v>
      </c>
      <c r="D24" s="154">
        <v>80.3</v>
      </c>
      <c r="E24" s="154">
        <v>96.4</v>
      </c>
      <c r="F24" s="154">
        <v>110</v>
      </c>
      <c r="G24" s="154">
        <v>117</v>
      </c>
      <c r="H24" s="154">
        <v>122</v>
      </c>
      <c r="I24" s="154">
        <v>125</v>
      </c>
      <c r="J24" s="154">
        <v>127</v>
      </c>
      <c r="K24" s="154">
        <v>129</v>
      </c>
      <c r="L24" s="154"/>
      <c r="M24" s="154"/>
      <c r="N24" s="154"/>
      <c r="O24" s="154"/>
      <c r="P24" s="154"/>
    </row>
    <row r="25" spans="1:17" hidden="1">
      <c r="A25" s="281"/>
      <c r="B25" s="33">
        <v>41499</v>
      </c>
      <c r="C25" s="133" t="s">
        <v>1</v>
      </c>
      <c r="D25" s="154">
        <v>80.069999999999993</v>
      </c>
      <c r="E25" s="154">
        <v>90</v>
      </c>
      <c r="F25" s="154">
        <v>93</v>
      </c>
      <c r="G25" s="154">
        <v>97</v>
      </c>
      <c r="H25" s="154">
        <v>100</v>
      </c>
      <c r="I25" s="154">
        <v>101</v>
      </c>
      <c r="J25" s="154">
        <v>102</v>
      </c>
      <c r="K25" s="154"/>
      <c r="L25" s="154"/>
      <c r="M25" s="154"/>
      <c r="N25" s="154"/>
      <c r="O25" s="154"/>
      <c r="P25" s="154"/>
    </row>
    <row r="26" spans="1:17" hidden="1">
      <c r="A26" s="281"/>
      <c r="B26" s="33">
        <v>41317</v>
      </c>
      <c r="C26" s="133" t="s">
        <v>1</v>
      </c>
      <c r="D26" s="155">
        <v>80.099999999999994</v>
      </c>
      <c r="E26" s="155">
        <v>87</v>
      </c>
      <c r="F26" s="155">
        <v>91.4</v>
      </c>
      <c r="G26" s="155">
        <v>94.1</v>
      </c>
      <c r="H26" s="155">
        <v>96</v>
      </c>
      <c r="I26" s="155">
        <v>97.9</v>
      </c>
      <c r="J26" s="155"/>
      <c r="K26" s="155"/>
      <c r="L26" s="155"/>
      <c r="M26" s="155"/>
      <c r="N26" s="155"/>
      <c r="O26" s="155"/>
      <c r="P26" s="155"/>
    </row>
    <row r="27" spans="1:17" hidden="1">
      <c r="A27" s="281"/>
      <c r="B27" s="33">
        <v>41244</v>
      </c>
      <c r="C27" s="133" t="s">
        <v>1</v>
      </c>
      <c r="D27" s="155">
        <v>79.7</v>
      </c>
      <c r="E27" s="155">
        <v>84.119744824999998</v>
      </c>
      <c r="F27" s="155">
        <v>88.406534618000009</v>
      </c>
      <c r="G27" s="155">
        <v>92.434230656539995</v>
      </c>
      <c r="H27" s="155">
        <v>96.132415269670815</v>
      </c>
      <c r="I27" s="155">
        <v>97.6</v>
      </c>
      <c r="J27" s="155">
        <v>97.6</v>
      </c>
      <c r="K27" s="155"/>
      <c r="L27" s="155"/>
      <c r="M27" s="155"/>
      <c r="N27" s="155"/>
      <c r="O27" s="155"/>
      <c r="P27" s="155"/>
    </row>
    <row r="28" spans="1:17">
      <c r="A28" s="281"/>
      <c r="B28" s="33">
        <f>B18</f>
        <v>43678</v>
      </c>
      <c r="C28" s="292" t="s">
        <v>16</v>
      </c>
      <c r="D28" s="293"/>
      <c r="E28" s="167">
        <f t="shared" ref="E28:P29" si="5">(E21-D21)/D21</f>
        <v>0.20049813200498143</v>
      </c>
      <c r="F28" s="167">
        <f>(F21-E21)/E21</f>
        <v>0.18153526970954356</v>
      </c>
      <c r="G28" s="167">
        <f t="shared" si="5"/>
        <v>0.24143985952589991</v>
      </c>
      <c r="H28" s="167">
        <f t="shared" si="5"/>
        <v>3.7482319660537361E-2</v>
      </c>
      <c r="I28" s="167">
        <f>(I21-H21)/H21</f>
        <v>4.2944785276073698E-2</v>
      </c>
      <c r="J28" s="167">
        <f>(J21-I21)/I21</f>
        <v>0.33598692810457537</v>
      </c>
      <c r="K28" s="167">
        <f t="shared" si="5"/>
        <v>0.45837206344236431</v>
      </c>
      <c r="L28" s="167">
        <f>(L21-K21)/K21</f>
        <v>0.19519177009951921</v>
      </c>
      <c r="M28" s="167">
        <f>(M21-L21)/L21</f>
        <v>0.1215594184458208</v>
      </c>
      <c r="N28" s="167">
        <f>(N21-M21)/M21</f>
        <v>9.6755895527990785E-2</v>
      </c>
      <c r="O28" s="167">
        <f>(O21-N21)/N21</f>
        <v>8.3823909703524574E-2</v>
      </c>
      <c r="P28" s="167">
        <f>(P21-O21)/O21</f>
        <v>7.963564656594066E-2</v>
      </c>
    </row>
    <row r="29" spans="1:17">
      <c r="A29" s="281"/>
      <c r="B29" s="33">
        <f>B7</f>
        <v>43435</v>
      </c>
      <c r="C29" s="290" t="s">
        <v>16</v>
      </c>
      <c r="D29" s="291"/>
      <c r="E29" s="168">
        <f>(E22-D22)/D22</f>
        <v>0.20049813200498143</v>
      </c>
      <c r="F29" s="168">
        <f t="shared" ref="F29:P30" si="6">(F22-E22)/E22</f>
        <v>0.18153526970954356</v>
      </c>
      <c r="G29" s="168">
        <f>(G22-F22)/F22</f>
        <v>0.24143985952589991</v>
      </c>
      <c r="H29" s="168">
        <f t="shared" si="5"/>
        <v>3.7482319660537361E-2</v>
      </c>
      <c r="I29" s="168">
        <f>(I22-H22)/H22</f>
        <v>4.2944785276073698E-2</v>
      </c>
      <c r="J29" s="168">
        <f t="shared" si="5"/>
        <v>0.33598692810457537</v>
      </c>
      <c r="K29" s="168">
        <f>(K22-J22)/J22</f>
        <v>0.22305607467491148</v>
      </c>
      <c r="L29" s="168">
        <f t="shared" si="5"/>
        <v>0.08</v>
      </c>
      <c r="M29" s="168">
        <f t="shared" si="5"/>
        <v>5.5555555555555552E-2</v>
      </c>
      <c r="N29" s="168">
        <f t="shared" si="5"/>
        <v>3.5087719298245612E-2</v>
      </c>
      <c r="O29" s="168">
        <f t="shared" si="5"/>
        <v>3.3898305084745763E-2</v>
      </c>
      <c r="P29" s="168">
        <f t="shared" si="5"/>
        <v>-1</v>
      </c>
    </row>
    <row r="30" spans="1:17" hidden="1">
      <c r="A30" s="281"/>
      <c r="B30" s="33">
        <v>41974</v>
      </c>
      <c r="C30" s="290" t="s">
        <v>16</v>
      </c>
      <c r="D30" s="291"/>
      <c r="E30" s="147">
        <f>(E23-D23)/D23</f>
        <v>0.20049813200498143</v>
      </c>
      <c r="F30" s="147">
        <f t="shared" si="6"/>
        <v>0.17634854771784231</v>
      </c>
      <c r="G30" s="147">
        <f t="shared" si="6"/>
        <v>7.5837742504409111E-2</v>
      </c>
      <c r="H30" s="147">
        <f t="shared" si="6"/>
        <v>4.0983606557377046E-2</v>
      </c>
      <c r="I30" s="147">
        <f t="shared" si="6"/>
        <v>3.1496062992125984E-2</v>
      </c>
      <c r="J30" s="147">
        <f t="shared" si="6"/>
        <v>1.5267175572519083E-2</v>
      </c>
      <c r="K30" s="147">
        <f t="shared" si="6"/>
        <v>1.5037593984962405E-2</v>
      </c>
      <c r="L30" s="147">
        <f t="shared" si="6"/>
        <v>-1</v>
      </c>
      <c r="M30" s="147" t="e">
        <f t="shared" si="6"/>
        <v>#DIV/0!</v>
      </c>
      <c r="N30" s="147" t="e">
        <f t="shared" si="6"/>
        <v>#DIV/0!</v>
      </c>
      <c r="O30" s="147" t="e">
        <f t="shared" si="6"/>
        <v>#DIV/0!</v>
      </c>
      <c r="P30" s="147" t="e">
        <f t="shared" si="6"/>
        <v>#DIV/0!</v>
      </c>
    </row>
    <row r="31" spans="1:17" hidden="1">
      <c r="A31" s="281"/>
      <c r="B31" s="33">
        <v>41499</v>
      </c>
      <c r="C31" s="292" t="s">
        <v>16</v>
      </c>
      <c r="D31" s="293"/>
      <c r="E31" s="146">
        <f t="shared" ref="E31:J31" si="7">(E25-D25)/D25</f>
        <v>0.12401648557512186</v>
      </c>
      <c r="F31" s="146">
        <f t="shared" si="7"/>
        <v>3.3333333333333333E-2</v>
      </c>
      <c r="G31" s="146">
        <f t="shared" si="7"/>
        <v>4.3010752688172046E-2</v>
      </c>
      <c r="H31" s="146">
        <f t="shared" si="7"/>
        <v>3.0927835051546393E-2</v>
      </c>
      <c r="I31" s="146">
        <f t="shared" si="7"/>
        <v>0.01</v>
      </c>
      <c r="J31" s="146">
        <f t="shared" si="7"/>
        <v>9.9009900990099011E-3</v>
      </c>
      <c r="K31" s="146"/>
      <c r="L31" s="146"/>
      <c r="M31" s="146"/>
      <c r="N31" s="146"/>
      <c r="O31" s="146"/>
      <c r="P31" s="146"/>
    </row>
    <row r="32" spans="1:17">
      <c r="A32" s="106"/>
      <c r="B32" s="107"/>
      <c r="C32" s="156"/>
      <c r="D32" s="156"/>
      <c r="E32" s="157"/>
      <c r="F32" s="157"/>
      <c r="G32" s="158"/>
      <c r="H32" s="158"/>
      <c r="I32" s="158"/>
      <c r="J32" s="158"/>
      <c r="K32" s="158"/>
      <c r="L32" s="158"/>
      <c r="M32" s="158"/>
      <c r="N32" s="158"/>
      <c r="O32" s="158"/>
      <c r="P32" s="158"/>
    </row>
    <row r="33" spans="1:17">
      <c r="A33" s="298" t="s">
        <v>18</v>
      </c>
      <c r="B33" s="300">
        <f>B2</f>
        <v>43678</v>
      </c>
      <c r="C33" s="134" t="s">
        <v>4</v>
      </c>
      <c r="D33" s="135"/>
      <c r="E33" s="135"/>
      <c r="F33" s="135"/>
      <c r="G33" s="135"/>
      <c r="H33" s="135"/>
      <c r="I33" s="135">
        <v>3.24</v>
      </c>
      <c r="J33" s="135"/>
      <c r="K33" s="135">
        <v>2.93</v>
      </c>
      <c r="L33" s="135">
        <v>2.1</v>
      </c>
      <c r="M33" s="135">
        <v>2.2200000000000002</v>
      </c>
      <c r="N33" s="135">
        <v>2.2999999999999998</v>
      </c>
      <c r="O33" s="135">
        <v>2.33</v>
      </c>
      <c r="P33" s="135">
        <v>2.4700000000000002</v>
      </c>
    </row>
    <row r="34" spans="1:17" ht="15" customHeight="1">
      <c r="A34" s="299"/>
      <c r="B34" s="301"/>
      <c r="C34" s="136" t="s">
        <v>2</v>
      </c>
      <c r="D34" s="159"/>
      <c r="E34" s="159"/>
      <c r="F34" s="159"/>
      <c r="G34" s="159"/>
      <c r="H34" s="159"/>
      <c r="I34" s="159">
        <v>3.24</v>
      </c>
      <c r="J34" s="159"/>
      <c r="K34" s="210">
        <v>3.17</v>
      </c>
      <c r="L34" s="210">
        <v>2.52</v>
      </c>
      <c r="M34" s="210">
        <v>2.7</v>
      </c>
      <c r="N34" s="210">
        <v>2.72</v>
      </c>
      <c r="O34" s="210">
        <v>2.75</v>
      </c>
      <c r="P34" s="210">
        <v>2.87</v>
      </c>
    </row>
    <row r="35" spans="1:17">
      <c r="A35" s="299"/>
      <c r="B35" s="301"/>
      <c r="C35" s="139" t="s">
        <v>0</v>
      </c>
      <c r="D35" s="140"/>
      <c r="E35" s="140"/>
      <c r="F35" s="140"/>
      <c r="G35" s="140"/>
      <c r="H35" s="140"/>
      <c r="I35" s="140">
        <v>3.25</v>
      </c>
      <c r="J35" s="140"/>
      <c r="K35" s="140">
        <v>3.19</v>
      </c>
      <c r="L35" s="140">
        <v>2.97</v>
      </c>
      <c r="M35" s="140">
        <v>2.86</v>
      </c>
      <c r="N35" s="140">
        <v>2.46</v>
      </c>
      <c r="O35" s="140">
        <v>2.2000000000000002</v>
      </c>
      <c r="P35" s="140">
        <v>1.98</v>
      </c>
    </row>
    <row r="36" spans="1:17">
      <c r="A36" s="299"/>
      <c r="B36" s="301"/>
      <c r="C36" s="141" t="s">
        <v>3</v>
      </c>
      <c r="D36" s="142"/>
      <c r="E36" s="142"/>
      <c r="F36" s="142"/>
      <c r="G36" s="142"/>
      <c r="H36" s="142"/>
      <c r="I36" s="142">
        <v>3.22</v>
      </c>
      <c r="J36" s="142"/>
      <c r="K36" s="142">
        <v>3</v>
      </c>
      <c r="L36" s="142">
        <v>1.92</v>
      </c>
      <c r="M36" s="142">
        <v>2.27</v>
      </c>
      <c r="N36" s="142">
        <v>2.52</v>
      </c>
      <c r="O36" s="142">
        <v>2.56</v>
      </c>
      <c r="P36" s="142">
        <v>2.76</v>
      </c>
    </row>
    <row r="37" spans="1:17">
      <c r="A37" s="299"/>
      <c r="B37" s="302"/>
      <c r="C37" s="143" t="s">
        <v>1</v>
      </c>
      <c r="D37" s="144">
        <v>5.01</v>
      </c>
      <c r="E37" s="144">
        <v>4.38</v>
      </c>
      <c r="F37" s="144">
        <v>5.14</v>
      </c>
      <c r="G37" s="144">
        <v>3.78</v>
      </c>
      <c r="H37" s="144">
        <v>2.42</v>
      </c>
      <c r="I37" s="144">
        <f t="shared" ref="I37" si="8">+AVERAGE(I33:I36)</f>
        <v>3.2375000000000003</v>
      </c>
      <c r="J37" s="144" t="e">
        <f t="shared" ref="J37" si="9">AVERAGE(J33:J36)</f>
        <v>#DIV/0!</v>
      </c>
      <c r="K37" s="212">
        <v>3.05</v>
      </c>
      <c r="L37" s="212">
        <v>2</v>
      </c>
      <c r="M37" s="212">
        <v>2.25</v>
      </c>
      <c r="N37" s="212">
        <v>2.5</v>
      </c>
      <c r="O37" s="212">
        <v>2.5</v>
      </c>
      <c r="P37" s="212">
        <v>2.5</v>
      </c>
      <c r="Q37" t="s">
        <v>83</v>
      </c>
    </row>
    <row r="38" spans="1:17">
      <c r="A38" s="299"/>
      <c r="B38" s="33">
        <f>B7</f>
        <v>43435</v>
      </c>
      <c r="C38" s="133" t="s">
        <v>1</v>
      </c>
      <c r="D38" s="138">
        <f>'Aug18'!D37</f>
        <v>5.01</v>
      </c>
      <c r="E38" s="138">
        <f>'Aug18'!E37</f>
        <v>4.38</v>
      </c>
      <c r="F38" s="138">
        <f>'Aug18'!F37</f>
        <v>5.14</v>
      </c>
      <c r="G38" s="138">
        <f>'Aug18'!G37</f>
        <v>3.78</v>
      </c>
      <c r="H38" s="138">
        <f>'Aug18'!H37</f>
        <v>2.42</v>
      </c>
      <c r="I38" s="138">
        <f>'Dec18'!I37</f>
        <v>3.2375000000000003</v>
      </c>
      <c r="J38" s="138">
        <f>'Dec18'!J37</f>
        <v>3.5142500000000001</v>
      </c>
      <c r="K38" s="138">
        <f>'Dec18'!K37</f>
        <v>3.55</v>
      </c>
      <c r="L38" s="138">
        <f>'Dec18'!L37</f>
        <v>3</v>
      </c>
      <c r="M38" s="138">
        <f>'Dec18'!M37</f>
        <v>2.9950000000000001</v>
      </c>
      <c r="N38" s="138">
        <f>'Dec18'!N37</f>
        <v>3</v>
      </c>
      <c r="O38" s="138">
        <f>'Dec18'!O37</f>
        <v>3</v>
      </c>
      <c r="P38" s="138">
        <f>'Dec18'!P37</f>
        <v>0</v>
      </c>
    </row>
    <row r="39" spans="1:17" ht="15" hidden="1" customHeight="1">
      <c r="A39" s="204"/>
      <c r="B39" s="33">
        <v>41974</v>
      </c>
      <c r="C39" s="133" t="s">
        <v>1</v>
      </c>
      <c r="D39" s="138">
        <v>5.01</v>
      </c>
      <c r="E39" s="138">
        <v>4.38</v>
      </c>
      <c r="F39" s="138">
        <v>5.13</v>
      </c>
      <c r="G39" s="138">
        <v>4.9000000000000004</v>
      </c>
      <c r="H39" s="138">
        <v>4.9000000000000004</v>
      </c>
      <c r="I39" s="138">
        <v>4.95</v>
      </c>
      <c r="J39" s="138">
        <v>5.0999999999999996</v>
      </c>
      <c r="K39" s="138">
        <v>5.2</v>
      </c>
      <c r="L39" s="138"/>
      <c r="M39" s="138"/>
    </row>
    <row r="40" spans="1:17" ht="15" hidden="1" customHeight="1">
      <c r="A40" s="204"/>
      <c r="B40" s="33">
        <v>41852</v>
      </c>
      <c r="C40" s="133" t="s">
        <v>1</v>
      </c>
      <c r="D40" s="138">
        <v>5.01</v>
      </c>
      <c r="E40" s="138">
        <v>4.38</v>
      </c>
      <c r="F40" s="138">
        <v>5.15</v>
      </c>
      <c r="G40" s="138">
        <v>5.2</v>
      </c>
      <c r="H40" s="138">
        <v>5.25</v>
      </c>
      <c r="I40" s="138">
        <v>5.3</v>
      </c>
      <c r="J40" s="138">
        <v>5.35</v>
      </c>
      <c r="K40" s="138">
        <v>5.4</v>
      </c>
      <c r="L40" s="138"/>
      <c r="M40" s="138"/>
    </row>
    <row r="41" spans="1:17" ht="15" hidden="1" customHeight="1">
      <c r="A41" s="204"/>
      <c r="B41" s="33">
        <v>41499</v>
      </c>
      <c r="C41" s="133" t="s">
        <v>1</v>
      </c>
      <c r="D41" s="138">
        <v>5</v>
      </c>
      <c r="E41" s="138">
        <v>4.5</v>
      </c>
      <c r="F41" s="138">
        <v>5</v>
      </c>
      <c r="G41" s="138">
        <v>5.4</v>
      </c>
      <c r="H41" s="138">
        <v>5.5</v>
      </c>
      <c r="I41" s="138">
        <v>5.5</v>
      </c>
      <c r="J41" s="138">
        <v>5.5</v>
      </c>
      <c r="K41" s="138"/>
      <c r="L41" s="138"/>
      <c r="M41" s="138"/>
    </row>
    <row r="42" spans="1:17" ht="15" hidden="1" customHeight="1">
      <c r="A42" s="204"/>
      <c r="B42" s="33">
        <v>41317</v>
      </c>
      <c r="C42" s="133" t="s">
        <v>1</v>
      </c>
      <c r="D42" s="145">
        <v>5</v>
      </c>
      <c r="E42" s="145">
        <v>4.5</v>
      </c>
      <c r="F42" s="145">
        <v>5.0999999999999996</v>
      </c>
      <c r="G42" s="145">
        <v>5.25</v>
      </c>
      <c r="H42" s="145">
        <v>5.5</v>
      </c>
      <c r="I42" s="145">
        <v>5.5</v>
      </c>
      <c r="J42" s="145"/>
      <c r="K42" s="145"/>
      <c r="L42" s="145"/>
      <c r="M42" s="145"/>
    </row>
    <row r="43" spans="1:17" ht="15" hidden="1" customHeight="1">
      <c r="A43" s="204"/>
      <c r="B43" s="33">
        <v>41244</v>
      </c>
      <c r="C43" s="133" t="s">
        <v>1</v>
      </c>
      <c r="D43" s="145">
        <v>5</v>
      </c>
      <c r="E43" s="145">
        <v>4.5</v>
      </c>
      <c r="F43" s="145">
        <v>5</v>
      </c>
      <c r="G43" s="145">
        <v>5.4</v>
      </c>
      <c r="H43" s="145">
        <v>5.6</v>
      </c>
      <c r="I43" s="145">
        <v>5.5</v>
      </c>
      <c r="J43" s="145">
        <v>5.5</v>
      </c>
      <c r="K43" s="145"/>
      <c r="L43" s="145"/>
      <c r="M43" s="145"/>
    </row>
    <row r="44" spans="1:17" ht="15" hidden="1" customHeight="1">
      <c r="A44" s="204"/>
      <c r="B44" s="33">
        <v>42217</v>
      </c>
      <c r="C44" s="292" t="s">
        <v>16</v>
      </c>
      <c r="D44" s="293"/>
      <c r="E44" s="146">
        <f t="shared" ref="E44:M46" si="10">(E37-D37)/D37</f>
        <v>-0.12574850299401197</v>
      </c>
      <c r="F44" s="146">
        <f t="shared" si="10"/>
        <v>0.17351598173515978</v>
      </c>
      <c r="G44" s="146">
        <f t="shared" si="10"/>
        <v>-0.26459143968871596</v>
      </c>
      <c r="H44" s="146">
        <f t="shared" si="10"/>
        <v>-0.35978835978835977</v>
      </c>
      <c r="I44" s="146">
        <f t="shared" si="10"/>
        <v>0.33780991735537202</v>
      </c>
      <c r="J44" s="146" t="e">
        <f t="shared" si="10"/>
        <v>#DIV/0!</v>
      </c>
      <c r="K44" s="146" t="e">
        <f t="shared" si="10"/>
        <v>#DIV/0!</v>
      </c>
      <c r="L44" s="146">
        <f t="shared" si="10"/>
        <v>-0.34426229508196715</v>
      </c>
      <c r="M44" s="146">
        <f t="shared" si="10"/>
        <v>0.125</v>
      </c>
    </row>
    <row r="45" spans="1:17" ht="15" hidden="1" customHeight="1">
      <c r="A45" s="204"/>
      <c r="B45" s="33">
        <f>B29</f>
        <v>43435</v>
      </c>
      <c r="C45" s="290" t="s">
        <v>16</v>
      </c>
      <c r="D45" s="291"/>
      <c r="E45" s="147">
        <f t="shared" si="10"/>
        <v>-0.12574850299401197</v>
      </c>
      <c r="F45" s="147">
        <f t="shared" si="10"/>
        <v>0.17351598173515978</v>
      </c>
      <c r="G45" s="147">
        <f t="shared" si="10"/>
        <v>-0.26459143968871596</v>
      </c>
      <c r="H45" s="147">
        <f t="shared" si="10"/>
        <v>-0.35978835978835977</v>
      </c>
      <c r="I45" s="147">
        <f t="shared" si="10"/>
        <v>0.33780991735537202</v>
      </c>
      <c r="J45" s="147">
        <f t="shared" si="10"/>
        <v>8.5482625482625418E-2</v>
      </c>
      <c r="K45" s="147">
        <f t="shared" si="10"/>
        <v>1.0172867610443118E-2</v>
      </c>
      <c r="L45" s="147"/>
      <c r="M45" s="147"/>
    </row>
    <row r="46" spans="1:17" ht="15" hidden="1" customHeight="1">
      <c r="A46" s="204"/>
      <c r="B46" s="33">
        <v>41974</v>
      </c>
      <c r="C46" s="290" t="s">
        <v>16</v>
      </c>
      <c r="D46" s="291"/>
      <c r="E46" s="147">
        <f t="shared" si="10"/>
        <v>-0.12574850299401197</v>
      </c>
      <c r="F46" s="147">
        <f t="shared" si="10"/>
        <v>0.17123287671232876</v>
      </c>
      <c r="G46" s="147">
        <f t="shared" si="10"/>
        <v>-4.4834307992202643E-2</v>
      </c>
      <c r="H46" s="147">
        <f t="shared" si="10"/>
        <v>0</v>
      </c>
      <c r="I46" s="147">
        <f t="shared" si="10"/>
        <v>1.0204081632653024E-2</v>
      </c>
      <c r="J46" s="147">
        <f t="shared" si="10"/>
        <v>3.0303030303030193E-2</v>
      </c>
      <c r="K46" s="147">
        <f t="shared" si="10"/>
        <v>1.9607843137255009E-2</v>
      </c>
      <c r="L46" s="147">
        <f t="shared" si="10"/>
        <v>-1</v>
      </c>
      <c r="M46" s="147" t="e">
        <f t="shared" si="10"/>
        <v>#DIV/0!</v>
      </c>
    </row>
    <row r="47" spans="1:17" ht="15" hidden="1" customHeight="1">
      <c r="A47" s="205"/>
      <c r="B47" s="33">
        <v>41499</v>
      </c>
      <c r="C47" s="292" t="s">
        <v>16</v>
      </c>
      <c r="D47" s="293"/>
      <c r="E47" s="146">
        <f t="shared" ref="E47:J47" si="11">(E41-D41)/D41</f>
        <v>-0.1</v>
      </c>
      <c r="F47" s="146">
        <f t="shared" si="11"/>
        <v>0.1111111111111111</v>
      </c>
      <c r="G47" s="146">
        <f t="shared" si="11"/>
        <v>8.0000000000000071E-2</v>
      </c>
      <c r="H47" s="146">
        <f t="shared" si="11"/>
        <v>1.8518518518518452E-2</v>
      </c>
      <c r="I47" s="146">
        <f t="shared" si="11"/>
        <v>0</v>
      </c>
      <c r="J47" s="146">
        <f t="shared" si="11"/>
        <v>0</v>
      </c>
      <c r="K47" s="146"/>
      <c r="L47" s="146"/>
      <c r="M47" s="146"/>
    </row>
    <row r="48" spans="1:17">
      <c r="A48" s="65"/>
      <c r="B48" s="65"/>
      <c r="C48" s="65"/>
      <c r="D48" s="76"/>
      <c r="E48" s="76"/>
      <c r="F48" s="76"/>
      <c r="G48" s="130"/>
      <c r="H48" s="130"/>
      <c r="I48" s="130"/>
      <c r="J48" s="130"/>
      <c r="K48" s="130"/>
      <c r="L48" s="130"/>
      <c r="M48" s="130"/>
    </row>
    <row r="49" spans="1:17">
      <c r="A49" s="287" t="s">
        <v>19</v>
      </c>
      <c r="B49" s="273">
        <f>B2</f>
        <v>43678</v>
      </c>
      <c r="C49" s="136" t="s">
        <v>2</v>
      </c>
      <c r="D49" s="160"/>
      <c r="E49" s="161"/>
      <c r="F49" s="161"/>
      <c r="G49" s="161"/>
      <c r="H49" s="161"/>
      <c r="I49" s="161">
        <v>1235.7</v>
      </c>
      <c r="J49" s="161"/>
      <c r="K49" s="161">
        <v>1581</v>
      </c>
      <c r="L49" s="161">
        <v>1723</v>
      </c>
      <c r="M49" s="161">
        <v>1807</v>
      </c>
      <c r="N49" s="161">
        <v>1891</v>
      </c>
      <c r="O49" s="161">
        <v>1975</v>
      </c>
      <c r="P49" s="161">
        <v>2059</v>
      </c>
    </row>
    <row r="50" spans="1:17">
      <c r="A50" s="288"/>
      <c r="B50" s="272"/>
      <c r="C50" s="139" t="s">
        <v>0</v>
      </c>
      <c r="D50" s="162"/>
      <c r="E50" s="162"/>
      <c r="F50" s="162"/>
      <c r="G50" s="162"/>
      <c r="H50" s="162"/>
      <c r="I50" s="162"/>
      <c r="J50" s="162"/>
      <c r="K50" s="215">
        <v>1639</v>
      </c>
      <c r="L50" s="215">
        <v>1751.9</v>
      </c>
      <c r="M50" s="215">
        <v>1822</v>
      </c>
      <c r="N50" s="215">
        <v>1957.58</v>
      </c>
      <c r="O50" s="215">
        <v>2055.0500000000002</v>
      </c>
      <c r="P50" s="215">
        <v>2154.4499999999998</v>
      </c>
    </row>
    <row r="51" spans="1:17">
      <c r="A51" s="288"/>
      <c r="B51" s="272"/>
      <c r="C51" s="141" t="s">
        <v>3</v>
      </c>
      <c r="D51" s="163"/>
      <c r="E51" s="163"/>
      <c r="F51" s="163"/>
      <c r="G51" s="163"/>
      <c r="H51" s="163"/>
      <c r="I51" s="163">
        <v>1235.5999999999999</v>
      </c>
      <c r="J51" s="163"/>
      <c r="K51" s="163">
        <v>1568.4</v>
      </c>
      <c r="L51" s="163">
        <v>1611.6</v>
      </c>
      <c r="M51" s="163">
        <v>1700.5</v>
      </c>
      <c r="N51" s="163">
        <v>1783.7</v>
      </c>
      <c r="O51" s="163">
        <v>1865.1</v>
      </c>
      <c r="P51" s="163">
        <v>1943.5</v>
      </c>
    </row>
    <row r="52" spans="1:17">
      <c r="A52" s="288"/>
      <c r="B52" s="272"/>
      <c r="C52" s="143" t="s">
        <v>1</v>
      </c>
      <c r="D52" s="152">
        <v>1227</v>
      </c>
      <c r="E52" s="152">
        <v>1177.5</v>
      </c>
      <c r="F52" s="153">
        <v>1184.7</v>
      </c>
      <c r="G52" s="153">
        <v>1184.8</v>
      </c>
      <c r="H52" s="153">
        <v>1175</v>
      </c>
      <c r="I52" s="153">
        <f>(+AVERAGE(I49:I51))</f>
        <v>1235.6500000000001</v>
      </c>
      <c r="J52" s="206">
        <v>1361</v>
      </c>
      <c r="K52" s="214">
        <v>1575</v>
      </c>
      <c r="L52" s="214">
        <f>K52*(1+L59)</f>
        <v>1661.625</v>
      </c>
      <c r="M52" s="214">
        <f t="shared" ref="M52:P52" si="12">L52*(1+M59)</f>
        <v>1744.7062500000002</v>
      </c>
      <c r="N52" s="214">
        <f t="shared" si="12"/>
        <v>1831.9415625000004</v>
      </c>
      <c r="O52" s="214">
        <f t="shared" si="12"/>
        <v>1914.3789328125004</v>
      </c>
      <c r="P52" s="214">
        <f t="shared" si="12"/>
        <v>2000.5259847890627</v>
      </c>
      <c r="Q52" t="s">
        <v>83</v>
      </c>
    </row>
    <row r="53" spans="1:17">
      <c r="A53" s="288"/>
      <c r="B53" s="33">
        <f>B38</f>
        <v>43435</v>
      </c>
      <c r="C53" s="133" t="s">
        <v>1</v>
      </c>
      <c r="D53" s="160">
        <f>'Aug18'!D52</f>
        <v>1227</v>
      </c>
      <c r="E53" s="160">
        <f>'Aug18'!E52</f>
        <v>1177.5</v>
      </c>
      <c r="F53" s="160">
        <f>'Aug18'!F52</f>
        <v>1184.7</v>
      </c>
      <c r="G53" s="160">
        <f>'Aug18'!G52</f>
        <v>1184.8</v>
      </c>
      <c r="H53" s="160">
        <f>'Aug18'!H52</f>
        <v>1175</v>
      </c>
      <c r="I53" s="160">
        <f>'Dec18'!I52</f>
        <v>1235.6500000000001</v>
      </c>
      <c r="J53" s="160">
        <f>'Dec18'!J52</f>
        <v>1361</v>
      </c>
      <c r="K53" s="160">
        <f>'Dec18'!K52</f>
        <v>1470</v>
      </c>
      <c r="L53" s="160">
        <f>'Dec18'!L52</f>
        <v>1515</v>
      </c>
      <c r="M53" s="160">
        <f>'Dec18'!M52</f>
        <v>1545</v>
      </c>
      <c r="N53" s="160">
        <f>'Dec18'!N52</f>
        <v>1560</v>
      </c>
      <c r="O53" s="160">
        <f>'Dec18'!O52</f>
        <v>1575</v>
      </c>
      <c r="P53" s="160">
        <f>'Dec18'!P52</f>
        <v>0</v>
      </c>
    </row>
    <row r="54" spans="1:17" hidden="1">
      <c r="A54" s="288"/>
      <c r="B54" s="33">
        <v>41974</v>
      </c>
      <c r="C54" s="133" t="s">
        <v>1</v>
      </c>
      <c r="D54" s="160">
        <v>1227</v>
      </c>
      <c r="E54" s="160">
        <v>1177.5</v>
      </c>
      <c r="F54" s="160">
        <v>1187.3</v>
      </c>
      <c r="G54" s="160">
        <v>1181</v>
      </c>
      <c r="H54" s="160">
        <v>1150</v>
      </c>
      <c r="I54" s="160">
        <v>1118</v>
      </c>
      <c r="J54" s="160">
        <v>1088</v>
      </c>
      <c r="K54" s="160">
        <v>1052</v>
      </c>
      <c r="L54" s="160"/>
      <c r="M54" s="160"/>
      <c r="N54" s="160"/>
      <c r="O54" s="160"/>
      <c r="P54" s="160"/>
    </row>
    <row r="55" spans="1:17" hidden="1">
      <c r="A55" s="288"/>
      <c r="B55" s="33">
        <v>41852</v>
      </c>
      <c r="C55" s="133" t="s">
        <v>1</v>
      </c>
      <c r="D55" s="160">
        <v>1227</v>
      </c>
      <c r="E55" s="160">
        <v>1177.5</v>
      </c>
      <c r="F55" s="160">
        <v>1170</v>
      </c>
      <c r="G55" s="160">
        <v>1158.3</v>
      </c>
      <c r="H55" s="160">
        <v>1123.5509999999999</v>
      </c>
      <c r="I55" s="160">
        <v>1089.84447</v>
      </c>
      <c r="J55" s="160">
        <v>1057.1491358999999</v>
      </c>
      <c r="K55" s="160">
        <v>1025.4346618229999</v>
      </c>
      <c r="L55" s="160"/>
      <c r="M55" s="160"/>
      <c r="N55" s="160"/>
      <c r="O55" s="160"/>
      <c r="P55" s="160"/>
    </row>
    <row r="56" spans="1:17" hidden="1">
      <c r="A56" s="288"/>
      <c r="B56" s="33">
        <v>41499</v>
      </c>
      <c r="C56" s="133" t="s">
        <v>1</v>
      </c>
      <c r="D56" s="160">
        <v>1225.8499999999999</v>
      </c>
      <c r="E56" s="160">
        <v>1165</v>
      </c>
      <c r="F56" s="160">
        <v>1110</v>
      </c>
      <c r="G56" s="160">
        <v>1070</v>
      </c>
      <c r="H56" s="160">
        <v>1030</v>
      </c>
      <c r="I56" s="160">
        <v>1000</v>
      </c>
      <c r="J56" s="160">
        <v>960</v>
      </c>
      <c r="K56" s="165"/>
      <c r="L56" s="165"/>
      <c r="M56" s="165"/>
      <c r="N56" s="165"/>
      <c r="O56" s="165"/>
      <c r="P56" s="165"/>
    </row>
    <row r="57" spans="1:17" hidden="1">
      <c r="A57" s="288"/>
      <c r="B57" s="33">
        <v>41317</v>
      </c>
      <c r="C57" s="133" t="s">
        <v>1</v>
      </c>
      <c r="D57" s="165">
        <v>1226</v>
      </c>
      <c r="E57" s="165">
        <v>1185</v>
      </c>
      <c r="F57" s="165">
        <v>1151</v>
      </c>
      <c r="G57" s="165">
        <v>1121</v>
      </c>
      <c r="H57" s="165">
        <v>1090.1407234210708</v>
      </c>
      <c r="I57" s="165">
        <v>1048</v>
      </c>
      <c r="J57" s="165"/>
      <c r="K57" s="165"/>
      <c r="L57" s="165"/>
      <c r="M57" s="165"/>
      <c r="N57" s="165"/>
      <c r="O57" s="165"/>
      <c r="P57" s="165"/>
    </row>
    <row r="58" spans="1:17" hidden="1">
      <c r="A58" s="288"/>
      <c r="B58" s="33">
        <v>41244</v>
      </c>
      <c r="C58" s="133" t="s">
        <v>1</v>
      </c>
      <c r="D58" s="165">
        <v>1228.5423506666664</v>
      </c>
      <c r="E58" s="165">
        <v>1184.5870287874238</v>
      </c>
      <c r="F58" s="165">
        <v>1151.3778293463738</v>
      </c>
      <c r="G58" s="165">
        <v>1121.0332793283103</v>
      </c>
      <c r="H58" s="165">
        <v>1090.1407234210708</v>
      </c>
      <c r="I58" s="165">
        <v>1048</v>
      </c>
      <c r="J58" s="165">
        <v>1048</v>
      </c>
      <c r="K58" s="165"/>
      <c r="L58" s="165"/>
      <c r="M58" s="165"/>
      <c r="N58" s="165"/>
      <c r="O58" s="165"/>
      <c r="P58" s="165"/>
    </row>
    <row r="59" spans="1:17">
      <c r="A59" s="288"/>
      <c r="B59" s="33">
        <f>B49</f>
        <v>43678</v>
      </c>
      <c r="C59" s="292" t="s">
        <v>16</v>
      </c>
      <c r="D59" s="293"/>
      <c r="E59" s="167">
        <f t="shared" ref="E59:P61" si="13">(E52-D52)/D52</f>
        <v>-4.0342298288508556E-2</v>
      </c>
      <c r="F59" s="167">
        <f t="shared" si="13"/>
        <v>6.1146496815287013E-3</v>
      </c>
      <c r="G59" s="167">
        <f>(G52-F52)/F52</f>
        <v>8.4409555161567526E-5</v>
      </c>
      <c r="H59" s="167">
        <f t="shared" si="13"/>
        <v>-8.2714382174206239E-3</v>
      </c>
      <c r="I59" s="167">
        <f t="shared" si="13"/>
        <v>5.1617021276595822E-2</v>
      </c>
      <c r="J59" s="167">
        <f t="shared" si="13"/>
        <v>0.10144458382227969</v>
      </c>
      <c r="K59" s="167">
        <f t="shared" si="13"/>
        <v>0.15723732549595884</v>
      </c>
      <c r="L59" s="167">
        <v>5.5E-2</v>
      </c>
      <c r="M59" s="167">
        <v>0.05</v>
      </c>
      <c r="N59" s="167">
        <v>0.05</v>
      </c>
      <c r="O59" s="167">
        <v>4.4999999999999998E-2</v>
      </c>
      <c r="P59" s="167">
        <v>4.4999999999999998E-2</v>
      </c>
    </row>
    <row r="60" spans="1:17">
      <c r="A60" s="288"/>
      <c r="B60" s="33">
        <f>B45</f>
        <v>43435</v>
      </c>
      <c r="C60" s="290" t="s">
        <v>16</v>
      </c>
      <c r="D60" s="291"/>
      <c r="E60" s="168">
        <f>(E53-D53)/D53</f>
        <v>-4.0342298288508556E-2</v>
      </c>
      <c r="F60" s="168">
        <f t="shared" si="13"/>
        <v>6.1146496815287013E-3</v>
      </c>
      <c r="G60" s="168">
        <f>(G53-F53)/F53</f>
        <v>8.4409555161567526E-5</v>
      </c>
      <c r="H60" s="168">
        <f t="shared" si="13"/>
        <v>-8.2714382174206239E-3</v>
      </c>
      <c r="I60" s="168">
        <f t="shared" si="13"/>
        <v>5.1617021276595822E-2</v>
      </c>
      <c r="J60" s="168">
        <f t="shared" si="13"/>
        <v>0.10144458382227969</v>
      </c>
      <c r="K60" s="168">
        <f t="shared" si="13"/>
        <v>8.0088170462894931E-2</v>
      </c>
      <c r="L60" s="168">
        <f t="shared" si="13"/>
        <v>3.0612244897959183E-2</v>
      </c>
      <c r="M60" s="168">
        <f t="shared" si="13"/>
        <v>1.9801980198019802E-2</v>
      </c>
      <c r="N60" s="168">
        <f t="shared" si="13"/>
        <v>9.7087378640776691E-3</v>
      </c>
      <c r="O60" s="168">
        <f t="shared" si="13"/>
        <v>9.6153846153846159E-3</v>
      </c>
      <c r="P60" s="168">
        <f t="shared" si="13"/>
        <v>-1</v>
      </c>
    </row>
    <row r="61" spans="1:17" hidden="1">
      <c r="A61" s="288"/>
      <c r="B61" s="33">
        <v>41974</v>
      </c>
      <c r="C61" s="290" t="s">
        <v>16</v>
      </c>
      <c r="D61" s="291"/>
      <c r="E61" s="147">
        <f>(E54-D54)/D54</f>
        <v>-4.0342298288508556E-2</v>
      </c>
      <c r="F61" s="147">
        <f t="shared" si="13"/>
        <v>8.3227176220806408E-3</v>
      </c>
      <c r="G61" s="147">
        <f t="shared" si="13"/>
        <v>-5.3061568264128316E-3</v>
      </c>
      <c r="H61" s="147">
        <f t="shared" si="13"/>
        <v>-2.6248941574936496E-2</v>
      </c>
      <c r="I61" s="147">
        <f t="shared" si="13"/>
        <v>-2.782608695652174E-2</v>
      </c>
      <c r="J61" s="147">
        <f t="shared" si="13"/>
        <v>-2.6833631484794274E-2</v>
      </c>
      <c r="K61" s="147">
        <f t="shared" si="13"/>
        <v>-3.3088235294117647E-2</v>
      </c>
      <c r="L61" s="147">
        <f t="shared" si="13"/>
        <v>-1</v>
      </c>
      <c r="M61" s="147" t="e">
        <f t="shared" si="13"/>
        <v>#DIV/0!</v>
      </c>
    </row>
    <row r="62" spans="1:17" hidden="1">
      <c r="A62" s="289"/>
      <c r="B62" s="33">
        <v>41499</v>
      </c>
      <c r="C62" s="292" t="s">
        <v>16</v>
      </c>
      <c r="D62" s="293"/>
      <c r="E62" s="146">
        <f t="shared" ref="E62:J62" si="14">(E56-D56)/D56</f>
        <v>-4.9639025981971625E-2</v>
      </c>
      <c r="F62" s="146">
        <f t="shared" si="14"/>
        <v>-4.7210300429184553E-2</v>
      </c>
      <c r="G62" s="146">
        <f t="shared" si="14"/>
        <v>-3.6036036036036036E-2</v>
      </c>
      <c r="H62" s="146">
        <f t="shared" si="14"/>
        <v>-3.7383177570093455E-2</v>
      </c>
      <c r="I62" s="146">
        <f t="shared" si="14"/>
        <v>-2.9126213592233011E-2</v>
      </c>
      <c r="J62" s="146">
        <f t="shared" si="14"/>
        <v>-0.04</v>
      </c>
      <c r="K62" s="146"/>
      <c r="L62" s="146"/>
      <c r="M62" s="146"/>
    </row>
    <row r="63" spans="1:17">
      <c r="A63" s="108"/>
      <c r="B63" s="13"/>
      <c r="F63" s="112"/>
      <c r="G63" s="112"/>
      <c r="H63" s="112"/>
      <c r="I63" s="112"/>
      <c r="J63" s="112"/>
      <c r="K63" s="112"/>
      <c r="L63" s="112"/>
      <c r="M63" s="112"/>
    </row>
    <row r="64" spans="1:17">
      <c r="A64" s="9"/>
      <c r="B64" s="13"/>
      <c r="E64" s="94"/>
      <c r="F64" s="94"/>
      <c r="G64" s="112"/>
      <c r="H64" s="112"/>
      <c r="I64" s="112"/>
      <c r="J64" s="112"/>
      <c r="K64" s="112"/>
      <c r="L64" s="112">
        <f>L49/K49-1</f>
        <v>8.981657179000635E-2</v>
      </c>
      <c r="M64" s="112">
        <f t="shared" ref="M64:P64" si="15">M49/L49-1</f>
        <v>4.8752176436448025E-2</v>
      </c>
      <c r="N64" s="112">
        <f t="shared" si="15"/>
        <v>4.6485888212506987E-2</v>
      </c>
      <c r="O64" s="112">
        <f t="shared" si="15"/>
        <v>4.4420941300898908E-2</v>
      </c>
      <c r="P64" s="112">
        <f t="shared" si="15"/>
        <v>4.2531645569620302E-2</v>
      </c>
    </row>
    <row r="65" spans="1:16">
      <c r="A65" s="9"/>
      <c r="B65" s="13"/>
      <c r="E65" s="94"/>
      <c r="F65" s="94"/>
      <c r="G65" s="94"/>
      <c r="H65" s="112"/>
      <c r="I65" s="112"/>
      <c r="J65" s="112"/>
      <c r="K65" s="112"/>
      <c r="L65" s="112">
        <f t="shared" ref="L65:P65" si="16">L50/K50-1</f>
        <v>6.8883465527760812E-2</v>
      </c>
      <c r="M65" s="112">
        <f t="shared" si="16"/>
        <v>4.0013699412066783E-2</v>
      </c>
      <c r="N65" s="112">
        <f t="shared" si="16"/>
        <v>7.441273326015363E-2</v>
      </c>
      <c r="O65" s="112">
        <f t="shared" si="16"/>
        <v>4.9791068564247754E-2</v>
      </c>
      <c r="P65" s="112">
        <f t="shared" si="16"/>
        <v>4.8368652830831138E-2</v>
      </c>
    </row>
    <row r="66" spans="1:16">
      <c r="A66" s="9"/>
      <c r="B66" s="13"/>
      <c r="L66" s="112">
        <f t="shared" ref="L66:P66" si="17">L51/K51-1</f>
        <v>2.7543993879112438E-2</v>
      </c>
      <c r="M66" s="112">
        <f t="shared" si="17"/>
        <v>5.516257135765712E-2</v>
      </c>
      <c r="N66" s="112">
        <f t="shared" si="17"/>
        <v>4.8926786239341435E-2</v>
      </c>
      <c r="O66" s="112">
        <f t="shared" si="17"/>
        <v>4.5635476817850407E-2</v>
      </c>
      <c r="P66" s="112">
        <f t="shared" si="17"/>
        <v>4.2035279609672349E-2</v>
      </c>
    </row>
    <row r="67" spans="1:16">
      <c r="A67" s="9"/>
      <c r="B67" s="13"/>
      <c r="L67" s="213">
        <f>AVERAGE(L64:L66)</f>
        <v>6.2081343732293202E-2</v>
      </c>
      <c r="M67" s="213">
        <f t="shared" ref="M67:P67" si="18">AVERAGE(M64:M66)</f>
        <v>4.7976149068723974E-2</v>
      </c>
      <c r="N67" s="213">
        <f t="shared" si="18"/>
        <v>5.6608469237334015E-2</v>
      </c>
      <c r="O67" s="213">
        <f t="shared" si="18"/>
        <v>4.6615828894332356E-2</v>
      </c>
      <c r="P67" s="213">
        <f t="shared" si="18"/>
        <v>4.4311859336707927E-2</v>
      </c>
    </row>
    <row r="68" spans="1:16">
      <c r="A68" s="9"/>
      <c r="B68" s="13"/>
    </row>
    <row r="69" spans="1:16">
      <c r="A69" s="9"/>
      <c r="B69" s="13"/>
    </row>
    <row r="70" spans="1:16">
      <c r="A70" s="9"/>
      <c r="B70" s="13"/>
    </row>
    <row r="71" spans="1:16">
      <c r="A71" s="9"/>
      <c r="B71" s="13"/>
    </row>
    <row r="72" spans="1:16">
      <c r="A72" s="9"/>
      <c r="B72" s="13"/>
    </row>
    <row r="73" spans="1:16">
      <c r="A73" s="9"/>
      <c r="B73" s="13"/>
    </row>
  </sheetData>
  <mergeCells count="25">
    <mergeCell ref="A2:A16"/>
    <mergeCell ref="B2:B6"/>
    <mergeCell ref="B7:B11"/>
    <mergeCell ref="C13:D13"/>
    <mergeCell ref="C14:D14"/>
    <mergeCell ref="C15:D15"/>
    <mergeCell ref="C16:D16"/>
    <mergeCell ref="C47:D47"/>
    <mergeCell ref="A18:A31"/>
    <mergeCell ref="B18:B21"/>
    <mergeCell ref="C28:D28"/>
    <mergeCell ref="C29:D29"/>
    <mergeCell ref="C30:D30"/>
    <mergeCell ref="C31:D31"/>
    <mergeCell ref="A33:A38"/>
    <mergeCell ref="B33:B37"/>
    <mergeCell ref="C44:D44"/>
    <mergeCell ref="C45:D45"/>
    <mergeCell ref="C46:D46"/>
    <mergeCell ref="A49:A62"/>
    <mergeCell ref="B49:B52"/>
    <mergeCell ref="C59:D59"/>
    <mergeCell ref="C60:D60"/>
    <mergeCell ref="C61:D61"/>
    <mergeCell ref="C62:D62"/>
  </mergeCells>
  <pageMargins left="0.5" right="0.17" top="0.63" bottom="0.75" header="0.3" footer="0.3"/>
  <pageSetup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J33"/>
  <sheetViews>
    <sheetView workbookViewId="0"/>
  </sheetViews>
  <sheetFormatPr defaultColWidth="9.28515625" defaultRowHeight="15"/>
  <cols>
    <col min="1" max="1" width="9.5703125" style="9" customWidth="1"/>
    <col min="2" max="2" width="9.42578125" style="13" customWidth="1"/>
    <col min="3" max="3" width="7.5703125" customWidth="1"/>
    <col min="4" max="9" width="12.42578125" customWidth="1"/>
  </cols>
  <sheetData>
    <row r="1" spans="1:9">
      <c r="A1" s="8"/>
      <c r="B1" s="11"/>
      <c r="C1" s="6"/>
      <c r="D1" s="2" t="s">
        <v>17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</row>
    <row r="2" spans="1:9">
      <c r="A2" s="272" t="s">
        <v>10</v>
      </c>
      <c r="B2" s="10" t="s">
        <v>11</v>
      </c>
      <c r="C2" s="10"/>
      <c r="D2" s="28">
        <v>89.67</v>
      </c>
      <c r="E2" s="28">
        <v>88.25</v>
      </c>
      <c r="F2" s="28">
        <v>91.55</v>
      </c>
      <c r="G2" s="28">
        <v>87.82</v>
      </c>
      <c r="H2" s="28">
        <v>84.87</v>
      </c>
      <c r="I2" s="28">
        <v>82.61</v>
      </c>
    </row>
    <row r="3" spans="1:9" ht="15" customHeight="1">
      <c r="A3" s="272"/>
      <c r="B3" s="273">
        <v>41302</v>
      </c>
      <c r="C3" s="6" t="s">
        <v>2</v>
      </c>
      <c r="D3" s="29">
        <v>89.68</v>
      </c>
      <c r="E3" s="41">
        <v>84.37</v>
      </c>
      <c r="F3" s="41">
        <v>84.53</v>
      </c>
      <c r="G3" s="41">
        <v>83.29</v>
      </c>
      <c r="H3" s="41">
        <v>82.09</v>
      </c>
      <c r="I3" s="41">
        <v>81.56</v>
      </c>
    </row>
    <row r="4" spans="1:9">
      <c r="A4" s="272"/>
      <c r="B4" s="272"/>
      <c r="C4" s="42" t="s">
        <v>0</v>
      </c>
      <c r="D4" s="43">
        <v>90.25</v>
      </c>
      <c r="E4" s="43">
        <v>86.42</v>
      </c>
      <c r="F4" s="43">
        <v>90.28</v>
      </c>
      <c r="G4" s="43">
        <v>91.26</v>
      </c>
      <c r="H4" s="43">
        <v>90.18</v>
      </c>
      <c r="I4" s="43">
        <v>89.44</v>
      </c>
    </row>
    <row r="5" spans="1:9">
      <c r="A5" s="272"/>
      <c r="B5" s="272"/>
      <c r="C5" s="44" t="s">
        <v>3</v>
      </c>
      <c r="D5" s="45">
        <v>90.03</v>
      </c>
      <c r="E5" s="45">
        <v>86.34</v>
      </c>
      <c r="F5" s="45">
        <v>87.44</v>
      </c>
      <c r="G5" s="45">
        <v>84.6</v>
      </c>
      <c r="H5" s="45">
        <v>82.12</v>
      </c>
      <c r="I5" s="45">
        <v>82.25</v>
      </c>
    </row>
    <row r="6" spans="1:9">
      <c r="A6" s="272"/>
      <c r="B6" s="272"/>
      <c r="C6" s="46" t="s">
        <v>4</v>
      </c>
      <c r="D6" s="47"/>
      <c r="E6" s="47">
        <v>85.75</v>
      </c>
      <c r="F6" s="47">
        <v>86.49</v>
      </c>
      <c r="G6" s="47">
        <v>83.4</v>
      </c>
      <c r="H6" s="47">
        <v>80.87</v>
      </c>
      <c r="I6" s="47">
        <v>83.12</v>
      </c>
    </row>
    <row r="7" spans="1:9">
      <c r="A7" s="272"/>
      <c r="B7" s="272"/>
      <c r="C7" s="48" t="s">
        <v>1</v>
      </c>
      <c r="D7" s="49">
        <v>90</v>
      </c>
      <c r="E7" s="49">
        <v>86.5</v>
      </c>
      <c r="F7" s="49">
        <v>88</v>
      </c>
      <c r="G7" s="49">
        <f>F7-0.5</f>
        <v>87.5</v>
      </c>
      <c r="H7" s="49">
        <f>G7-0.5</f>
        <v>87</v>
      </c>
      <c r="I7" s="49">
        <f>H7-0.5</f>
        <v>86.5</v>
      </c>
    </row>
    <row r="8" spans="1:9">
      <c r="A8" s="32"/>
      <c r="B8" s="33">
        <v>41244</v>
      </c>
      <c r="C8" s="35" t="s">
        <v>1</v>
      </c>
      <c r="D8" s="50">
        <v>89.640506965377526</v>
      </c>
      <c r="E8" s="50">
        <v>85</v>
      </c>
      <c r="F8" s="50">
        <v>84.75</v>
      </c>
      <c r="G8" s="50">
        <v>83.5</v>
      </c>
      <c r="H8" s="50">
        <v>82.5</v>
      </c>
      <c r="I8" s="50">
        <v>83</v>
      </c>
    </row>
    <row r="9" spans="1:9">
      <c r="C9" s="276" t="s">
        <v>16</v>
      </c>
      <c r="D9" s="277"/>
      <c r="E9" s="30">
        <f>(E7-D7)/D7</f>
        <v>-3.888888888888889E-2</v>
      </c>
      <c r="F9" s="30">
        <f>(F7-E7)/E7</f>
        <v>1.7341040462427744E-2</v>
      </c>
      <c r="G9" s="30">
        <f>(G7-F7)/F7</f>
        <v>-5.681818181818182E-3</v>
      </c>
      <c r="H9" s="30">
        <f>(H7-G7)/G7</f>
        <v>-5.7142857142857143E-3</v>
      </c>
      <c r="I9" s="30">
        <f>(I7-H7)/H7</f>
        <v>-5.7471264367816091E-3</v>
      </c>
    </row>
    <row r="10" spans="1:9">
      <c r="A10" s="272"/>
      <c r="B10" s="272"/>
      <c r="C10" s="272"/>
      <c r="D10" s="272"/>
      <c r="E10" s="272"/>
      <c r="F10" s="272"/>
      <c r="G10" s="272"/>
      <c r="H10" s="272"/>
      <c r="I10" s="272"/>
    </row>
    <row r="11" spans="1:9" ht="15" customHeight="1">
      <c r="A11" s="278" t="s">
        <v>12</v>
      </c>
      <c r="B11" s="34"/>
      <c r="C11" s="6"/>
      <c r="D11" s="27"/>
      <c r="E11" s="27"/>
      <c r="F11" s="27"/>
      <c r="G11" s="27"/>
      <c r="H11" s="27"/>
      <c r="I11" s="27"/>
    </row>
    <row r="12" spans="1:9">
      <c r="A12" s="279"/>
      <c r="B12" s="273">
        <v>41302</v>
      </c>
      <c r="C12" s="6" t="s">
        <v>2</v>
      </c>
      <c r="D12" s="39">
        <v>80.099999999999994</v>
      </c>
      <c r="E12" s="39">
        <v>88.716505999999995</v>
      </c>
      <c r="F12" s="39">
        <v>94.713673999999997</v>
      </c>
      <c r="G12" s="39">
        <v>100.61603599999999</v>
      </c>
      <c r="H12" s="39">
        <v>106.51839699999999</v>
      </c>
      <c r="I12" s="39">
        <v>112.420759</v>
      </c>
    </row>
    <row r="13" spans="1:9">
      <c r="A13" s="279"/>
      <c r="B13" s="272"/>
      <c r="C13" s="42" t="s">
        <v>0</v>
      </c>
      <c r="D13" s="51">
        <v>79.7</v>
      </c>
      <c r="E13" s="51">
        <v>90.5</v>
      </c>
      <c r="F13" s="51">
        <v>95.1</v>
      </c>
      <c r="G13" s="51">
        <v>98.9</v>
      </c>
      <c r="H13" s="51">
        <v>101.8</v>
      </c>
      <c r="I13" s="51">
        <v>103.9</v>
      </c>
    </row>
    <row r="14" spans="1:9">
      <c r="A14" s="279"/>
      <c r="B14" s="272"/>
      <c r="C14" s="44" t="s">
        <v>3</v>
      </c>
      <c r="D14" s="52">
        <v>80.069999999999993</v>
      </c>
      <c r="E14" s="52">
        <v>85.23</v>
      </c>
      <c r="F14" s="52">
        <f>E14*1.051</f>
        <v>89.576729999999998</v>
      </c>
      <c r="G14" s="52">
        <f>F14*1.045</f>
        <v>93.607682849999989</v>
      </c>
      <c r="H14" s="52">
        <f>G14*1.04</f>
        <v>97.351990163999986</v>
      </c>
      <c r="I14" s="52">
        <f>H14*1.02</f>
        <v>99.299029967279992</v>
      </c>
    </row>
    <row r="15" spans="1:9">
      <c r="A15" s="280"/>
      <c r="B15" s="272"/>
      <c r="C15" s="48" t="s">
        <v>1</v>
      </c>
      <c r="D15" s="53">
        <v>80.069999999999993</v>
      </c>
      <c r="E15" s="53">
        <v>87</v>
      </c>
      <c r="F15" s="53">
        <f>E15*(1+0.05)</f>
        <v>91.350000000000009</v>
      </c>
      <c r="G15" s="53">
        <f>F15*(1+0.03)</f>
        <v>94.090500000000006</v>
      </c>
      <c r="H15" s="53">
        <f>G15*(1+0.02)</f>
        <v>95.972310000000007</v>
      </c>
      <c r="I15" s="53">
        <f>H15*(1+0.02)</f>
        <v>97.891756200000003</v>
      </c>
    </row>
    <row r="16" spans="1:9" s="37" customFormat="1">
      <c r="A16" s="36"/>
      <c r="B16" s="33">
        <v>41244</v>
      </c>
      <c r="C16" s="35" t="s">
        <v>1</v>
      </c>
      <c r="D16" s="54">
        <v>79.7</v>
      </c>
      <c r="E16" s="54">
        <v>84.119744824999998</v>
      </c>
      <c r="F16" s="54">
        <v>88.406534618000009</v>
      </c>
      <c r="G16" s="54">
        <v>92.434230656539995</v>
      </c>
      <c r="H16" s="54">
        <v>96.132415269670815</v>
      </c>
      <c r="I16" s="54">
        <v>97.6</v>
      </c>
    </row>
    <row r="17" spans="1:10">
      <c r="C17" s="276" t="s">
        <v>16</v>
      </c>
      <c r="D17" s="277"/>
      <c r="E17" s="30">
        <f>(E15-D15)/D15</f>
        <v>8.6549269389284464E-2</v>
      </c>
      <c r="F17" s="30">
        <f>(F15-E15)/E15</f>
        <v>5.00000000000001E-2</v>
      </c>
      <c r="G17" s="30">
        <f>(G15-F15)/F15</f>
        <v>2.9999999999999968E-2</v>
      </c>
      <c r="H17" s="30">
        <f>(H15-G15)/G15</f>
        <v>2.0000000000000014E-2</v>
      </c>
      <c r="I17" s="30">
        <f>(I15-H15)/H15</f>
        <v>1.9999999999999955E-2</v>
      </c>
    </row>
    <row r="18" spans="1:10">
      <c r="A18" s="272"/>
      <c r="B18" s="272"/>
      <c r="C18" s="272"/>
      <c r="D18" s="272"/>
      <c r="E18" s="272"/>
      <c r="F18" s="272"/>
      <c r="G18" s="272"/>
      <c r="H18" s="272"/>
      <c r="I18" s="272"/>
    </row>
    <row r="19" spans="1:10">
      <c r="A19" s="272" t="s">
        <v>18</v>
      </c>
      <c r="B19" s="12"/>
      <c r="C19" s="6"/>
      <c r="D19" s="31"/>
      <c r="E19" s="31"/>
      <c r="F19" s="31"/>
      <c r="G19" s="31"/>
      <c r="H19" s="31"/>
      <c r="I19" s="31"/>
    </row>
    <row r="20" spans="1:10">
      <c r="A20" s="272"/>
      <c r="B20" s="273">
        <v>41302</v>
      </c>
      <c r="C20" s="6" t="s">
        <v>2</v>
      </c>
      <c r="D20" s="38">
        <v>5</v>
      </c>
      <c r="E20" s="38">
        <v>4.8</v>
      </c>
      <c r="F20" s="38">
        <v>5.5</v>
      </c>
      <c r="G20" s="38">
        <v>5.6</v>
      </c>
      <c r="H20" s="38">
        <v>5.62</v>
      </c>
      <c r="I20" s="38">
        <v>5.67</v>
      </c>
    </row>
    <row r="21" spans="1:10">
      <c r="A21" s="272"/>
      <c r="B21" s="272"/>
      <c r="C21" s="42" t="s">
        <v>0</v>
      </c>
      <c r="D21" s="43">
        <v>4.9800000000000004</v>
      </c>
      <c r="E21" s="43">
        <v>4.54</v>
      </c>
      <c r="F21" s="43">
        <v>5.21</v>
      </c>
      <c r="G21" s="43">
        <v>5.63</v>
      </c>
      <c r="H21" s="43">
        <v>5.81</v>
      </c>
      <c r="I21" s="43">
        <v>6.25</v>
      </c>
    </row>
    <row r="22" spans="1:10">
      <c r="A22" s="272"/>
      <c r="B22" s="272"/>
      <c r="C22" s="44" t="s">
        <v>3</v>
      </c>
      <c r="D22" s="45">
        <v>4.99</v>
      </c>
      <c r="E22" s="45">
        <v>4.62</v>
      </c>
      <c r="F22" s="45">
        <v>5.57</v>
      </c>
      <c r="G22" s="45">
        <v>6.02</v>
      </c>
      <c r="H22" s="45">
        <v>5.59</v>
      </c>
      <c r="I22" s="45">
        <v>4.51</v>
      </c>
    </row>
    <row r="23" spans="1:10">
      <c r="A23" s="272"/>
      <c r="B23" s="272"/>
      <c r="C23" s="48" t="s">
        <v>1</v>
      </c>
      <c r="D23" s="49">
        <v>5</v>
      </c>
      <c r="E23" s="49">
        <v>4.5</v>
      </c>
      <c r="F23" s="49">
        <v>5.0999999999999996</v>
      </c>
      <c r="G23" s="49">
        <v>5.25</v>
      </c>
      <c r="H23" s="49">
        <f>G23+0.25</f>
        <v>5.5</v>
      </c>
      <c r="I23" s="49">
        <v>5.5</v>
      </c>
    </row>
    <row r="24" spans="1:10">
      <c r="A24" s="32"/>
      <c r="B24" s="40">
        <v>41244</v>
      </c>
      <c r="C24" s="35" t="s">
        <v>1</v>
      </c>
      <c r="D24" s="50">
        <v>5</v>
      </c>
      <c r="E24" s="50">
        <v>4.5</v>
      </c>
      <c r="F24" s="50">
        <v>5</v>
      </c>
      <c r="G24" s="50">
        <v>5.4</v>
      </c>
      <c r="H24" s="50">
        <v>5.6</v>
      </c>
      <c r="I24" s="50">
        <v>5.5</v>
      </c>
    </row>
    <row r="25" spans="1:10">
      <c r="C25" s="276" t="s">
        <v>16</v>
      </c>
      <c r="D25" s="277"/>
      <c r="E25" s="30">
        <f>(E24-D24)/D24</f>
        <v>-0.1</v>
      </c>
      <c r="F25" s="30">
        <f>(F24-E24)/E24</f>
        <v>0.1111111111111111</v>
      </c>
      <c r="G25" s="30">
        <f>(G24-F24)/F24</f>
        <v>8.0000000000000071E-2</v>
      </c>
      <c r="H25" s="30">
        <f>(H24-G24)/G24</f>
        <v>3.7037037037036903E-2</v>
      </c>
      <c r="I25" s="30">
        <f>(I24-H24)/H24</f>
        <v>-1.7857142857142794E-2</v>
      </c>
    </row>
    <row r="26" spans="1:10">
      <c r="A26" s="272"/>
      <c r="B26" s="272"/>
      <c r="C26" s="272"/>
      <c r="D26" s="272"/>
      <c r="E26" s="272"/>
      <c r="F26" s="272"/>
      <c r="G26" s="272"/>
      <c r="H26" s="272"/>
      <c r="I26" s="272"/>
    </row>
    <row r="27" spans="1:10" ht="15" customHeight="1">
      <c r="A27" s="278" t="s">
        <v>19</v>
      </c>
      <c r="B27" s="34"/>
      <c r="C27" s="6"/>
      <c r="D27" s="27"/>
      <c r="E27" s="27"/>
      <c r="F27" s="27"/>
      <c r="G27" s="27"/>
      <c r="H27" s="27"/>
      <c r="I27" s="27"/>
    </row>
    <row r="28" spans="1:10">
      <c r="A28" s="279"/>
      <c r="B28" s="273">
        <v>41302</v>
      </c>
      <c r="C28" s="6" t="s">
        <v>2</v>
      </c>
      <c r="D28" s="55">
        <v>1225.9000000000001</v>
      </c>
      <c r="E28" s="55">
        <v>1165.638412</v>
      </c>
      <c r="F28" s="55">
        <v>1124.439312</v>
      </c>
      <c r="G28" s="55">
        <v>1086.932761</v>
      </c>
      <c r="H28" s="55">
        <v>1050.841846</v>
      </c>
      <c r="I28" s="55">
        <v>1016.131819</v>
      </c>
    </row>
    <row r="29" spans="1:10">
      <c r="A29" s="279"/>
      <c r="B29" s="273"/>
      <c r="C29" s="42" t="s">
        <v>0</v>
      </c>
      <c r="D29" s="56">
        <v>1229</v>
      </c>
      <c r="E29" s="56">
        <v>1173</v>
      </c>
      <c r="F29" s="56">
        <v>1138</v>
      </c>
      <c r="G29" s="56">
        <v>1111</v>
      </c>
      <c r="H29" s="56">
        <v>1079</v>
      </c>
      <c r="I29" s="56">
        <v>1045</v>
      </c>
    </row>
    <row r="30" spans="1:10">
      <c r="A30" s="279"/>
      <c r="B30" s="273"/>
      <c r="C30" s="44" t="s">
        <v>3</v>
      </c>
      <c r="D30" s="57">
        <v>1225.8499999999999</v>
      </c>
      <c r="E30" s="57">
        <v>1167</v>
      </c>
      <c r="F30" s="57"/>
      <c r="G30" s="57"/>
      <c r="H30" s="57"/>
      <c r="I30" s="57"/>
    </row>
    <row r="31" spans="1:10">
      <c r="A31" s="280"/>
      <c r="B31" s="273"/>
      <c r="C31" s="48" t="s">
        <v>1</v>
      </c>
      <c r="D31" s="58">
        <v>1225.8499999999999</v>
      </c>
      <c r="E31" s="58">
        <v>1184.5870287874238</v>
      </c>
      <c r="F31" s="58">
        <v>1151.3778293463738</v>
      </c>
      <c r="G31" s="58">
        <v>1121.0332793283103</v>
      </c>
      <c r="H31" s="58">
        <v>1090.1407234210708</v>
      </c>
      <c r="I31" s="58">
        <v>1048</v>
      </c>
      <c r="J31" t="s">
        <v>20</v>
      </c>
    </row>
    <row r="32" spans="1:10">
      <c r="A32" s="32"/>
      <c r="B32" s="40">
        <v>41244</v>
      </c>
      <c r="C32" s="35" t="s">
        <v>1</v>
      </c>
      <c r="D32" s="59">
        <v>1228.5423506666664</v>
      </c>
      <c r="E32" s="59">
        <v>1184.5870287874238</v>
      </c>
      <c r="F32" s="59">
        <v>1151.3778293463738</v>
      </c>
      <c r="G32" s="59">
        <v>1121.0332793283103</v>
      </c>
      <c r="H32" s="59">
        <v>1090.1407234210708</v>
      </c>
      <c r="I32" s="59">
        <v>1048</v>
      </c>
    </row>
    <row r="33" spans="3:9">
      <c r="C33" s="276" t="s">
        <v>16</v>
      </c>
      <c r="D33" s="277"/>
      <c r="E33" s="30">
        <f>(E32-D32)/D32</f>
        <v>-3.5778434382331442E-2</v>
      </c>
      <c r="F33" s="30">
        <f>(F32-E32)/E32</f>
        <v>-2.8034410840243534E-2</v>
      </c>
      <c r="G33" s="30">
        <f>(G32-F32)/F32</f>
        <v>-2.635498899200605E-2</v>
      </c>
      <c r="H33" s="30">
        <f>(H32-G32)/G32</f>
        <v>-2.7557215719545284E-2</v>
      </c>
      <c r="I33" s="30">
        <f>(I32-H32)/H32</f>
        <v>-3.8656223472530331E-2</v>
      </c>
    </row>
  </sheetData>
  <mergeCells count="15">
    <mergeCell ref="A27:A31"/>
    <mergeCell ref="B28:B31"/>
    <mergeCell ref="C33:D33"/>
    <mergeCell ref="C17:D17"/>
    <mergeCell ref="A18:I18"/>
    <mergeCell ref="A19:A23"/>
    <mergeCell ref="B20:B23"/>
    <mergeCell ref="C25:D25"/>
    <mergeCell ref="A26:I26"/>
    <mergeCell ref="A2:A7"/>
    <mergeCell ref="B3:B7"/>
    <mergeCell ref="C9:D9"/>
    <mergeCell ref="A10:I10"/>
    <mergeCell ref="A11:A15"/>
    <mergeCell ref="B12:B15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pageSetUpPr fitToPage="1"/>
  </sheetPr>
  <dimension ref="A1:R73"/>
  <sheetViews>
    <sheetView zoomScale="160" zoomScaleNormal="160" workbookViewId="0">
      <pane xSplit="3" ySplit="1" topLeftCell="D2" activePane="bottomRight" state="frozen"/>
      <selection activeCell="I6" sqref="I6"/>
      <selection pane="topRight" activeCell="I6" sqref="I6"/>
      <selection pane="bottomLeft" activeCell="I6" sqref="I6"/>
      <selection pane="bottomRight" activeCell="I6" sqref="I6"/>
    </sheetView>
  </sheetViews>
  <sheetFormatPr defaultColWidth="9.28515625" defaultRowHeight="15"/>
  <cols>
    <col min="1" max="1" width="9.42578125" customWidth="1"/>
    <col min="2" max="2" width="7.5703125" bestFit="1" customWidth="1"/>
    <col min="3" max="3" width="12.42578125" customWidth="1"/>
    <col min="4" max="9" width="7.5703125" hidden="1" customWidth="1"/>
    <col min="10" max="10" width="9" hidden="1" customWidth="1"/>
    <col min="11" max="15" width="9" customWidth="1"/>
  </cols>
  <sheetData>
    <row r="1" spans="1:18" ht="34.5" customHeight="1">
      <c r="A1" s="8"/>
      <c r="B1" s="11"/>
      <c r="C1" s="133"/>
      <c r="D1" s="132" t="s">
        <v>17</v>
      </c>
      <c r="E1" s="132" t="s">
        <v>25</v>
      </c>
      <c r="F1" s="132" t="s">
        <v>73</v>
      </c>
      <c r="G1" s="132" t="s">
        <v>74</v>
      </c>
      <c r="H1" s="132" t="s">
        <v>75</v>
      </c>
      <c r="I1" s="132" t="s">
        <v>77</v>
      </c>
      <c r="J1" s="132" t="s">
        <v>81</v>
      </c>
      <c r="K1" s="132" t="s">
        <v>24</v>
      </c>
      <c r="L1" s="132" t="s">
        <v>27</v>
      </c>
      <c r="M1" s="132" t="s">
        <v>57</v>
      </c>
      <c r="N1" s="132" t="s">
        <v>76</v>
      </c>
      <c r="O1" s="132" t="s">
        <v>80</v>
      </c>
      <c r="P1" s="132" t="s">
        <v>82</v>
      </c>
    </row>
    <row r="2" spans="1:18">
      <c r="A2" s="284" t="s">
        <v>10</v>
      </c>
      <c r="B2" s="300">
        <v>43800</v>
      </c>
      <c r="C2" s="134" t="s">
        <v>4</v>
      </c>
      <c r="D2" s="135"/>
      <c r="E2" s="135"/>
      <c r="F2" s="135"/>
      <c r="G2" s="135"/>
      <c r="H2" s="135"/>
      <c r="I2" s="135">
        <v>44.74</v>
      </c>
      <c r="J2" s="135"/>
      <c r="K2" s="135">
        <v>51.51</v>
      </c>
      <c r="L2" s="135">
        <v>51.63</v>
      </c>
      <c r="M2" s="135">
        <v>47.86</v>
      </c>
      <c r="N2" s="135">
        <v>47.75</v>
      </c>
      <c r="O2" s="135">
        <v>49.93</v>
      </c>
      <c r="P2" s="135">
        <v>52.06</v>
      </c>
    </row>
    <row r="3" spans="1:18">
      <c r="A3" s="285"/>
      <c r="B3" s="301"/>
      <c r="C3" s="136" t="s">
        <v>2</v>
      </c>
      <c r="D3" s="137"/>
      <c r="E3" s="138"/>
      <c r="F3" s="138"/>
      <c r="G3" s="138"/>
      <c r="H3" s="138"/>
      <c r="I3" s="138">
        <v>44.76</v>
      </c>
      <c r="J3" s="138"/>
      <c r="K3" s="138">
        <v>51.63</v>
      </c>
      <c r="L3" s="138">
        <v>51.8</v>
      </c>
      <c r="M3" s="138">
        <v>48.27</v>
      </c>
      <c r="N3" s="138">
        <v>48.07</v>
      </c>
      <c r="O3" s="138">
        <v>50.29</v>
      </c>
      <c r="P3" s="138">
        <v>52.49</v>
      </c>
    </row>
    <row r="4" spans="1:18">
      <c r="A4" s="285"/>
      <c r="B4" s="301"/>
      <c r="C4" s="139" t="s">
        <v>0</v>
      </c>
      <c r="D4" s="140"/>
      <c r="E4" s="140"/>
      <c r="F4" s="140"/>
      <c r="G4" s="140"/>
      <c r="H4" s="140"/>
      <c r="I4" s="140">
        <v>44.75</v>
      </c>
      <c r="J4" s="140"/>
      <c r="K4" s="140">
        <v>51.21</v>
      </c>
      <c r="L4" s="140">
        <v>51.96</v>
      </c>
      <c r="M4" s="140">
        <v>52.73</v>
      </c>
      <c r="N4" s="140">
        <v>53.03</v>
      </c>
      <c r="O4" s="140">
        <v>53.12</v>
      </c>
      <c r="P4" s="140">
        <v>54.03</v>
      </c>
    </row>
    <row r="5" spans="1:18">
      <c r="A5" s="285"/>
      <c r="B5" s="301"/>
      <c r="C5" s="141" t="s">
        <v>3</v>
      </c>
      <c r="D5" s="142"/>
      <c r="E5" s="142"/>
      <c r="F5" s="142"/>
      <c r="G5" s="142"/>
      <c r="H5" s="142"/>
      <c r="I5" s="142">
        <v>44.39</v>
      </c>
      <c r="J5" s="142"/>
      <c r="K5" s="142">
        <v>51.51</v>
      </c>
      <c r="L5" s="142">
        <v>52.6</v>
      </c>
      <c r="M5" s="142">
        <v>50.29</v>
      </c>
      <c r="N5" s="142">
        <v>51.48</v>
      </c>
      <c r="O5" s="142">
        <v>53.63</v>
      </c>
      <c r="P5" s="142">
        <v>55.86</v>
      </c>
    </row>
    <row r="6" spans="1:18">
      <c r="A6" s="285"/>
      <c r="B6" s="302"/>
      <c r="C6" s="143" t="s">
        <v>1</v>
      </c>
      <c r="D6" s="144">
        <v>89.65</v>
      </c>
      <c r="E6" s="144">
        <v>85.82</v>
      </c>
      <c r="F6" s="144">
        <v>95.13</v>
      </c>
      <c r="G6" s="144">
        <v>60.67</v>
      </c>
      <c r="H6" s="144">
        <v>37.85</v>
      </c>
      <c r="I6" s="144">
        <f t="shared" ref="I6" si="0">+AVERAGE(I2:I5)</f>
        <v>44.66</v>
      </c>
      <c r="J6" s="144">
        <v>55.05</v>
      </c>
      <c r="K6" s="216">
        <f>AVERAGE(K2:K5)</f>
        <v>51.464999999999996</v>
      </c>
      <c r="L6" s="216">
        <f>AVERAGE(L2:L5)</f>
        <v>51.997500000000002</v>
      </c>
      <c r="M6" s="216">
        <v>50</v>
      </c>
      <c r="N6" s="216">
        <v>50</v>
      </c>
      <c r="O6" s="216">
        <v>52</v>
      </c>
      <c r="P6" s="216">
        <v>53</v>
      </c>
      <c r="Q6" t="s">
        <v>84</v>
      </c>
      <c r="R6" s="93"/>
    </row>
    <row r="7" spans="1:18">
      <c r="A7" s="285"/>
      <c r="B7" s="273">
        <v>43678</v>
      </c>
      <c r="C7" s="133" t="s">
        <v>1</v>
      </c>
      <c r="D7" s="138">
        <f>'Aug18'!D6</f>
        <v>89.65</v>
      </c>
      <c r="E7" s="138">
        <f>'Aug18'!E6</f>
        <v>85.82</v>
      </c>
      <c r="F7" s="138">
        <f>'Aug18'!F6</f>
        <v>95.13</v>
      </c>
      <c r="G7" s="138">
        <f>'Aug18'!G6</f>
        <v>60.67</v>
      </c>
      <c r="H7" s="138">
        <f>'Aug18'!H6</f>
        <v>37.85</v>
      </c>
      <c r="I7" s="138">
        <f>'Dec18'!I6</f>
        <v>44.66</v>
      </c>
      <c r="J7" s="138">
        <f>'Dec18'!J6</f>
        <v>55.05</v>
      </c>
      <c r="K7" s="138">
        <v>51.8</v>
      </c>
      <c r="L7" s="138">
        <v>52.5</v>
      </c>
      <c r="M7" s="138">
        <v>52</v>
      </c>
      <c r="N7" s="138">
        <v>52</v>
      </c>
      <c r="O7" s="138">
        <v>54</v>
      </c>
      <c r="P7" s="138">
        <v>55.5</v>
      </c>
      <c r="R7" s="93"/>
    </row>
    <row r="8" spans="1:18" hidden="1">
      <c r="A8" s="285"/>
      <c r="B8" s="272"/>
      <c r="C8" s="133" t="s">
        <v>1</v>
      </c>
      <c r="D8" s="138">
        <v>89.65</v>
      </c>
      <c r="E8" s="138">
        <v>85.82</v>
      </c>
      <c r="F8" s="138">
        <v>95.14</v>
      </c>
      <c r="G8" s="138">
        <v>71</v>
      </c>
      <c r="H8" s="138">
        <v>66</v>
      </c>
      <c r="I8" s="138">
        <v>72</v>
      </c>
      <c r="J8" s="138">
        <v>76</v>
      </c>
      <c r="K8" s="138">
        <v>80</v>
      </c>
      <c r="L8" s="138"/>
      <c r="M8" s="138"/>
    </row>
    <row r="9" spans="1:18" hidden="1">
      <c r="A9" s="285"/>
      <c r="B9" s="272"/>
      <c r="C9" s="133" t="s">
        <v>1</v>
      </c>
      <c r="D9" s="138">
        <v>89.65</v>
      </c>
      <c r="E9" s="138">
        <v>85.82</v>
      </c>
      <c r="F9" s="138">
        <v>95.75</v>
      </c>
      <c r="G9" s="138">
        <v>92</v>
      </c>
      <c r="H9" s="138">
        <v>88</v>
      </c>
      <c r="I9" s="138">
        <v>87</v>
      </c>
      <c r="J9" s="138">
        <v>86</v>
      </c>
      <c r="K9" s="138">
        <v>85</v>
      </c>
      <c r="L9" s="138"/>
      <c r="M9" s="138"/>
    </row>
    <row r="10" spans="1:18" hidden="1">
      <c r="A10" s="285"/>
      <c r="B10" s="272"/>
      <c r="C10" s="133" t="s">
        <v>1</v>
      </c>
      <c r="D10" s="138">
        <v>90</v>
      </c>
      <c r="E10" s="138">
        <v>87</v>
      </c>
      <c r="F10" s="138">
        <v>94</v>
      </c>
      <c r="G10" s="138">
        <v>87.5</v>
      </c>
      <c r="H10" s="138">
        <v>85</v>
      </c>
      <c r="I10" s="138">
        <v>84</v>
      </c>
      <c r="J10" s="138">
        <v>84</v>
      </c>
      <c r="K10" s="138"/>
      <c r="L10" s="138"/>
      <c r="M10" s="138"/>
    </row>
    <row r="11" spans="1:18" hidden="1">
      <c r="A11" s="285"/>
      <c r="B11" s="272"/>
      <c r="C11" s="133" t="s">
        <v>1</v>
      </c>
      <c r="D11" s="145">
        <v>90</v>
      </c>
      <c r="E11" s="145">
        <v>86.5</v>
      </c>
      <c r="F11" s="145">
        <v>88</v>
      </c>
      <c r="G11" s="145">
        <v>87.5</v>
      </c>
      <c r="H11" s="145">
        <v>87</v>
      </c>
      <c r="I11" s="145">
        <v>86.5</v>
      </c>
      <c r="J11" s="145"/>
      <c r="K11" s="145"/>
      <c r="L11" s="145"/>
      <c r="M11" s="145"/>
    </row>
    <row r="12" spans="1:18" hidden="1">
      <c r="A12" s="285"/>
      <c r="B12" s="33">
        <v>41244</v>
      </c>
      <c r="C12" s="133" t="s">
        <v>1</v>
      </c>
      <c r="D12" s="145">
        <v>89.640506965377526</v>
      </c>
      <c r="E12" s="145">
        <v>85</v>
      </c>
      <c r="F12" s="145">
        <v>84.75</v>
      </c>
      <c r="G12" s="145">
        <v>83.5</v>
      </c>
      <c r="H12" s="145">
        <v>82.5</v>
      </c>
      <c r="I12" s="145">
        <v>83</v>
      </c>
      <c r="J12" s="145">
        <v>83</v>
      </c>
      <c r="K12" s="145"/>
      <c r="L12" s="145"/>
      <c r="M12" s="145"/>
    </row>
    <row r="13" spans="1:18" hidden="1">
      <c r="A13" s="285"/>
      <c r="B13" s="33">
        <v>42217</v>
      </c>
      <c r="C13" s="292" t="s">
        <v>16</v>
      </c>
      <c r="D13" s="293"/>
      <c r="E13" s="146">
        <f t="shared" ref="E13:M13" si="1">+E6/D6-1</f>
        <v>-4.2721695482431765E-2</v>
      </c>
      <c r="F13" s="146">
        <f>+F6/E6-1</f>
        <v>0.10848287112561183</v>
      </c>
      <c r="G13" s="166">
        <f>+G6/F6-1</f>
        <v>-0.36224114369809735</v>
      </c>
      <c r="H13" s="146">
        <f t="shared" si="1"/>
        <v>-0.37613317949563208</v>
      </c>
      <c r="I13" s="146">
        <f t="shared" si="1"/>
        <v>0.17992073976221912</v>
      </c>
      <c r="J13" s="146">
        <f t="shared" si="1"/>
        <v>0.23264666368114639</v>
      </c>
      <c r="K13" s="146">
        <f t="shared" si="1"/>
        <v>-6.5122615803814732E-2</v>
      </c>
      <c r="L13" s="146">
        <f t="shared" si="1"/>
        <v>1.0346837656660002E-2</v>
      </c>
      <c r="M13" s="146">
        <f t="shared" si="1"/>
        <v>-3.8415308428289885E-2</v>
      </c>
    </row>
    <row r="14" spans="1:18" hidden="1">
      <c r="A14" s="285"/>
      <c r="B14" s="33">
        <v>42031</v>
      </c>
      <c r="C14" s="290" t="s">
        <v>16</v>
      </c>
      <c r="D14" s="291"/>
      <c r="E14" s="147">
        <f t="shared" ref="E14:K15" si="2">(E7-D7)/D7</f>
        <v>-4.2721695482431814E-2</v>
      </c>
      <c r="F14" s="147">
        <f t="shared" si="2"/>
        <v>0.10848287112561178</v>
      </c>
      <c r="G14" s="147">
        <f t="shared" si="2"/>
        <v>-0.36224114369809729</v>
      </c>
      <c r="H14" s="147">
        <f t="shared" si="2"/>
        <v>-0.37613317949563208</v>
      </c>
      <c r="I14" s="147">
        <f t="shared" si="2"/>
        <v>0.17992073976221915</v>
      </c>
      <c r="J14" s="147">
        <f t="shared" si="2"/>
        <v>0.23264666368114648</v>
      </c>
      <c r="K14" s="147">
        <f t="shared" si="2"/>
        <v>-5.903723887375114E-2</v>
      </c>
      <c r="L14" s="147"/>
      <c r="M14" s="147"/>
    </row>
    <row r="15" spans="1:18" hidden="1">
      <c r="A15" s="285"/>
      <c r="B15" s="33">
        <v>41974</v>
      </c>
      <c r="C15" s="290" t="s">
        <v>16</v>
      </c>
      <c r="D15" s="291"/>
      <c r="E15" s="147">
        <f t="shared" si="2"/>
        <v>-4.2721695482431814E-2</v>
      </c>
      <c r="F15" s="147">
        <f t="shared" si="2"/>
        <v>0.10859939408063397</v>
      </c>
      <c r="G15" s="147">
        <f t="shared" si="2"/>
        <v>-0.2537313432835821</v>
      </c>
      <c r="H15" s="147">
        <f t="shared" si="2"/>
        <v>-7.0422535211267609E-2</v>
      </c>
      <c r="I15" s="147">
        <f t="shared" si="2"/>
        <v>9.0909090909090912E-2</v>
      </c>
      <c r="J15" s="147">
        <f t="shared" si="2"/>
        <v>5.5555555555555552E-2</v>
      </c>
      <c r="K15" s="147"/>
      <c r="L15" s="147"/>
      <c r="M15" s="147"/>
    </row>
    <row r="16" spans="1:18" hidden="1">
      <c r="A16" s="286"/>
      <c r="B16" s="33">
        <v>41499</v>
      </c>
      <c r="C16" s="292" t="s">
        <v>16</v>
      </c>
      <c r="D16" s="293"/>
      <c r="E16" s="146">
        <f t="shared" ref="E16:J16" si="3">(E10-D10)/D10</f>
        <v>-3.3333333333333333E-2</v>
      </c>
      <c r="F16" s="146">
        <f t="shared" si="3"/>
        <v>8.0459770114942528E-2</v>
      </c>
      <c r="G16" s="146">
        <f t="shared" si="3"/>
        <v>-6.9148936170212769E-2</v>
      </c>
      <c r="H16" s="146">
        <f t="shared" si="3"/>
        <v>-2.8571428571428571E-2</v>
      </c>
      <c r="I16" s="146">
        <f t="shared" si="3"/>
        <v>-1.1764705882352941E-2</v>
      </c>
      <c r="J16" s="146">
        <f t="shared" si="3"/>
        <v>0</v>
      </c>
      <c r="K16" s="146"/>
      <c r="L16" s="146"/>
      <c r="M16" s="146"/>
    </row>
    <row r="17" spans="1:18">
      <c r="A17" s="65"/>
      <c r="B17" s="65"/>
      <c r="C17" s="65"/>
      <c r="D17" s="65"/>
      <c r="E17" s="65"/>
      <c r="F17" s="65"/>
      <c r="G17" s="126"/>
      <c r="H17" s="128"/>
      <c r="I17" s="128"/>
      <c r="J17" s="128"/>
      <c r="K17" s="128"/>
      <c r="L17" s="128"/>
      <c r="M17" s="128"/>
    </row>
    <row r="18" spans="1:18">
      <c r="A18" s="281" t="s">
        <v>12</v>
      </c>
      <c r="B18" s="273">
        <v>43800</v>
      </c>
      <c r="C18" s="136" t="s">
        <v>2</v>
      </c>
      <c r="D18" s="148"/>
      <c r="E18" s="148"/>
      <c r="F18" s="148"/>
      <c r="G18" s="148"/>
      <c r="H18" s="148"/>
      <c r="I18" s="148">
        <v>155.96</v>
      </c>
      <c r="J18" s="148"/>
      <c r="K18" s="148">
        <v>300.08999999999997</v>
      </c>
      <c r="L18" s="148">
        <v>356.68</v>
      </c>
      <c r="M18" s="148">
        <v>364.58</v>
      </c>
      <c r="N18" s="148">
        <v>366.25</v>
      </c>
      <c r="O18" s="148">
        <v>375.69</v>
      </c>
      <c r="P18" s="148">
        <v>387.11</v>
      </c>
    </row>
    <row r="19" spans="1:18">
      <c r="A19" s="281"/>
      <c r="B19" s="272"/>
      <c r="C19" s="139" t="s">
        <v>0</v>
      </c>
      <c r="D19" s="149"/>
      <c r="E19" s="149"/>
      <c r="F19" s="149"/>
      <c r="G19" s="149"/>
      <c r="H19" s="149"/>
      <c r="I19" s="149"/>
      <c r="J19" s="149"/>
      <c r="K19" s="149">
        <v>300.61</v>
      </c>
      <c r="L19" s="149">
        <v>336.82</v>
      </c>
      <c r="M19" s="149">
        <v>353.21</v>
      </c>
      <c r="N19" s="149">
        <v>369.59</v>
      </c>
      <c r="O19" s="149">
        <v>385.99</v>
      </c>
      <c r="P19" s="149">
        <v>402.38</v>
      </c>
    </row>
    <row r="20" spans="1:18">
      <c r="A20" s="281"/>
      <c r="B20" s="272"/>
      <c r="C20" s="141" t="s">
        <v>3</v>
      </c>
      <c r="D20" s="151"/>
      <c r="E20" s="151"/>
      <c r="F20" s="151"/>
      <c r="G20" s="151"/>
      <c r="H20" s="151"/>
      <c r="I20" s="151">
        <v>155.9</v>
      </c>
      <c r="J20" s="151"/>
      <c r="K20" s="151">
        <v>300.608</v>
      </c>
      <c r="L20" s="151">
        <v>348.64</v>
      </c>
      <c r="M20" s="151">
        <v>362.58300000000003</v>
      </c>
      <c r="N20" s="151">
        <v>366.34100000000001</v>
      </c>
      <c r="O20" s="151">
        <v>373.59699999999998</v>
      </c>
      <c r="P20" s="151">
        <v>383.70100000000002</v>
      </c>
      <c r="R20">
        <f>L20*1000000/365</f>
        <v>955178.08219178079</v>
      </c>
    </row>
    <row r="21" spans="1:18">
      <c r="A21" s="281"/>
      <c r="B21" s="272"/>
      <c r="C21" s="143" t="s">
        <v>1</v>
      </c>
      <c r="D21" s="152">
        <v>80.3</v>
      </c>
      <c r="E21" s="152">
        <v>96.4</v>
      </c>
      <c r="F21" s="153">
        <v>113.9</v>
      </c>
      <c r="G21" s="153">
        <v>141.4</v>
      </c>
      <c r="H21" s="153">
        <v>146.69999999999999</v>
      </c>
      <c r="I21" s="153">
        <v>153</v>
      </c>
      <c r="J21" s="206">
        <f>J22</f>
        <v>204.40600000000003</v>
      </c>
      <c r="K21" s="209">
        <f t="shared" ref="K21" si="4">AVERAGE(K18:K20)</f>
        <v>300.43599999999998</v>
      </c>
      <c r="L21" s="209">
        <v>350</v>
      </c>
      <c r="M21" s="209">
        <v>360</v>
      </c>
      <c r="N21" s="209">
        <v>365</v>
      </c>
      <c r="O21" s="209">
        <v>375</v>
      </c>
      <c r="P21" s="209">
        <v>385</v>
      </c>
    </row>
    <row r="22" spans="1:18">
      <c r="A22" s="281"/>
      <c r="B22" s="33">
        <v>43678</v>
      </c>
      <c r="C22" s="133" t="s">
        <v>1</v>
      </c>
      <c r="D22" s="154">
        <f>'Aug18'!D21</f>
        <v>80.3</v>
      </c>
      <c r="E22" s="154">
        <f>'Aug18'!E21</f>
        <v>96.4</v>
      </c>
      <c r="F22" s="154">
        <f>'Aug18'!F21</f>
        <v>113.9</v>
      </c>
      <c r="G22" s="154">
        <f>'Aug18'!G21</f>
        <v>141.4</v>
      </c>
      <c r="H22" s="154">
        <f>'Aug18'!H21</f>
        <v>146.69999999999999</v>
      </c>
      <c r="I22" s="154">
        <f>'Dec18'!I21</f>
        <v>153</v>
      </c>
      <c r="J22" s="154">
        <f>'Dec18'!J21</f>
        <v>204.40600000000003</v>
      </c>
      <c r="K22" s="154">
        <v>298.09999999999997</v>
      </c>
      <c r="L22" s="154">
        <v>356.28666666666663</v>
      </c>
      <c r="M22" s="154">
        <v>399.59666666666664</v>
      </c>
      <c r="N22" s="154">
        <v>438.26</v>
      </c>
      <c r="O22" s="154">
        <v>474.99666666666667</v>
      </c>
      <c r="P22" s="154">
        <v>512.82333333333327</v>
      </c>
    </row>
    <row r="23" spans="1:18" hidden="1">
      <c r="A23" s="281"/>
      <c r="B23" s="33">
        <v>41974</v>
      </c>
      <c r="C23" s="133" t="s">
        <v>1</v>
      </c>
      <c r="D23" s="154">
        <v>80.3</v>
      </c>
      <c r="E23" s="154">
        <v>96.4</v>
      </c>
      <c r="F23" s="154">
        <v>113.4</v>
      </c>
      <c r="G23" s="154">
        <v>122</v>
      </c>
      <c r="H23" s="154">
        <v>127</v>
      </c>
      <c r="I23" s="154">
        <v>131</v>
      </c>
      <c r="J23" s="154">
        <v>133</v>
      </c>
      <c r="K23" s="154">
        <v>135</v>
      </c>
      <c r="L23" s="154"/>
      <c r="M23" s="154"/>
      <c r="N23" s="154"/>
      <c r="O23" s="154"/>
      <c r="P23" s="154"/>
    </row>
    <row r="24" spans="1:18" hidden="1">
      <c r="A24" s="281"/>
      <c r="B24" s="33">
        <v>41852</v>
      </c>
      <c r="C24" s="133" t="s">
        <v>1</v>
      </c>
      <c r="D24" s="154">
        <v>80.3</v>
      </c>
      <c r="E24" s="154">
        <v>96.4</v>
      </c>
      <c r="F24" s="154">
        <v>110</v>
      </c>
      <c r="G24" s="154">
        <v>117</v>
      </c>
      <c r="H24" s="154">
        <v>122</v>
      </c>
      <c r="I24" s="154">
        <v>125</v>
      </c>
      <c r="J24" s="154">
        <v>127</v>
      </c>
      <c r="K24" s="154">
        <v>129</v>
      </c>
      <c r="L24" s="154"/>
      <c r="M24" s="154"/>
      <c r="N24" s="154"/>
      <c r="O24" s="154"/>
      <c r="P24" s="154"/>
    </row>
    <row r="25" spans="1:18" hidden="1">
      <c r="A25" s="281"/>
      <c r="B25" s="33">
        <v>41499</v>
      </c>
      <c r="C25" s="133" t="s">
        <v>1</v>
      </c>
      <c r="D25" s="154">
        <v>80.069999999999993</v>
      </c>
      <c r="E25" s="154">
        <v>90</v>
      </c>
      <c r="F25" s="154">
        <v>93</v>
      </c>
      <c r="G25" s="154">
        <v>97</v>
      </c>
      <c r="H25" s="154">
        <v>100</v>
      </c>
      <c r="I25" s="154">
        <v>101</v>
      </c>
      <c r="J25" s="154">
        <v>102</v>
      </c>
      <c r="K25" s="154"/>
      <c r="L25" s="154"/>
      <c r="M25" s="154"/>
      <c r="N25" s="154"/>
      <c r="O25" s="154"/>
      <c r="P25" s="154"/>
    </row>
    <row r="26" spans="1:18" hidden="1">
      <c r="A26" s="281"/>
      <c r="B26" s="33">
        <v>41317</v>
      </c>
      <c r="C26" s="133" t="s">
        <v>1</v>
      </c>
      <c r="D26" s="155">
        <v>80.099999999999994</v>
      </c>
      <c r="E26" s="155">
        <v>87</v>
      </c>
      <c r="F26" s="155">
        <v>91.4</v>
      </c>
      <c r="G26" s="155">
        <v>94.1</v>
      </c>
      <c r="H26" s="155">
        <v>96</v>
      </c>
      <c r="I26" s="155">
        <v>97.9</v>
      </c>
      <c r="J26" s="155"/>
      <c r="K26" s="155"/>
      <c r="L26" s="155"/>
      <c r="M26" s="155"/>
      <c r="N26" s="155"/>
      <c r="O26" s="155"/>
      <c r="P26" s="155"/>
    </row>
    <row r="27" spans="1:18" hidden="1">
      <c r="A27" s="281"/>
      <c r="B27" s="33">
        <v>41244</v>
      </c>
      <c r="C27" s="133" t="s">
        <v>1</v>
      </c>
      <c r="D27" s="155">
        <v>79.7</v>
      </c>
      <c r="E27" s="155">
        <v>84.119744824999998</v>
      </c>
      <c r="F27" s="155">
        <v>88.406534618000009</v>
      </c>
      <c r="G27" s="155">
        <v>92.434230656539995</v>
      </c>
      <c r="H27" s="155">
        <v>96.132415269670815</v>
      </c>
      <c r="I27" s="155">
        <v>97.6</v>
      </c>
      <c r="J27" s="155">
        <v>97.6</v>
      </c>
      <c r="K27" s="155"/>
      <c r="L27" s="155"/>
      <c r="M27" s="155"/>
      <c r="N27" s="155"/>
      <c r="O27" s="155"/>
      <c r="P27" s="155"/>
    </row>
    <row r="28" spans="1:18">
      <c r="A28" s="281"/>
      <c r="B28" s="33">
        <f>B18</f>
        <v>43800</v>
      </c>
      <c r="C28" s="292" t="s">
        <v>16</v>
      </c>
      <c r="D28" s="293"/>
      <c r="E28" s="167">
        <f t="shared" ref="E28:K29" si="5">(E21-D21)/D21</f>
        <v>0.20049813200498143</v>
      </c>
      <c r="F28" s="167">
        <f>(F21-E21)/E21</f>
        <v>0.18153526970954356</v>
      </c>
      <c r="G28" s="167">
        <f t="shared" si="5"/>
        <v>0.24143985952589991</v>
      </c>
      <c r="H28" s="167">
        <f t="shared" si="5"/>
        <v>3.7482319660537361E-2</v>
      </c>
      <c r="I28" s="167">
        <f>(I21-H21)/H21</f>
        <v>4.2944785276073698E-2</v>
      </c>
      <c r="J28" s="167">
        <f>(J21-I21)/I21</f>
        <v>0.33598692810457537</v>
      </c>
      <c r="K28" s="167">
        <f t="shared" si="5"/>
        <v>0.46980029940412671</v>
      </c>
      <c r="L28" s="167">
        <f>(L21-K21)/K21</f>
        <v>0.16497357174240113</v>
      </c>
      <c r="M28" s="167">
        <f>(M21-L21)/L21</f>
        <v>2.8571428571428571E-2</v>
      </c>
      <c r="N28" s="167">
        <f>(N21-M21)/M21</f>
        <v>1.3888888888888888E-2</v>
      </c>
      <c r="O28" s="167">
        <f>(O21-N21)/N21</f>
        <v>2.7397260273972601E-2</v>
      </c>
      <c r="P28" s="167">
        <f>(P21-O21)/O21</f>
        <v>2.6666666666666668E-2</v>
      </c>
    </row>
    <row r="29" spans="1:18">
      <c r="A29" s="281"/>
      <c r="B29" s="33">
        <f>B7</f>
        <v>43678</v>
      </c>
      <c r="C29" s="290" t="s">
        <v>16</v>
      </c>
      <c r="D29" s="291"/>
      <c r="E29" s="168">
        <f>(E22-D22)/D22</f>
        <v>0.20049813200498143</v>
      </c>
      <c r="F29" s="168">
        <f t="shared" ref="F29:P30" si="6">(F22-E22)/E22</f>
        <v>0.18153526970954356</v>
      </c>
      <c r="G29" s="168">
        <f>(G22-F22)/F22</f>
        <v>0.24143985952589991</v>
      </c>
      <c r="H29" s="168">
        <f t="shared" si="5"/>
        <v>3.7482319660537361E-2</v>
      </c>
      <c r="I29" s="168">
        <f>(I22-H22)/H22</f>
        <v>4.2944785276073698E-2</v>
      </c>
      <c r="J29" s="168">
        <f t="shared" si="5"/>
        <v>0.33598692810457537</v>
      </c>
      <c r="K29" s="168">
        <v>0.45837206344236431</v>
      </c>
      <c r="L29" s="168">
        <f>+L22/K22-1</f>
        <v>0.19519177009951916</v>
      </c>
      <c r="M29" s="168">
        <f t="shared" ref="M29:P29" si="7">+M22/L22-1</f>
        <v>0.12155941844582085</v>
      </c>
      <c r="N29" s="168">
        <f t="shared" si="7"/>
        <v>9.6755895527990798E-2</v>
      </c>
      <c r="O29" s="168">
        <f t="shared" si="7"/>
        <v>8.3823909703524491E-2</v>
      </c>
      <c r="P29" s="168">
        <f t="shared" si="7"/>
        <v>7.9635646565940688E-2</v>
      </c>
    </row>
    <row r="30" spans="1:18" hidden="1">
      <c r="A30" s="281"/>
      <c r="B30" s="33">
        <v>41974</v>
      </c>
      <c r="C30" s="290" t="s">
        <v>16</v>
      </c>
      <c r="D30" s="291"/>
      <c r="E30" s="147">
        <f>(E23-D23)/D23</f>
        <v>0.20049813200498143</v>
      </c>
      <c r="F30" s="147">
        <f t="shared" si="6"/>
        <v>0.17634854771784231</v>
      </c>
      <c r="G30" s="147">
        <f t="shared" si="6"/>
        <v>7.5837742504409111E-2</v>
      </c>
      <c r="H30" s="147">
        <f t="shared" si="6"/>
        <v>4.0983606557377046E-2</v>
      </c>
      <c r="I30" s="147">
        <f t="shared" si="6"/>
        <v>3.1496062992125984E-2</v>
      </c>
      <c r="J30" s="147">
        <f t="shared" si="6"/>
        <v>1.5267175572519083E-2</v>
      </c>
      <c r="K30" s="147">
        <f t="shared" si="6"/>
        <v>1.5037593984962405E-2</v>
      </c>
      <c r="L30" s="147">
        <f t="shared" si="6"/>
        <v>-1</v>
      </c>
      <c r="M30" s="147" t="e">
        <f t="shared" si="6"/>
        <v>#DIV/0!</v>
      </c>
      <c r="N30" s="147" t="e">
        <f t="shared" si="6"/>
        <v>#DIV/0!</v>
      </c>
      <c r="O30" s="147" t="e">
        <f t="shared" si="6"/>
        <v>#DIV/0!</v>
      </c>
      <c r="P30" s="147" t="e">
        <f t="shared" si="6"/>
        <v>#DIV/0!</v>
      </c>
    </row>
    <row r="31" spans="1:18" hidden="1">
      <c r="A31" s="281"/>
      <c r="B31" s="33">
        <v>41499</v>
      </c>
      <c r="C31" s="292" t="s">
        <v>16</v>
      </c>
      <c r="D31" s="293"/>
      <c r="E31" s="146">
        <f t="shared" ref="E31:J31" si="8">(E25-D25)/D25</f>
        <v>0.12401648557512186</v>
      </c>
      <c r="F31" s="146">
        <f t="shared" si="8"/>
        <v>3.3333333333333333E-2</v>
      </c>
      <c r="G31" s="146">
        <f t="shared" si="8"/>
        <v>4.3010752688172046E-2</v>
      </c>
      <c r="H31" s="146">
        <f t="shared" si="8"/>
        <v>3.0927835051546393E-2</v>
      </c>
      <c r="I31" s="146">
        <f t="shared" si="8"/>
        <v>0.01</v>
      </c>
      <c r="J31" s="146">
        <f t="shared" si="8"/>
        <v>9.9009900990099011E-3</v>
      </c>
      <c r="K31" s="146"/>
      <c r="L31" s="146"/>
      <c r="M31" s="146"/>
      <c r="N31" s="146"/>
      <c r="O31" s="146"/>
      <c r="P31" s="146"/>
    </row>
    <row r="32" spans="1:18">
      <c r="A32" s="106"/>
      <c r="B32" s="107"/>
      <c r="C32" s="156"/>
      <c r="D32" s="156"/>
      <c r="E32" s="157"/>
      <c r="F32" s="157"/>
      <c r="G32" s="158"/>
      <c r="H32" s="158"/>
      <c r="I32" s="158"/>
      <c r="J32" s="158"/>
      <c r="K32" s="158"/>
      <c r="L32" s="158"/>
      <c r="M32" s="158"/>
      <c r="N32" s="158"/>
      <c r="O32" s="158"/>
      <c r="P32" s="158"/>
    </row>
    <row r="33" spans="1:17">
      <c r="A33" s="298" t="s">
        <v>18</v>
      </c>
      <c r="B33" s="300">
        <v>43800</v>
      </c>
      <c r="C33" s="134" t="s">
        <v>4</v>
      </c>
      <c r="D33" s="135"/>
      <c r="E33" s="135"/>
      <c r="F33" s="135"/>
      <c r="G33" s="135"/>
      <c r="H33" s="135"/>
      <c r="I33" s="135">
        <v>3.24</v>
      </c>
      <c r="J33" s="135"/>
      <c r="K33" s="135"/>
      <c r="L33" s="135">
        <v>1.85</v>
      </c>
      <c r="M33" s="135">
        <v>1.82</v>
      </c>
      <c r="N33" s="135"/>
      <c r="O33" s="135"/>
      <c r="P33" s="135"/>
    </row>
    <row r="34" spans="1:17" ht="15" customHeight="1">
      <c r="A34" s="299"/>
      <c r="B34" s="301"/>
      <c r="C34" s="136" t="s">
        <v>2</v>
      </c>
      <c r="D34" s="159"/>
      <c r="E34" s="159"/>
      <c r="F34" s="159"/>
      <c r="G34" s="159"/>
      <c r="H34" s="159"/>
      <c r="I34" s="159">
        <v>3.24</v>
      </c>
      <c r="J34" s="159"/>
      <c r="K34" s="210">
        <v>3.08</v>
      </c>
      <c r="L34" s="210">
        <v>2.2599999999999998</v>
      </c>
      <c r="M34" s="210">
        <v>2.46</v>
      </c>
      <c r="N34" s="210">
        <v>2.62</v>
      </c>
      <c r="O34" s="210">
        <v>2.69</v>
      </c>
      <c r="P34" s="210">
        <v>2.78</v>
      </c>
    </row>
    <row r="35" spans="1:17">
      <c r="A35" s="299"/>
      <c r="B35" s="301"/>
      <c r="C35" s="139" t="s">
        <v>0</v>
      </c>
      <c r="D35" s="140"/>
      <c r="E35" s="140"/>
      <c r="F35" s="140"/>
      <c r="G35" s="140"/>
      <c r="H35" s="140"/>
      <c r="I35" s="140">
        <v>3.25</v>
      </c>
      <c r="J35" s="140"/>
      <c r="K35" s="140">
        <v>3.08</v>
      </c>
      <c r="L35" s="140">
        <v>2.3199999999999998</v>
      </c>
      <c r="M35" s="140">
        <v>2.5099999999999998</v>
      </c>
      <c r="N35" s="140">
        <v>2.56</v>
      </c>
      <c r="O35" s="140">
        <v>2.63</v>
      </c>
      <c r="P35" s="140">
        <v>2.73</v>
      </c>
    </row>
    <row r="36" spans="1:17">
      <c r="A36" s="299"/>
      <c r="B36" s="301"/>
      <c r="C36" s="141" t="s">
        <v>3</v>
      </c>
      <c r="D36" s="142"/>
      <c r="E36" s="142"/>
      <c r="F36" s="142"/>
      <c r="G36" s="142"/>
      <c r="H36" s="142"/>
      <c r="I36" s="142">
        <v>3.22</v>
      </c>
      <c r="J36" s="142"/>
      <c r="K36" s="142">
        <v>3.08</v>
      </c>
      <c r="L36" s="142">
        <v>2.09</v>
      </c>
      <c r="M36" s="142">
        <v>2.09</v>
      </c>
      <c r="N36" s="142">
        <v>2.2000000000000002</v>
      </c>
      <c r="O36" s="142">
        <v>2.69</v>
      </c>
      <c r="P36" s="142">
        <v>2.86</v>
      </c>
    </row>
    <row r="37" spans="1:17">
      <c r="A37" s="299"/>
      <c r="B37" s="302"/>
      <c r="C37" s="143" t="s">
        <v>1</v>
      </c>
      <c r="D37" s="144">
        <v>5.01</v>
      </c>
      <c r="E37" s="144">
        <v>4.38</v>
      </c>
      <c r="F37" s="144">
        <v>5.14</v>
      </c>
      <c r="G37" s="144">
        <v>3.78</v>
      </c>
      <c r="H37" s="144">
        <v>2.42</v>
      </c>
      <c r="I37" s="144">
        <f t="shared" ref="I37" si="9">+AVERAGE(I33:I36)</f>
        <v>3.2375000000000003</v>
      </c>
      <c r="J37" s="144" t="e">
        <f t="shared" ref="J37" si="10">AVERAGE(J33:J36)</f>
        <v>#DIV/0!</v>
      </c>
      <c r="K37" s="216">
        <f>AVERAGE(K33:K36)</f>
        <v>3.08</v>
      </c>
      <c r="L37" s="216">
        <v>2.1</v>
      </c>
      <c r="M37" s="216">
        <v>2.25</v>
      </c>
      <c r="N37" s="216">
        <v>2.5</v>
      </c>
      <c r="O37" s="216">
        <v>2.5</v>
      </c>
      <c r="P37" s="216">
        <v>2.5</v>
      </c>
      <c r="Q37" t="s">
        <v>85</v>
      </c>
    </row>
    <row r="38" spans="1:17">
      <c r="A38" s="299"/>
      <c r="B38" s="33">
        <v>43678</v>
      </c>
      <c r="C38" s="133" t="s">
        <v>1</v>
      </c>
      <c r="D38" s="138">
        <f>'Aug18'!D37</f>
        <v>5.01</v>
      </c>
      <c r="E38" s="138">
        <f>'Aug18'!E37</f>
        <v>4.38</v>
      </c>
      <c r="F38" s="138">
        <f>'Aug18'!F37</f>
        <v>5.14</v>
      </c>
      <c r="G38" s="138">
        <f>'Aug18'!G37</f>
        <v>3.78</v>
      </c>
      <c r="H38" s="138">
        <f>'Aug18'!H37</f>
        <v>2.42</v>
      </c>
      <c r="I38" s="138">
        <f>'Dec18'!I37</f>
        <v>3.2375000000000003</v>
      </c>
      <c r="J38" s="138">
        <f>'Dec18'!J37</f>
        <v>3.5142500000000001</v>
      </c>
      <c r="K38" s="138">
        <v>3.05</v>
      </c>
      <c r="L38" s="138">
        <v>2</v>
      </c>
      <c r="M38" s="138">
        <v>2.25</v>
      </c>
      <c r="N38" s="138">
        <v>2.5</v>
      </c>
      <c r="O38" s="138">
        <v>2.5</v>
      </c>
      <c r="P38" s="138">
        <v>2.5</v>
      </c>
    </row>
    <row r="39" spans="1:17" ht="15" hidden="1" customHeight="1">
      <c r="A39" s="204"/>
      <c r="B39" s="33"/>
      <c r="C39" s="133" t="s">
        <v>1</v>
      </c>
      <c r="D39" s="138">
        <v>5.01</v>
      </c>
      <c r="E39" s="138">
        <v>4.38</v>
      </c>
      <c r="F39" s="138">
        <v>5.13</v>
      </c>
      <c r="G39" s="138">
        <v>4.9000000000000004</v>
      </c>
      <c r="H39" s="138">
        <v>4.9000000000000004</v>
      </c>
      <c r="I39" s="138">
        <v>4.95</v>
      </c>
      <c r="J39" s="138">
        <v>5.0999999999999996</v>
      </c>
      <c r="K39" s="138">
        <v>5.2</v>
      </c>
      <c r="L39" s="138"/>
      <c r="M39" s="138"/>
    </row>
    <row r="40" spans="1:17" ht="15" hidden="1" customHeight="1">
      <c r="A40" s="204"/>
      <c r="B40" s="33"/>
      <c r="C40" s="133" t="s">
        <v>1</v>
      </c>
      <c r="D40" s="138">
        <v>5.01</v>
      </c>
      <c r="E40" s="138">
        <v>4.38</v>
      </c>
      <c r="F40" s="138">
        <v>5.15</v>
      </c>
      <c r="G40" s="138">
        <v>5.2</v>
      </c>
      <c r="H40" s="138">
        <v>5.25</v>
      </c>
      <c r="I40" s="138">
        <v>5.3</v>
      </c>
      <c r="J40" s="138">
        <v>5.35</v>
      </c>
      <c r="K40" s="138">
        <v>5.4</v>
      </c>
      <c r="L40" s="138"/>
      <c r="M40" s="138"/>
    </row>
    <row r="41" spans="1:17" ht="15" hidden="1" customHeight="1">
      <c r="A41" s="204"/>
      <c r="B41" s="33"/>
      <c r="C41" s="133" t="s">
        <v>1</v>
      </c>
      <c r="D41" s="138">
        <v>5</v>
      </c>
      <c r="E41" s="138">
        <v>4.5</v>
      </c>
      <c r="F41" s="138">
        <v>5</v>
      </c>
      <c r="G41" s="138">
        <v>5.4</v>
      </c>
      <c r="H41" s="138">
        <v>5.5</v>
      </c>
      <c r="I41" s="138">
        <v>5.5</v>
      </c>
      <c r="J41" s="138">
        <v>5.5</v>
      </c>
      <c r="K41" s="138"/>
      <c r="L41" s="138"/>
      <c r="M41" s="138"/>
    </row>
    <row r="42" spans="1:17" ht="15" hidden="1" customHeight="1">
      <c r="A42" s="204"/>
      <c r="B42" s="33">
        <v>41317</v>
      </c>
      <c r="C42" s="133" t="s">
        <v>1</v>
      </c>
      <c r="D42" s="145">
        <v>5</v>
      </c>
      <c r="E42" s="145">
        <v>4.5</v>
      </c>
      <c r="F42" s="145">
        <v>5.0999999999999996</v>
      </c>
      <c r="G42" s="145">
        <v>5.25</v>
      </c>
      <c r="H42" s="145">
        <v>5.5</v>
      </c>
      <c r="I42" s="145">
        <v>5.5</v>
      </c>
      <c r="J42" s="145"/>
      <c r="K42" s="145"/>
      <c r="L42" s="145"/>
      <c r="M42" s="145"/>
    </row>
    <row r="43" spans="1:17" ht="15" hidden="1" customHeight="1">
      <c r="A43" s="204"/>
      <c r="B43" s="33">
        <v>41244</v>
      </c>
      <c r="C43" s="133" t="s">
        <v>1</v>
      </c>
      <c r="D43" s="145">
        <v>5</v>
      </c>
      <c r="E43" s="145">
        <v>4.5</v>
      </c>
      <c r="F43" s="145">
        <v>5</v>
      </c>
      <c r="G43" s="145">
        <v>5.4</v>
      </c>
      <c r="H43" s="145">
        <v>5.6</v>
      </c>
      <c r="I43" s="145">
        <v>5.5</v>
      </c>
      <c r="J43" s="145">
        <v>5.5</v>
      </c>
      <c r="K43" s="145"/>
      <c r="L43" s="145"/>
      <c r="M43" s="145"/>
    </row>
    <row r="44" spans="1:17" ht="15" hidden="1" customHeight="1">
      <c r="A44" s="204"/>
      <c r="B44" s="33">
        <v>42217</v>
      </c>
      <c r="C44" s="292" t="s">
        <v>16</v>
      </c>
      <c r="D44" s="293"/>
      <c r="E44" s="146">
        <f t="shared" ref="E44:M46" si="11">(E37-D37)/D37</f>
        <v>-0.12574850299401197</v>
      </c>
      <c r="F44" s="146">
        <f t="shared" si="11"/>
        <v>0.17351598173515978</v>
      </c>
      <c r="G44" s="146">
        <f t="shared" si="11"/>
        <v>-0.26459143968871596</v>
      </c>
      <c r="H44" s="146">
        <f t="shared" si="11"/>
        <v>-0.35978835978835977</v>
      </c>
      <c r="I44" s="146">
        <f t="shared" si="11"/>
        <v>0.33780991735537202</v>
      </c>
      <c r="J44" s="146" t="e">
        <f t="shared" si="11"/>
        <v>#DIV/0!</v>
      </c>
      <c r="K44" s="146" t="e">
        <f t="shared" si="11"/>
        <v>#DIV/0!</v>
      </c>
      <c r="L44" s="146">
        <f t="shared" si="11"/>
        <v>-0.31818181818181818</v>
      </c>
      <c r="M44" s="146">
        <f t="shared" si="11"/>
        <v>7.1428571428571383E-2</v>
      </c>
    </row>
    <row r="45" spans="1:17" ht="15" hidden="1" customHeight="1">
      <c r="A45" s="204"/>
      <c r="B45" s="33">
        <f>B29</f>
        <v>43678</v>
      </c>
      <c r="C45" s="290" t="s">
        <v>16</v>
      </c>
      <c r="D45" s="291"/>
      <c r="E45" s="147">
        <f t="shared" si="11"/>
        <v>-0.12574850299401197</v>
      </c>
      <c r="F45" s="147">
        <f t="shared" si="11"/>
        <v>0.17351598173515978</v>
      </c>
      <c r="G45" s="147">
        <f t="shared" si="11"/>
        <v>-0.26459143968871596</v>
      </c>
      <c r="H45" s="147">
        <f t="shared" si="11"/>
        <v>-0.35978835978835977</v>
      </c>
      <c r="I45" s="147">
        <f t="shared" si="11"/>
        <v>0.33780991735537202</v>
      </c>
      <c r="J45" s="147">
        <f t="shared" si="11"/>
        <v>8.5482625482625418E-2</v>
      </c>
      <c r="K45" s="147">
        <f t="shared" si="11"/>
        <v>-0.13210500106708409</v>
      </c>
      <c r="L45" s="147"/>
      <c r="M45" s="147"/>
    </row>
    <row r="46" spans="1:17" ht="15" hidden="1" customHeight="1">
      <c r="A46" s="204"/>
      <c r="B46" s="33">
        <v>41974</v>
      </c>
      <c r="C46" s="290" t="s">
        <v>16</v>
      </c>
      <c r="D46" s="291"/>
      <c r="E46" s="147">
        <f t="shared" si="11"/>
        <v>-0.12574850299401197</v>
      </c>
      <c r="F46" s="147">
        <f t="shared" si="11"/>
        <v>0.17123287671232876</v>
      </c>
      <c r="G46" s="147">
        <f t="shared" si="11"/>
        <v>-4.4834307992202643E-2</v>
      </c>
      <c r="H46" s="147">
        <f t="shared" si="11"/>
        <v>0</v>
      </c>
      <c r="I46" s="147">
        <f t="shared" si="11"/>
        <v>1.0204081632653024E-2</v>
      </c>
      <c r="J46" s="147">
        <f t="shared" si="11"/>
        <v>3.0303030303030193E-2</v>
      </c>
      <c r="K46" s="147">
        <f t="shared" si="11"/>
        <v>1.9607843137255009E-2</v>
      </c>
      <c r="L46" s="147">
        <f t="shared" si="11"/>
        <v>-1</v>
      </c>
      <c r="M46" s="147" t="e">
        <f t="shared" si="11"/>
        <v>#DIV/0!</v>
      </c>
    </row>
    <row r="47" spans="1:17" ht="15" hidden="1" customHeight="1">
      <c r="A47" s="205"/>
      <c r="B47" s="33">
        <v>41499</v>
      </c>
      <c r="C47" s="292" t="s">
        <v>16</v>
      </c>
      <c r="D47" s="293"/>
      <c r="E47" s="146">
        <f t="shared" ref="E47:J47" si="12">(E41-D41)/D41</f>
        <v>-0.1</v>
      </c>
      <c r="F47" s="146">
        <f t="shared" si="12"/>
        <v>0.1111111111111111</v>
      </c>
      <c r="G47" s="146">
        <f t="shared" si="12"/>
        <v>8.0000000000000071E-2</v>
      </c>
      <c r="H47" s="146">
        <f t="shared" si="12"/>
        <v>1.8518518518518452E-2</v>
      </c>
      <c r="I47" s="146">
        <f t="shared" si="12"/>
        <v>0</v>
      </c>
      <c r="J47" s="146">
        <f t="shared" si="12"/>
        <v>0</v>
      </c>
      <c r="K47" s="146"/>
      <c r="L47" s="146"/>
      <c r="M47" s="146"/>
    </row>
    <row r="48" spans="1:17">
      <c r="A48" s="65"/>
      <c r="B48" s="65"/>
      <c r="C48" s="65"/>
      <c r="D48" s="76"/>
      <c r="E48" s="76"/>
      <c r="F48" s="76"/>
      <c r="G48" s="130"/>
      <c r="H48" s="130"/>
      <c r="I48" s="130"/>
      <c r="J48" s="130"/>
      <c r="K48" s="130"/>
      <c r="L48" s="130"/>
      <c r="M48" s="130"/>
    </row>
    <row r="49" spans="1:18">
      <c r="A49" s="287" t="s">
        <v>19</v>
      </c>
      <c r="B49" s="273">
        <v>43800</v>
      </c>
      <c r="C49" s="136" t="s">
        <v>2</v>
      </c>
      <c r="D49" s="160"/>
      <c r="E49" s="161"/>
      <c r="F49" s="161"/>
      <c r="G49" s="161"/>
      <c r="H49" s="161"/>
      <c r="I49" s="161">
        <v>1235.7</v>
      </c>
      <c r="J49" s="161"/>
      <c r="K49" s="161">
        <v>1562.25</v>
      </c>
      <c r="L49" s="161"/>
      <c r="M49" s="161"/>
      <c r="N49" s="161"/>
      <c r="O49" s="161"/>
      <c r="P49" s="161"/>
    </row>
    <row r="50" spans="1:18">
      <c r="A50" s="288"/>
      <c r="B50" s="272"/>
      <c r="C50" s="139" t="s">
        <v>0</v>
      </c>
      <c r="D50" s="162"/>
      <c r="E50" s="162"/>
      <c r="F50" s="162"/>
      <c r="G50" s="162"/>
      <c r="H50" s="162"/>
      <c r="I50" s="162"/>
      <c r="J50" s="162"/>
      <c r="K50" s="215">
        <v>1562</v>
      </c>
      <c r="L50" s="215">
        <v>1546.4226585239148</v>
      </c>
      <c r="M50" s="215">
        <v>1583.106111693653</v>
      </c>
      <c r="N50" s="215">
        <v>1634.7262960128182</v>
      </c>
      <c r="O50" s="215">
        <v>1663.2414499964229</v>
      </c>
      <c r="P50" s="215">
        <v>1677.9917609476868</v>
      </c>
      <c r="R50">
        <f>+L50/K50-1</f>
        <v>-9.9726898054322E-3</v>
      </c>
    </row>
    <row r="51" spans="1:18">
      <c r="A51" s="288"/>
      <c r="B51" s="272"/>
      <c r="C51" s="141" t="s">
        <v>3</v>
      </c>
      <c r="D51" s="163"/>
      <c r="E51" s="163"/>
      <c r="F51" s="163"/>
      <c r="G51" s="163"/>
      <c r="H51" s="163"/>
      <c r="I51" s="163">
        <v>1235.5999999999999</v>
      </c>
      <c r="J51" s="163"/>
      <c r="K51" s="163">
        <v>1562.2</v>
      </c>
      <c r="L51" s="163">
        <v>1577.2301560350536</v>
      </c>
      <c r="M51" s="163">
        <v>1583.5155339844016</v>
      </c>
      <c r="N51" s="163">
        <v>1577.1263268270711</v>
      </c>
      <c r="O51" s="163">
        <v>1574.8990265675102</v>
      </c>
      <c r="P51" s="163">
        <v>1577.2377576065426</v>
      </c>
      <c r="R51">
        <f>+L51/K51-1</f>
        <v>9.6211471226819167E-3</v>
      </c>
    </row>
    <row r="52" spans="1:18">
      <c r="A52" s="288"/>
      <c r="B52" s="272"/>
      <c r="C52" s="143" t="s">
        <v>1</v>
      </c>
      <c r="D52" s="152">
        <v>1227</v>
      </c>
      <c r="E52" s="152">
        <v>1177.5</v>
      </c>
      <c r="F52" s="153">
        <v>1184.7</v>
      </c>
      <c r="G52" s="153">
        <v>1184.8</v>
      </c>
      <c r="H52" s="153">
        <v>1175</v>
      </c>
      <c r="I52" s="153">
        <f>(+AVERAGE(I49:I51))</f>
        <v>1235.6500000000001</v>
      </c>
      <c r="J52" s="206">
        <v>1361</v>
      </c>
      <c r="K52" s="214">
        <f>AVERAGE(K49:K51)</f>
        <v>1562.1499999999999</v>
      </c>
      <c r="L52" s="214">
        <v>1610</v>
      </c>
      <c r="M52" s="214">
        <f t="shared" ref="M52:O52" si="13">L52*(1+M59)</f>
        <v>1625.4313099041533</v>
      </c>
      <c r="N52" s="214">
        <v>1650</v>
      </c>
      <c r="O52" s="214">
        <f t="shared" si="13"/>
        <v>1665.4205607476633</v>
      </c>
      <c r="P52" s="214">
        <v>1675</v>
      </c>
      <c r="Q52" t="s">
        <v>85</v>
      </c>
    </row>
    <row r="53" spans="1:18">
      <c r="A53" s="288"/>
      <c r="B53" s="273">
        <v>43678</v>
      </c>
      <c r="C53" s="133" t="s">
        <v>1</v>
      </c>
      <c r="D53" s="160">
        <f>'Aug18'!D52</f>
        <v>1227</v>
      </c>
      <c r="E53" s="160">
        <f>'Aug18'!E52</f>
        <v>1177.5</v>
      </c>
      <c r="F53" s="160">
        <f>'Aug18'!F52</f>
        <v>1184.7</v>
      </c>
      <c r="G53" s="160">
        <f>'Aug18'!G52</f>
        <v>1184.8</v>
      </c>
      <c r="H53" s="160">
        <f>'Aug18'!H52</f>
        <v>1175</v>
      </c>
      <c r="I53" s="160">
        <f>'Dec18'!I52</f>
        <v>1235.6500000000001</v>
      </c>
      <c r="J53" s="160">
        <f>'Dec18'!J52</f>
        <v>1361</v>
      </c>
      <c r="K53" s="160">
        <v>1575</v>
      </c>
      <c r="L53" s="160">
        <v>1661.625</v>
      </c>
      <c r="M53" s="160">
        <v>1744.7062500000002</v>
      </c>
      <c r="N53" s="160">
        <v>1831.9415625000004</v>
      </c>
      <c r="O53" s="160">
        <v>1914.3789328125004</v>
      </c>
      <c r="P53" s="160">
        <v>2000.5259847890627</v>
      </c>
    </row>
    <row r="54" spans="1:18" hidden="1">
      <c r="A54" s="288"/>
      <c r="B54" s="272"/>
      <c r="C54" s="133" t="s">
        <v>1</v>
      </c>
      <c r="D54" s="160">
        <v>1227</v>
      </c>
      <c r="E54" s="160">
        <v>1177.5</v>
      </c>
      <c r="F54" s="160">
        <v>1187.3</v>
      </c>
      <c r="G54" s="160">
        <v>1181</v>
      </c>
      <c r="H54" s="160">
        <v>1150</v>
      </c>
      <c r="I54" s="160">
        <v>1118</v>
      </c>
      <c r="J54" s="160">
        <v>1088</v>
      </c>
      <c r="K54" s="160">
        <v>1052</v>
      </c>
      <c r="L54" s="160"/>
      <c r="M54" s="160"/>
      <c r="N54" s="160"/>
      <c r="O54" s="160"/>
      <c r="P54" s="160"/>
    </row>
    <row r="55" spans="1:18" hidden="1">
      <c r="A55" s="288"/>
      <c r="B55" s="272"/>
      <c r="C55" s="133" t="s">
        <v>1</v>
      </c>
      <c r="D55" s="160">
        <v>1227</v>
      </c>
      <c r="E55" s="160">
        <v>1177.5</v>
      </c>
      <c r="F55" s="160">
        <v>1170</v>
      </c>
      <c r="G55" s="160">
        <v>1158.3</v>
      </c>
      <c r="H55" s="160">
        <v>1123.5509999999999</v>
      </c>
      <c r="I55" s="160">
        <v>1089.84447</v>
      </c>
      <c r="J55" s="160">
        <v>1057.1491358999999</v>
      </c>
      <c r="K55" s="160">
        <v>1025.4346618229999</v>
      </c>
      <c r="L55" s="160"/>
      <c r="M55" s="160"/>
      <c r="N55" s="160"/>
      <c r="O55" s="160"/>
      <c r="P55" s="160"/>
    </row>
    <row r="56" spans="1:18" hidden="1">
      <c r="A56" s="288"/>
      <c r="B56" s="272"/>
      <c r="C56" s="133" t="s">
        <v>1</v>
      </c>
      <c r="D56" s="160">
        <v>1225.8499999999999</v>
      </c>
      <c r="E56" s="160">
        <v>1165</v>
      </c>
      <c r="F56" s="160">
        <v>1110</v>
      </c>
      <c r="G56" s="160">
        <v>1070</v>
      </c>
      <c r="H56" s="160">
        <v>1030</v>
      </c>
      <c r="I56" s="160">
        <v>1000</v>
      </c>
      <c r="J56" s="160">
        <v>960</v>
      </c>
      <c r="K56" s="165"/>
      <c r="L56" s="165"/>
      <c r="M56" s="165"/>
      <c r="N56" s="165"/>
      <c r="O56" s="165"/>
      <c r="P56" s="165"/>
    </row>
    <row r="57" spans="1:18" hidden="1">
      <c r="A57" s="288"/>
      <c r="B57" s="33">
        <v>41317</v>
      </c>
      <c r="C57" s="133" t="s">
        <v>1</v>
      </c>
      <c r="D57" s="165">
        <v>1226</v>
      </c>
      <c r="E57" s="165">
        <v>1185</v>
      </c>
      <c r="F57" s="165">
        <v>1151</v>
      </c>
      <c r="G57" s="165">
        <v>1121</v>
      </c>
      <c r="H57" s="165">
        <v>1090.1407234210708</v>
      </c>
      <c r="I57" s="165">
        <v>1048</v>
      </c>
      <c r="J57" s="165"/>
      <c r="K57" s="165"/>
      <c r="L57" s="165"/>
      <c r="M57" s="165"/>
      <c r="N57" s="165"/>
      <c r="O57" s="165"/>
      <c r="P57" s="165"/>
    </row>
    <row r="58" spans="1:18" hidden="1">
      <c r="A58" s="288"/>
      <c r="B58" s="33">
        <v>41244</v>
      </c>
      <c r="C58" s="133" t="s">
        <v>1</v>
      </c>
      <c r="D58" s="165">
        <v>1228.5423506666664</v>
      </c>
      <c r="E58" s="165">
        <v>1184.5870287874238</v>
      </c>
      <c r="F58" s="165">
        <v>1151.3778293463738</v>
      </c>
      <c r="G58" s="165">
        <v>1121.0332793283103</v>
      </c>
      <c r="H58" s="165">
        <v>1090.1407234210708</v>
      </c>
      <c r="I58" s="165">
        <v>1048</v>
      </c>
      <c r="J58" s="165">
        <v>1048</v>
      </c>
      <c r="K58" s="165"/>
      <c r="L58" s="165"/>
      <c r="M58" s="165"/>
      <c r="N58" s="165"/>
      <c r="O58" s="165"/>
      <c r="P58" s="165"/>
    </row>
    <row r="59" spans="1:18">
      <c r="A59" s="288"/>
      <c r="B59" s="33">
        <f>B49</f>
        <v>43800</v>
      </c>
      <c r="C59" s="292" t="s">
        <v>16</v>
      </c>
      <c r="D59" s="293"/>
      <c r="E59" s="167">
        <f t="shared" ref="E59:M61" si="14">(E52-D52)/D52</f>
        <v>-4.0342298288508556E-2</v>
      </c>
      <c r="F59" s="167">
        <f t="shared" si="14"/>
        <v>6.1146496815287013E-3</v>
      </c>
      <c r="G59" s="167">
        <f>(G52-F52)/F52</f>
        <v>8.4409555161567526E-5</v>
      </c>
      <c r="H59" s="167">
        <f t="shared" si="14"/>
        <v>-8.2714382174206239E-3</v>
      </c>
      <c r="I59" s="167">
        <f t="shared" si="14"/>
        <v>5.1617021276595822E-2</v>
      </c>
      <c r="J59" s="167">
        <f t="shared" si="14"/>
        <v>0.10144458382227969</v>
      </c>
      <c r="K59" s="167">
        <f t="shared" si="14"/>
        <v>0.14779573842762664</v>
      </c>
      <c r="L59" s="167">
        <v>0.03</v>
      </c>
      <c r="M59" s="167">
        <v>9.5846645367412137E-3</v>
      </c>
      <c r="N59" s="167">
        <v>1.5822784810126583E-2</v>
      </c>
      <c r="O59" s="167">
        <v>9.3457943925233638E-3</v>
      </c>
      <c r="P59" s="167">
        <v>6.1728395061728392E-3</v>
      </c>
    </row>
    <row r="60" spans="1:18">
      <c r="A60" s="288"/>
      <c r="B60" s="33">
        <f>B45</f>
        <v>43678</v>
      </c>
      <c r="C60" s="290" t="s">
        <v>16</v>
      </c>
      <c r="D60" s="291"/>
      <c r="E60" s="168">
        <f>(E53-D53)/D53</f>
        <v>-4.0342298288508556E-2</v>
      </c>
      <c r="F60" s="168">
        <f t="shared" si="14"/>
        <v>6.1146496815287013E-3</v>
      </c>
      <c r="G60" s="168">
        <f>(G53-F53)/F53</f>
        <v>8.4409555161567526E-5</v>
      </c>
      <c r="H60" s="168">
        <f t="shared" si="14"/>
        <v>-8.2714382174206239E-3</v>
      </c>
      <c r="I60" s="168">
        <f t="shared" si="14"/>
        <v>5.1617021276595822E-2</v>
      </c>
      <c r="J60" s="168">
        <f t="shared" si="14"/>
        <v>0.10144458382227969</v>
      </c>
      <c r="K60" s="168">
        <v>0.15723732549595884</v>
      </c>
      <c r="L60" s="168">
        <f>+L53/K53-1</f>
        <v>5.4999999999999938E-2</v>
      </c>
      <c r="M60" s="168">
        <f t="shared" ref="M60:P60" si="15">+M53/L53-1</f>
        <v>5.0000000000000044E-2</v>
      </c>
      <c r="N60" s="168">
        <f t="shared" si="15"/>
        <v>5.0000000000000044E-2</v>
      </c>
      <c r="O60" s="168">
        <f t="shared" si="15"/>
        <v>4.4999999999999929E-2</v>
      </c>
      <c r="P60" s="168">
        <f t="shared" si="15"/>
        <v>4.4999999999999929E-2</v>
      </c>
    </row>
    <row r="61" spans="1:18" hidden="1">
      <c r="A61" s="288"/>
      <c r="B61" s="33">
        <v>41974</v>
      </c>
      <c r="C61" s="290" t="s">
        <v>16</v>
      </c>
      <c r="D61" s="291"/>
      <c r="E61" s="147">
        <f>(E54-D54)/D54</f>
        <v>-4.0342298288508556E-2</v>
      </c>
      <c r="F61" s="147">
        <f t="shared" si="14"/>
        <v>8.3227176220806408E-3</v>
      </c>
      <c r="G61" s="147">
        <f t="shared" si="14"/>
        <v>-5.3061568264128316E-3</v>
      </c>
      <c r="H61" s="147">
        <f t="shared" si="14"/>
        <v>-2.6248941574936496E-2</v>
      </c>
      <c r="I61" s="147">
        <f t="shared" si="14"/>
        <v>-2.782608695652174E-2</v>
      </c>
      <c r="J61" s="147">
        <f t="shared" si="14"/>
        <v>-2.6833631484794274E-2</v>
      </c>
      <c r="K61" s="147">
        <f t="shared" si="14"/>
        <v>-3.3088235294117647E-2</v>
      </c>
      <c r="L61" s="147">
        <f t="shared" si="14"/>
        <v>-1</v>
      </c>
      <c r="M61" s="147" t="e">
        <f t="shared" si="14"/>
        <v>#DIV/0!</v>
      </c>
    </row>
    <row r="62" spans="1:18" hidden="1">
      <c r="A62" s="289"/>
      <c r="B62" s="33">
        <v>41499</v>
      </c>
      <c r="C62" s="292" t="s">
        <v>16</v>
      </c>
      <c r="D62" s="293"/>
      <c r="E62" s="146">
        <f t="shared" ref="E62:J62" si="16">(E56-D56)/D56</f>
        <v>-4.9639025981971625E-2</v>
      </c>
      <c r="F62" s="146">
        <f t="shared" si="16"/>
        <v>-4.7210300429184553E-2</v>
      </c>
      <c r="G62" s="146">
        <f t="shared" si="16"/>
        <v>-3.6036036036036036E-2</v>
      </c>
      <c r="H62" s="146">
        <f t="shared" si="16"/>
        <v>-3.7383177570093455E-2</v>
      </c>
      <c r="I62" s="146">
        <f t="shared" si="16"/>
        <v>-2.9126213592233011E-2</v>
      </c>
      <c r="J62" s="146">
        <f t="shared" si="16"/>
        <v>-0.04</v>
      </c>
      <c r="K62" s="146"/>
      <c r="L62" s="146"/>
      <c r="M62" s="146"/>
    </row>
    <row r="63" spans="1:18">
      <c r="A63" s="108"/>
      <c r="B63" s="13"/>
      <c r="F63" s="112"/>
      <c r="G63" s="112"/>
      <c r="H63" s="112"/>
      <c r="I63" s="112"/>
      <c r="J63" s="112"/>
      <c r="K63" s="112"/>
      <c r="L63" s="112"/>
      <c r="M63" s="112"/>
    </row>
    <row r="64" spans="1:18">
      <c r="A64" s="9"/>
      <c r="B64" s="13"/>
      <c r="E64" s="94"/>
      <c r="F64" s="94"/>
      <c r="G64" s="112"/>
      <c r="H64" s="112"/>
      <c r="I64" s="112"/>
      <c r="J64" s="112"/>
      <c r="K64" s="112"/>
      <c r="L64" s="112"/>
      <c r="M64" s="112"/>
      <c r="N64" s="112"/>
      <c r="O64" s="112"/>
      <c r="P64" s="112"/>
    </row>
    <row r="65" spans="1:16">
      <c r="A65" s="9"/>
      <c r="B65" s="13"/>
      <c r="E65" s="94"/>
      <c r="F65" s="94"/>
      <c r="G65" s="94"/>
      <c r="H65" s="112"/>
      <c r="I65" s="112"/>
      <c r="J65" s="112"/>
      <c r="K65" s="112"/>
      <c r="L65" s="112">
        <f t="shared" ref="L65:P66" si="17">L50/K50-1</f>
        <v>-9.9726898054322E-3</v>
      </c>
      <c r="M65" s="112">
        <f t="shared" si="17"/>
        <v>2.372149228901832E-2</v>
      </c>
      <c r="N65" s="112">
        <f t="shared" si="17"/>
        <v>3.2606901039590186E-2</v>
      </c>
      <c r="O65" s="112">
        <f t="shared" si="17"/>
        <v>1.7443381227276067E-2</v>
      </c>
      <c r="P65" s="112">
        <f t="shared" si="17"/>
        <v>8.8684123109699087E-3</v>
      </c>
    </row>
    <row r="66" spans="1:16">
      <c r="A66" s="9"/>
      <c r="B66" s="13"/>
      <c r="L66" s="112">
        <f t="shared" si="17"/>
        <v>9.6211471226819167E-3</v>
      </c>
      <c r="M66" s="112">
        <f t="shared" si="17"/>
        <v>3.985073405614159E-3</v>
      </c>
      <c r="N66" s="112">
        <f t="shared" si="17"/>
        <v>-4.0348244271745104E-3</v>
      </c>
      <c r="O66" s="112">
        <f t="shared" si="17"/>
        <v>-1.4122522854855823E-3</v>
      </c>
      <c r="P66" s="112">
        <f t="shared" si="17"/>
        <v>1.4850037999767363E-3</v>
      </c>
    </row>
    <row r="67" spans="1:16">
      <c r="A67" s="9"/>
      <c r="B67" s="13"/>
      <c r="L67" s="213">
        <f>AVERAGE(L64:L66)</f>
        <v>-1.7577134137514161E-4</v>
      </c>
      <c r="M67" s="213">
        <f t="shared" ref="M67:P67" si="18">AVERAGE(M64:M66)</f>
        <v>1.3853282847316239E-2</v>
      </c>
      <c r="N67" s="213">
        <f t="shared" si="18"/>
        <v>1.4286038306207838E-2</v>
      </c>
      <c r="O67" s="213">
        <f t="shared" si="18"/>
        <v>8.0155644708952423E-3</v>
      </c>
      <c r="P67" s="213">
        <f t="shared" si="18"/>
        <v>5.1767080554733225E-3</v>
      </c>
    </row>
    <row r="68" spans="1:16">
      <c r="A68" s="9"/>
      <c r="B68" s="13"/>
    </row>
    <row r="69" spans="1:16">
      <c r="A69" s="9"/>
      <c r="B69" s="13"/>
    </row>
    <row r="70" spans="1:16">
      <c r="A70" s="9"/>
      <c r="B70" s="13"/>
    </row>
    <row r="71" spans="1:16">
      <c r="A71" s="9"/>
      <c r="B71" s="13"/>
    </row>
    <row r="72" spans="1:16">
      <c r="A72" s="9"/>
      <c r="B72" s="13"/>
    </row>
    <row r="73" spans="1:16">
      <c r="A73" s="9"/>
      <c r="B73" s="13"/>
    </row>
  </sheetData>
  <mergeCells count="26">
    <mergeCell ref="A49:A62"/>
    <mergeCell ref="B49:B52"/>
    <mergeCell ref="C59:D59"/>
    <mergeCell ref="C60:D60"/>
    <mergeCell ref="C61:D61"/>
    <mergeCell ref="C62:D62"/>
    <mergeCell ref="B53:B56"/>
    <mergeCell ref="C47:D47"/>
    <mergeCell ref="A18:A31"/>
    <mergeCell ref="B18:B21"/>
    <mergeCell ref="C28:D28"/>
    <mergeCell ref="C29:D29"/>
    <mergeCell ref="C30:D30"/>
    <mergeCell ref="C31:D31"/>
    <mergeCell ref="A33:A38"/>
    <mergeCell ref="B33:B37"/>
    <mergeCell ref="C44:D44"/>
    <mergeCell ref="C45:D45"/>
    <mergeCell ref="C46:D46"/>
    <mergeCell ref="A2:A16"/>
    <mergeCell ref="B2:B6"/>
    <mergeCell ref="B7:B11"/>
    <mergeCell ref="C13:D13"/>
    <mergeCell ref="C14:D14"/>
    <mergeCell ref="C15:D15"/>
    <mergeCell ref="C16:D16"/>
  </mergeCells>
  <pageMargins left="0.5" right="0.17" top="0.63" bottom="0.75" header="0.3" footer="0.3"/>
  <pageSetup orientation="landscape"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pageSetUpPr fitToPage="1"/>
  </sheetPr>
  <dimension ref="A1:R73"/>
  <sheetViews>
    <sheetView zoomScale="160" zoomScaleNormal="160" workbookViewId="0">
      <pane xSplit="3" ySplit="1" topLeftCell="K7" activePane="bottomRight" state="frozen"/>
      <selection activeCell="I6" sqref="I6"/>
      <selection pane="topRight" activeCell="I6" sqref="I6"/>
      <selection pane="bottomLeft" activeCell="I6" sqref="I6"/>
      <selection pane="bottomRight" activeCell="I6" sqref="I6"/>
    </sheetView>
  </sheetViews>
  <sheetFormatPr defaultColWidth="9.28515625" defaultRowHeight="15"/>
  <cols>
    <col min="1" max="1" width="9.42578125" customWidth="1"/>
    <col min="2" max="2" width="7.5703125" bestFit="1" customWidth="1"/>
    <col min="3" max="3" width="12.42578125" customWidth="1"/>
    <col min="4" max="9" width="7.5703125" hidden="1" customWidth="1"/>
    <col min="10" max="10" width="9" hidden="1" customWidth="1"/>
    <col min="11" max="15" width="9" customWidth="1"/>
  </cols>
  <sheetData>
    <row r="1" spans="1:18" ht="34.5" customHeight="1">
      <c r="A1" s="8"/>
      <c r="B1" s="11"/>
      <c r="C1" s="133"/>
      <c r="D1" s="132" t="s">
        <v>17</v>
      </c>
      <c r="E1" s="132" t="s">
        <v>25</v>
      </c>
      <c r="F1" s="132" t="s">
        <v>73</v>
      </c>
      <c r="G1" s="132" t="s">
        <v>74</v>
      </c>
      <c r="H1" s="132" t="s">
        <v>75</v>
      </c>
      <c r="I1" s="132" t="s">
        <v>77</v>
      </c>
      <c r="J1" s="132" t="s">
        <v>81</v>
      </c>
      <c r="K1" s="132" t="s">
        <v>24</v>
      </c>
      <c r="L1" s="132" t="s">
        <v>27</v>
      </c>
      <c r="M1" s="132" t="s">
        <v>57</v>
      </c>
      <c r="N1" s="132" t="s">
        <v>76</v>
      </c>
      <c r="O1" s="132" t="s">
        <v>80</v>
      </c>
      <c r="P1" s="132" t="s">
        <v>82</v>
      </c>
    </row>
    <row r="2" spans="1:18">
      <c r="A2" s="284" t="s">
        <v>10</v>
      </c>
      <c r="B2" s="300">
        <v>43831</v>
      </c>
      <c r="C2" s="134" t="s">
        <v>4</v>
      </c>
      <c r="D2" s="135"/>
      <c r="E2" s="135"/>
      <c r="F2" s="135"/>
      <c r="G2" s="135"/>
      <c r="H2" s="135"/>
      <c r="I2" s="135">
        <v>44.74</v>
      </c>
      <c r="J2" s="135"/>
      <c r="K2" s="135"/>
      <c r="L2" s="135">
        <v>54.28</v>
      </c>
      <c r="M2" s="135">
        <v>50.75</v>
      </c>
      <c r="N2" s="135">
        <v>47.41</v>
      </c>
      <c r="O2" s="135">
        <v>49.47</v>
      </c>
      <c r="P2" s="135">
        <v>51.67</v>
      </c>
    </row>
    <row r="3" spans="1:18">
      <c r="A3" s="285"/>
      <c r="B3" s="301"/>
      <c r="C3" s="136" t="s">
        <v>2</v>
      </c>
      <c r="D3" s="137"/>
      <c r="E3" s="138"/>
      <c r="F3" s="138"/>
      <c r="G3" s="138"/>
      <c r="H3" s="138"/>
      <c r="I3" s="138">
        <v>44.76</v>
      </c>
      <c r="J3" s="138"/>
      <c r="K3" s="138">
        <v>51.62</v>
      </c>
      <c r="L3" s="138">
        <v>53.72</v>
      </c>
      <c r="M3" s="138">
        <v>50.01</v>
      </c>
      <c r="N3" s="138">
        <v>49.29</v>
      </c>
      <c r="O3" s="138">
        <v>49.44</v>
      </c>
      <c r="P3" s="138">
        <v>51.73</v>
      </c>
    </row>
    <row r="4" spans="1:18">
      <c r="A4" s="285"/>
      <c r="B4" s="301"/>
      <c r="C4" s="139" t="s">
        <v>0</v>
      </c>
      <c r="D4" s="140"/>
      <c r="E4" s="140"/>
      <c r="F4" s="140"/>
      <c r="G4" s="140"/>
      <c r="H4" s="140"/>
      <c r="I4" s="140">
        <v>44.75</v>
      </c>
      <c r="J4" s="140"/>
      <c r="K4" s="140"/>
      <c r="L4" s="140">
        <v>53.17</v>
      </c>
      <c r="M4" s="140">
        <v>53.31</v>
      </c>
      <c r="N4" s="140">
        <v>53.76</v>
      </c>
      <c r="O4" s="140">
        <v>53.91</v>
      </c>
      <c r="P4" s="140">
        <v>54.77</v>
      </c>
    </row>
    <row r="5" spans="1:18">
      <c r="A5" s="285"/>
      <c r="B5" s="301"/>
      <c r="C5" s="141" t="s">
        <v>3</v>
      </c>
      <c r="D5" s="142"/>
      <c r="E5" s="142"/>
      <c r="F5" s="142"/>
      <c r="G5" s="142"/>
      <c r="H5" s="142"/>
      <c r="I5" s="142">
        <v>44.39</v>
      </c>
      <c r="J5" s="142"/>
      <c r="K5" s="142"/>
      <c r="L5" s="142">
        <v>53.28</v>
      </c>
      <c r="M5" s="142">
        <v>50.88</v>
      </c>
      <c r="N5" s="142">
        <v>49.74</v>
      </c>
      <c r="O5" s="142">
        <v>49.46</v>
      </c>
      <c r="P5" s="142">
        <v>51.79</v>
      </c>
    </row>
    <row r="6" spans="1:18">
      <c r="A6" s="285"/>
      <c r="B6" s="302"/>
      <c r="C6" s="143" t="s">
        <v>1</v>
      </c>
      <c r="D6" s="144">
        <v>89.65</v>
      </c>
      <c r="E6" s="144">
        <v>85.82</v>
      </c>
      <c r="F6" s="144">
        <v>95.13</v>
      </c>
      <c r="G6" s="144">
        <v>60.67</v>
      </c>
      <c r="H6" s="144">
        <v>37.85</v>
      </c>
      <c r="I6" s="144">
        <f t="shared" ref="I6" si="0">+AVERAGE(I2:I5)</f>
        <v>44.66</v>
      </c>
      <c r="J6" s="144">
        <v>55.05</v>
      </c>
      <c r="K6" s="216">
        <f>AVERAGE(K2:K5)</f>
        <v>51.62</v>
      </c>
      <c r="L6" s="216">
        <v>53.5</v>
      </c>
      <c r="M6" s="216">
        <v>51</v>
      </c>
      <c r="N6" s="216">
        <v>50</v>
      </c>
      <c r="O6" s="216">
        <v>50.5</v>
      </c>
      <c r="P6" s="216">
        <v>52.5</v>
      </c>
      <c r="Q6" t="s">
        <v>88</v>
      </c>
      <c r="R6" s="93"/>
    </row>
    <row r="7" spans="1:18">
      <c r="A7" s="285"/>
      <c r="B7" s="300">
        <v>43800</v>
      </c>
      <c r="C7" s="133" t="s">
        <v>1</v>
      </c>
      <c r="D7" s="138">
        <f>'Aug18'!D6</f>
        <v>89.65</v>
      </c>
      <c r="E7" s="138">
        <f>'Aug18'!E6</f>
        <v>85.82</v>
      </c>
      <c r="F7" s="138">
        <f>'Aug18'!F6</f>
        <v>95.13</v>
      </c>
      <c r="G7" s="138">
        <f>'Aug18'!G6</f>
        <v>60.67</v>
      </c>
      <c r="H7" s="138">
        <f>'Aug18'!H6</f>
        <v>37.85</v>
      </c>
      <c r="I7" s="138">
        <f>'Dec18'!I6</f>
        <v>44.66</v>
      </c>
      <c r="J7" s="138">
        <f>'Dec18'!J6</f>
        <v>55.05</v>
      </c>
      <c r="K7" s="138">
        <v>51.464999999999996</v>
      </c>
      <c r="L7" s="138">
        <v>51.997500000000002</v>
      </c>
      <c r="M7" s="138">
        <v>50</v>
      </c>
      <c r="N7" s="138">
        <v>50</v>
      </c>
      <c r="O7" s="138">
        <v>52</v>
      </c>
      <c r="P7" s="138">
        <v>53</v>
      </c>
      <c r="R7" s="93"/>
    </row>
    <row r="8" spans="1:18" ht="14.65" hidden="1" customHeight="1">
      <c r="A8" s="285"/>
      <c r="B8" s="301"/>
      <c r="C8" s="133" t="s">
        <v>1</v>
      </c>
      <c r="D8" s="138">
        <v>89.65</v>
      </c>
      <c r="E8" s="138">
        <v>85.82</v>
      </c>
      <c r="F8" s="138">
        <v>95.14</v>
      </c>
      <c r="G8" s="138">
        <v>71</v>
      </c>
      <c r="H8" s="138">
        <v>66</v>
      </c>
      <c r="I8" s="138">
        <v>72</v>
      </c>
      <c r="J8" s="138">
        <v>76</v>
      </c>
      <c r="K8" s="138">
        <v>80</v>
      </c>
      <c r="L8" s="138"/>
      <c r="M8" s="138"/>
    </row>
    <row r="9" spans="1:18" ht="14.65" hidden="1" customHeight="1">
      <c r="A9" s="285"/>
      <c r="B9" s="301"/>
      <c r="C9" s="133" t="s">
        <v>1</v>
      </c>
      <c r="D9" s="138">
        <v>89.65</v>
      </c>
      <c r="E9" s="138">
        <v>85.82</v>
      </c>
      <c r="F9" s="138">
        <v>95.75</v>
      </c>
      <c r="G9" s="138">
        <v>92</v>
      </c>
      <c r="H9" s="138">
        <v>88</v>
      </c>
      <c r="I9" s="138">
        <v>87</v>
      </c>
      <c r="J9" s="138">
        <v>86</v>
      </c>
      <c r="K9" s="138">
        <v>85</v>
      </c>
      <c r="L9" s="138"/>
      <c r="M9" s="138"/>
    </row>
    <row r="10" spans="1:18" ht="14.65" hidden="1" customHeight="1">
      <c r="A10" s="285"/>
      <c r="B10" s="301"/>
      <c r="C10" s="133" t="s">
        <v>1</v>
      </c>
      <c r="D10" s="138">
        <v>90</v>
      </c>
      <c r="E10" s="138">
        <v>87</v>
      </c>
      <c r="F10" s="138">
        <v>94</v>
      </c>
      <c r="G10" s="138">
        <v>87.5</v>
      </c>
      <c r="H10" s="138">
        <v>85</v>
      </c>
      <c r="I10" s="138">
        <v>84</v>
      </c>
      <c r="J10" s="138">
        <v>84</v>
      </c>
      <c r="K10" s="138"/>
      <c r="L10" s="138"/>
      <c r="M10" s="138"/>
    </row>
    <row r="11" spans="1:18" ht="14.65" hidden="1" customHeight="1">
      <c r="A11" s="285"/>
      <c r="B11" s="302"/>
      <c r="C11" s="133" t="s">
        <v>1</v>
      </c>
      <c r="D11" s="145">
        <v>90</v>
      </c>
      <c r="E11" s="145">
        <v>86.5</v>
      </c>
      <c r="F11" s="145">
        <v>88</v>
      </c>
      <c r="G11" s="145">
        <v>87.5</v>
      </c>
      <c r="H11" s="145">
        <v>87</v>
      </c>
      <c r="I11" s="145">
        <v>86.5</v>
      </c>
      <c r="J11" s="145"/>
      <c r="K11" s="145"/>
      <c r="L11" s="145"/>
      <c r="M11" s="145"/>
    </row>
    <row r="12" spans="1:18" hidden="1">
      <c r="A12" s="285"/>
      <c r="B12" s="33">
        <v>41244</v>
      </c>
      <c r="C12" s="133" t="s">
        <v>1</v>
      </c>
      <c r="D12" s="145">
        <v>89.640506965377526</v>
      </c>
      <c r="E12" s="145">
        <v>85</v>
      </c>
      <c r="F12" s="145">
        <v>84.75</v>
      </c>
      <c r="G12" s="145">
        <v>83.5</v>
      </c>
      <c r="H12" s="145">
        <v>82.5</v>
      </c>
      <c r="I12" s="145">
        <v>83</v>
      </c>
      <c r="J12" s="145">
        <v>83</v>
      </c>
      <c r="K12" s="145"/>
      <c r="L12" s="145"/>
      <c r="M12" s="145"/>
    </row>
    <row r="13" spans="1:18" hidden="1">
      <c r="A13" s="285"/>
      <c r="B13" s="33">
        <v>42217</v>
      </c>
      <c r="C13" s="292" t="s">
        <v>16</v>
      </c>
      <c r="D13" s="293"/>
      <c r="E13" s="146">
        <f t="shared" ref="E13:M13" si="1">+E6/D6-1</f>
        <v>-4.2721695482431765E-2</v>
      </c>
      <c r="F13" s="146">
        <f>+F6/E6-1</f>
        <v>0.10848287112561183</v>
      </c>
      <c r="G13" s="166">
        <f>+G6/F6-1</f>
        <v>-0.36224114369809735</v>
      </c>
      <c r="H13" s="146">
        <f t="shared" si="1"/>
        <v>-0.37613317949563208</v>
      </c>
      <c r="I13" s="146">
        <f t="shared" si="1"/>
        <v>0.17992073976221912</v>
      </c>
      <c r="J13" s="146">
        <f t="shared" si="1"/>
        <v>0.23264666368114639</v>
      </c>
      <c r="K13" s="146">
        <f t="shared" si="1"/>
        <v>-6.2306993642143538E-2</v>
      </c>
      <c r="L13" s="146">
        <f t="shared" si="1"/>
        <v>3.6419992251065514E-2</v>
      </c>
      <c r="M13" s="146">
        <f t="shared" si="1"/>
        <v>-4.6728971962616828E-2</v>
      </c>
    </row>
    <row r="14" spans="1:18" hidden="1">
      <c r="A14" s="285"/>
      <c r="B14" s="33">
        <v>42031</v>
      </c>
      <c r="C14" s="290" t="s">
        <v>16</v>
      </c>
      <c r="D14" s="291"/>
      <c r="E14" s="147">
        <f t="shared" ref="E14:K15" si="2">(E7-D7)/D7</f>
        <v>-4.2721695482431814E-2</v>
      </c>
      <c r="F14" s="147">
        <f t="shared" si="2"/>
        <v>0.10848287112561178</v>
      </c>
      <c r="G14" s="147">
        <f t="shared" si="2"/>
        <v>-0.36224114369809729</v>
      </c>
      <c r="H14" s="147">
        <f t="shared" si="2"/>
        <v>-0.37613317949563208</v>
      </c>
      <c r="I14" s="147">
        <f t="shared" si="2"/>
        <v>0.17992073976221915</v>
      </c>
      <c r="J14" s="147">
        <f t="shared" si="2"/>
        <v>0.23264666368114648</v>
      </c>
      <c r="K14" s="147">
        <f t="shared" si="2"/>
        <v>-6.5122615803814732E-2</v>
      </c>
      <c r="L14" s="147"/>
      <c r="M14" s="147"/>
    </row>
    <row r="15" spans="1:18" hidden="1">
      <c r="A15" s="285"/>
      <c r="B15" s="33">
        <v>41974</v>
      </c>
      <c r="C15" s="290" t="s">
        <v>16</v>
      </c>
      <c r="D15" s="291"/>
      <c r="E15" s="147">
        <f t="shared" si="2"/>
        <v>-4.2721695482431814E-2</v>
      </c>
      <c r="F15" s="147">
        <f t="shared" si="2"/>
        <v>0.10859939408063397</v>
      </c>
      <c r="G15" s="147">
        <f t="shared" si="2"/>
        <v>-0.2537313432835821</v>
      </c>
      <c r="H15" s="147">
        <f t="shared" si="2"/>
        <v>-7.0422535211267609E-2</v>
      </c>
      <c r="I15" s="147">
        <f t="shared" si="2"/>
        <v>9.0909090909090912E-2</v>
      </c>
      <c r="J15" s="147">
        <f t="shared" si="2"/>
        <v>5.5555555555555552E-2</v>
      </c>
      <c r="K15" s="147"/>
      <c r="L15" s="147"/>
      <c r="M15" s="147"/>
    </row>
    <row r="16" spans="1:18" hidden="1">
      <c r="A16" s="286"/>
      <c r="B16" s="33">
        <v>41499</v>
      </c>
      <c r="C16" s="292" t="s">
        <v>16</v>
      </c>
      <c r="D16" s="293"/>
      <c r="E16" s="146">
        <f t="shared" ref="E16:J16" si="3">(E10-D10)/D10</f>
        <v>-3.3333333333333333E-2</v>
      </c>
      <c r="F16" s="146">
        <f t="shared" si="3"/>
        <v>8.0459770114942528E-2</v>
      </c>
      <c r="G16" s="146">
        <f t="shared" si="3"/>
        <v>-6.9148936170212769E-2</v>
      </c>
      <c r="H16" s="146">
        <f t="shared" si="3"/>
        <v>-2.8571428571428571E-2</v>
      </c>
      <c r="I16" s="146">
        <f t="shared" si="3"/>
        <v>-1.1764705882352941E-2</v>
      </c>
      <c r="J16" s="146">
        <f t="shared" si="3"/>
        <v>0</v>
      </c>
      <c r="K16" s="146"/>
      <c r="L16" s="146"/>
      <c r="M16" s="146"/>
    </row>
    <row r="17" spans="1:18">
      <c r="A17" s="65"/>
      <c r="B17" s="65"/>
      <c r="C17" s="65"/>
      <c r="D17" s="65"/>
      <c r="E17" s="65"/>
      <c r="F17" s="65"/>
      <c r="G17" s="126"/>
      <c r="H17" s="128"/>
      <c r="I17" s="128"/>
      <c r="J17" s="128"/>
      <c r="K17" s="128"/>
      <c r="L17" s="218">
        <v>54</v>
      </c>
      <c r="M17" s="218">
        <v>52</v>
      </c>
      <c r="N17" s="220">
        <v>50</v>
      </c>
      <c r="O17" s="219">
        <v>51</v>
      </c>
      <c r="P17" s="219">
        <v>53</v>
      </c>
    </row>
    <row r="18" spans="1:18">
      <c r="A18" s="281" t="s">
        <v>12</v>
      </c>
      <c r="B18" s="273">
        <v>43831</v>
      </c>
      <c r="C18" s="136" t="s">
        <v>2</v>
      </c>
      <c r="D18" s="148"/>
      <c r="E18" s="148"/>
      <c r="F18" s="148"/>
      <c r="G18" s="148"/>
      <c r="H18" s="148"/>
      <c r="I18" s="148">
        <v>155.96</v>
      </c>
      <c r="J18" s="148"/>
      <c r="K18" s="148"/>
      <c r="L18" s="148">
        <v>362.2</v>
      </c>
      <c r="M18" s="148">
        <v>375.12</v>
      </c>
      <c r="N18" s="148">
        <v>377.75</v>
      </c>
      <c r="O18" s="148">
        <v>387.93</v>
      </c>
      <c r="P18" s="148">
        <v>399.73</v>
      </c>
    </row>
    <row r="19" spans="1:18">
      <c r="A19" s="281"/>
      <c r="B19" s="272"/>
      <c r="C19" s="139" t="s">
        <v>0</v>
      </c>
      <c r="D19" s="149"/>
      <c r="E19" s="149"/>
      <c r="F19" s="149"/>
      <c r="G19" s="149"/>
      <c r="H19" s="149"/>
      <c r="I19" s="149"/>
      <c r="J19" s="149"/>
      <c r="K19" s="149"/>
      <c r="L19" s="149">
        <v>350.29</v>
      </c>
      <c r="M19" s="149">
        <v>371.21</v>
      </c>
      <c r="N19" s="149">
        <v>387.62</v>
      </c>
      <c r="O19" s="149">
        <v>404.02</v>
      </c>
      <c r="P19" s="149">
        <v>420.41</v>
      </c>
    </row>
    <row r="20" spans="1:18">
      <c r="A20" s="281"/>
      <c r="B20" s="272"/>
      <c r="C20" s="141" t="s">
        <v>3</v>
      </c>
      <c r="D20" s="151"/>
      <c r="E20" s="151"/>
      <c r="F20" s="151"/>
      <c r="G20" s="151"/>
      <c r="H20" s="151"/>
      <c r="I20" s="151">
        <v>155.9</v>
      </c>
      <c r="J20" s="151"/>
      <c r="K20" s="151"/>
      <c r="L20" s="151">
        <v>365.18900000000002</v>
      </c>
      <c r="M20" s="151">
        <v>371.65100000000001</v>
      </c>
      <c r="N20" s="151">
        <v>372.99099999999999</v>
      </c>
      <c r="O20" s="151">
        <v>381.95299999999997</v>
      </c>
      <c r="P20" s="151">
        <v>392.69400000000002</v>
      </c>
      <c r="R20">
        <f>L20*1000000/365</f>
        <v>1000517.8082191781</v>
      </c>
    </row>
    <row r="21" spans="1:18">
      <c r="A21" s="281"/>
      <c r="B21" s="272"/>
      <c r="C21" s="143" t="s">
        <v>1</v>
      </c>
      <c r="D21" s="152">
        <v>80.3</v>
      </c>
      <c r="E21" s="152">
        <v>96.4</v>
      </c>
      <c r="F21" s="153">
        <v>113.9</v>
      </c>
      <c r="G21" s="153">
        <v>141.4</v>
      </c>
      <c r="H21" s="153">
        <v>146.69999999999999</v>
      </c>
      <c r="I21" s="153">
        <v>153</v>
      </c>
      <c r="J21" s="206">
        <f>J22</f>
        <v>204.40600000000003</v>
      </c>
      <c r="K21" s="209">
        <v>300</v>
      </c>
      <c r="L21" s="209">
        <v>360</v>
      </c>
      <c r="M21" s="209">
        <v>370</v>
      </c>
      <c r="N21" s="209">
        <v>380</v>
      </c>
      <c r="O21" s="209">
        <v>390</v>
      </c>
      <c r="P21" s="209">
        <v>400</v>
      </c>
      <c r="Q21" t="s">
        <v>87</v>
      </c>
    </row>
    <row r="22" spans="1:18">
      <c r="A22" s="281"/>
      <c r="B22" s="273">
        <v>43800</v>
      </c>
      <c r="C22" s="133" t="s">
        <v>1</v>
      </c>
      <c r="D22" s="154">
        <f>'Aug18'!D21</f>
        <v>80.3</v>
      </c>
      <c r="E22" s="154">
        <f>'Aug18'!E21</f>
        <v>96.4</v>
      </c>
      <c r="F22" s="154">
        <f>'Aug18'!F21</f>
        <v>113.9</v>
      </c>
      <c r="G22" s="154">
        <f>'Aug18'!G21</f>
        <v>141.4</v>
      </c>
      <c r="H22" s="154">
        <f>'Aug18'!H21</f>
        <v>146.69999999999999</v>
      </c>
      <c r="I22" s="154">
        <f>'Dec18'!I21</f>
        <v>153</v>
      </c>
      <c r="J22" s="154">
        <f>'Dec18'!J21</f>
        <v>204.40600000000003</v>
      </c>
      <c r="K22" s="154">
        <v>300.43599999999998</v>
      </c>
      <c r="L22" s="154">
        <v>350</v>
      </c>
      <c r="M22" s="154">
        <v>360</v>
      </c>
      <c r="N22" s="154">
        <v>365</v>
      </c>
      <c r="O22" s="154">
        <v>375</v>
      </c>
      <c r="P22" s="154">
        <v>385</v>
      </c>
    </row>
    <row r="23" spans="1:18" hidden="1">
      <c r="A23" s="281"/>
      <c r="B23" s="272"/>
      <c r="C23" s="133" t="s">
        <v>1</v>
      </c>
      <c r="D23" s="154">
        <v>80.3</v>
      </c>
      <c r="E23" s="154">
        <v>96.4</v>
      </c>
      <c r="F23" s="154">
        <v>113.4</v>
      </c>
      <c r="G23" s="154">
        <v>122</v>
      </c>
      <c r="H23" s="154">
        <v>127</v>
      </c>
      <c r="I23" s="154">
        <v>131</v>
      </c>
      <c r="J23" s="154">
        <v>133</v>
      </c>
      <c r="K23" s="154">
        <v>135</v>
      </c>
      <c r="L23" s="154"/>
      <c r="M23" s="154"/>
      <c r="N23" s="154"/>
      <c r="O23" s="154"/>
      <c r="P23" s="154"/>
    </row>
    <row r="24" spans="1:18" hidden="1">
      <c r="A24" s="281"/>
      <c r="B24" s="272"/>
      <c r="C24" s="133" t="s">
        <v>1</v>
      </c>
      <c r="D24" s="154">
        <v>80.3</v>
      </c>
      <c r="E24" s="154">
        <v>96.4</v>
      </c>
      <c r="F24" s="154">
        <v>110</v>
      </c>
      <c r="G24" s="154">
        <v>117</v>
      </c>
      <c r="H24" s="154">
        <v>122</v>
      </c>
      <c r="I24" s="154">
        <v>125</v>
      </c>
      <c r="J24" s="154">
        <v>127</v>
      </c>
      <c r="K24" s="154">
        <v>129</v>
      </c>
      <c r="L24" s="154"/>
      <c r="M24" s="154"/>
      <c r="N24" s="154"/>
      <c r="O24" s="154"/>
      <c r="P24" s="154"/>
    </row>
    <row r="25" spans="1:18" hidden="1">
      <c r="A25" s="281"/>
      <c r="B25" s="272"/>
      <c r="C25" s="133" t="s">
        <v>1</v>
      </c>
      <c r="D25" s="154">
        <v>80.069999999999993</v>
      </c>
      <c r="E25" s="154">
        <v>90</v>
      </c>
      <c r="F25" s="154">
        <v>93</v>
      </c>
      <c r="G25" s="154">
        <v>97</v>
      </c>
      <c r="H25" s="154">
        <v>100</v>
      </c>
      <c r="I25" s="154">
        <v>101</v>
      </c>
      <c r="J25" s="154">
        <v>102</v>
      </c>
      <c r="K25" s="154"/>
      <c r="L25" s="154"/>
      <c r="M25" s="154"/>
      <c r="N25" s="154"/>
      <c r="O25" s="154"/>
      <c r="P25" s="154"/>
    </row>
    <row r="26" spans="1:18" hidden="1">
      <c r="A26" s="281"/>
      <c r="B26" s="33">
        <v>41317</v>
      </c>
      <c r="C26" s="133" t="s">
        <v>1</v>
      </c>
      <c r="D26" s="155">
        <v>80.099999999999994</v>
      </c>
      <c r="E26" s="155">
        <v>87</v>
      </c>
      <c r="F26" s="155">
        <v>91.4</v>
      </c>
      <c r="G26" s="155">
        <v>94.1</v>
      </c>
      <c r="H26" s="155">
        <v>96</v>
      </c>
      <c r="I26" s="155">
        <v>97.9</v>
      </c>
      <c r="J26" s="155"/>
      <c r="K26" s="155"/>
      <c r="L26" s="155"/>
      <c r="M26" s="155"/>
      <c r="N26" s="155"/>
      <c r="O26" s="155"/>
      <c r="P26" s="155"/>
    </row>
    <row r="27" spans="1:18" hidden="1">
      <c r="A27" s="281"/>
      <c r="B27" s="33">
        <v>41244</v>
      </c>
      <c r="C27" s="133" t="s">
        <v>1</v>
      </c>
      <c r="D27" s="155">
        <v>79.7</v>
      </c>
      <c r="E27" s="155">
        <v>84.119744824999998</v>
      </c>
      <c r="F27" s="155">
        <v>88.406534618000009</v>
      </c>
      <c r="G27" s="155">
        <v>92.434230656539995</v>
      </c>
      <c r="H27" s="155">
        <v>96.132415269670815</v>
      </c>
      <c r="I27" s="155">
        <v>97.6</v>
      </c>
      <c r="J27" s="155">
        <v>97.6</v>
      </c>
      <c r="K27" s="155"/>
      <c r="L27" s="155"/>
      <c r="M27" s="155"/>
      <c r="N27" s="155"/>
      <c r="O27" s="155"/>
      <c r="P27" s="155"/>
    </row>
    <row r="28" spans="1:18">
      <c r="A28" s="281"/>
      <c r="B28" s="33">
        <f>B18</f>
        <v>43831</v>
      </c>
      <c r="C28" s="292" t="s">
        <v>16</v>
      </c>
      <c r="D28" s="293"/>
      <c r="E28" s="167">
        <f t="shared" ref="E28:K29" si="4">(E21-D21)/D21</f>
        <v>0.20049813200498143</v>
      </c>
      <c r="F28" s="167">
        <f>(F21-E21)/E21</f>
        <v>0.18153526970954356</v>
      </c>
      <c r="G28" s="167">
        <f t="shared" si="4"/>
        <v>0.24143985952589991</v>
      </c>
      <c r="H28" s="167">
        <f t="shared" si="4"/>
        <v>3.7482319660537361E-2</v>
      </c>
      <c r="I28" s="167">
        <f>(I21-H21)/H21</f>
        <v>4.2944785276073698E-2</v>
      </c>
      <c r="J28" s="167">
        <f>(J21-I21)/I21</f>
        <v>0.33598692810457537</v>
      </c>
      <c r="K28" s="167">
        <f t="shared" si="4"/>
        <v>0.46766728960989379</v>
      </c>
      <c r="L28" s="167">
        <f>(L21-K21)/K21</f>
        <v>0.2</v>
      </c>
      <c r="M28" s="167">
        <f>(M21-L21)/L21</f>
        <v>2.7777777777777776E-2</v>
      </c>
      <c r="N28" s="167">
        <f>(N21-M21)/M21</f>
        <v>2.7027027027027029E-2</v>
      </c>
      <c r="O28" s="167">
        <f>(O21-N21)/N21</f>
        <v>2.6315789473684209E-2</v>
      </c>
      <c r="P28" s="167">
        <f>(P21-O21)/O21</f>
        <v>2.564102564102564E-2</v>
      </c>
    </row>
    <row r="29" spans="1:18">
      <c r="A29" s="281"/>
      <c r="B29" s="33">
        <f>B7</f>
        <v>43800</v>
      </c>
      <c r="C29" s="290" t="s">
        <v>16</v>
      </c>
      <c r="D29" s="291"/>
      <c r="E29" s="168">
        <f>(E22-D22)/D22</f>
        <v>0.20049813200498143</v>
      </c>
      <c r="F29" s="168">
        <f t="shared" ref="F29:P30" si="5">(F22-E22)/E22</f>
        <v>0.18153526970954356</v>
      </c>
      <c r="G29" s="168">
        <f>(G22-F22)/F22</f>
        <v>0.24143985952589991</v>
      </c>
      <c r="H29" s="168">
        <f t="shared" si="4"/>
        <v>3.7482319660537361E-2</v>
      </c>
      <c r="I29" s="168">
        <f>(I22-H22)/H22</f>
        <v>4.2944785276073698E-2</v>
      </c>
      <c r="J29" s="168">
        <f t="shared" si="4"/>
        <v>0.33598692810457537</v>
      </c>
      <c r="K29" s="168">
        <v>0.45837206344236431</v>
      </c>
      <c r="L29" s="168">
        <f>+L22/K22-1</f>
        <v>0.16497357174240124</v>
      </c>
      <c r="M29" s="168">
        <f t="shared" ref="M29:P29" si="6">+M22/L22-1</f>
        <v>2.857142857142847E-2</v>
      </c>
      <c r="N29" s="168">
        <f t="shared" si="6"/>
        <v>1.388888888888884E-2</v>
      </c>
      <c r="O29" s="168">
        <f t="shared" si="6"/>
        <v>2.7397260273972712E-2</v>
      </c>
      <c r="P29" s="168">
        <f t="shared" si="6"/>
        <v>2.6666666666666616E-2</v>
      </c>
    </row>
    <row r="30" spans="1:18" hidden="1">
      <c r="A30" s="281"/>
      <c r="B30" s="33">
        <v>41974</v>
      </c>
      <c r="C30" s="290" t="s">
        <v>16</v>
      </c>
      <c r="D30" s="291"/>
      <c r="E30" s="147">
        <f>(E23-D23)/D23</f>
        <v>0.20049813200498143</v>
      </c>
      <c r="F30" s="147">
        <f t="shared" si="5"/>
        <v>0.17634854771784231</v>
      </c>
      <c r="G30" s="147">
        <f t="shared" si="5"/>
        <v>7.5837742504409111E-2</v>
      </c>
      <c r="H30" s="147">
        <f t="shared" si="5"/>
        <v>4.0983606557377046E-2</v>
      </c>
      <c r="I30" s="147">
        <f t="shared" si="5"/>
        <v>3.1496062992125984E-2</v>
      </c>
      <c r="J30" s="147">
        <f t="shared" si="5"/>
        <v>1.5267175572519083E-2</v>
      </c>
      <c r="K30" s="147">
        <f t="shared" si="5"/>
        <v>1.5037593984962405E-2</v>
      </c>
      <c r="L30" s="147">
        <f t="shared" si="5"/>
        <v>-1</v>
      </c>
      <c r="M30" s="147" t="e">
        <f t="shared" si="5"/>
        <v>#DIV/0!</v>
      </c>
      <c r="N30" s="147" t="e">
        <f t="shared" si="5"/>
        <v>#DIV/0!</v>
      </c>
      <c r="O30" s="147" t="e">
        <f t="shared" si="5"/>
        <v>#DIV/0!</v>
      </c>
      <c r="P30" s="147" t="e">
        <f t="shared" si="5"/>
        <v>#DIV/0!</v>
      </c>
    </row>
    <row r="31" spans="1:18" hidden="1">
      <c r="A31" s="281"/>
      <c r="B31" s="33">
        <v>41499</v>
      </c>
      <c r="C31" s="292" t="s">
        <v>16</v>
      </c>
      <c r="D31" s="293"/>
      <c r="E31" s="146">
        <f t="shared" ref="E31:J31" si="7">(E25-D25)/D25</f>
        <v>0.12401648557512186</v>
      </c>
      <c r="F31" s="146">
        <f t="shared" si="7"/>
        <v>3.3333333333333333E-2</v>
      </c>
      <c r="G31" s="146">
        <f t="shared" si="7"/>
        <v>4.3010752688172046E-2</v>
      </c>
      <c r="H31" s="146">
        <f t="shared" si="7"/>
        <v>3.0927835051546393E-2</v>
      </c>
      <c r="I31" s="146">
        <f t="shared" si="7"/>
        <v>0.01</v>
      </c>
      <c r="J31" s="146">
        <f t="shared" si="7"/>
        <v>9.9009900990099011E-3</v>
      </c>
      <c r="K31" s="146"/>
      <c r="L31" s="146"/>
      <c r="M31" s="146"/>
      <c r="N31" s="146"/>
      <c r="O31" s="146"/>
      <c r="P31" s="146"/>
    </row>
    <row r="32" spans="1:18">
      <c r="A32" s="106"/>
      <c r="B32" s="107"/>
      <c r="C32" s="156"/>
      <c r="D32" s="156"/>
      <c r="E32" s="157"/>
      <c r="F32" s="157"/>
      <c r="G32" s="158"/>
      <c r="H32" s="158"/>
      <c r="I32" s="158"/>
      <c r="J32" s="158"/>
      <c r="K32" s="158"/>
      <c r="L32" s="158"/>
      <c r="M32" s="158"/>
      <c r="N32" s="158"/>
      <c r="O32" s="158"/>
      <c r="P32" s="158"/>
    </row>
    <row r="33" spans="1:17">
      <c r="A33" s="298" t="s">
        <v>18</v>
      </c>
      <c r="B33" s="300">
        <v>43831</v>
      </c>
      <c r="C33" s="134" t="s">
        <v>4</v>
      </c>
      <c r="D33" s="135"/>
      <c r="E33" s="135"/>
      <c r="F33" s="135"/>
      <c r="G33" s="135"/>
      <c r="H33" s="135"/>
      <c r="I33" s="135">
        <v>3.24</v>
      </c>
      <c r="J33" s="135"/>
      <c r="K33" s="135"/>
      <c r="L33" s="135">
        <v>2</v>
      </c>
      <c r="M33" s="135">
        <v>2.13</v>
      </c>
      <c r="N33" s="135">
        <v>2.1800000000000002</v>
      </c>
      <c r="O33" s="135">
        <v>2.2599999999999998</v>
      </c>
      <c r="P33" s="135">
        <v>2.38</v>
      </c>
      <c r="Q33" t="s">
        <v>86</v>
      </c>
    </row>
    <row r="34" spans="1:17" ht="15" customHeight="1">
      <c r="A34" s="299"/>
      <c r="B34" s="301"/>
      <c r="C34" s="136" t="s">
        <v>2</v>
      </c>
      <c r="D34" s="159"/>
      <c r="E34" s="159"/>
      <c r="F34" s="159"/>
      <c r="G34" s="159"/>
      <c r="H34" s="159"/>
      <c r="I34" s="159">
        <v>3.24</v>
      </c>
      <c r="J34" s="159"/>
      <c r="K34" s="210"/>
      <c r="L34" s="210"/>
      <c r="M34" s="210">
        <v>2.2799999999999998</v>
      </c>
      <c r="N34" s="210">
        <v>2.4300000000000002</v>
      </c>
      <c r="O34" s="210">
        <v>2.56</v>
      </c>
      <c r="P34" s="210">
        <v>2.64</v>
      </c>
      <c r="Q34" t="s">
        <v>86</v>
      </c>
    </row>
    <row r="35" spans="1:17">
      <c r="A35" s="299"/>
      <c r="B35" s="301"/>
      <c r="C35" s="139" t="s">
        <v>0</v>
      </c>
      <c r="D35" s="140"/>
      <c r="E35" s="140"/>
      <c r="F35" s="140"/>
      <c r="G35" s="140"/>
      <c r="H35" s="140"/>
      <c r="I35" s="140">
        <v>3.25</v>
      </c>
      <c r="J35" s="140"/>
      <c r="K35" s="140"/>
      <c r="L35" s="140">
        <v>2.06</v>
      </c>
      <c r="M35" s="140">
        <v>2.34</v>
      </c>
      <c r="N35" s="140">
        <v>2.4700000000000002</v>
      </c>
      <c r="O35" s="140">
        <v>2.56</v>
      </c>
      <c r="P35" s="140">
        <v>2.66</v>
      </c>
      <c r="Q35" t="s">
        <v>86</v>
      </c>
    </row>
    <row r="36" spans="1:17">
      <c r="A36" s="299"/>
      <c r="B36" s="301"/>
      <c r="C36" s="141" t="s">
        <v>3</v>
      </c>
      <c r="D36" s="142"/>
      <c r="E36" s="142"/>
      <c r="F36" s="142"/>
      <c r="G36" s="142"/>
      <c r="H36" s="142"/>
      <c r="I36" s="142">
        <v>3.22</v>
      </c>
      <c r="J36" s="142"/>
      <c r="K36" s="142"/>
      <c r="L36" s="142">
        <v>1.95</v>
      </c>
      <c r="M36" s="142">
        <v>2.08</v>
      </c>
      <c r="N36" s="142">
        <v>2.2999999999999998</v>
      </c>
      <c r="O36" s="142">
        <v>2.38</v>
      </c>
      <c r="P36" s="142">
        <v>2.5499999999999998</v>
      </c>
      <c r="Q36" t="s">
        <v>86</v>
      </c>
    </row>
    <row r="37" spans="1:17">
      <c r="A37" s="299"/>
      <c r="B37" s="302"/>
      <c r="C37" s="143" t="s">
        <v>1</v>
      </c>
      <c r="D37" s="144">
        <v>5.01</v>
      </c>
      <c r="E37" s="144">
        <v>4.38</v>
      </c>
      <c r="F37" s="144">
        <v>5.14</v>
      </c>
      <c r="G37" s="144">
        <v>3.78</v>
      </c>
      <c r="H37" s="144">
        <v>2.42</v>
      </c>
      <c r="I37" s="144">
        <f t="shared" ref="I37" si="8">+AVERAGE(I33:I36)</f>
        <v>3.2375000000000003</v>
      </c>
      <c r="J37" s="144" t="e">
        <f t="shared" ref="J37" si="9">AVERAGE(J33:J36)</f>
        <v>#DIV/0!</v>
      </c>
      <c r="K37" s="216" t="e">
        <f>AVERAGE(K33:K36)</f>
        <v>#DIV/0!</v>
      </c>
      <c r="L37" s="216">
        <f>AVERAGE(L33:L36)</f>
        <v>2.0033333333333334</v>
      </c>
      <c r="M37" s="216">
        <v>2.2000000000000002</v>
      </c>
      <c r="N37" s="216">
        <v>2.35</v>
      </c>
      <c r="O37" s="216">
        <v>2.4500000000000002</v>
      </c>
      <c r="P37" s="216">
        <v>2.5</v>
      </c>
      <c r="Q37" t="s">
        <v>87</v>
      </c>
    </row>
    <row r="38" spans="1:17">
      <c r="A38" s="299"/>
      <c r="B38" s="273">
        <v>43800</v>
      </c>
      <c r="C38" s="133" t="s">
        <v>1</v>
      </c>
      <c r="D38" s="138">
        <f>'Aug18'!D37</f>
        <v>5.01</v>
      </c>
      <c r="E38" s="138">
        <f>'Aug18'!E37</f>
        <v>4.38</v>
      </c>
      <c r="F38" s="138">
        <f>'Aug18'!F37</f>
        <v>5.14</v>
      </c>
      <c r="G38" s="138">
        <f>'Aug18'!G37</f>
        <v>3.78</v>
      </c>
      <c r="H38" s="138">
        <f>'Aug18'!H37</f>
        <v>2.42</v>
      </c>
      <c r="I38" s="138">
        <f>'Dec18'!I37</f>
        <v>3.2375000000000003</v>
      </c>
      <c r="J38" s="138">
        <f>'Dec18'!J37</f>
        <v>3.5142500000000001</v>
      </c>
      <c r="K38" s="138">
        <v>3.08</v>
      </c>
      <c r="L38" s="138">
        <v>2.1</v>
      </c>
      <c r="M38" s="138">
        <v>2.25</v>
      </c>
      <c r="N38" s="138">
        <v>2.5</v>
      </c>
      <c r="O38" s="138">
        <v>2.5</v>
      </c>
      <c r="P38" s="138">
        <v>2.5</v>
      </c>
    </row>
    <row r="39" spans="1:17" ht="15" hidden="1" customHeight="1">
      <c r="A39" s="204"/>
      <c r="B39" s="272"/>
      <c r="C39" s="133" t="s">
        <v>1</v>
      </c>
      <c r="D39" s="138">
        <v>5.01</v>
      </c>
      <c r="E39" s="138">
        <v>4.38</v>
      </c>
      <c r="F39" s="138">
        <v>5.13</v>
      </c>
      <c r="G39" s="138">
        <v>4.9000000000000004</v>
      </c>
      <c r="H39" s="138">
        <v>4.9000000000000004</v>
      </c>
      <c r="I39" s="138">
        <v>4.95</v>
      </c>
      <c r="J39" s="138">
        <v>5.0999999999999996</v>
      </c>
      <c r="K39" s="138">
        <v>5.2</v>
      </c>
      <c r="L39" s="138"/>
      <c r="M39" s="138"/>
    </row>
    <row r="40" spans="1:17" ht="15" hidden="1" customHeight="1">
      <c r="A40" s="204"/>
      <c r="B40" s="272"/>
      <c r="C40" s="133" t="s">
        <v>1</v>
      </c>
      <c r="D40" s="138">
        <v>5.01</v>
      </c>
      <c r="E40" s="138">
        <v>4.38</v>
      </c>
      <c r="F40" s="138">
        <v>5.15</v>
      </c>
      <c r="G40" s="138">
        <v>5.2</v>
      </c>
      <c r="H40" s="138">
        <v>5.25</v>
      </c>
      <c r="I40" s="138">
        <v>5.3</v>
      </c>
      <c r="J40" s="138">
        <v>5.35</v>
      </c>
      <c r="K40" s="138">
        <v>5.4</v>
      </c>
      <c r="L40" s="138"/>
      <c r="M40" s="138"/>
    </row>
    <row r="41" spans="1:17" ht="15" hidden="1" customHeight="1">
      <c r="A41" s="204"/>
      <c r="B41" s="272"/>
      <c r="C41" s="133" t="s">
        <v>1</v>
      </c>
      <c r="D41" s="138">
        <v>5</v>
      </c>
      <c r="E41" s="138">
        <v>4.5</v>
      </c>
      <c r="F41" s="138">
        <v>5</v>
      </c>
      <c r="G41" s="138">
        <v>5.4</v>
      </c>
      <c r="H41" s="138">
        <v>5.5</v>
      </c>
      <c r="I41" s="138">
        <v>5.5</v>
      </c>
      <c r="J41" s="138">
        <v>5.5</v>
      </c>
      <c r="K41" s="138"/>
      <c r="L41" s="138"/>
      <c r="M41" s="138"/>
    </row>
    <row r="42" spans="1:17" ht="15" hidden="1" customHeight="1">
      <c r="A42" s="204"/>
      <c r="B42" s="33">
        <v>41317</v>
      </c>
      <c r="C42" s="133" t="s">
        <v>1</v>
      </c>
      <c r="D42" s="145">
        <v>5</v>
      </c>
      <c r="E42" s="145">
        <v>4.5</v>
      </c>
      <c r="F42" s="145">
        <v>5.0999999999999996</v>
      </c>
      <c r="G42" s="145">
        <v>5.25</v>
      </c>
      <c r="H42" s="145">
        <v>5.5</v>
      </c>
      <c r="I42" s="145">
        <v>5.5</v>
      </c>
      <c r="J42" s="145"/>
      <c r="K42" s="145"/>
      <c r="L42" s="145"/>
      <c r="M42" s="145"/>
    </row>
    <row r="43" spans="1:17" ht="15" hidden="1" customHeight="1">
      <c r="A43" s="204"/>
      <c r="B43" s="33">
        <v>41244</v>
      </c>
      <c r="C43" s="133" t="s">
        <v>1</v>
      </c>
      <c r="D43" s="145">
        <v>5</v>
      </c>
      <c r="E43" s="145">
        <v>4.5</v>
      </c>
      <c r="F43" s="145">
        <v>5</v>
      </c>
      <c r="G43" s="145">
        <v>5.4</v>
      </c>
      <c r="H43" s="145">
        <v>5.6</v>
      </c>
      <c r="I43" s="145">
        <v>5.5</v>
      </c>
      <c r="J43" s="145">
        <v>5.5</v>
      </c>
      <c r="K43" s="145"/>
      <c r="L43" s="145"/>
      <c r="M43" s="145"/>
    </row>
    <row r="44" spans="1:17" ht="15" hidden="1" customHeight="1">
      <c r="A44" s="204"/>
      <c r="B44" s="33">
        <v>42217</v>
      </c>
      <c r="C44" s="292" t="s">
        <v>16</v>
      </c>
      <c r="D44" s="293"/>
      <c r="E44" s="146">
        <f t="shared" ref="E44:M46" si="10">(E37-D37)/D37</f>
        <v>-0.12574850299401197</v>
      </c>
      <c r="F44" s="146">
        <f t="shared" si="10"/>
        <v>0.17351598173515978</v>
      </c>
      <c r="G44" s="146">
        <f t="shared" si="10"/>
        <v>-0.26459143968871596</v>
      </c>
      <c r="H44" s="146">
        <f t="shared" si="10"/>
        <v>-0.35978835978835977</v>
      </c>
      <c r="I44" s="146">
        <f t="shared" si="10"/>
        <v>0.33780991735537202</v>
      </c>
      <c r="J44" s="146" t="e">
        <f t="shared" si="10"/>
        <v>#DIV/0!</v>
      </c>
      <c r="K44" s="146" t="e">
        <f t="shared" si="10"/>
        <v>#DIV/0!</v>
      </c>
      <c r="L44" s="146" t="e">
        <f t="shared" si="10"/>
        <v>#DIV/0!</v>
      </c>
      <c r="M44" s="146">
        <f t="shared" si="10"/>
        <v>9.8169717138103213E-2</v>
      </c>
    </row>
    <row r="45" spans="1:17" ht="15" hidden="1" customHeight="1">
      <c r="A45" s="204"/>
      <c r="B45" s="33">
        <f>B29</f>
        <v>43800</v>
      </c>
      <c r="C45" s="290" t="s">
        <v>16</v>
      </c>
      <c r="D45" s="291"/>
      <c r="E45" s="147">
        <f t="shared" si="10"/>
        <v>-0.12574850299401197</v>
      </c>
      <c r="F45" s="147">
        <f t="shared" si="10"/>
        <v>0.17351598173515978</v>
      </c>
      <c r="G45" s="147">
        <f t="shared" si="10"/>
        <v>-0.26459143968871596</v>
      </c>
      <c r="H45" s="147">
        <f t="shared" si="10"/>
        <v>-0.35978835978835977</v>
      </c>
      <c r="I45" s="147">
        <f t="shared" si="10"/>
        <v>0.33780991735537202</v>
      </c>
      <c r="J45" s="147">
        <f t="shared" si="10"/>
        <v>8.5482625482625418E-2</v>
      </c>
      <c r="K45" s="147">
        <f t="shared" si="10"/>
        <v>-0.12356832894643238</v>
      </c>
      <c r="L45" s="147"/>
      <c r="M45" s="147"/>
    </row>
    <row r="46" spans="1:17" ht="15" hidden="1" customHeight="1">
      <c r="A46" s="204"/>
      <c r="B46" s="33">
        <v>41974</v>
      </c>
      <c r="C46" s="290" t="s">
        <v>16</v>
      </c>
      <c r="D46" s="291"/>
      <c r="E46" s="147">
        <f t="shared" si="10"/>
        <v>-0.12574850299401197</v>
      </c>
      <c r="F46" s="147">
        <f t="shared" si="10"/>
        <v>0.17123287671232876</v>
      </c>
      <c r="G46" s="147">
        <f t="shared" si="10"/>
        <v>-4.4834307992202643E-2</v>
      </c>
      <c r="H46" s="147">
        <f t="shared" si="10"/>
        <v>0</v>
      </c>
      <c r="I46" s="147">
        <f t="shared" si="10"/>
        <v>1.0204081632653024E-2</v>
      </c>
      <c r="J46" s="147">
        <f t="shared" si="10"/>
        <v>3.0303030303030193E-2</v>
      </c>
      <c r="K46" s="147">
        <f t="shared" si="10"/>
        <v>1.9607843137255009E-2</v>
      </c>
      <c r="L46" s="147">
        <f t="shared" si="10"/>
        <v>-1</v>
      </c>
      <c r="M46" s="147" t="e">
        <f t="shared" si="10"/>
        <v>#DIV/0!</v>
      </c>
    </row>
    <row r="47" spans="1:17" ht="15" hidden="1" customHeight="1">
      <c r="A47" s="205"/>
      <c r="B47" s="33">
        <v>41499</v>
      </c>
      <c r="C47" s="292" t="s">
        <v>16</v>
      </c>
      <c r="D47" s="293"/>
      <c r="E47" s="146">
        <f t="shared" ref="E47:J47" si="11">(E41-D41)/D41</f>
        <v>-0.1</v>
      </c>
      <c r="F47" s="146">
        <f t="shared" si="11"/>
        <v>0.1111111111111111</v>
      </c>
      <c r="G47" s="146">
        <f t="shared" si="11"/>
        <v>8.0000000000000071E-2</v>
      </c>
      <c r="H47" s="146">
        <f t="shared" si="11"/>
        <v>1.8518518518518452E-2</v>
      </c>
      <c r="I47" s="146">
        <f t="shared" si="11"/>
        <v>0</v>
      </c>
      <c r="J47" s="146">
        <f t="shared" si="11"/>
        <v>0</v>
      </c>
      <c r="K47" s="146"/>
      <c r="L47" s="146"/>
      <c r="M47" s="146"/>
    </row>
    <row r="48" spans="1:17">
      <c r="A48" s="65"/>
      <c r="B48" s="65"/>
      <c r="C48" s="65"/>
      <c r="D48" s="76"/>
      <c r="E48" s="76"/>
      <c r="F48" s="76"/>
      <c r="G48" s="130"/>
      <c r="H48" s="130"/>
      <c r="I48" s="130"/>
      <c r="J48" s="130"/>
      <c r="K48" s="130"/>
      <c r="L48" s="130"/>
      <c r="M48" s="130"/>
    </row>
    <row r="49" spans="1:18">
      <c r="A49" s="287" t="s">
        <v>19</v>
      </c>
      <c r="B49" s="273">
        <v>43831</v>
      </c>
      <c r="C49" s="136" t="s">
        <v>2</v>
      </c>
      <c r="D49" s="160"/>
      <c r="E49" s="161"/>
      <c r="F49" s="161"/>
      <c r="G49" s="161"/>
      <c r="H49" s="161"/>
      <c r="I49" s="161">
        <v>1235.7</v>
      </c>
      <c r="J49" s="161"/>
      <c r="K49" s="161"/>
      <c r="L49" s="161">
        <v>1700.05</v>
      </c>
      <c r="M49" s="161">
        <v>1710.49</v>
      </c>
      <c r="N49" s="161">
        <v>1736.15</v>
      </c>
      <c r="O49" s="161">
        <v>1770.87</v>
      </c>
      <c r="P49" s="161">
        <v>1806.29</v>
      </c>
    </row>
    <row r="50" spans="1:18">
      <c r="A50" s="288"/>
      <c r="B50" s="272"/>
      <c r="C50" s="139" t="s">
        <v>0</v>
      </c>
      <c r="D50" s="162"/>
      <c r="E50" s="162"/>
      <c r="F50" s="162"/>
      <c r="G50" s="162"/>
      <c r="H50" s="162"/>
      <c r="I50" s="162"/>
      <c r="J50" s="162"/>
      <c r="K50" s="215"/>
      <c r="L50" s="215">
        <v>1710.4</v>
      </c>
      <c r="M50" s="215">
        <v>1765.15</v>
      </c>
      <c r="N50" s="215">
        <v>1800.07</v>
      </c>
      <c r="O50" s="215">
        <v>1842.22</v>
      </c>
      <c r="P50" s="215">
        <v>1878.85</v>
      </c>
      <c r="R50" t="e">
        <f>+L50/K50-1</f>
        <v>#DIV/0!</v>
      </c>
    </row>
    <row r="51" spans="1:18">
      <c r="A51" s="288"/>
      <c r="B51" s="272"/>
      <c r="C51" s="141" t="s">
        <v>3</v>
      </c>
      <c r="D51" s="163"/>
      <c r="E51" s="163"/>
      <c r="F51" s="163"/>
      <c r="G51" s="163"/>
      <c r="H51" s="163"/>
      <c r="I51" s="163">
        <v>1235.5999999999999</v>
      </c>
      <c r="J51" s="163"/>
      <c r="K51" s="163"/>
      <c r="L51" s="163">
        <v>1695</v>
      </c>
      <c r="M51" s="163">
        <v>1752.2</v>
      </c>
      <c r="N51" s="163">
        <v>1723.5</v>
      </c>
      <c r="O51" s="163">
        <v>1704.3</v>
      </c>
      <c r="P51" s="163">
        <v>1687.1</v>
      </c>
      <c r="R51" t="e">
        <f>+L51/K51-1</f>
        <v>#DIV/0!</v>
      </c>
    </row>
    <row r="52" spans="1:18">
      <c r="A52" s="288"/>
      <c r="B52" s="272"/>
      <c r="C52" s="143" t="s">
        <v>1</v>
      </c>
      <c r="D52" s="152">
        <v>1227</v>
      </c>
      <c r="E52" s="152">
        <v>1177.5</v>
      </c>
      <c r="F52" s="153">
        <v>1184.7</v>
      </c>
      <c r="G52" s="153">
        <v>1184.8</v>
      </c>
      <c r="H52" s="153">
        <v>1175</v>
      </c>
      <c r="I52" s="153">
        <f>(+AVERAGE(I49:I51))</f>
        <v>1235.6500000000001</v>
      </c>
      <c r="J52" s="206">
        <v>1361</v>
      </c>
      <c r="K52" s="214">
        <v>1562</v>
      </c>
      <c r="L52" s="214">
        <v>1700</v>
      </c>
      <c r="M52" s="214">
        <v>1745</v>
      </c>
      <c r="N52" s="214">
        <v>1750</v>
      </c>
      <c r="O52" s="214">
        <v>1770</v>
      </c>
      <c r="P52" s="214">
        <v>1790</v>
      </c>
      <c r="Q52" t="s">
        <v>87</v>
      </c>
    </row>
    <row r="53" spans="1:18">
      <c r="A53" s="288"/>
      <c r="B53" s="273">
        <v>43800</v>
      </c>
      <c r="C53" s="133" t="s">
        <v>1</v>
      </c>
      <c r="D53" s="160">
        <f>'Aug18'!D52</f>
        <v>1227</v>
      </c>
      <c r="E53" s="160">
        <f>'Aug18'!E52</f>
        <v>1177.5</v>
      </c>
      <c r="F53" s="160">
        <f>'Aug18'!F52</f>
        <v>1184.7</v>
      </c>
      <c r="G53" s="160">
        <f>'Aug18'!G52</f>
        <v>1184.8</v>
      </c>
      <c r="H53" s="160">
        <f>'Aug18'!H52</f>
        <v>1175</v>
      </c>
      <c r="I53" s="160">
        <f>'Dec18'!I52</f>
        <v>1235.6500000000001</v>
      </c>
      <c r="J53" s="160">
        <f>'Dec18'!J52</f>
        <v>1361</v>
      </c>
      <c r="K53" s="160">
        <v>1562.1499999999999</v>
      </c>
      <c r="L53" s="160">
        <v>1610</v>
      </c>
      <c r="M53" s="160">
        <v>1625.4313099041533</v>
      </c>
      <c r="N53" s="160">
        <v>1650</v>
      </c>
      <c r="O53" s="160">
        <v>1665.4205607476633</v>
      </c>
      <c r="P53" s="160">
        <v>1675</v>
      </c>
    </row>
    <row r="54" spans="1:18" ht="14.65" hidden="1" customHeight="1">
      <c r="A54" s="288"/>
      <c r="B54" s="272"/>
      <c r="C54" s="133" t="s">
        <v>1</v>
      </c>
      <c r="D54" s="160">
        <v>1227</v>
      </c>
      <c r="E54" s="160">
        <v>1177.5</v>
      </c>
      <c r="F54" s="160">
        <v>1187.3</v>
      </c>
      <c r="G54" s="160">
        <v>1181</v>
      </c>
      <c r="H54" s="160">
        <v>1150</v>
      </c>
      <c r="I54" s="160">
        <v>1118</v>
      </c>
      <c r="J54" s="160">
        <v>1088</v>
      </c>
      <c r="K54" s="160">
        <v>1052</v>
      </c>
      <c r="L54" s="160"/>
      <c r="M54" s="160"/>
      <c r="N54" s="160"/>
      <c r="O54" s="160"/>
      <c r="P54" s="160"/>
    </row>
    <row r="55" spans="1:18" ht="14.65" hidden="1" customHeight="1">
      <c r="A55" s="288"/>
      <c r="B55" s="272"/>
      <c r="C55" s="133" t="s">
        <v>1</v>
      </c>
      <c r="D55" s="160">
        <v>1227</v>
      </c>
      <c r="E55" s="160">
        <v>1177.5</v>
      </c>
      <c r="F55" s="160">
        <v>1170</v>
      </c>
      <c r="G55" s="160">
        <v>1158.3</v>
      </c>
      <c r="H55" s="160">
        <v>1123.5509999999999</v>
      </c>
      <c r="I55" s="160">
        <v>1089.84447</v>
      </c>
      <c r="J55" s="160">
        <v>1057.1491358999999</v>
      </c>
      <c r="K55" s="160">
        <v>1025.4346618229999</v>
      </c>
      <c r="L55" s="160"/>
      <c r="M55" s="160"/>
      <c r="N55" s="160"/>
      <c r="O55" s="160"/>
      <c r="P55" s="160"/>
    </row>
    <row r="56" spans="1:18" ht="14.65" hidden="1" customHeight="1">
      <c r="A56" s="288"/>
      <c r="B56" s="272"/>
      <c r="C56" s="133" t="s">
        <v>1</v>
      </c>
      <c r="D56" s="160">
        <v>1225.8499999999999</v>
      </c>
      <c r="E56" s="160">
        <v>1165</v>
      </c>
      <c r="F56" s="160">
        <v>1110</v>
      </c>
      <c r="G56" s="160">
        <v>1070</v>
      </c>
      <c r="H56" s="160">
        <v>1030</v>
      </c>
      <c r="I56" s="160">
        <v>1000</v>
      </c>
      <c r="J56" s="160">
        <v>960</v>
      </c>
      <c r="K56" s="165"/>
      <c r="L56" s="165"/>
      <c r="M56" s="165"/>
      <c r="N56" s="165"/>
      <c r="O56" s="165"/>
      <c r="P56" s="165"/>
    </row>
    <row r="57" spans="1:18" hidden="1">
      <c r="A57" s="288"/>
      <c r="B57" s="33">
        <v>41317</v>
      </c>
      <c r="C57" s="133" t="s">
        <v>1</v>
      </c>
      <c r="D57" s="165">
        <v>1226</v>
      </c>
      <c r="E57" s="165">
        <v>1185</v>
      </c>
      <c r="F57" s="165">
        <v>1151</v>
      </c>
      <c r="G57" s="165">
        <v>1121</v>
      </c>
      <c r="H57" s="165">
        <v>1090.1407234210708</v>
      </c>
      <c r="I57" s="165">
        <v>1048</v>
      </c>
      <c r="J57" s="165"/>
      <c r="K57" s="165"/>
      <c r="L57" s="165"/>
      <c r="M57" s="165"/>
      <c r="N57" s="165"/>
      <c r="O57" s="165"/>
      <c r="P57" s="165"/>
    </row>
    <row r="58" spans="1:18" hidden="1">
      <c r="A58" s="288"/>
      <c r="B58" s="33">
        <v>41244</v>
      </c>
      <c r="C58" s="133" t="s">
        <v>1</v>
      </c>
      <c r="D58" s="165">
        <v>1228.5423506666664</v>
      </c>
      <c r="E58" s="165">
        <v>1184.5870287874238</v>
      </c>
      <c r="F58" s="165">
        <v>1151.3778293463738</v>
      </c>
      <c r="G58" s="165">
        <v>1121.0332793283103</v>
      </c>
      <c r="H58" s="165">
        <v>1090.1407234210708</v>
      </c>
      <c r="I58" s="165">
        <v>1048</v>
      </c>
      <c r="J58" s="165">
        <v>1048</v>
      </c>
      <c r="K58" s="165"/>
      <c r="L58" s="165"/>
      <c r="M58" s="165"/>
      <c r="N58" s="165"/>
      <c r="O58" s="165"/>
      <c r="P58" s="165"/>
    </row>
    <row r="59" spans="1:18">
      <c r="A59" s="288"/>
      <c r="B59" s="33">
        <f>B49</f>
        <v>43831</v>
      </c>
      <c r="C59" s="292" t="s">
        <v>16</v>
      </c>
      <c r="D59" s="293"/>
      <c r="E59" s="167">
        <f t="shared" ref="E59:M61" si="12">(E52-D52)/D52</f>
        <v>-4.0342298288508556E-2</v>
      </c>
      <c r="F59" s="167">
        <f t="shared" si="12"/>
        <v>6.1146496815287013E-3</v>
      </c>
      <c r="G59" s="167">
        <f>(G52-F52)/F52</f>
        <v>8.4409555161567526E-5</v>
      </c>
      <c r="H59" s="167">
        <f t="shared" si="12"/>
        <v>-8.2714382174206239E-3</v>
      </c>
      <c r="I59" s="167">
        <f t="shared" si="12"/>
        <v>5.1617021276595822E-2</v>
      </c>
      <c r="J59" s="167">
        <f t="shared" si="12"/>
        <v>0.10144458382227969</v>
      </c>
      <c r="K59" s="167">
        <f t="shared" si="12"/>
        <v>0.14768552534900808</v>
      </c>
      <c r="L59" s="167">
        <f t="shared" ref="L59" si="13">(L52-K52)/K52</f>
        <v>8.8348271446862997E-2</v>
      </c>
      <c r="M59" s="167">
        <f t="shared" ref="M59" si="14">(M52-L52)/L52</f>
        <v>2.6470588235294117E-2</v>
      </c>
      <c r="N59" s="167">
        <f t="shared" ref="N59" si="15">(N52-M52)/M52</f>
        <v>2.8653295128939827E-3</v>
      </c>
      <c r="O59" s="167">
        <f t="shared" ref="O59" si="16">(O52-N52)/N52</f>
        <v>1.1428571428571429E-2</v>
      </c>
      <c r="P59" s="167">
        <f t="shared" ref="P59" si="17">(P52-O52)/O52</f>
        <v>1.1299435028248588E-2</v>
      </c>
    </row>
    <row r="60" spans="1:18">
      <c r="A60" s="288"/>
      <c r="B60" s="33">
        <f>B45</f>
        <v>43800</v>
      </c>
      <c r="C60" s="290" t="s">
        <v>16</v>
      </c>
      <c r="D60" s="291"/>
      <c r="E60" s="168">
        <f>(E53-D53)/D53</f>
        <v>-4.0342298288508556E-2</v>
      </c>
      <c r="F60" s="168">
        <f t="shared" si="12"/>
        <v>6.1146496815287013E-3</v>
      </c>
      <c r="G60" s="168">
        <f>(G53-F53)/F53</f>
        <v>8.4409555161567526E-5</v>
      </c>
      <c r="H60" s="168">
        <f t="shared" si="12"/>
        <v>-8.2714382174206239E-3</v>
      </c>
      <c r="I60" s="168">
        <f t="shared" si="12"/>
        <v>5.1617021276595822E-2</v>
      </c>
      <c r="J60" s="168">
        <f t="shared" si="12"/>
        <v>0.10144458382227969</v>
      </c>
      <c r="K60" s="168">
        <v>0.15723732549595884</v>
      </c>
      <c r="L60" s="168">
        <f>+L53/K53-1</f>
        <v>3.0630861312934243E-2</v>
      </c>
      <c r="M60" s="168">
        <f t="shared" ref="M60:P60" si="18">+M53/L53-1</f>
        <v>9.5846645367412275E-3</v>
      </c>
      <c r="N60" s="168">
        <f t="shared" si="18"/>
        <v>1.5115182011164352E-2</v>
      </c>
      <c r="O60" s="168">
        <f t="shared" si="18"/>
        <v>9.3457943925232545E-3</v>
      </c>
      <c r="P60" s="168">
        <f t="shared" si="18"/>
        <v>5.7519640852976561E-3</v>
      </c>
    </row>
    <row r="61" spans="1:18" hidden="1">
      <c r="A61" s="288"/>
      <c r="B61" s="33">
        <v>41974</v>
      </c>
      <c r="C61" s="290" t="s">
        <v>16</v>
      </c>
      <c r="D61" s="291"/>
      <c r="E61" s="147">
        <f>(E54-D54)/D54</f>
        <v>-4.0342298288508556E-2</v>
      </c>
      <c r="F61" s="147">
        <f t="shared" si="12"/>
        <v>8.3227176220806408E-3</v>
      </c>
      <c r="G61" s="147">
        <f t="shared" si="12"/>
        <v>-5.3061568264128316E-3</v>
      </c>
      <c r="H61" s="147">
        <f t="shared" si="12"/>
        <v>-2.6248941574936496E-2</v>
      </c>
      <c r="I61" s="147">
        <f t="shared" si="12"/>
        <v>-2.782608695652174E-2</v>
      </c>
      <c r="J61" s="147">
        <f t="shared" si="12"/>
        <v>-2.6833631484794274E-2</v>
      </c>
      <c r="K61" s="147">
        <f t="shared" si="12"/>
        <v>-3.3088235294117647E-2</v>
      </c>
      <c r="L61" s="147">
        <f t="shared" si="12"/>
        <v>-1</v>
      </c>
      <c r="M61" s="147" t="e">
        <f t="shared" si="12"/>
        <v>#DIV/0!</v>
      </c>
    </row>
    <row r="62" spans="1:18" hidden="1">
      <c r="A62" s="289"/>
      <c r="B62" s="33">
        <v>41499</v>
      </c>
      <c r="C62" s="292" t="s">
        <v>16</v>
      </c>
      <c r="D62" s="293"/>
      <c r="E62" s="146">
        <f t="shared" ref="E62:J62" si="19">(E56-D56)/D56</f>
        <v>-4.9639025981971625E-2</v>
      </c>
      <c r="F62" s="146">
        <f t="shared" si="19"/>
        <v>-4.7210300429184553E-2</v>
      </c>
      <c r="G62" s="146">
        <f t="shared" si="19"/>
        <v>-3.6036036036036036E-2</v>
      </c>
      <c r="H62" s="146">
        <f t="shared" si="19"/>
        <v>-3.7383177570093455E-2</v>
      </c>
      <c r="I62" s="146">
        <f t="shared" si="19"/>
        <v>-2.9126213592233011E-2</v>
      </c>
      <c r="J62" s="146">
        <f t="shared" si="19"/>
        <v>-0.04</v>
      </c>
      <c r="K62" s="146"/>
      <c r="L62" s="146"/>
      <c r="M62" s="146"/>
    </row>
    <row r="63" spans="1:18">
      <c r="A63" s="108"/>
      <c r="B63" s="13"/>
      <c r="F63" s="112"/>
      <c r="G63" s="112"/>
      <c r="H63" s="112"/>
      <c r="I63" s="112"/>
      <c r="J63" s="112"/>
      <c r="K63" s="112"/>
      <c r="L63" s="217"/>
      <c r="M63" s="112"/>
    </row>
    <row r="64" spans="1:18">
      <c r="A64" s="9"/>
      <c r="B64" s="13"/>
      <c r="E64" s="94"/>
      <c r="F64" s="94"/>
      <c r="G64" s="112"/>
      <c r="H64" s="112"/>
      <c r="I64" s="112"/>
      <c r="J64" s="112"/>
      <c r="K64" s="112"/>
      <c r="L64" s="112"/>
      <c r="M64" s="112"/>
      <c r="N64" s="112"/>
      <c r="O64" s="112"/>
      <c r="P64" s="112"/>
    </row>
    <row r="65" spans="1:16">
      <c r="A65" s="9"/>
      <c r="B65" s="13"/>
      <c r="E65" s="94"/>
      <c r="F65" s="94"/>
      <c r="G65" s="94"/>
      <c r="H65" s="112"/>
      <c r="I65" s="112"/>
      <c r="J65" s="112"/>
      <c r="K65" s="112"/>
      <c r="L65" s="112" t="e">
        <f t="shared" ref="L65:P66" si="20">L50/K50-1</f>
        <v>#DIV/0!</v>
      </c>
      <c r="M65" s="112">
        <f t="shared" si="20"/>
        <v>3.2010056127221631E-2</v>
      </c>
      <c r="N65" s="112">
        <f t="shared" si="20"/>
        <v>1.9783021272979484E-2</v>
      </c>
      <c r="O65" s="112">
        <f t="shared" si="20"/>
        <v>2.3415756053931203E-2</v>
      </c>
      <c r="P65" s="112">
        <f t="shared" si="20"/>
        <v>1.9883618677465131E-2</v>
      </c>
    </row>
    <row r="66" spans="1:16">
      <c r="A66" s="9"/>
      <c r="B66" s="13"/>
      <c r="L66" s="112" t="e">
        <f t="shared" si="20"/>
        <v>#DIV/0!</v>
      </c>
      <c r="M66" s="112">
        <f t="shared" si="20"/>
        <v>3.3746312684365787E-2</v>
      </c>
      <c r="N66" s="112">
        <f t="shared" si="20"/>
        <v>-1.6379408743294133E-2</v>
      </c>
      <c r="O66" s="112">
        <f t="shared" si="20"/>
        <v>-1.1140121845082729E-2</v>
      </c>
      <c r="P66" s="112">
        <f t="shared" si="20"/>
        <v>-1.0092119931936927E-2</v>
      </c>
    </row>
    <row r="67" spans="1:16">
      <c r="A67" s="9"/>
      <c r="B67" s="13"/>
      <c r="L67" s="213" t="e">
        <f>AVERAGE(L64:L66)</f>
        <v>#DIV/0!</v>
      </c>
      <c r="M67" s="213">
        <f t="shared" ref="M67:P67" si="21">AVERAGE(M64:M66)</f>
        <v>3.2878184405793709E-2</v>
      </c>
      <c r="N67" s="213">
        <f t="shared" si="21"/>
        <v>1.7018062648426757E-3</v>
      </c>
      <c r="O67" s="213">
        <f t="shared" si="21"/>
        <v>6.1378171044242369E-3</v>
      </c>
      <c r="P67" s="213">
        <f t="shared" si="21"/>
        <v>4.8957493727641022E-3</v>
      </c>
    </row>
    <row r="68" spans="1:16">
      <c r="A68" s="9"/>
      <c r="B68" s="13"/>
    </row>
    <row r="69" spans="1:16">
      <c r="A69" s="9"/>
      <c r="B69" s="13"/>
    </row>
    <row r="70" spans="1:16">
      <c r="A70" s="9"/>
      <c r="B70" s="13"/>
    </row>
    <row r="71" spans="1:16">
      <c r="A71" s="9"/>
      <c r="B71" s="13"/>
    </row>
    <row r="72" spans="1:16">
      <c r="A72" s="9"/>
      <c r="B72" s="13"/>
    </row>
    <row r="73" spans="1:16">
      <c r="A73" s="9"/>
      <c r="B73" s="13"/>
    </row>
  </sheetData>
  <mergeCells count="28">
    <mergeCell ref="A2:A16"/>
    <mergeCell ref="B2:B6"/>
    <mergeCell ref="B7:B11"/>
    <mergeCell ref="C13:D13"/>
    <mergeCell ref="C14:D14"/>
    <mergeCell ref="C15:D15"/>
    <mergeCell ref="C16:D16"/>
    <mergeCell ref="C47:D47"/>
    <mergeCell ref="B38:B41"/>
    <mergeCell ref="A18:A31"/>
    <mergeCell ref="B18:B21"/>
    <mergeCell ref="C28:D28"/>
    <mergeCell ref="C29:D29"/>
    <mergeCell ref="C30:D30"/>
    <mergeCell ref="C31:D31"/>
    <mergeCell ref="B22:B25"/>
    <mergeCell ref="A33:A38"/>
    <mergeCell ref="B33:B37"/>
    <mergeCell ref="C44:D44"/>
    <mergeCell ref="C45:D45"/>
    <mergeCell ref="C46:D46"/>
    <mergeCell ref="A49:A62"/>
    <mergeCell ref="B49:B52"/>
    <mergeCell ref="B53:B56"/>
    <mergeCell ref="C59:D59"/>
    <mergeCell ref="C60:D60"/>
    <mergeCell ref="C61:D61"/>
    <mergeCell ref="C62:D62"/>
  </mergeCells>
  <pageMargins left="0.5" right="0.17" top="0.63" bottom="0.75" header="0.3" footer="0.3"/>
  <pageSetup orientation="landscape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pageSetUpPr fitToPage="1"/>
  </sheetPr>
  <dimension ref="A1:X74"/>
  <sheetViews>
    <sheetView zoomScale="140" zoomScaleNormal="140" workbookViewId="0">
      <pane xSplit="3" ySplit="1" topLeftCell="D2" activePane="bottomRight" state="frozen"/>
      <selection activeCell="I6" sqref="I6"/>
      <selection pane="topRight" activeCell="I6" sqref="I6"/>
      <selection pane="bottomLeft" activeCell="I6" sqref="I6"/>
      <selection pane="bottomRight" activeCell="I6" sqref="I6"/>
    </sheetView>
  </sheetViews>
  <sheetFormatPr defaultColWidth="9.28515625" defaultRowHeight="15"/>
  <cols>
    <col min="1" max="1" width="9.42578125" customWidth="1"/>
    <col min="2" max="2" width="7.5703125" bestFit="1" customWidth="1"/>
    <col min="3" max="3" width="12.42578125" customWidth="1"/>
    <col min="4" max="9" width="7.5703125" hidden="1" customWidth="1"/>
    <col min="10" max="10" width="9" hidden="1" customWidth="1"/>
    <col min="11" max="11" width="9" customWidth="1"/>
    <col min="12" max="13" width="9.42578125" bestFit="1" customWidth="1"/>
    <col min="14" max="14" width="10.7109375" bestFit="1" customWidth="1"/>
    <col min="15" max="15" width="9" hidden="1" customWidth="1"/>
    <col min="16" max="16" width="0" hidden="1" customWidth="1"/>
  </cols>
  <sheetData>
    <row r="1" spans="1:24" ht="34.5" customHeight="1">
      <c r="A1" s="8"/>
      <c r="B1" s="11"/>
      <c r="C1" s="133"/>
      <c r="D1" s="132" t="s">
        <v>17</v>
      </c>
      <c r="E1" s="132" t="s">
        <v>25</v>
      </c>
      <c r="F1" s="132" t="s">
        <v>73</v>
      </c>
      <c r="G1" s="132" t="s">
        <v>74</v>
      </c>
      <c r="H1" s="132" t="s">
        <v>75</v>
      </c>
      <c r="I1" s="132" t="s">
        <v>77</v>
      </c>
      <c r="J1" s="132" t="s">
        <v>81</v>
      </c>
      <c r="K1" s="132" t="s">
        <v>24</v>
      </c>
      <c r="L1" s="132" t="s">
        <v>27</v>
      </c>
      <c r="M1" s="132" t="s">
        <v>57</v>
      </c>
      <c r="N1" s="132" t="s">
        <v>76</v>
      </c>
      <c r="O1" s="132" t="s">
        <v>80</v>
      </c>
      <c r="P1" s="132" t="s">
        <v>82</v>
      </c>
      <c r="R1" s="132" t="s">
        <v>27</v>
      </c>
      <c r="S1" s="132" t="s">
        <v>57</v>
      </c>
      <c r="T1" s="132" t="s">
        <v>76</v>
      </c>
      <c r="V1" s="132" t="s">
        <v>27</v>
      </c>
      <c r="W1" s="132" t="s">
        <v>57</v>
      </c>
      <c r="X1" s="132" t="s">
        <v>76</v>
      </c>
    </row>
    <row r="2" spans="1:24">
      <c r="A2" s="284" t="s">
        <v>10</v>
      </c>
      <c r="B2" s="300">
        <v>43831</v>
      </c>
      <c r="C2" s="134" t="s">
        <v>4</v>
      </c>
      <c r="D2" s="135"/>
      <c r="E2" s="135"/>
      <c r="F2" s="135"/>
      <c r="G2" s="135"/>
      <c r="H2" s="135"/>
      <c r="I2" s="135">
        <v>44.74</v>
      </c>
      <c r="J2" s="135"/>
      <c r="K2" s="135"/>
      <c r="L2" s="135">
        <v>43.21</v>
      </c>
      <c r="M2" s="135">
        <v>26.2</v>
      </c>
      <c r="N2" s="135">
        <v>33.25</v>
      </c>
      <c r="O2" s="135"/>
      <c r="P2" s="135"/>
      <c r="R2" s="135"/>
      <c r="S2" s="135"/>
      <c r="T2" s="135"/>
      <c r="V2" s="135"/>
      <c r="W2" s="135"/>
      <c r="X2" s="135"/>
    </row>
    <row r="3" spans="1:24">
      <c r="A3" s="285"/>
      <c r="B3" s="301"/>
      <c r="C3" s="136" t="s">
        <v>2</v>
      </c>
      <c r="D3" s="137"/>
      <c r="E3" s="138"/>
      <c r="F3" s="138"/>
      <c r="G3" s="138"/>
      <c r="H3" s="138"/>
      <c r="I3" s="138">
        <v>44.76</v>
      </c>
      <c r="J3" s="138"/>
      <c r="K3" s="138"/>
      <c r="L3" s="138">
        <v>44.89</v>
      </c>
      <c r="M3" s="138">
        <v>27.32</v>
      </c>
      <c r="N3" s="138">
        <v>33.93</v>
      </c>
      <c r="O3" s="138"/>
      <c r="P3" s="138"/>
      <c r="R3" s="138"/>
      <c r="S3" s="138"/>
      <c r="T3" s="138"/>
      <c r="V3" s="138"/>
      <c r="W3" s="138"/>
      <c r="X3" s="138"/>
    </row>
    <row r="4" spans="1:24">
      <c r="A4" s="285"/>
      <c r="B4" s="301"/>
      <c r="C4" s="139" t="s">
        <v>0</v>
      </c>
      <c r="D4" s="140"/>
      <c r="E4" s="140"/>
      <c r="F4" s="140"/>
      <c r="G4" s="140"/>
      <c r="H4" s="140"/>
      <c r="I4" s="140">
        <v>44.75</v>
      </c>
      <c r="J4" s="140"/>
      <c r="K4" s="140"/>
      <c r="L4" s="140">
        <v>44.75</v>
      </c>
      <c r="M4" s="140">
        <v>29.32</v>
      </c>
      <c r="N4" s="140">
        <v>35.090000000000003</v>
      </c>
      <c r="O4" s="140"/>
      <c r="P4" s="140"/>
      <c r="R4" s="140"/>
      <c r="S4" s="140"/>
      <c r="T4" s="140"/>
      <c r="V4" s="140"/>
      <c r="W4" s="140"/>
      <c r="X4" s="140"/>
    </row>
    <row r="5" spans="1:24">
      <c r="A5" s="285"/>
      <c r="B5" s="301"/>
      <c r="C5" s="141" t="s">
        <v>3</v>
      </c>
      <c r="D5" s="142"/>
      <c r="E5" s="142"/>
      <c r="F5" s="142"/>
      <c r="G5" s="142"/>
      <c r="H5" s="142"/>
      <c r="I5" s="142">
        <v>44.39</v>
      </c>
      <c r="J5" s="142"/>
      <c r="K5" s="142"/>
      <c r="L5" s="142">
        <v>43.37</v>
      </c>
      <c r="M5" s="142">
        <v>26.82</v>
      </c>
      <c r="N5" s="142">
        <v>34.06</v>
      </c>
      <c r="O5" s="142"/>
      <c r="P5" s="142"/>
      <c r="R5" s="142"/>
      <c r="S5" s="142"/>
      <c r="T5" s="142"/>
      <c r="V5" s="142"/>
      <c r="W5" s="142"/>
      <c r="X5" s="142"/>
    </row>
    <row r="6" spans="1:24">
      <c r="A6" s="285"/>
      <c r="B6" s="302"/>
      <c r="C6" s="143" t="s">
        <v>1</v>
      </c>
      <c r="D6" s="144">
        <v>89.65</v>
      </c>
      <c r="E6" s="144">
        <v>85.82</v>
      </c>
      <c r="F6" s="144">
        <v>95.13</v>
      </c>
      <c r="G6" s="144">
        <v>60.67</v>
      </c>
      <c r="H6" s="144">
        <v>37.85</v>
      </c>
      <c r="I6" s="144">
        <f t="shared" ref="I6" si="0">+AVERAGE(I2:I5)</f>
        <v>44.66</v>
      </c>
      <c r="J6" s="144">
        <v>55.05</v>
      </c>
      <c r="K6" s="216" t="e">
        <f>AVERAGE(K2:K5)</f>
        <v>#DIV/0!</v>
      </c>
      <c r="L6" s="216">
        <v>44</v>
      </c>
      <c r="M6" s="216">
        <v>27.5</v>
      </c>
      <c r="N6" s="216">
        <v>34</v>
      </c>
      <c r="O6" s="216" t="e">
        <f t="shared" ref="O6:P6" si="1">AVERAGE(O2:O5)</f>
        <v>#DIV/0!</v>
      </c>
      <c r="P6" s="216" t="e">
        <f t="shared" si="1"/>
        <v>#DIV/0!</v>
      </c>
      <c r="R6" s="216">
        <v>40</v>
      </c>
      <c r="S6" s="216">
        <v>20</v>
      </c>
      <c r="T6" s="216">
        <v>30</v>
      </c>
      <c r="V6" s="216">
        <f>+L6</f>
        <v>44</v>
      </c>
      <c r="W6" s="216">
        <v>35</v>
      </c>
      <c r="X6" s="216">
        <v>45</v>
      </c>
    </row>
    <row r="7" spans="1:24">
      <c r="A7" s="285"/>
      <c r="B7" s="300">
        <v>43800</v>
      </c>
      <c r="C7" s="133" t="s">
        <v>1</v>
      </c>
      <c r="D7" s="138">
        <f>'Aug18'!D6</f>
        <v>89.65</v>
      </c>
      <c r="E7" s="138">
        <f>'Aug18'!E6</f>
        <v>85.82</v>
      </c>
      <c r="F7" s="138">
        <f>'Aug18'!F6</f>
        <v>95.13</v>
      </c>
      <c r="G7" s="138">
        <f>'Aug18'!G6</f>
        <v>60.67</v>
      </c>
      <c r="H7" s="138">
        <f>'Aug18'!H6</f>
        <v>37.85</v>
      </c>
      <c r="I7" s="138">
        <f>'Dec18'!I6</f>
        <v>44.66</v>
      </c>
      <c r="J7" s="138">
        <f>'Dec18'!J6</f>
        <v>55.05</v>
      </c>
      <c r="K7" s="138">
        <v>51.464999999999996</v>
      </c>
      <c r="L7" s="138">
        <v>51.997500000000002</v>
      </c>
      <c r="M7" s="138">
        <v>50</v>
      </c>
      <c r="N7" s="138">
        <v>50</v>
      </c>
      <c r="O7" s="138">
        <v>52</v>
      </c>
      <c r="P7" s="138">
        <v>53</v>
      </c>
      <c r="R7" s="93" t="s">
        <v>89</v>
      </c>
      <c r="V7" t="s">
        <v>90</v>
      </c>
    </row>
    <row r="8" spans="1:24" ht="14.65" hidden="1" customHeight="1">
      <c r="A8" s="285"/>
      <c r="B8" s="301"/>
      <c r="C8" s="133" t="s">
        <v>1</v>
      </c>
      <c r="D8" s="138">
        <v>89.65</v>
      </c>
      <c r="E8" s="138">
        <v>85.82</v>
      </c>
      <c r="F8" s="138">
        <v>95.14</v>
      </c>
      <c r="G8" s="138">
        <v>71</v>
      </c>
      <c r="H8" s="138">
        <v>66</v>
      </c>
      <c r="I8" s="138">
        <v>72</v>
      </c>
      <c r="J8" s="138">
        <v>76</v>
      </c>
      <c r="K8" s="138">
        <v>80</v>
      </c>
      <c r="L8" s="138"/>
      <c r="M8" s="138"/>
    </row>
    <row r="9" spans="1:24" ht="14.65" hidden="1" customHeight="1">
      <c r="A9" s="285"/>
      <c r="B9" s="301"/>
      <c r="C9" s="133" t="s">
        <v>1</v>
      </c>
      <c r="D9" s="138">
        <v>89.65</v>
      </c>
      <c r="E9" s="138">
        <v>85.82</v>
      </c>
      <c r="F9" s="138">
        <v>95.75</v>
      </c>
      <c r="G9" s="138">
        <v>92</v>
      </c>
      <c r="H9" s="138">
        <v>88</v>
      </c>
      <c r="I9" s="138">
        <v>87</v>
      </c>
      <c r="J9" s="138">
        <v>86</v>
      </c>
      <c r="K9" s="138">
        <v>85</v>
      </c>
      <c r="L9" s="138"/>
      <c r="M9" s="138"/>
    </row>
    <row r="10" spans="1:24" ht="14.65" hidden="1" customHeight="1">
      <c r="A10" s="285"/>
      <c r="B10" s="301"/>
      <c r="C10" s="133" t="s">
        <v>1</v>
      </c>
      <c r="D10" s="138">
        <v>90</v>
      </c>
      <c r="E10" s="138">
        <v>87</v>
      </c>
      <c r="F10" s="138">
        <v>94</v>
      </c>
      <c r="G10" s="138">
        <v>87.5</v>
      </c>
      <c r="H10" s="138">
        <v>85</v>
      </c>
      <c r="I10" s="138">
        <v>84</v>
      </c>
      <c r="J10" s="138">
        <v>84</v>
      </c>
      <c r="K10" s="138"/>
      <c r="L10" s="138"/>
      <c r="M10" s="138"/>
    </row>
    <row r="11" spans="1:24" ht="14.65" hidden="1" customHeight="1">
      <c r="A11" s="285"/>
      <c r="B11" s="302"/>
      <c r="C11" s="133" t="s">
        <v>1</v>
      </c>
      <c r="D11" s="145">
        <v>90</v>
      </c>
      <c r="E11" s="145">
        <v>86.5</v>
      </c>
      <c r="F11" s="145">
        <v>88</v>
      </c>
      <c r="G11" s="145">
        <v>87.5</v>
      </c>
      <c r="H11" s="145">
        <v>87</v>
      </c>
      <c r="I11" s="145">
        <v>86.5</v>
      </c>
      <c r="J11" s="145"/>
      <c r="K11" s="145"/>
      <c r="L11" s="145"/>
      <c r="M11" s="145"/>
    </row>
    <row r="12" spans="1:24" hidden="1">
      <c r="A12" s="285"/>
      <c r="B12" s="33">
        <v>41244</v>
      </c>
      <c r="C12" s="133" t="s">
        <v>1</v>
      </c>
      <c r="D12" s="145">
        <v>89.640506965377526</v>
      </c>
      <c r="E12" s="145">
        <v>85</v>
      </c>
      <c r="F12" s="145">
        <v>84.75</v>
      </c>
      <c r="G12" s="145">
        <v>83.5</v>
      </c>
      <c r="H12" s="145">
        <v>82.5</v>
      </c>
      <c r="I12" s="145">
        <v>83</v>
      </c>
      <c r="J12" s="145">
        <v>83</v>
      </c>
      <c r="K12" s="145"/>
      <c r="L12" s="145"/>
      <c r="M12" s="145"/>
    </row>
    <row r="13" spans="1:24" hidden="1">
      <c r="A13" s="285"/>
      <c r="B13" s="33">
        <v>42217</v>
      </c>
      <c r="C13" s="292" t="s">
        <v>16</v>
      </c>
      <c r="D13" s="293"/>
      <c r="E13" s="146">
        <f t="shared" ref="E13:M13" si="2">+E6/D6-1</f>
        <v>-4.2721695482431765E-2</v>
      </c>
      <c r="F13" s="146">
        <f>+F6/E6-1</f>
        <v>0.10848287112561183</v>
      </c>
      <c r="G13" s="166">
        <f>+G6/F6-1</f>
        <v>-0.36224114369809735</v>
      </c>
      <c r="H13" s="146">
        <f t="shared" si="2"/>
        <v>-0.37613317949563208</v>
      </c>
      <c r="I13" s="146">
        <f t="shared" si="2"/>
        <v>0.17992073976221912</v>
      </c>
      <c r="J13" s="146">
        <f t="shared" si="2"/>
        <v>0.23264666368114639</v>
      </c>
      <c r="K13" s="146" t="e">
        <f t="shared" si="2"/>
        <v>#DIV/0!</v>
      </c>
      <c r="L13" s="146" t="e">
        <f t="shared" si="2"/>
        <v>#DIV/0!</v>
      </c>
      <c r="M13" s="146">
        <f t="shared" si="2"/>
        <v>-0.375</v>
      </c>
    </row>
    <row r="14" spans="1:24" hidden="1">
      <c r="A14" s="285"/>
      <c r="B14" s="33">
        <v>42031</v>
      </c>
      <c r="C14" s="290" t="s">
        <v>16</v>
      </c>
      <c r="D14" s="291"/>
      <c r="E14" s="147">
        <f t="shared" ref="E14:K15" si="3">(E7-D7)/D7</f>
        <v>-4.2721695482431814E-2</v>
      </c>
      <c r="F14" s="147">
        <f t="shared" si="3"/>
        <v>0.10848287112561178</v>
      </c>
      <c r="G14" s="147">
        <f t="shared" si="3"/>
        <v>-0.36224114369809729</v>
      </c>
      <c r="H14" s="147">
        <f t="shared" si="3"/>
        <v>-0.37613317949563208</v>
      </c>
      <c r="I14" s="147">
        <f t="shared" si="3"/>
        <v>0.17992073976221915</v>
      </c>
      <c r="J14" s="147">
        <f t="shared" si="3"/>
        <v>0.23264666368114648</v>
      </c>
      <c r="K14" s="147">
        <f t="shared" si="3"/>
        <v>-6.5122615803814732E-2</v>
      </c>
      <c r="L14" s="147"/>
      <c r="M14" s="147"/>
    </row>
    <row r="15" spans="1:24" hidden="1">
      <c r="A15" s="285"/>
      <c r="B15" s="33">
        <v>41974</v>
      </c>
      <c r="C15" s="290" t="s">
        <v>16</v>
      </c>
      <c r="D15" s="291"/>
      <c r="E15" s="147">
        <f t="shared" si="3"/>
        <v>-4.2721695482431814E-2</v>
      </c>
      <c r="F15" s="147">
        <f t="shared" si="3"/>
        <v>0.10859939408063397</v>
      </c>
      <c r="G15" s="147">
        <f t="shared" si="3"/>
        <v>-0.2537313432835821</v>
      </c>
      <c r="H15" s="147">
        <f t="shared" si="3"/>
        <v>-7.0422535211267609E-2</v>
      </c>
      <c r="I15" s="147">
        <f t="shared" si="3"/>
        <v>9.0909090909090912E-2</v>
      </c>
      <c r="J15" s="147">
        <f t="shared" si="3"/>
        <v>5.5555555555555552E-2</v>
      </c>
      <c r="K15" s="147"/>
      <c r="L15" s="147"/>
      <c r="M15" s="147"/>
    </row>
    <row r="16" spans="1:24" hidden="1">
      <c r="A16" s="286"/>
      <c r="B16" s="33">
        <v>41499</v>
      </c>
      <c r="C16" s="292" t="s">
        <v>16</v>
      </c>
      <c r="D16" s="293"/>
      <c r="E16" s="146">
        <f t="shared" ref="E16:J16" si="4">(E10-D10)/D10</f>
        <v>-3.3333333333333333E-2</v>
      </c>
      <c r="F16" s="146">
        <f t="shared" si="4"/>
        <v>8.0459770114942528E-2</v>
      </c>
      <c r="G16" s="146">
        <f t="shared" si="4"/>
        <v>-6.9148936170212769E-2</v>
      </c>
      <c r="H16" s="146">
        <f t="shared" si="4"/>
        <v>-2.8571428571428571E-2</v>
      </c>
      <c r="I16" s="146">
        <f t="shared" si="4"/>
        <v>-1.1764705882352941E-2</v>
      </c>
      <c r="J16" s="146">
        <f t="shared" si="4"/>
        <v>0</v>
      </c>
      <c r="K16" s="146"/>
      <c r="L16" s="146"/>
      <c r="M16" s="146"/>
    </row>
    <row r="17" spans="1:24">
      <c r="A17" s="221"/>
      <c r="B17" s="222"/>
      <c r="C17" s="223"/>
      <c r="D17" s="223"/>
      <c r="E17" s="224"/>
      <c r="F17" s="224"/>
      <c r="G17" s="224"/>
      <c r="H17" s="224"/>
      <c r="I17" s="224"/>
      <c r="J17" s="224"/>
      <c r="K17" s="224"/>
      <c r="L17" s="224"/>
      <c r="M17" s="224"/>
    </row>
    <row r="18" spans="1:24">
      <c r="A18" s="65"/>
      <c r="B18" s="65"/>
      <c r="C18" s="65"/>
      <c r="D18" s="65"/>
      <c r="E18" s="65"/>
      <c r="F18" s="65"/>
      <c r="G18" s="126"/>
      <c r="H18" s="128"/>
      <c r="I18" s="128"/>
      <c r="J18" s="128"/>
      <c r="K18" s="128"/>
      <c r="L18" s="218"/>
      <c r="M18" s="218"/>
      <c r="N18" s="220"/>
      <c r="O18" s="219"/>
      <c r="P18" s="219"/>
    </row>
    <row r="19" spans="1:24">
      <c r="A19" s="281" t="s">
        <v>12</v>
      </c>
      <c r="B19" s="273">
        <v>43831</v>
      </c>
      <c r="C19" s="136" t="s">
        <v>2</v>
      </c>
      <c r="D19" s="148"/>
      <c r="E19" s="148"/>
      <c r="F19" s="148"/>
      <c r="G19" s="148"/>
      <c r="H19" s="148"/>
      <c r="I19" s="148">
        <v>155.96</v>
      </c>
      <c r="J19" s="148"/>
      <c r="K19" s="148"/>
      <c r="L19" s="148">
        <v>363</v>
      </c>
      <c r="M19" s="148">
        <v>350</v>
      </c>
      <c r="N19" s="148">
        <v>325</v>
      </c>
      <c r="O19" s="148"/>
      <c r="P19" s="148"/>
      <c r="Q19" s="112"/>
      <c r="R19" s="148"/>
      <c r="S19" s="148"/>
      <c r="T19" s="148"/>
      <c r="V19" s="148"/>
      <c r="W19" s="148"/>
      <c r="X19" s="148"/>
    </row>
    <row r="20" spans="1:24">
      <c r="A20" s="281"/>
      <c r="B20" s="272"/>
      <c r="C20" s="139" t="s">
        <v>0</v>
      </c>
      <c r="D20" s="149"/>
      <c r="E20" s="149"/>
      <c r="F20" s="149"/>
      <c r="G20" s="149"/>
      <c r="H20" s="149"/>
      <c r="I20" s="149"/>
      <c r="J20" s="149"/>
      <c r="K20" s="149"/>
      <c r="L20" s="149">
        <v>365.24</v>
      </c>
      <c r="M20" s="149">
        <v>340.37</v>
      </c>
      <c r="N20" s="149">
        <v>334.43</v>
      </c>
      <c r="O20" s="149"/>
      <c r="P20" s="149"/>
      <c r="Q20" s="112"/>
      <c r="R20" s="149"/>
      <c r="S20" s="149"/>
      <c r="T20" s="149"/>
      <c r="V20" s="149"/>
      <c r="W20" s="149"/>
      <c r="X20" s="149"/>
    </row>
    <row r="21" spans="1:24">
      <c r="A21" s="281"/>
      <c r="B21" s="272"/>
      <c r="C21" s="141" t="s">
        <v>3</v>
      </c>
      <c r="D21" s="151"/>
      <c r="E21" s="151"/>
      <c r="F21" s="151"/>
      <c r="G21" s="151"/>
      <c r="H21" s="151"/>
      <c r="I21" s="151">
        <v>155.9</v>
      </c>
      <c r="J21" s="151"/>
      <c r="K21" s="151"/>
      <c r="L21" s="151">
        <v>372.5</v>
      </c>
      <c r="M21" s="151">
        <v>339.2</v>
      </c>
      <c r="N21" s="151">
        <v>312.7</v>
      </c>
      <c r="O21" s="151"/>
      <c r="P21" s="151"/>
      <c r="Q21" s="112"/>
      <c r="R21" s="151"/>
      <c r="S21" s="151"/>
      <c r="T21" s="151"/>
      <c r="V21" s="151"/>
      <c r="W21" s="151"/>
      <c r="X21" s="151"/>
    </row>
    <row r="22" spans="1:24">
      <c r="A22" s="281"/>
      <c r="B22" s="272"/>
      <c r="C22" s="143" t="s">
        <v>1</v>
      </c>
      <c r="D22" s="152">
        <v>80.3</v>
      </c>
      <c r="E22" s="152">
        <v>96.4</v>
      </c>
      <c r="F22" s="153">
        <v>113.9</v>
      </c>
      <c r="G22" s="153">
        <v>141.4</v>
      </c>
      <c r="H22" s="153">
        <v>146.69999999999999</v>
      </c>
      <c r="I22" s="153">
        <v>153</v>
      </c>
      <c r="J22" s="206">
        <f>J23</f>
        <v>204.40600000000003</v>
      </c>
      <c r="K22" s="209">
        <v>300</v>
      </c>
      <c r="L22" s="226">
        <f>AVERAGE(L19:L21)</f>
        <v>366.91333333333336</v>
      </c>
      <c r="M22" s="226">
        <f>+L22*0.9</f>
        <v>330.22200000000004</v>
      </c>
      <c r="N22" s="226">
        <f>+M22*0.944</f>
        <v>311.72956800000003</v>
      </c>
      <c r="O22" s="226" t="e">
        <f t="shared" ref="O22:P22" si="5">AVERAGE(O19:O21)</f>
        <v>#DIV/0!</v>
      </c>
      <c r="P22" s="226" t="e">
        <f t="shared" si="5"/>
        <v>#DIV/0!</v>
      </c>
      <c r="Q22" s="227"/>
      <c r="R22" s="226">
        <f>+L22</f>
        <v>366.91333333333336</v>
      </c>
      <c r="S22" s="226">
        <f>+R22*0.55</f>
        <v>201.80233333333337</v>
      </c>
      <c r="T22" s="226">
        <f>+S22*(1+T23)</f>
        <v>177.58605333333335</v>
      </c>
      <c r="V22" s="209">
        <v>375</v>
      </c>
      <c r="W22" s="209">
        <v>360</v>
      </c>
      <c r="X22" s="209">
        <v>365</v>
      </c>
    </row>
    <row r="23" spans="1:24">
      <c r="A23" s="281"/>
      <c r="B23" s="273">
        <v>43800</v>
      </c>
      <c r="C23" s="133" t="s">
        <v>1</v>
      </c>
      <c r="D23" s="154">
        <f>'Aug18'!D21</f>
        <v>80.3</v>
      </c>
      <c r="E23" s="154">
        <f>'Aug18'!E21</f>
        <v>96.4</v>
      </c>
      <c r="F23" s="154">
        <f>'Aug18'!F21</f>
        <v>113.9</v>
      </c>
      <c r="G23" s="154">
        <f>'Aug18'!G21</f>
        <v>141.4</v>
      </c>
      <c r="H23" s="154">
        <f>'Aug18'!H21</f>
        <v>146.69999999999999</v>
      </c>
      <c r="I23" s="154">
        <f>'Dec18'!I21</f>
        <v>153</v>
      </c>
      <c r="J23" s="154">
        <f>'Dec18'!J21</f>
        <v>204.40600000000003</v>
      </c>
      <c r="K23" s="154">
        <v>300.43599999999998</v>
      </c>
      <c r="L23" s="154">
        <v>350</v>
      </c>
      <c r="M23" s="154">
        <v>360</v>
      </c>
      <c r="N23" s="154">
        <v>365</v>
      </c>
      <c r="O23" s="154">
        <v>375</v>
      </c>
      <c r="P23" s="154">
        <v>385</v>
      </c>
      <c r="R23" s="93" t="s">
        <v>89</v>
      </c>
      <c r="S23" s="112">
        <f>+S22/R22-1</f>
        <v>-0.44999999999999996</v>
      </c>
      <c r="T23" s="112">
        <v>-0.12</v>
      </c>
      <c r="V23" t="s">
        <v>90</v>
      </c>
      <c r="W23" s="112">
        <f>+W22/V22-1</f>
        <v>-4.0000000000000036E-2</v>
      </c>
      <c r="X23" s="112">
        <f>+X22/W22-1</f>
        <v>1.388888888888884E-2</v>
      </c>
    </row>
    <row r="24" spans="1:24" hidden="1">
      <c r="A24" s="281"/>
      <c r="B24" s="272"/>
      <c r="C24" s="133" t="s">
        <v>1</v>
      </c>
      <c r="D24" s="154">
        <v>80.3</v>
      </c>
      <c r="E24" s="154">
        <v>96.4</v>
      </c>
      <c r="F24" s="154">
        <v>113.4</v>
      </c>
      <c r="G24" s="154">
        <v>122</v>
      </c>
      <c r="H24" s="154">
        <v>127</v>
      </c>
      <c r="I24" s="154">
        <v>131</v>
      </c>
      <c r="J24" s="154">
        <v>133</v>
      </c>
      <c r="K24" s="154">
        <v>135</v>
      </c>
      <c r="L24" s="154"/>
      <c r="M24" s="154"/>
      <c r="N24" s="154"/>
      <c r="O24" s="154"/>
      <c r="P24" s="154"/>
    </row>
    <row r="25" spans="1:24" hidden="1">
      <c r="A25" s="281"/>
      <c r="B25" s="272"/>
      <c r="C25" s="133" t="s">
        <v>1</v>
      </c>
      <c r="D25" s="154">
        <v>80.3</v>
      </c>
      <c r="E25" s="154">
        <v>96.4</v>
      </c>
      <c r="F25" s="154">
        <v>110</v>
      </c>
      <c r="G25" s="154">
        <v>117</v>
      </c>
      <c r="H25" s="154">
        <v>122</v>
      </c>
      <c r="I25" s="154">
        <v>125</v>
      </c>
      <c r="J25" s="154">
        <v>127</v>
      </c>
      <c r="K25" s="154">
        <v>129</v>
      </c>
      <c r="L25" s="154"/>
      <c r="M25" s="154"/>
      <c r="N25" s="154"/>
      <c r="O25" s="154"/>
      <c r="P25" s="154"/>
    </row>
    <row r="26" spans="1:24" hidden="1">
      <c r="A26" s="281"/>
      <c r="B26" s="272"/>
      <c r="C26" s="133" t="s">
        <v>1</v>
      </c>
      <c r="D26" s="154">
        <v>80.069999999999993</v>
      </c>
      <c r="E26" s="154">
        <v>90</v>
      </c>
      <c r="F26" s="154">
        <v>93</v>
      </c>
      <c r="G26" s="154">
        <v>97</v>
      </c>
      <c r="H26" s="154">
        <v>100</v>
      </c>
      <c r="I26" s="154">
        <v>101</v>
      </c>
      <c r="J26" s="154">
        <v>102</v>
      </c>
      <c r="K26" s="154"/>
      <c r="L26" s="154"/>
      <c r="M26" s="154"/>
      <c r="N26" s="154"/>
      <c r="O26" s="154"/>
      <c r="P26" s="154"/>
    </row>
    <row r="27" spans="1:24" hidden="1">
      <c r="A27" s="281"/>
      <c r="B27" s="33">
        <v>41317</v>
      </c>
      <c r="C27" s="133" t="s">
        <v>1</v>
      </c>
      <c r="D27" s="155">
        <v>80.099999999999994</v>
      </c>
      <c r="E27" s="155">
        <v>87</v>
      </c>
      <c r="F27" s="155">
        <v>91.4</v>
      </c>
      <c r="G27" s="155">
        <v>94.1</v>
      </c>
      <c r="H27" s="155">
        <v>96</v>
      </c>
      <c r="I27" s="155">
        <v>97.9</v>
      </c>
      <c r="J27" s="155"/>
      <c r="K27" s="155"/>
      <c r="L27" s="155"/>
      <c r="M27" s="155"/>
      <c r="N27" s="155"/>
      <c r="O27" s="155"/>
      <c r="P27" s="155"/>
    </row>
    <row r="28" spans="1:24" hidden="1">
      <c r="A28" s="281"/>
      <c r="B28" s="33">
        <v>41244</v>
      </c>
      <c r="C28" s="133" t="s">
        <v>1</v>
      </c>
      <c r="D28" s="155">
        <v>79.7</v>
      </c>
      <c r="E28" s="155">
        <v>84.119744824999998</v>
      </c>
      <c r="F28" s="155">
        <v>88.406534618000009</v>
      </c>
      <c r="G28" s="155">
        <v>92.434230656539995</v>
      </c>
      <c r="H28" s="155">
        <v>96.132415269670815</v>
      </c>
      <c r="I28" s="155">
        <v>97.6</v>
      </c>
      <c r="J28" s="155">
        <v>97.6</v>
      </c>
      <c r="K28" s="155"/>
      <c r="L28" s="155"/>
      <c r="M28" s="155"/>
      <c r="N28" s="155"/>
      <c r="O28" s="155"/>
      <c r="P28" s="155"/>
    </row>
    <row r="29" spans="1:24">
      <c r="A29" s="281"/>
      <c r="B29" s="33">
        <f>B19</f>
        <v>43831</v>
      </c>
      <c r="C29" s="292" t="s">
        <v>16</v>
      </c>
      <c r="D29" s="293"/>
      <c r="E29" s="167">
        <f t="shared" ref="E29:K30" si="6">(E22-D22)/D22</f>
        <v>0.20049813200498143</v>
      </c>
      <c r="F29" s="167">
        <f>(F22-E22)/E22</f>
        <v>0.18153526970954356</v>
      </c>
      <c r="G29" s="167">
        <f t="shared" si="6"/>
        <v>0.24143985952589991</v>
      </c>
      <c r="H29" s="167">
        <f t="shared" si="6"/>
        <v>3.7482319660537361E-2</v>
      </c>
      <c r="I29" s="167">
        <f>(I22-H22)/H22</f>
        <v>4.2944785276073698E-2</v>
      </c>
      <c r="J29" s="167">
        <f>(J22-I22)/I22</f>
        <v>0.33598692810457537</v>
      </c>
      <c r="K29" s="167">
        <f t="shared" si="6"/>
        <v>0.46766728960989379</v>
      </c>
      <c r="L29" s="167">
        <f>(L22-K22)/K22</f>
        <v>0.22304444444444452</v>
      </c>
      <c r="M29" s="167">
        <f>(M22-L22)/L22</f>
        <v>-9.999999999999995E-2</v>
      </c>
      <c r="N29" s="167">
        <f>(N22-M22)/M22</f>
        <v>-5.6000000000000015E-2</v>
      </c>
      <c r="O29" s="167" t="e">
        <f>(O22-N22)/N22</f>
        <v>#DIV/0!</v>
      </c>
      <c r="P29" s="167" t="e">
        <f>(P22-O22)/O22</f>
        <v>#DIV/0!</v>
      </c>
    </row>
    <row r="30" spans="1:24">
      <c r="A30" s="281"/>
      <c r="B30" s="33">
        <f>B7</f>
        <v>43800</v>
      </c>
      <c r="C30" s="290" t="s">
        <v>16</v>
      </c>
      <c r="D30" s="291"/>
      <c r="E30" s="168">
        <f>(E23-D23)/D23</f>
        <v>0.20049813200498143</v>
      </c>
      <c r="F30" s="168">
        <f t="shared" ref="F30:P31" si="7">(F23-E23)/E23</f>
        <v>0.18153526970954356</v>
      </c>
      <c r="G30" s="168">
        <f>(G23-F23)/F23</f>
        <v>0.24143985952589991</v>
      </c>
      <c r="H30" s="168">
        <f t="shared" si="6"/>
        <v>3.7482319660537361E-2</v>
      </c>
      <c r="I30" s="168">
        <f>(I23-H23)/H23</f>
        <v>4.2944785276073698E-2</v>
      </c>
      <c r="J30" s="168">
        <f t="shared" si="6"/>
        <v>0.33598692810457537</v>
      </c>
      <c r="K30" s="168">
        <v>0.45837206344236431</v>
      </c>
      <c r="L30" s="168">
        <f>+L23/K23-1</f>
        <v>0.16497357174240124</v>
      </c>
      <c r="M30" s="168">
        <f t="shared" ref="M30:P30" si="8">+M23/L23-1</f>
        <v>2.857142857142847E-2</v>
      </c>
      <c r="N30" s="168">
        <f t="shared" si="8"/>
        <v>1.388888888888884E-2</v>
      </c>
      <c r="O30" s="168">
        <f t="shared" si="8"/>
        <v>2.7397260273972712E-2</v>
      </c>
      <c r="P30" s="168">
        <f t="shared" si="8"/>
        <v>2.6666666666666616E-2</v>
      </c>
    </row>
    <row r="31" spans="1:24" hidden="1">
      <c r="A31" s="281"/>
      <c r="B31" s="33">
        <v>41974</v>
      </c>
      <c r="C31" s="290" t="s">
        <v>16</v>
      </c>
      <c r="D31" s="291"/>
      <c r="E31" s="147">
        <f>(E24-D24)/D24</f>
        <v>0.20049813200498143</v>
      </c>
      <c r="F31" s="147">
        <f t="shared" si="7"/>
        <v>0.17634854771784231</v>
      </c>
      <c r="G31" s="147">
        <f t="shared" si="7"/>
        <v>7.5837742504409111E-2</v>
      </c>
      <c r="H31" s="147">
        <f t="shared" si="7"/>
        <v>4.0983606557377046E-2</v>
      </c>
      <c r="I31" s="147">
        <f t="shared" si="7"/>
        <v>3.1496062992125984E-2</v>
      </c>
      <c r="J31" s="147">
        <f t="shared" si="7"/>
        <v>1.5267175572519083E-2</v>
      </c>
      <c r="K31" s="147">
        <f t="shared" si="7"/>
        <v>1.5037593984962405E-2</v>
      </c>
      <c r="L31" s="147">
        <f t="shared" si="7"/>
        <v>-1</v>
      </c>
      <c r="M31" s="147" t="e">
        <f t="shared" si="7"/>
        <v>#DIV/0!</v>
      </c>
      <c r="N31" s="147" t="e">
        <f t="shared" si="7"/>
        <v>#DIV/0!</v>
      </c>
      <c r="O31" s="147" t="e">
        <f t="shared" si="7"/>
        <v>#DIV/0!</v>
      </c>
      <c r="P31" s="147" t="e">
        <f t="shared" si="7"/>
        <v>#DIV/0!</v>
      </c>
    </row>
    <row r="32" spans="1:24" hidden="1">
      <c r="A32" s="281"/>
      <c r="B32" s="33">
        <v>41499</v>
      </c>
      <c r="C32" s="292" t="s">
        <v>16</v>
      </c>
      <c r="D32" s="293"/>
      <c r="E32" s="146">
        <f t="shared" ref="E32:J32" si="9">(E26-D26)/D26</f>
        <v>0.12401648557512186</v>
      </c>
      <c r="F32" s="146">
        <f t="shared" si="9"/>
        <v>3.3333333333333333E-2</v>
      </c>
      <c r="G32" s="146">
        <f t="shared" si="9"/>
        <v>4.3010752688172046E-2</v>
      </c>
      <c r="H32" s="146">
        <f t="shared" si="9"/>
        <v>3.0927835051546393E-2</v>
      </c>
      <c r="I32" s="146">
        <f t="shared" si="9"/>
        <v>0.01</v>
      </c>
      <c r="J32" s="146">
        <f t="shared" si="9"/>
        <v>9.9009900990099011E-3</v>
      </c>
      <c r="K32" s="146"/>
      <c r="L32" s="146"/>
      <c r="M32" s="146"/>
      <c r="N32" s="146"/>
      <c r="O32" s="146"/>
      <c r="P32" s="146"/>
    </row>
    <row r="33" spans="1:24">
      <c r="A33" s="106"/>
      <c r="B33" s="107"/>
      <c r="C33" s="156"/>
      <c r="D33" s="156"/>
      <c r="E33" s="157"/>
      <c r="F33" s="157"/>
      <c r="G33" s="158"/>
      <c r="H33" s="158"/>
      <c r="I33" s="158"/>
      <c r="J33" s="158"/>
      <c r="K33" s="158"/>
      <c r="L33" s="158"/>
      <c r="M33" s="158"/>
      <c r="N33" s="158"/>
      <c r="O33" s="158"/>
      <c r="P33" s="158"/>
    </row>
    <row r="34" spans="1:24">
      <c r="A34" s="298" t="s">
        <v>18</v>
      </c>
      <c r="B34" s="300">
        <v>43831</v>
      </c>
      <c r="C34" s="134" t="s">
        <v>4</v>
      </c>
      <c r="D34" s="135"/>
      <c r="E34" s="135"/>
      <c r="F34" s="135"/>
      <c r="G34" s="135"/>
      <c r="H34" s="135"/>
      <c r="I34" s="135">
        <v>3.24</v>
      </c>
      <c r="J34" s="135"/>
      <c r="K34" s="135"/>
      <c r="L34" s="135">
        <v>1.99</v>
      </c>
      <c r="M34" s="135">
        <v>2.0499999999999998</v>
      </c>
      <c r="N34" s="135">
        <v>2.17</v>
      </c>
      <c r="O34" s="135"/>
      <c r="P34" s="135"/>
      <c r="R34" s="135"/>
      <c r="S34" s="135"/>
      <c r="T34" s="135"/>
      <c r="V34" s="135"/>
      <c r="W34" s="135"/>
      <c r="X34" s="135"/>
    </row>
    <row r="35" spans="1:24" ht="15" customHeight="1">
      <c r="A35" s="299"/>
      <c r="B35" s="301"/>
      <c r="C35" s="136" t="s">
        <v>2</v>
      </c>
      <c r="D35" s="159"/>
      <c r="E35" s="159"/>
      <c r="F35" s="159"/>
      <c r="G35" s="159"/>
      <c r="H35" s="159"/>
      <c r="I35" s="159">
        <v>3.24</v>
      </c>
      <c r="J35" s="159"/>
      <c r="K35" s="210"/>
      <c r="L35" s="210"/>
      <c r="M35" s="210"/>
      <c r="N35" s="210"/>
      <c r="O35" s="210"/>
      <c r="P35" s="210"/>
      <c r="R35" s="210"/>
      <c r="S35" s="210"/>
      <c r="T35" s="210"/>
      <c r="V35" s="210"/>
      <c r="W35" s="210"/>
      <c r="X35" s="210"/>
    </row>
    <row r="36" spans="1:24">
      <c r="A36" s="299"/>
      <c r="B36" s="301"/>
      <c r="C36" s="139" t="s">
        <v>0</v>
      </c>
      <c r="D36" s="140"/>
      <c r="E36" s="140"/>
      <c r="F36" s="140"/>
      <c r="G36" s="140"/>
      <c r="H36" s="140"/>
      <c r="I36" s="140">
        <v>3.25</v>
      </c>
      <c r="J36" s="140"/>
      <c r="K36" s="140"/>
      <c r="L36" s="140">
        <v>1.96</v>
      </c>
      <c r="M36" s="140">
        <v>1.98</v>
      </c>
      <c r="N36" s="140">
        <v>2.2799999999999998</v>
      </c>
      <c r="O36" s="140"/>
      <c r="P36" s="140"/>
      <c r="R36" s="140"/>
      <c r="S36" s="140"/>
      <c r="T36" s="140"/>
      <c r="V36" s="140"/>
      <c r="W36" s="140"/>
      <c r="X36" s="140"/>
    </row>
    <row r="37" spans="1:24">
      <c r="A37" s="299"/>
      <c r="B37" s="301"/>
      <c r="C37" s="141" t="s">
        <v>3</v>
      </c>
      <c r="D37" s="142"/>
      <c r="E37" s="142"/>
      <c r="F37" s="142"/>
      <c r="G37" s="142"/>
      <c r="H37" s="142"/>
      <c r="I37" s="142">
        <v>3.22</v>
      </c>
      <c r="J37" s="142"/>
      <c r="K37" s="142"/>
      <c r="L37" s="142">
        <v>1.84</v>
      </c>
      <c r="M37" s="142">
        <v>1.95</v>
      </c>
      <c r="N37" s="142">
        <v>2.2000000000000002</v>
      </c>
      <c r="O37" s="142"/>
      <c r="P37" s="142"/>
      <c r="R37" s="142"/>
      <c r="S37" s="142"/>
      <c r="T37" s="142"/>
      <c r="V37" s="142"/>
      <c r="W37" s="142"/>
      <c r="X37" s="142"/>
    </row>
    <row r="38" spans="1:24">
      <c r="A38" s="299"/>
      <c r="B38" s="302"/>
      <c r="C38" s="143" t="s">
        <v>1</v>
      </c>
      <c r="D38" s="144">
        <v>5.01</v>
      </c>
      <c r="E38" s="144">
        <v>4.38</v>
      </c>
      <c r="F38" s="144">
        <v>5.14</v>
      </c>
      <c r="G38" s="144">
        <v>3.78</v>
      </c>
      <c r="H38" s="144">
        <v>2.42</v>
      </c>
      <c r="I38" s="144">
        <f t="shared" ref="I38" si="10">+AVERAGE(I34:I37)</f>
        <v>3.2375000000000003</v>
      </c>
      <c r="J38" s="144" t="e">
        <f t="shared" ref="J38" si="11">AVERAGE(J34:J37)</f>
        <v>#DIV/0!</v>
      </c>
      <c r="K38" s="216" t="e">
        <f>AVERAGE(K34:K37)</f>
        <v>#DIV/0!</v>
      </c>
      <c r="L38" s="216">
        <v>1.95</v>
      </c>
      <c r="M38" s="216">
        <v>2</v>
      </c>
      <c r="N38" s="216">
        <v>2.2000000000000002</v>
      </c>
      <c r="O38" s="216" t="e">
        <f t="shared" ref="O38:P38" si="12">AVERAGE(O34:O37)</f>
        <v>#DIV/0!</v>
      </c>
      <c r="P38" s="216" t="e">
        <f t="shared" si="12"/>
        <v>#DIV/0!</v>
      </c>
      <c r="R38" s="216">
        <v>1.85</v>
      </c>
      <c r="S38" s="216">
        <v>1.9</v>
      </c>
      <c r="T38" s="216">
        <v>2</v>
      </c>
      <c r="V38" s="216">
        <v>2.0499999999999998</v>
      </c>
      <c r="W38" s="216">
        <v>2.1</v>
      </c>
      <c r="X38" s="216">
        <v>2.2999999999999998</v>
      </c>
    </row>
    <row r="39" spans="1:24">
      <c r="A39" s="299"/>
      <c r="B39" s="273">
        <v>43800</v>
      </c>
      <c r="C39" s="133" t="s">
        <v>1</v>
      </c>
      <c r="D39" s="138">
        <f>'Aug18'!D37</f>
        <v>5.01</v>
      </c>
      <c r="E39" s="138">
        <f>'Aug18'!E37</f>
        <v>4.38</v>
      </c>
      <c r="F39" s="138">
        <f>'Aug18'!F37</f>
        <v>5.14</v>
      </c>
      <c r="G39" s="138">
        <f>'Aug18'!G37</f>
        <v>3.78</v>
      </c>
      <c r="H39" s="138">
        <f>'Aug18'!H37</f>
        <v>2.42</v>
      </c>
      <c r="I39" s="138">
        <f>'Dec18'!I37</f>
        <v>3.2375000000000003</v>
      </c>
      <c r="J39" s="138">
        <f>'Dec18'!J37</f>
        <v>3.5142500000000001</v>
      </c>
      <c r="K39" s="138">
        <v>3.08</v>
      </c>
      <c r="L39" s="138">
        <v>2.1</v>
      </c>
      <c r="M39" s="138">
        <v>2.25</v>
      </c>
      <c r="N39" s="138">
        <v>2.5</v>
      </c>
      <c r="O39" s="138">
        <v>2.5</v>
      </c>
      <c r="P39" s="138">
        <v>2.5</v>
      </c>
      <c r="R39" t="s">
        <v>89</v>
      </c>
      <c r="V39" t="s">
        <v>90</v>
      </c>
    </row>
    <row r="40" spans="1:24" ht="15" hidden="1" customHeight="1">
      <c r="A40" s="204"/>
      <c r="B40" s="272"/>
      <c r="C40" s="133" t="s">
        <v>1</v>
      </c>
      <c r="D40" s="138">
        <v>5.01</v>
      </c>
      <c r="E40" s="138">
        <v>4.38</v>
      </c>
      <c r="F40" s="138">
        <v>5.13</v>
      </c>
      <c r="G40" s="138">
        <v>4.9000000000000004</v>
      </c>
      <c r="H40" s="138">
        <v>4.9000000000000004</v>
      </c>
      <c r="I40" s="138">
        <v>4.95</v>
      </c>
      <c r="J40" s="138">
        <v>5.0999999999999996</v>
      </c>
      <c r="K40" s="138">
        <v>5.2</v>
      </c>
      <c r="L40" s="138"/>
      <c r="M40" s="138"/>
    </row>
    <row r="41" spans="1:24" ht="15" hidden="1" customHeight="1">
      <c r="A41" s="204"/>
      <c r="B41" s="272"/>
      <c r="C41" s="133" t="s">
        <v>1</v>
      </c>
      <c r="D41" s="138">
        <v>5.01</v>
      </c>
      <c r="E41" s="138">
        <v>4.38</v>
      </c>
      <c r="F41" s="138">
        <v>5.15</v>
      </c>
      <c r="G41" s="138">
        <v>5.2</v>
      </c>
      <c r="H41" s="138">
        <v>5.25</v>
      </c>
      <c r="I41" s="138">
        <v>5.3</v>
      </c>
      <c r="J41" s="138">
        <v>5.35</v>
      </c>
      <c r="K41" s="138">
        <v>5.4</v>
      </c>
      <c r="L41" s="138"/>
      <c r="M41" s="138"/>
    </row>
    <row r="42" spans="1:24" ht="15" hidden="1" customHeight="1">
      <c r="A42" s="204"/>
      <c r="B42" s="272"/>
      <c r="C42" s="133" t="s">
        <v>1</v>
      </c>
      <c r="D42" s="138">
        <v>5</v>
      </c>
      <c r="E42" s="138">
        <v>4.5</v>
      </c>
      <c r="F42" s="138">
        <v>5</v>
      </c>
      <c r="G42" s="138">
        <v>5.4</v>
      </c>
      <c r="H42" s="138">
        <v>5.5</v>
      </c>
      <c r="I42" s="138">
        <v>5.5</v>
      </c>
      <c r="J42" s="138">
        <v>5.5</v>
      </c>
      <c r="K42" s="138"/>
      <c r="L42" s="138"/>
      <c r="M42" s="138"/>
    </row>
    <row r="43" spans="1:24" ht="15" hidden="1" customHeight="1">
      <c r="A43" s="204"/>
      <c r="B43" s="33">
        <v>41317</v>
      </c>
      <c r="C43" s="133" t="s">
        <v>1</v>
      </c>
      <c r="D43" s="145">
        <v>5</v>
      </c>
      <c r="E43" s="145">
        <v>4.5</v>
      </c>
      <c r="F43" s="145">
        <v>5.0999999999999996</v>
      </c>
      <c r="G43" s="145">
        <v>5.25</v>
      </c>
      <c r="H43" s="145">
        <v>5.5</v>
      </c>
      <c r="I43" s="145">
        <v>5.5</v>
      </c>
      <c r="J43" s="145"/>
      <c r="K43" s="145"/>
      <c r="L43" s="145"/>
      <c r="M43" s="145"/>
    </row>
    <row r="44" spans="1:24" ht="15" hidden="1" customHeight="1">
      <c r="A44" s="204"/>
      <c r="B44" s="33">
        <v>41244</v>
      </c>
      <c r="C44" s="133" t="s">
        <v>1</v>
      </c>
      <c r="D44" s="145">
        <v>5</v>
      </c>
      <c r="E44" s="145">
        <v>4.5</v>
      </c>
      <c r="F44" s="145">
        <v>5</v>
      </c>
      <c r="G44" s="145">
        <v>5.4</v>
      </c>
      <c r="H44" s="145">
        <v>5.6</v>
      </c>
      <c r="I44" s="145">
        <v>5.5</v>
      </c>
      <c r="J44" s="145">
        <v>5.5</v>
      </c>
      <c r="K44" s="145"/>
      <c r="L44" s="145"/>
      <c r="M44" s="145"/>
    </row>
    <row r="45" spans="1:24" ht="15" hidden="1" customHeight="1">
      <c r="A45" s="204"/>
      <c r="B45" s="33">
        <v>42217</v>
      </c>
      <c r="C45" s="292" t="s">
        <v>16</v>
      </c>
      <c r="D45" s="293"/>
      <c r="E45" s="146">
        <f t="shared" ref="E45:M47" si="13">(E38-D38)/D38</f>
        <v>-0.12574850299401197</v>
      </c>
      <c r="F45" s="146">
        <f t="shared" si="13"/>
        <v>0.17351598173515978</v>
      </c>
      <c r="G45" s="146">
        <f t="shared" si="13"/>
        <v>-0.26459143968871596</v>
      </c>
      <c r="H45" s="146">
        <f t="shared" si="13"/>
        <v>-0.35978835978835977</v>
      </c>
      <c r="I45" s="146">
        <f t="shared" si="13"/>
        <v>0.33780991735537202</v>
      </c>
      <c r="J45" s="146" t="e">
        <f t="shared" si="13"/>
        <v>#DIV/0!</v>
      </c>
      <c r="K45" s="146" t="e">
        <f t="shared" si="13"/>
        <v>#DIV/0!</v>
      </c>
      <c r="L45" s="146" t="e">
        <f t="shared" si="13"/>
        <v>#DIV/0!</v>
      </c>
      <c r="M45" s="146">
        <f t="shared" si="13"/>
        <v>2.5641025641025664E-2</v>
      </c>
    </row>
    <row r="46" spans="1:24" ht="15" hidden="1" customHeight="1">
      <c r="A46" s="204"/>
      <c r="B46" s="33">
        <f>B30</f>
        <v>43800</v>
      </c>
      <c r="C46" s="290" t="s">
        <v>16</v>
      </c>
      <c r="D46" s="291"/>
      <c r="E46" s="147">
        <f t="shared" si="13"/>
        <v>-0.12574850299401197</v>
      </c>
      <c r="F46" s="147">
        <f t="shared" si="13"/>
        <v>0.17351598173515978</v>
      </c>
      <c r="G46" s="147">
        <f t="shared" si="13"/>
        <v>-0.26459143968871596</v>
      </c>
      <c r="H46" s="147">
        <f t="shared" si="13"/>
        <v>-0.35978835978835977</v>
      </c>
      <c r="I46" s="147">
        <f t="shared" si="13"/>
        <v>0.33780991735537202</v>
      </c>
      <c r="J46" s="147">
        <f t="shared" si="13"/>
        <v>8.5482625482625418E-2</v>
      </c>
      <c r="K46" s="147">
        <f t="shared" si="13"/>
        <v>-0.12356832894643238</v>
      </c>
      <c r="L46" s="147"/>
      <c r="M46" s="147"/>
    </row>
    <row r="47" spans="1:24" ht="15" hidden="1" customHeight="1">
      <c r="A47" s="204"/>
      <c r="B47" s="33">
        <v>41974</v>
      </c>
      <c r="C47" s="290" t="s">
        <v>16</v>
      </c>
      <c r="D47" s="291"/>
      <c r="E47" s="147">
        <f t="shared" si="13"/>
        <v>-0.12574850299401197</v>
      </c>
      <c r="F47" s="147">
        <f t="shared" si="13"/>
        <v>0.17123287671232876</v>
      </c>
      <c r="G47" s="147">
        <f t="shared" si="13"/>
        <v>-4.4834307992202643E-2</v>
      </c>
      <c r="H47" s="147">
        <f t="shared" si="13"/>
        <v>0</v>
      </c>
      <c r="I47" s="147">
        <f t="shared" si="13"/>
        <v>1.0204081632653024E-2</v>
      </c>
      <c r="J47" s="147">
        <f t="shared" si="13"/>
        <v>3.0303030303030193E-2</v>
      </c>
      <c r="K47" s="147">
        <f t="shared" si="13"/>
        <v>1.9607843137255009E-2</v>
      </c>
      <c r="L47" s="147">
        <f t="shared" si="13"/>
        <v>-1</v>
      </c>
      <c r="M47" s="147" t="e">
        <f t="shared" si="13"/>
        <v>#DIV/0!</v>
      </c>
    </row>
    <row r="48" spans="1:24" ht="15" hidden="1" customHeight="1">
      <c r="A48" s="205"/>
      <c r="B48" s="33">
        <v>41499</v>
      </c>
      <c r="C48" s="292" t="s">
        <v>16</v>
      </c>
      <c r="D48" s="293"/>
      <c r="E48" s="146">
        <f t="shared" ref="E48:J48" si="14">(E42-D42)/D42</f>
        <v>-0.1</v>
      </c>
      <c r="F48" s="146">
        <f t="shared" si="14"/>
        <v>0.1111111111111111</v>
      </c>
      <c r="G48" s="146">
        <f t="shared" si="14"/>
        <v>8.0000000000000071E-2</v>
      </c>
      <c r="H48" s="146">
        <f t="shared" si="14"/>
        <v>1.8518518518518452E-2</v>
      </c>
      <c r="I48" s="146">
        <f t="shared" si="14"/>
        <v>0</v>
      </c>
      <c r="J48" s="146">
        <f t="shared" si="14"/>
        <v>0</v>
      </c>
      <c r="K48" s="146"/>
      <c r="L48" s="146"/>
      <c r="M48" s="146"/>
    </row>
    <row r="49" spans="1:24">
      <c r="A49" s="65"/>
      <c r="B49" s="65"/>
      <c r="C49" s="65"/>
      <c r="D49" s="76"/>
      <c r="E49" s="76"/>
      <c r="F49" s="76"/>
      <c r="G49" s="130"/>
      <c r="H49" s="130"/>
      <c r="I49" s="130"/>
      <c r="J49" s="130"/>
      <c r="K49" s="130"/>
      <c r="L49" s="130"/>
      <c r="M49" s="130"/>
    </row>
    <row r="50" spans="1:24">
      <c r="A50" s="287" t="s">
        <v>19</v>
      </c>
      <c r="B50" s="273">
        <v>43831</v>
      </c>
      <c r="C50" s="136" t="s">
        <v>2</v>
      </c>
      <c r="D50" s="160"/>
      <c r="E50" s="161"/>
      <c r="F50" s="161"/>
      <c r="G50" s="161"/>
      <c r="H50" s="161"/>
      <c r="I50" s="161">
        <v>1235.7</v>
      </c>
      <c r="J50" s="161"/>
      <c r="K50" s="161"/>
      <c r="L50" s="161"/>
      <c r="M50" s="161"/>
      <c r="N50" s="161"/>
      <c r="O50" s="161"/>
      <c r="P50" s="161"/>
      <c r="R50" s="161"/>
      <c r="S50" s="161"/>
      <c r="T50" s="161"/>
      <c r="V50" s="161"/>
      <c r="W50" s="161"/>
      <c r="X50" s="161"/>
    </row>
    <row r="51" spans="1:24">
      <c r="A51" s="288"/>
      <c r="B51" s="272"/>
      <c r="C51" s="139" t="s">
        <v>0</v>
      </c>
      <c r="D51" s="162"/>
      <c r="E51" s="162"/>
      <c r="F51" s="162"/>
      <c r="G51" s="162"/>
      <c r="H51" s="162"/>
      <c r="I51" s="162"/>
      <c r="J51" s="162"/>
      <c r="K51" s="215"/>
      <c r="L51" s="215">
        <v>1754.7</v>
      </c>
      <c r="M51" s="215">
        <v>1555.94</v>
      </c>
      <c r="N51" s="215">
        <v>1544.49</v>
      </c>
      <c r="O51" s="215"/>
      <c r="P51" s="215"/>
      <c r="R51" s="215"/>
      <c r="S51" s="215"/>
      <c r="T51" s="215"/>
      <c r="V51" s="215"/>
      <c r="W51" s="215"/>
      <c r="X51" s="215"/>
    </row>
    <row r="52" spans="1:24">
      <c r="A52" s="288"/>
      <c r="B52" s="272"/>
      <c r="C52" s="141" t="s">
        <v>3</v>
      </c>
      <c r="D52" s="163"/>
      <c r="E52" s="163"/>
      <c r="F52" s="163"/>
      <c r="G52" s="163"/>
      <c r="H52" s="163"/>
      <c r="I52" s="163">
        <v>1235.5999999999999</v>
      </c>
      <c r="J52" s="163"/>
      <c r="K52" s="163"/>
      <c r="L52" s="163">
        <v>1707.4</v>
      </c>
      <c r="M52" s="163">
        <v>1741.6</v>
      </c>
      <c r="N52" s="163">
        <v>1699.2</v>
      </c>
      <c r="O52" s="163"/>
      <c r="P52" s="163"/>
      <c r="R52" s="163"/>
      <c r="S52" s="163"/>
      <c r="T52" s="163"/>
      <c r="V52" s="163"/>
      <c r="W52" s="163"/>
      <c r="X52" s="163"/>
    </row>
    <row r="53" spans="1:24">
      <c r="A53" s="288"/>
      <c r="B53" s="272"/>
      <c r="C53" s="143" t="s">
        <v>1</v>
      </c>
      <c r="D53" s="152">
        <v>1227</v>
      </c>
      <c r="E53" s="152">
        <v>1177.5</v>
      </c>
      <c r="F53" s="153">
        <v>1184.7</v>
      </c>
      <c r="G53" s="153">
        <v>1184.8</v>
      </c>
      <c r="H53" s="153">
        <v>1175</v>
      </c>
      <c r="I53" s="153">
        <f>(+AVERAGE(I50:I52))</f>
        <v>1235.6500000000001</v>
      </c>
      <c r="J53" s="206">
        <v>1361</v>
      </c>
      <c r="K53" s="214">
        <v>1562</v>
      </c>
      <c r="L53" s="225">
        <f>AVERAGE(L49:L52)</f>
        <v>1731.0500000000002</v>
      </c>
      <c r="M53" s="225">
        <f t="shared" ref="M53" si="15">AVERAGE(M49:M52)</f>
        <v>1648.77</v>
      </c>
      <c r="N53" s="225">
        <f t="shared" ref="N53" si="16">AVERAGE(N49:N52)</f>
        <v>1621.845</v>
      </c>
      <c r="O53" s="216" t="e">
        <f t="shared" ref="O53" si="17">AVERAGE(O49:O52)</f>
        <v>#DIV/0!</v>
      </c>
      <c r="P53" s="216" t="e">
        <f t="shared" ref="P53" si="18">AVERAGE(P49:P52)</f>
        <v>#DIV/0!</v>
      </c>
      <c r="R53" s="225">
        <f>+L53</f>
        <v>1731.0500000000002</v>
      </c>
      <c r="S53" s="225">
        <f>+R53*(1+S54)</f>
        <v>1341.5637500000003</v>
      </c>
      <c r="T53" s="225">
        <f>+S53*(1+T54)</f>
        <v>1261.0699250000002</v>
      </c>
      <c r="V53" s="225">
        <v>1750</v>
      </c>
      <c r="W53" s="225">
        <f>+V53*(1+W54)</f>
        <v>1715</v>
      </c>
      <c r="X53" s="225">
        <f>+W53*(1+X54)</f>
        <v>1726.9097222222222</v>
      </c>
    </row>
    <row r="54" spans="1:24">
      <c r="A54" s="288"/>
      <c r="B54" s="273">
        <v>43800</v>
      </c>
      <c r="C54" s="133" t="s">
        <v>1</v>
      </c>
      <c r="D54" s="160">
        <f>'Aug18'!D52</f>
        <v>1227</v>
      </c>
      <c r="E54" s="160">
        <f>'Aug18'!E52</f>
        <v>1177.5</v>
      </c>
      <c r="F54" s="160">
        <f>'Aug18'!F52</f>
        <v>1184.7</v>
      </c>
      <c r="G54" s="160">
        <f>'Aug18'!G52</f>
        <v>1184.8</v>
      </c>
      <c r="H54" s="160">
        <f>'Aug18'!H52</f>
        <v>1175</v>
      </c>
      <c r="I54" s="160">
        <f>'Dec18'!I52</f>
        <v>1235.6500000000001</v>
      </c>
      <c r="J54" s="160">
        <f>'Dec18'!J52</f>
        <v>1361</v>
      </c>
      <c r="K54" s="160">
        <v>1562.1499999999999</v>
      </c>
      <c r="L54" s="160">
        <v>1610</v>
      </c>
      <c r="M54" s="160">
        <v>1625.4313099041533</v>
      </c>
      <c r="N54" s="160">
        <v>1650</v>
      </c>
      <c r="O54" s="160">
        <v>1665.4205607476633</v>
      </c>
      <c r="P54" s="160">
        <v>1675</v>
      </c>
      <c r="R54" t="s">
        <v>89</v>
      </c>
      <c r="S54" s="112">
        <f>+S23/2</f>
        <v>-0.22499999999999998</v>
      </c>
      <c r="T54" s="112">
        <f>+T23/2</f>
        <v>-0.06</v>
      </c>
      <c r="V54" t="s">
        <v>90</v>
      </c>
      <c r="W54" s="112">
        <f>+W23/2</f>
        <v>-2.0000000000000018E-2</v>
      </c>
      <c r="X54" s="112">
        <f>+X23/2</f>
        <v>6.9444444444444198E-3</v>
      </c>
    </row>
    <row r="55" spans="1:24" ht="14.65" hidden="1" customHeight="1">
      <c r="A55" s="288"/>
      <c r="B55" s="272"/>
      <c r="C55" s="133" t="s">
        <v>1</v>
      </c>
      <c r="D55" s="160">
        <v>1227</v>
      </c>
      <c r="E55" s="160">
        <v>1177.5</v>
      </c>
      <c r="F55" s="160">
        <v>1187.3</v>
      </c>
      <c r="G55" s="160">
        <v>1181</v>
      </c>
      <c r="H55" s="160">
        <v>1150</v>
      </c>
      <c r="I55" s="160">
        <v>1118</v>
      </c>
      <c r="J55" s="160">
        <v>1088</v>
      </c>
      <c r="K55" s="160">
        <v>1052</v>
      </c>
      <c r="L55" s="160"/>
      <c r="M55" s="160"/>
      <c r="N55" s="160"/>
      <c r="O55" s="160"/>
      <c r="P55" s="160"/>
    </row>
    <row r="56" spans="1:24" ht="14.65" hidden="1" customHeight="1">
      <c r="A56" s="288"/>
      <c r="B56" s="272"/>
      <c r="C56" s="133" t="s">
        <v>1</v>
      </c>
      <c r="D56" s="160">
        <v>1227</v>
      </c>
      <c r="E56" s="160">
        <v>1177.5</v>
      </c>
      <c r="F56" s="160">
        <v>1170</v>
      </c>
      <c r="G56" s="160">
        <v>1158.3</v>
      </c>
      <c r="H56" s="160">
        <v>1123.5509999999999</v>
      </c>
      <c r="I56" s="160">
        <v>1089.84447</v>
      </c>
      <c r="J56" s="160">
        <v>1057.1491358999999</v>
      </c>
      <c r="K56" s="160">
        <v>1025.4346618229999</v>
      </c>
      <c r="L56" s="160"/>
      <c r="M56" s="160"/>
      <c r="N56" s="160"/>
      <c r="O56" s="160"/>
      <c r="P56" s="160"/>
    </row>
    <row r="57" spans="1:24" ht="14.65" hidden="1" customHeight="1">
      <c r="A57" s="288"/>
      <c r="B57" s="272"/>
      <c r="C57" s="133" t="s">
        <v>1</v>
      </c>
      <c r="D57" s="160">
        <v>1225.8499999999999</v>
      </c>
      <c r="E57" s="160">
        <v>1165</v>
      </c>
      <c r="F57" s="160">
        <v>1110</v>
      </c>
      <c r="G57" s="160">
        <v>1070</v>
      </c>
      <c r="H57" s="160">
        <v>1030</v>
      </c>
      <c r="I57" s="160">
        <v>1000</v>
      </c>
      <c r="J57" s="160">
        <v>960</v>
      </c>
      <c r="K57" s="165"/>
      <c r="L57" s="165"/>
      <c r="M57" s="165"/>
      <c r="N57" s="165"/>
      <c r="O57" s="165"/>
      <c r="P57" s="165"/>
    </row>
    <row r="58" spans="1:24" hidden="1">
      <c r="A58" s="288"/>
      <c r="B58" s="33">
        <v>41317</v>
      </c>
      <c r="C58" s="133" t="s">
        <v>1</v>
      </c>
      <c r="D58" s="165">
        <v>1226</v>
      </c>
      <c r="E58" s="165">
        <v>1185</v>
      </c>
      <c r="F58" s="165">
        <v>1151</v>
      </c>
      <c r="G58" s="165">
        <v>1121</v>
      </c>
      <c r="H58" s="165">
        <v>1090.1407234210708</v>
      </c>
      <c r="I58" s="165">
        <v>1048</v>
      </c>
      <c r="J58" s="165"/>
      <c r="K58" s="165"/>
      <c r="L58" s="165"/>
      <c r="M58" s="165"/>
      <c r="N58" s="165"/>
      <c r="O58" s="165"/>
      <c r="P58" s="165"/>
    </row>
    <row r="59" spans="1:24" hidden="1">
      <c r="A59" s="288"/>
      <c r="B59" s="33">
        <v>41244</v>
      </c>
      <c r="C59" s="133" t="s">
        <v>1</v>
      </c>
      <c r="D59" s="165">
        <v>1228.5423506666664</v>
      </c>
      <c r="E59" s="165">
        <v>1184.5870287874238</v>
      </c>
      <c r="F59" s="165">
        <v>1151.3778293463738</v>
      </c>
      <c r="G59" s="165">
        <v>1121.0332793283103</v>
      </c>
      <c r="H59" s="165">
        <v>1090.1407234210708</v>
      </c>
      <c r="I59" s="165">
        <v>1048</v>
      </c>
      <c r="J59" s="165">
        <v>1048</v>
      </c>
      <c r="K59" s="165"/>
      <c r="L59" s="165"/>
      <c r="M59" s="165"/>
      <c r="N59" s="165"/>
      <c r="O59" s="165"/>
      <c r="P59" s="165"/>
    </row>
    <row r="60" spans="1:24">
      <c r="A60" s="288"/>
      <c r="B60" s="33">
        <f>B50</f>
        <v>43831</v>
      </c>
      <c r="C60" s="292" t="s">
        <v>16</v>
      </c>
      <c r="D60" s="293"/>
      <c r="E60" s="167">
        <f t="shared" ref="E60:P62" si="19">(E53-D53)/D53</f>
        <v>-4.0342298288508556E-2</v>
      </c>
      <c r="F60" s="167">
        <f t="shared" si="19"/>
        <v>6.1146496815287013E-3</v>
      </c>
      <c r="G60" s="167">
        <f>(G53-F53)/F53</f>
        <v>8.4409555161567526E-5</v>
      </c>
      <c r="H60" s="167">
        <f t="shared" si="19"/>
        <v>-8.2714382174206239E-3</v>
      </c>
      <c r="I60" s="167">
        <f t="shared" si="19"/>
        <v>5.1617021276595822E-2</v>
      </c>
      <c r="J60" s="167">
        <f t="shared" si="19"/>
        <v>0.10144458382227969</v>
      </c>
      <c r="K60" s="167">
        <f t="shared" si="19"/>
        <v>0.14768552534900808</v>
      </c>
      <c r="L60" s="167">
        <f t="shared" si="19"/>
        <v>0.10822663252240729</v>
      </c>
      <c r="M60" s="167">
        <f t="shared" si="19"/>
        <v>-4.7531844834060366E-2</v>
      </c>
      <c r="N60" s="167">
        <f t="shared" si="19"/>
        <v>-1.6330355355810667E-2</v>
      </c>
      <c r="O60" s="167" t="e">
        <f t="shared" si="19"/>
        <v>#DIV/0!</v>
      </c>
      <c r="P60" s="167" t="e">
        <f t="shared" si="19"/>
        <v>#DIV/0!</v>
      </c>
    </row>
    <row r="61" spans="1:24">
      <c r="A61" s="288"/>
      <c r="B61" s="33">
        <f>B46</f>
        <v>43800</v>
      </c>
      <c r="C61" s="290" t="s">
        <v>16</v>
      </c>
      <c r="D61" s="291"/>
      <c r="E61" s="168">
        <f>(E54-D54)/D54</f>
        <v>-4.0342298288508556E-2</v>
      </c>
      <c r="F61" s="168">
        <f t="shared" si="19"/>
        <v>6.1146496815287013E-3</v>
      </c>
      <c r="G61" s="168">
        <f>(G54-F54)/F54</f>
        <v>8.4409555161567526E-5</v>
      </c>
      <c r="H61" s="168">
        <f t="shared" si="19"/>
        <v>-8.2714382174206239E-3</v>
      </c>
      <c r="I61" s="168">
        <f t="shared" si="19"/>
        <v>5.1617021276595822E-2</v>
      </c>
      <c r="J61" s="168">
        <f t="shared" si="19"/>
        <v>0.10144458382227969</v>
      </c>
      <c r="K61" s="168">
        <v>0.15723732549595884</v>
      </c>
      <c r="L61" s="168">
        <f>+L54/K54-1</f>
        <v>3.0630861312934243E-2</v>
      </c>
      <c r="M61" s="168">
        <f t="shared" ref="M61:P61" si="20">+M54/L54-1</f>
        <v>9.5846645367412275E-3</v>
      </c>
      <c r="N61" s="168">
        <f t="shared" si="20"/>
        <v>1.5115182011164352E-2</v>
      </c>
      <c r="O61" s="168">
        <f t="shared" si="20"/>
        <v>9.3457943925232545E-3</v>
      </c>
      <c r="P61" s="168">
        <f t="shared" si="20"/>
        <v>5.7519640852976561E-3</v>
      </c>
    </row>
    <row r="62" spans="1:24" hidden="1">
      <c r="A62" s="288"/>
      <c r="B62" s="33">
        <v>41974</v>
      </c>
      <c r="C62" s="290" t="s">
        <v>16</v>
      </c>
      <c r="D62" s="291"/>
      <c r="E62" s="147">
        <f>(E55-D55)/D55</f>
        <v>-4.0342298288508556E-2</v>
      </c>
      <c r="F62" s="147">
        <f t="shared" si="19"/>
        <v>8.3227176220806408E-3</v>
      </c>
      <c r="G62" s="147">
        <f t="shared" si="19"/>
        <v>-5.3061568264128316E-3</v>
      </c>
      <c r="H62" s="147">
        <f t="shared" si="19"/>
        <v>-2.6248941574936496E-2</v>
      </c>
      <c r="I62" s="147">
        <f t="shared" si="19"/>
        <v>-2.782608695652174E-2</v>
      </c>
      <c r="J62" s="147">
        <f t="shared" si="19"/>
        <v>-2.6833631484794274E-2</v>
      </c>
      <c r="K62" s="147">
        <f t="shared" si="19"/>
        <v>-3.3088235294117647E-2</v>
      </c>
      <c r="L62" s="147">
        <f t="shared" si="19"/>
        <v>-1</v>
      </c>
      <c r="M62" s="147" t="e">
        <f t="shared" si="19"/>
        <v>#DIV/0!</v>
      </c>
    </row>
    <row r="63" spans="1:24" hidden="1">
      <c r="A63" s="289"/>
      <c r="B63" s="33">
        <v>41499</v>
      </c>
      <c r="C63" s="292" t="s">
        <v>16</v>
      </c>
      <c r="D63" s="293"/>
      <c r="E63" s="146">
        <f t="shared" ref="E63:J63" si="21">(E57-D57)/D57</f>
        <v>-4.9639025981971625E-2</v>
      </c>
      <c r="F63" s="146">
        <f t="shared" si="21"/>
        <v>-4.7210300429184553E-2</v>
      </c>
      <c r="G63" s="146">
        <f t="shared" si="21"/>
        <v>-3.6036036036036036E-2</v>
      </c>
      <c r="H63" s="146">
        <f t="shared" si="21"/>
        <v>-3.7383177570093455E-2</v>
      </c>
      <c r="I63" s="146">
        <f t="shared" si="21"/>
        <v>-2.9126213592233011E-2</v>
      </c>
      <c r="J63" s="146">
        <f t="shared" si="21"/>
        <v>-0.04</v>
      </c>
      <c r="K63" s="146"/>
      <c r="L63" s="146"/>
      <c r="M63" s="146"/>
    </row>
    <row r="64" spans="1:24">
      <c r="A64" s="108"/>
      <c r="B64" s="13"/>
      <c r="F64" s="112"/>
      <c r="G64" s="112"/>
      <c r="H64" s="112"/>
      <c r="I64" s="112"/>
      <c r="J64" s="112"/>
      <c r="K64" s="112"/>
      <c r="L64" s="217"/>
      <c r="M64" s="112"/>
    </row>
    <row r="65" spans="1:16">
      <c r="A65" s="9"/>
      <c r="B65" s="13"/>
      <c r="E65" s="94"/>
      <c r="F65" s="94"/>
      <c r="G65" s="112"/>
      <c r="H65" s="112"/>
      <c r="I65" s="112"/>
      <c r="J65" s="112"/>
      <c r="K65" s="112"/>
      <c r="L65" s="112"/>
      <c r="M65" s="112"/>
      <c r="N65" s="112"/>
      <c r="O65" s="112"/>
      <c r="P65" s="112"/>
    </row>
    <row r="66" spans="1:16">
      <c r="A66" s="9"/>
      <c r="B66" s="13"/>
      <c r="E66" s="94"/>
      <c r="F66" s="94"/>
      <c r="G66" s="94"/>
      <c r="H66" s="112"/>
      <c r="I66" s="112"/>
      <c r="J66" s="112"/>
      <c r="K66" s="112"/>
      <c r="L66" s="112" t="e">
        <f t="shared" ref="L66:P67" si="22">L51/K51-1</f>
        <v>#DIV/0!</v>
      </c>
      <c r="M66" s="112">
        <f t="shared" si="22"/>
        <v>-0.11327292414657775</v>
      </c>
      <c r="N66" s="112">
        <f t="shared" si="22"/>
        <v>-7.3588955872334605E-3</v>
      </c>
      <c r="O66" s="112">
        <f t="shared" si="22"/>
        <v>-1</v>
      </c>
      <c r="P66" s="112" t="e">
        <f t="shared" si="22"/>
        <v>#DIV/0!</v>
      </c>
    </row>
    <row r="67" spans="1:16">
      <c r="A67" s="9"/>
      <c r="B67" s="13"/>
      <c r="L67" s="112" t="e">
        <f t="shared" si="22"/>
        <v>#DIV/0!</v>
      </c>
      <c r="M67" s="112">
        <f t="shared" si="22"/>
        <v>2.003045566358197E-2</v>
      </c>
      <c r="N67" s="112">
        <f t="shared" si="22"/>
        <v>-2.4345429490123971E-2</v>
      </c>
      <c r="O67" s="112">
        <f t="shared" si="22"/>
        <v>-1</v>
      </c>
      <c r="P67" s="112" t="e">
        <f t="shared" si="22"/>
        <v>#DIV/0!</v>
      </c>
    </row>
    <row r="68" spans="1:16">
      <c r="A68" s="9"/>
      <c r="B68" s="13"/>
      <c r="L68" s="213" t="e">
        <f>AVERAGE(L65:L67)</f>
        <v>#DIV/0!</v>
      </c>
      <c r="M68" s="213">
        <f t="shared" ref="M68:P68" si="23">AVERAGE(M65:M67)</f>
        <v>-4.6621234241497889E-2</v>
      </c>
      <c r="N68" s="213">
        <f t="shared" si="23"/>
        <v>-1.5852162538678716E-2</v>
      </c>
      <c r="O68" s="213">
        <f t="shared" si="23"/>
        <v>-1</v>
      </c>
      <c r="P68" s="213" t="e">
        <f t="shared" si="23"/>
        <v>#DIV/0!</v>
      </c>
    </row>
    <row r="69" spans="1:16">
      <c r="A69" s="9"/>
      <c r="B69" s="13"/>
    </row>
    <row r="70" spans="1:16">
      <c r="A70" s="9"/>
      <c r="B70" s="13"/>
    </row>
    <row r="71" spans="1:16">
      <c r="A71" s="9"/>
      <c r="B71" s="13"/>
    </row>
    <row r="72" spans="1:16">
      <c r="A72" s="9"/>
      <c r="B72" s="13"/>
    </row>
    <row r="73" spans="1:16">
      <c r="A73" s="9"/>
      <c r="B73" s="13"/>
    </row>
    <row r="74" spans="1:16">
      <c r="A74" s="9"/>
      <c r="B74" s="13"/>
    </row>
  </sheetData>
  <mergeCells count="28">
    <mergeCell ref="C48:D48"/>
    <mergeCell ref="A50:A63"/>
    <mergeCell ref="B50:B53"/>
    <mergeCell ref="B54:B57"/>
    <mergeCell ref="C60:D60"/>
    <mergeCell ref="C61:D61"/>
    <mergeCell ref="C62:D62"/>
    <mergeCell ref="C63:D63"/>
    <mergeCell ref="C47:D47"/>
    <mergeCell ref="A19:A32"/>
    <mergeCell ref="B19:B22"/>
    <mergeCell ref="B23:B26"/>
    <mergeCell ref="C29:D29"/>
    <mergeCell ref="C30:D30"/>
    <mergeCell ref="C31:D31"/>
    <mergeCell ref="C32:D32"/>
    <mergeCell ref="A34:A39"/>
    <mergeCell ref="B34:B38"/>
    <mergeCell ref="B39:B42"/>
    <mergeCell ref="C45:D45"/>
    <mergeCell ref="C46:D46"/>
    <mergeCell ref="A2:A16"/>
    <mergeCell ref="B2:B6"/>
    <mergeCell ref="B7:B11"/>
    <mergeCell ref="C13:D13"/>
    <mergeCell ref="C14:D14"/>
    <mergeCell ref="C15:D15"/>
    <mergeCell ref="C16:D16"/>
  </mergeCells>
  <pageMargins left="0.5" right="0.17" top="0.63" bottom="0.75" header="0.3" footer="0.3"/>
  <pageSetup orientation="landscape"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pageSetUpPr fitToPage="1"/>
  </sheetPr>
  <dimension ref="A1:X74"/>
  <sheetViews>
    <sheetView zoomScale="140" zoomScaleNormal="140" workbookViewId="0">
      <pane xSplit="3" ySplit="1" topLeftCell="D17" activePane="bottomRight" state="frozen"/>
      <selection activeCell="I6" sqref="I6"/>
      <selection pane="topRight" activeCell="I6" sqref="I6"/>
      <selection pane="bottomLeft" activeCell="I6" sqref="I6"/>
      <selection pane="bottomRight" activeCell="I6" sqref="I6"/>
    </sheetView>
  </sheetViews>
  <sheetFormatPr defaultColWidth="9.28515625" defaultRowHeight="15"/>
  <cols>
    <col min="1" max="1" width="9.42578125" customWidth="1"/>
    <col min="2" max="2" width="7.5703125" bestFit="1" customWidth="1"/>
    <col min="3" max="3" width="5.7109375" bestFit="1" customWidth="1"/>
    <col min="4" max="4" width="7.7109375" hidden="1" customWidth="1"/>
    <col min="5" max="5" width="8.28515625" hidden="1" customWidth="1"/>
    <col min="6" max="6" width="9.28515625" hidden="1" customWidth="1"/>
    <col min="7" max="7" width="13.42578125" hidden="1" customWidth="1"/>
    <col min="8" max="9" width="9.28515625" hidden="1" customWidth="1"/>
    <col min="10" max="10" width="7.7109375" hidden="1" customWidth="1"/>
    <col min="11" max="11" width="8.28515625" hidden="1" customWidth="1"/>
    <col min="12" max="12" width="9.28515625" bestFit="1" customWidth="1"/>
    <col min="13" max="13" width="9.42578125" bestFit="1" customWidth="1"/>
    <col min="14" max="14" width="10.7109375" bestFit="1" customWidth="1"/>
    <col min="15" max="15" width="10" hidden="1" customWidth="1"/>
    <col min="16" max="16" width="9.28515625" hidden="1" customWidth="1"/>
  </cols>
  <sheetData>
    <row r="1" spans="1:24" ht="34.5" customHeight="1">
      <c r="A1" s="8"/>
      <c r="B1" s="11"/>
      <c r="C1" s="133"/>
      <c r="D1" s="132" t="s">
        <v>17</v>
      </c>
      <c r="E1" s="132" t="s">
        <v>25</v>
      </c>
      <c r="F1" s="132" t="s">
        <v>73</v>
      </c>
      <c r="G1" s="132" t="s">
        <v>74</v>
      </c>
      <c r="H1" s="132" t="s">
        <v>75</v>
      </c>
      <c r="I1" s="132" t="s">
        <v>77</v>
      </c>
      <c r="J1" s="132" t="s">
        <v>81</v>
      </c>
      <c r="K1" s="132" t="s">
        <v>24</v>
      </c>
      <c r="L1" s="132" t="s">
        <v>27</v>
      </c>
      <c r="M1" s="132" t="s">
        <v>57</v>
      </c>
      <c r="N1" s="132" t="s">
        <v>76</v>
      </c>
      <c r="O1" s="132" t="s">
        <v>80</v>
      </c>
      <c r="P1" s="132" t="s">
        <v>82</v>
      </c>
      <c r="R1" s="132" t="s">
        <v>27</v>
      </c>
      <c r="S1" s="132" t="s">
        <v>57</v>
      </c>
      <c r="T1" s="132" t="s">
        <v>76</v>
      </c>
      <c r="V1" s="132" t="s">
        <v>27</v>
      </c>
      <c r="W1" s="132" t="s">
        <v>57</v>
      </c>
      <c r="X1" s="132" t="s">
        <v>76</v>
      </c>
    </row>
    <row r="2" spans="1:24">
      <c r="A2" s="284" t="s">
        <v>10</v>
      </c>
      <c r="B2" s="300">
        <v>43831</v>
      </c>
      <c r="C2" s="134" t="s">
        <v>4</v>
      </c>
      <c r="D2" s="135"/>
      <c r="E2" s="135"/>
      <c r="F2" s="135"/>
      <c r="G2" s="135"/>
      <c r="H2" s="135"/>
      <c r="I2" s="135">
        <v>44.74</v>
      </c>
      <c r="J2" s="135"/>
      <c r="K2" s="135"/>
      <c r="L2" s="135">
        <v>42.81</v>
      </c>
      <c r="M2" s="135">
        <v>31.44</v>
      </c>
      <c r="N2" s="135">
        <v>39.47</v>
      </c>
      <c r="O2" s="135">
        <v>47.52</v>
      </c>
      <c r="P2" s="135">
        <v>50.14</v>
      </c>
      <c r="R2" s="135">
        <v>42.38</v>
      </c>
      <c r="S2" s="135">
        <v>26.49</v>
      </c>
      <c r="T2" s="135"/>
      <c r="V2" s="135"/>
      <c r="W2" s="135"/>
      <c r="X2" s="135"/>
    </row>
    <row r="3" spans="1:24">
      <c r="A3" s="285"/>
      <c r="B3" s="301"/>
      <c r="C3" s="136" t="s">
        <v>2</v>
      </c>
      <c r="D3" s="137"/>
      <c r="E3" s="138"/>
      <c r="F3" s="138"/>
      <c r="G3" s="138"/>
      <c r="H3" s="138"/>
      <c r="I3" s="138">
        <v>44.76</v>
      </c>
      <c r="J3" s="138"/>
      <c r="K3" s="138"/>
      <c r="L3" s="138">
        <v>42.4</v>
      </c>
      <c r="M3" s="138">
        <v>30.99</v>
      </c>
      <c r="N3" s="138">
        <v>37.869999999999997</v>
      </c>
      <c r="O3" s="138">
        <v>45.39</v>
      </c>
      <c r="P3" s="138">
        <v>46.53</v>
      </c>
      <c r="R3" s="138">
        <v>42.4</v>
      </c>
      <c r="S3" s="138">
        <v>25.34</v>
      </c>
      <c r="T3" s="138">
        <v>27.2</v>
      </c>
      <c r="V3" s="138"/>
      <c r="W3" s="138"/>
      <c r="X3" s="138"/>
    </row>
    <row r="4" spans="1:24">
      <c r="A4" s="285"/>
      <c r="B4" s="301"/>
      <c r="C4" s="139" t="s">
        <v>0</v>
      </c>
      <c r="D4" s="140"/>
      <c r="E4" s="140"/>
      <c r="F4" s="140"/>
      <c r="G4" s="140"/>
      <c r="H4" s="140"/>
      <c r="I4" s="140">
        <v>44.75</v>
      </c>
      <c r="J4" s="140"/>
      <c r="K4" s="140"/>
      <c r="L4" s="140">
        <v>42.99</v>
      </c>
      <c r="M4" s="140">
        <v>30.86</v>
      </c>
      <c r="N4" s="140">
        <v>41.62</v>
      </c>
      <c r="O4" s="140">
        <v>44.05</v>
      </c>
      <c r="P4" s="140">
        <v>46.09</v>
      </c>
      <c r="R4" s="140">
        <v>42.69</v>
      </c>
      <c r="S4" s="140">
        <v>25.27</v>
      </c>
      <c r="T4" s="140">
        <v>31.66</v>
      </c>
      <c r="V4" s="140"/>
      <c r="W4" s="140"/>
      <c r="X4" s="140"/>
    </row>
    <row r="5" spans="1:24">
      <c r="A5" s="285"/>
      <c r="B5" s="301"/>
      <c r="C5" s="141" t="s">
        <v>3</v>
      </c>
      <c r="D5" s="142"/>
      <c r="E5" s="142"/>
      <c r="F5" s="142"/>
      <c r="G5" s="142"/>
      <c r="H5" s="142"/>
      <c r="I5" s="142">
        <v>44.39</v>
      </c>
      <c r="J5" s="142"/>
      <c r="K5" s="142"/>
      <c r="L5" s="142">
        <v>42.23</v>
      </c>
      <c r="M5" s="142">
        <v>29.28</v>
      </c>
      <c r="N5" s="142">
        <v>37.6</v>
      </c>
      <c r="O5" s="142">
        <v>44.98</v>
      </c>
      <c r="P5" s="142">
        <v>47.73</v>
      </c>
      <c r="R5" s="142">
        <v>41</v>
      </c>
      <c r="S5" s="142">
        <v>25</v>
      </c>
      <c r="T5" s="142">
        <v>30</v>
      </c>
      <c r="V5" s="142"/>
      <c r="W5" s="142"/>
      <c r="X5" s="142"/>
    </row>
    <row r="6" spans="1:24">
      <c r="A6" s="285"/>
      <c r="B6" s="302"/>
      <c r="C6" s="143" t="s">
        <v>1</v>
      </c>
      <c r="D6" s="144">
        <v>89.65</v>
      </c>
      <c r="E6" s="144">
        <v>85.82</v>
      </c>
      <c r="F6" s="144">
        <v>95.13</v>
      </c>
      <c r="G6" s="144">
        <v>60.67</v>
      </c>
      <c r="H6" s="144">
        <v>37.85</v>
      </c>
      <c r="I6" s="144">
        <f t="shared" ref="I6" si="0">+AVERAGE(I2:I5)</f>
        <v>44.66</v>
      </c>
      <c r="J6" s="144">
        <v>55.05</v>
      </c>
      <c r="K6" s="216" t="e">
        <f>AVERAGE(K2:K5)</f>
        <v>#DIV/0!</v>
      </c>
      <c r="L6" s="216">
        <v>42.5</v>
      </c>
      <c r="M6" s="216">
        <v>28</v>
      </c>
      <c r="N6" s="216">
        <v>37</v>
      </c>
      <c r="O6" s="216">
        <f t="shared" ref="O6:P6" si="1">AVERAGE(O2:O5)</f>
        <v>45.484999999999992</v>
      </c>
      <c r="P6" s="216">
        <f t="shared" si="1"/>
        <v>47.622499999999995</v>
      </c>
      <c r="R6" s="216">
        <v>40</v>
      </c>
      <c r="S6" s="216">
        <f>+M6-5</f>
        <v>23</v>
      </c>
      <c r="T6" s="216">
        <v>29.5</v>
      </c>
      <c r="V6" s="216">
        <f>+L6</f>
        <v>42.5</v>
      </c>
      <c r="W6" s="216">
        <v>35</v>
      </c>
      <c r="X6" s="216">
        <v>45</v>
      </c>
    </row>
    <row r="7" spans="1:24">
      <c r="A7" s="285"/>
      <c r="B7" s="300">
        <v>43800</v>
      </c>
      <c r="C7" s="133" t="s">
        <v>1</v>
      </c>
      <c r="D7" s="138">
        <f>'Aug18'!D6</f>
        <v>89.65</v>
      </c>
      <c r="E7" s="138">
        <f>'Aug18'!E6</f>
        <v>85.82</v>
      </c>
      <c r="F7" s="138">
        <f>'Aug18'!F6</f>
        <v>95.13</v>
      </c>
      <c r="G7" s="138">
        <f>'Aug18'!G6</f>
        <v>60.67</v>
      </c>
      <c r="H7" s="138">
        <f>'Aug18'!H6</f>
        <v>37.85</v>
      </c>
      <c r="I7" s="138">
        <f>'Dec18'!I6</f>
        <v>44.66</v>
      </c>
      <c r="J7" s="138">
        <f>'Dec18'!J6</f>
        <v>55.05</v>
      </c>
      <c r="K7" s="138">
        <v>51.464999999999996</v>
      </c>
      <c r="L7" s="138">
        <v>51.997500000000002</v>
      </c>
      <c r="M7" s="138">
        <v>50</v>
      </c>
      <c r="N7" s="138">
        <v>50</v>
      </c>
      <c r="O7" s="138">
        <v>52</v>
      </c>
      <c r="P7" s="138">
        <v>53</v>
      </c>
      <c r="R7" s="93" t="s">
        <v>89</v>
      </c>
      <c r="V7" t="s">
        <v>90</v>
      </c>
    </row>
    <row r="8" spans="1:24" ht="14.65" hidden="1" customHeight="1">
      <c r="A8" s="285"/>
      <c r="B8" s="301"/>
      <c r="C8" s="133" t="s">
        <v>1</v>
      </c>
      <c r="D8" s="138">
        <v>89.65</v>
      </c>
      <c r="E8" s="138">
        <v>85.82</v>
      </c>
      <c r="F8" s="138">
        <v>95.14</v>
      </c>
      <c r="G8" s="138">
        <v>71</v>
      </c>
      <c r="H8" s="138">
        <v>66</v>
      </c>
      <c r="I8" s="138">
        <v>72</v>
      </c>
      <c r="J8" s="138">
        <v>76</v>
      </c>
      <c r="K8" s="138">
        <v>80</v>
      </c>
      <c r="L8" s="138"/>
      <c r="M8" s="138"/>
    </row>
    <row r="9" spans="1:24" ht="14.65" hidden="1" customHeight="1">
      <c r="A9" s="285"/>
      <c r="B9" s="301"/>
      <c r="C9" s="133" t="s">
        <v>1</v>
      </c>
      <c r="D9" s="138">
        <v>89.65</v>
      </c>
      <c r="E9" s="138">
        <v>85.82</v>
      </c>
      <c r="F9" s="138">
        <v>95.75</v>
      </c>
      <c r="G9" s="138">
        <v>92</v>
      </c>
      <c r="H9" s="138">
        <v>88</v>
      </c>
      <c r="I9" s="138">
        <v>87</v>
      </c>
      <c r="J9" s="138">
        <v>86</v>
      </c>
      <c r="K9" s="138">
        <v>85</v>
      </c>
      <c r="L9" s="138"/>
      <c r="M9" s="138"/>
    </row>
    <row r="10" spans="1:24" ht="14.65" hidden="1" customHeight="1">
      <c r="A10" s="285"/>
      <c r="B10" s="301"/>
      <c r="C10" s="133" t="s">
        <v>1</v>
      </c>
      <c r="D10" s="138">
        <v>90</v>
      </c>
      <c r="E10" s="138">
        <v>87</v>
      </c>
      <c r="F10" s="138">
        <v>94</v>
      </c>
      <c r="G10" s="138">
        <v>87.5</v>
      </c>
      <c r="H10" s="138">
        <v>85</v>
      </c>
      <c r="I10" s="138">
        <v>84</v>
      </c>
      <c r="J10" s="138">
        <v>84</v>
      </c>
      <c r="K10" s="138"/>
      <c r="L10" s="138"/>
      <c r="M10" s="138"/>
    </row>
    <row r="11" spans="1:24" ht="14.65" hidden="1" customHeight="1">
      <c r="A11" s="285"/>
      <c r="B11" s="302"/>
      <c r="C11" s="133" t="s">
        <v>1</v>
      </c>
      <c r="D11" s="145">
        <v>90</v>
      </c>
      <c r="E11" s="145">
        <v>86.5</v>
      </c>
      <c r="F11" s="145">
        <v>88</v>
      </c>
      <c r="G11" s="145">
        <v>87.5</v>
      </c>
      <c r="H11" s="145">
        <v>87</v>
      </c>
      <c r="I11" s="145">
        <v>86.5</v>
      </c>
      <c r="J11" s="145"/>
      <c r="K11" s="145"/>
      <c r="L11" s="145"/>
      <c r="M11" s="145"/>
    </row>
    <row r="12" spans="1:24" hidden="1">
      <c r="A12" s="285"/>
      <c r="B12" s="33">
        <v>41244</v>
      </c>
      <c r="C12" s="133" t="s">
        <v>1</v>
      </c>
      <c r="D12" s="145">
        <v>89.640506965377526</v>
      </c>
      <c r="E12" s="145">
        <v>85</v>
      </c>
      <c r="F12" s="145">
        <v>84.75</v>
      </c>
      <c r="G12" s="145">
        <v>83.5</v>
      </c>
      <c r="H12" s="145">
        <v>82.5</v>
      </c>
      <c r="I12" s="145">
        <v>83</v>
      </c>
      <c r="J12" s="145">
        <v>83</v>
      </c>
      <c r="K12" s="145"/>
      <c r="L12" s="145"/>
      <c r="M12" s="145"/>
    </row>
    <row r="13" spans="1:24" hidden="1">
      <c r="A13" s="285"/>
      <c r="B13" s="33">
        <v>42217</v>
      </c>
      <c r="C13" s="292" t="s">
        <v>16</v>
      </c>
      <c r="D13" s="293"/>
      <c r="E13" s="146">
        <f t="shared" ref="E13:M13" si="2">+E6/D6-1</f>
        <v>-4.2721695482431765E-2</v>
      </c>
      <c r="F13" s="146">
        <f>+F6/E6-1</f>
        <v>0.10848287112561183</v>
      </c>
      <c r="G13" s="166">
        <f>+G6/F6-1</f>
        <v>-0.36224114369809735</v>
      </c>
      <c r="H13" s="146">
        <f t="shared" si="2"/>
        <v>-0.37613317949563208</v>
      </c>
      <c r="I13" s="146">
        <f t="shared" si="2"/>
        <v>0.17992073976221912</v>
      </c>
      <c r="J13" s="146">
        <f t="shared" si="2"/>
        <v>0.23264666368114639</v>
      </c>
      <c r="K13" s="146" t="e">
        <f t="shared" si="2"/>
        <v>#DIV/0!</v>
      </c>
      <c r="L13" s="146" t="e">
        <f t="shared" si="2"/>
        <v>#DIV/0!</v>
      </c>
      <c r="M13" s="146">
        <f t="shared" si="2"/>
        <v>-0.3411764705882353</v>
      </c>
    </row>
    <row r="14" spans="1:24" hidden="1">
      <c r="A14" s="285"/>
      <c r="B14" s="33">
        <v>42031</v>
      </c>
      <c r="C14" s="290" t="s">
        <v>16</v>
      </c>
      <c r="D14" s="291"/>
      <c r="E14" s="147">
        <f t="shared" ref="E14:K15" si="3">(E7-D7)/D7</f>
        <v>-4.2721695482431814E-2</v>
      </c>
      <c r="F14" s="147">
        <f t="shared" si="3"/>
        <v>0.10848287112561178</v>
      </c>
      <c r="G14" s="147">
        <f t="shared" si="3"/>
        <v>-0.36224114369809729</v>
      </c>
      <c r="H14" s="147">
        <f t="shared" si="3"/>
        <v>-0.37613317949563208</v>
      </c>
      <c r="I14" s="147">
        <f t="shared" si="3"/>
        <v>0.17992073976221915</v>
      </c>
      <c r="J14" s="147">
        <f t="shared" si="3"/>
        <v>0.23264666368114648</v>
      </c>
      <c r="K14" s="147">
        <f t="shared" si="3"/>
        <v>-6.5122615803814732E-2</v>
      </c>
      <c r="L14" s="147"/>
      <c r="M14" s="147"/>
    </row>
    <row r="15" spans="1:24" hidden="1">
      <c r="A15" s="285"/>
      <c r="B15" s="33">
        <v>41974</v>
      </c>
      <c r="C15" s="290" t="s">
        <v>16</v>
      </c>
      <c r="D15" s="291"/>
      <c r="E15" s="147">
        <f t="shared" si="3"/>
        <v>-4.2721695482431814E-2</v>
      </c>
      <c r="F15" s="147">
        <f t="shared" si="3"/>
        <v>0.10859939408063397</v>
      </c>
      <c r="G15" s="147">
        <f t="shared" si="3"/>
        <v>-0.2537313432835821</v>
      </c>
      <c r="H15" s="147">
        <f t="shared" si="3"/>
        <v>-7.0422535211267609E-2</v>
      </c>
      <c r="I15" s="147">
        <f t="shared" si="3"/>
        <v>9.0909090909090912E-2</v>
      </c>
      <c r="J15" s="147">
        <f t="shared" si="3"/>
        <v>5.5555555555555552E-2</v>
      </c>
      <c r="K15" s="147"/>
      <c r="L15" s="147"/>
      <c r="M15" s="147"/>
    </row>
    <row r="16" spans="1:24" hidden="1">
      <c r="A16" s="286"/>
      <c r="B16" s="33">
        <v>41499</v>
      </c>
      <c r="C16" s="292" t="s">
        <v>16</v>
      </c>
      <c r="D16" s="293"/>
      <c r="E16" s="146">
        <f t="shared" ref="E16:J16" si="4">(E10-D10)/D10</f>
        <v>-3.3333333333333333E-2</v>
      </c>
      <c r="F16" s="146">
        <f t="shared" si="4"/>
        <v>8.0459770114942528E-2</v>
      </c>
      <c r="G16" s="146">
        <f t="shared" si="4"/>
        <v>-6.9148936170212769E-2</v>
      </c>
      <c r="H16" s="146">
        <f t="shared" si="4"/>
        <v>-2.8571428571428571E-2</v>
      </c>
      <c r="I16" s="146">
        <f t="shared" si="4"/>
        <v>-1.1764705882352941E-2</v>
      </c>
      <c r="J16" s="146">
        <f t="shared" si="4"/>
        <v>0</v>
      </c>
      <c r="K16" s="146"/>
      <c r="L16" s="146"/>
      <c r="M16" s="146"/>
    </row>
    <row r="17" spans="1:24">
      <c r="A17" s="221"/>
      <c r="B17" s="222"/>
      <c r="C17" s="223"/>
      <c r="D17" s="223"/>
      <c r="E17" s="224"/>
      <c r="F17" s="224"/>
      <c r="G17" s="224"/>
      <c r="H17" s="224"/>
      <c r="I17" s="224"/>
      <c r="J17" s="224"/>
      <c r="K17" s="224"/>
      <c r="L17" s="224"/>
      <c r="M17" s="224"/>
    </row>
    <row r="18" spans="1:24">
      <c r="A18" s="65"/>
      <c r="B18" s="65"/>
      <c r="C18" s="65"/>
      <c r="D18" s="65"/>
      <c r="E18" s="65"/>
      <c r="F18" s="65"/>
      <c r="G18" s="65"/>
      <c r="H18" s="65"/>
      <c r="I18" s="65"/>
      <c r="J18" s="65"/>
      <c r="K18" s="65"/>
      <c r="L18" s="65"/>
      <c r="M18" s="65"/>
      <c r="N18" s="65"/>
      <c r="O18" s="65"/>
      <c r="P18" s="65"/>
    </row>
    <row r="19" spans="1:24">
      <c r="A19" s="281" t="s">
        <v>12</v>
      </c>
      <c r="B19" s="273">
        <v>43831</v>
      </c>
      <c r="C19" s="136" t="s">
        <v>2</v>
      </c>
      <c r="D19" s="148"/>
      <c r="E19" s="148"/>
      <c r="F19" s="148"/>
      <c r="G19" s="148"/>
      <c r="H19" s="148"/>
      <c r="I19" s="148">
        <v>155.96</v>
      </c>
      <c r="J19" s="148"/>
      <c r="K19" s="148"/>
      <c r="L19" s="148">
        <v>360.14</v>
      </c>
      <c r="M19" s="148">
        <v>307</v>
      </c>
      <c r="N19" s="148">
        <v>290.49400000000003</v>
      </c>
      <c r="O19" s="148"/>
      <c r="P19" s="148"/>
      <c r="Q19" s="112">
        <f t="shared" ref="Q19:Q20" si="5">+N19/M19-1</f>
        <v>-5.3765472312703455E-2</v>
      </c>
      <c r="R19" s="148">
        <v>360</v>
      </c>
      <c r="S19" s="148">
        <v>240.5</v>
      </c>
      <c r="T19" s="148">
        <v>160</v>
      </c>
      <c r="V19" s="148"/>
      <c r="W19" s="148"/>
      <c r="X19" s="148"/>
    </row>
    <row r="20" spans="1:24">
      <c r="A20" s="281"/>
      <c r="B20" s="272"/>
      <c r="C20" s="139" t="s">
        <v>0</v>
      </c>
      <c r="D20" s="149"/>
      <c r="E20" s="149"/>
      <c r="F20" s="149"/>
      <c r="G20" s="149"/>
      <c r="H20" s="149"/>
      <c r="I20" s="149"/>
      <c r="J20" s="149"/>
      <c r="K20" s="149"/>
      <c r="L20" s="149">
        <v>354.81</v>
      </c>
      <c r="M20" s="149">
        <v>287.82</v>
      </c>
      <c r="N20" s="149">
        <v>241.29</v>
      </c>
      <c r="O20" s="149"/>
      <c r="P20" s="149"/>
      <c r="Q20" s="112">
        <f t="shared" si="5"/>
        <v>-0.16166353971232017</v>
      </c>
      <c r="R20" s="149">
        <v>354.81</v>
      </c>
      <c r="S20" s="149">
        <v>220.69</v>
      </c>
      <c r="T20" s="149">
        <v>184.94</v>
      </c>
      <c r="V20" s="149"/>
      <c r="W20" s="149"/>
      <c r="X20" s="149"/>
    </row>
    <row r="21" spans="1:24">
      <c r="A21" s="281"/>
      <c r="B21" s="272"/>
      <c r="C21" s="141" t="s">
        <v>3</v>
      </c>
      <c r="D21" s="151"/>
      <c r="E21" s="151"/>
      <c r="F21" s="151"/>
      <c r="G21" s="151"/>
      <c r="H21" s="151"/>
      <c r="I21" s="151">
        <v>155.9</v>
      </c>
      <c r="J21" s="151"/>
      <c r="K21" s="151"/>
      <c r="L21" s="151">
        <v>357.21300000000002</v>
      </c>
      <c r="M21" s="151">
        <v>280.512</v>
      </c>
      <c r="N21" s="151">
        <v>262.89</v>
      </c>
      <c r="O21" s="151"/>
      <c r="P21" s="151"/>
      <c r="Q21" s="112">
        <f>+N21/M21-1</f>
        <v>-6.2820841889117074E-2</v>
      </c>
      <c r="R21" s="151">
        <v>357.21300000000002</v>
      </c>
      <c r="S21" s="151">
        <f>+R21*0.55</f>
        <v>196.46715000000003</v>
      </c>
      <c r="T21" s="151">
        <f>+S21*0.86</f>
        <v>168.96174900000003</v>
      </c>
      <c r="V21" s="151"/>
      <c r="W21" s="151"/>
      <c r="X21" s="151"/>
    </row>
    <row r="22" spans="1:24">
      <c r="A22" s="281"/>
      <c r="B22" s="272"/>
      <c r="C22" s="143" t="s">
        <v>1</v>
      </c>
      <c r="D22" s="152">
        <v>80.3</v>
      </c>
      <c r="E22" s="152">
        <v>96.4</v>
      </c>
      <c r="F22" s="153">
        <v>113.9</v>
      </c>
      <c r="G22" s="153">
        <v>141.4</v>
      </c>
      <c r="H22" s="153">
        <v>146.69999999999999</v>
      </c>
      <c r="I22" s="153">
        <v>153</v>
      </c>
      <c r="J22" s="206">
        <f>J23</f>
        <v>204.40600000000003</v>
      </c>
      <c r="K22" s="209">
        <v>300</v>
      </c>
      <c r="L22" s="226">
        <v>355</v>
      </c>
      <c r="M22" s="226">
        <v>250</v>
      </c>
      <c r="N22" s="226">
        <f>+M22*0.9</f>
        <v>225</v>
      </c>
      <c r="O22" s="226" t="e">
        <f t="shared" ref="O22:P22" si="6">AVERAGE(O19:O21)</f>
        <v>#DIV/0!</v>
      </c>
      <c r="P22" s="226" t="e">
        <f t="shared" si="6"/>
        <v>#DIV/0!</v>
      </c>
      <c r="Q22" s="112"/>
      <c r="R22" s="226">
        <v>345</v>
      </c>
      <c r="S22" s="226">
        <f>MROUND(R22*(1+S23),5)</f>
        <v>155</v>
      </c>
      <c r="T22" s="226">
        <f>MROUND(S22*(1+T23),5)</f>
        <v>110</v>
      </c>
      <c r="V22" s="209">
        <v>375</v>
      </c>
      <c r="W22" s="209">
        <v>360</v>
      </c>
      <c r="X22" s="209">
        <v>365</v>
      </c>
    </row>
    <row r="23" spans="1:24">
      <c r="A23" s="281"/>
      <c r="B23" s="273">
        <v>43800</v>
      </c>
      <c r="C23" s="133" t="s">
        <v>1</v>
      </c>
      <c r="D23" s="154">
        <f>'Aug18'!D21</f>
        <v>80.3</v>
      </c>
      <c r="E23" s="154">
        <f>'Aug18'!E21</f>
        <v>96.4</v>
      </c>
      <c r="F23" s="154">
        <f>'Aug18'!F21</f>
        <v>113.9</v>
      </c>
      <c r="G23" s="154">
        <f>'Aug18'!G21</f>
        <v>141.4</v>
      </c>
      <c r="H23" s="154">
        <f>'Aug18'!H21</f>
        <v>146.69999999999999</v>
      </c>
      <c r="I23" s="154">
        <f>'Dec18'!I21</f>
        <v>153</v>
      </c>
      <c r="J23" s="154">
        <f>'Dec18'!J21</f>
        <v>204.40600000000003</v>
      </c>
      <c r="K23" s="154">
        <v>300.43599999999998</v>
      </c>
      <c r="L23" s="154">
        <v>350</v>
      </c>
      <c r="M23" s="154">
        <v>360</v>
      </c>
      <c r="N23" s="154">
        <v>365</v>
      </c>
      <c r="O23" s="154">
        <v>375</v>
      </c>
      <c r="P23" s="154">
        <v>385</v>
      </c>
      <c r="R23" s="93" t="s">
        <v>89</v>
      </c>
      <c r="S23" s="112">
        <v>-0.55000000000000004</v>
      </c>
      <c r="T23" s="112">
        <v>-0.27500000000000002</v>
      </c>
      <c r="V23" t="s">
        <v>90</v>
      </c>
      <c r="W23" s="112">
        <f>+W22/V22-1</f>
        <v>-4.0000000000000036E-2</v>
      </c>
      <c r="X23" s="112">
        <f>+X22/W22-1</f>
        <v>1.388888888888884E-2</v>
      </c>
    </row>
    <row r="24" spans="1:24" hidden="1">
      <c r="A24" s="281"/>
      <c r="B24" s="272"/>
      <c r="C24" s="133" t="s">
        <v>1</v>
      </c>
      <c r="D24" s="154">
        <v>80.3</v>
      </c>
      <c r="E24" s="154">
        <v>96.4</v>
      </c>
      <c r="F24" s="154">
        <v>113.4</v>
      </c>
      <c r="G24" s="154">
        <v>122</v>
      </c>
      <c r="H24" s="154">
        <v>127</v>
      </c>
      <c r="I24" s="154">
        <v>131</v>
      </c>
      <c r="J24" s="154">
        <v>133</v>
      </c>
      <c r="K24" s="154">
        <v>135</v>
      </c>
      <c r="L24" s="154"/>
      <c r="M24" s="154"/>
      <c r="N24" s="154"/>
      <c r="O24" s="154"/>
      <c r="P24" s="154"/>
    </row>
    <row r="25" spans="1:24" hidden="1">
      <c r="A25" s="281"/>
      <c r="B25" s="272"/>
      <c r="C25" s="133" t="s">
        <v>1</v>
      </c>
      <c r="D25" s="154">
        <v>80.3</v>
      </c>
      <c r="E25" s="154">
        <v>96.4</v>
      </c>
      <c r="F25" s="154">
        <v>110</v>
      </c>
      <c r="G25" s="154">
        <v>117</v>
      </c>
      <c r="H25" s="154">
        <v>122</v>
      </c>
      <c r="I25" s="154">
        <v>125</v>
      </c>
      <c r="J25" s="154">
        <v>127</v>
      </c>
      <c r="K25" s="154">
        <v>129</v>
      </c>
      <c r="L25" s="154"/>
      <c r="M25" s="154"/>
      <c r="N25" s="154"/>
      <c r="O25" s="154"/>
      <c r="P25" s="154"/>
    </row>
    <row r="26" spans="1:24" hidden="1">
      <c r="A26" s="281"/>
      <c r="B26" s="272"/>
      <c r="C26" s="133" t="s">
        <v>1</v>
      </c>
      <c r="D26" s="154">
        <v>80.069999999999993</v>
      </c>
      <c r="E26" s="154">
        <v>90</v>
      </c>
      <c r="F26" s="154">
        <v>93</v>
      </c>
      <c r="G26" s="154">
        <v>97</v>
      </c>
      <c r="H26" s="154">
        <v>100</v>
      </c>
      <c r="I26" s="154">
        <v>101</v>
      </c>
      <c r="J26" s="154">
        <v>102</v>
      </c>
      <c r="K26" s="154"/>
      <c r="L26" s="154"/>
      <c r="M26" s="154"/>
      <c r="N26" s="154"/>
      <c r="O26" s="154"/>
      <c r="P26" s="154"/>
    </row>
    <row r="27" spans="1:24" hidden="1">
      <c r="A27" s="281"/>
      <c r="B27" s="33">
        <v>41317</v>
      </c>
      <c r="C27" s="133" t="s">
        <v>1</v>
      </c>
      <c r="D27" s="155">
        <v>80.099999999999994</v>
      </c>
      <c r="E27" s="155">
        <v>87</v>
      </c>
      <c r="F27" s="155">
        <v>91.4</v>
      </c>
      <c r="G27" s="155">
        <v>94.1</v>
      </c>
      <c r="H27" s="155">
        <v>96</v>
      </c>
      <c r="I27" s="155">
        <v>97.9</v>
      </c>
      <c r="J27" s="155"/>
      <c r="K27" s="155"/>
      <c r="L27" s="155"/>
      <c r="M27" s="155"/>
      <c r="N27" s="155"/>
      <c r="O27" s="155"/>
      <c r="P27" s="155"/>
    </row>
    <row r="28" spans="1:24" hidden="1">
      <c r="A28" s="281"/>
      <c r="B28" s="33">
        <v>41244</v>
      </c>
      <c r="C28" s="133" t="s">
        <v>1</v>
      </c>
      <c r="D28" s="155">
        <v>79.7</v>
      </c>
      <c r="E28" s="155">
        <v>84.119744824999998</v>
      </c>
      <c r="F28" s="155">
        <v>88.406534618000009</v>
      </c>
      <c r="G28" s="155">
        <v>92.434230656539995</v>
      </c>
      <c r="H28" s="155">
        <v>96.132415269670815</v>
      </c>
      <c r="I28" s="155">
        <v>97.6</v>
      </c>
      <c r="J28" s="155">
        <v>97.6</v>
      </c>
      <c r="K28" s="155"/>
      <c r="L28" s="155"/>
      <c r="M28" s="155"/>
      <c r="N28" s="155"/>
      <c r="O28" s="155"/>
      <c r="P28" s="155"/>
    </row>
    <row r="29" spans="1:24">
      <c r="A29" s="281"/>
      <c r="B29" s="33">
        <f>B19</f>
        <v>43831</v>
      </c>
      <c r="C29" s="292" t="s">
        <v>16</v>
      </c>
      <c r="D29" s="293"/>
      <c r="E29" s="167">
        <f t="shared" ref="E29:K30" si="7">(E22-D22)/D22</f>
        <v>0.20049813200498143</v>
      </c>
      <c r="F29" s="167">
        <f>(F22-E22)/E22</f>
        <v>0.18153526970954356</v>
      </c>
      <c r="G29" s="167">
        <f t="shared" si="7"/>
        <v>0.24143985952589991</v>
      </c>
      <c r="H29" s="167">
        <f t="shared" si="7"/>
        <v>3.7482319660537361E-2</v>
      </c>
      <c r="I29" s="167">
        <f>(I22-H22)/H22</f>
        <v>4.2944785276073698E-2</v>
      </c>
      <c r="J29" s="167">
        <f>(J22-I22)/I22</f>
        <v>0.33598692810457537</v>
      </c>
      <c r="K29" s="167">
        <f t="shared" si="7"/>
        <v>0.46766728960989379</v>
      </c>
      <c r="L29" s="167">
        <f>(L22-K22)/K22</f>
        <v>0.18333333333333332</v>
      </c>
      <c r="M29" s="167">
        <f>(M22-L22)/L22</f>
        <v>-0.29577464788732394</v>
      </c>
      <c r="N29" s="167">
        <f>(N22-M22)/M22</f>
        <v>-0.1</v>
      </c>
      <c r="O29" s="167" t="e">
        <f>(O22-N22)/N22</f>
        <v>#DIV/0!</v>
      </c>
      <c r="P29" s="167" t="e">
        <f>(P22-O22)/O22</f>
        <v>#DIV/0!</v>
      </c>
    </row>
    <row r="30" spans="1:24">
      <c r="A30" s="281"/>
      <c r="B30" s="33">
        <f>B7</f>
        <v>43800</v>
      </c>
      <c r="C30" s="290" t="s">
        <v>16</v>
      </c>
      <c r="D30" s="291"/>
      <c r="E30" s="168">
        <f>(E23-D23)/D23</f>
        <v>0.20049813200498143</v>
      </c>
      <c r="F30" s="168">
        <f t="shared" ref="F30:P31" si="8">(F23-E23)/E23</f>
        <v>0.18153526970954356</v>
      </c>
      <c r="G30" s="168">
        <f>(G23-F23)/F23</f>
        <v>0.24143985952589991</v>
      </c>
      <c r="H30" s="168">
        <f t="shared" si="7"/>
        <v>3.7482319660537361E-2</v>
      </c>
      <c r="I30" s="168">
        <f>(I23-H23)/H23</f>
        <v>4.2944785276073698E-2</v>
      </c>
      <c r="J30" s="168">
        <f t="shared" si="7"/>
        <v>0.33598692810457537</v>
      </c>
      <c r="K30" s="168">
        <v>0.45837206344236431</v>
      </c>
      <c r="L30" s="168">
        <f>+L23/K23-1</f>
        <v>0.16497357174240124</v>
      </c>
      <c r="M30" s="168">
        <f t="shared" ref="M30:P30" si="9">+M23/L23-1</f>
        <v>2.857142857142847E-2</v>
      </c>
      <c r="N30" s="168">
        <f t="shared" si="9"/>
        <v>1.388888888888884E-2</v>
      </c>
      <c r="O30" s="168">
        <f t="shared" si="9"/>
        <v>2.7397260273972712E-2</v>
      </c>
      <c r="P30" s="168">
        <f t="shared" si="9"/>
        <v>2.6666666666666616E-2</v>
      </c>
    </row>
    <row r="31" spans="1:24" hidden="1">
      <c r="A31" s="281"/>
      <c r="B31" s="33">
        <v>41974</v>
      </c>
      <c r="C31" s="290" t="s">
        <v>16</v>
      </c>
      <c r="D31" s="291"/>
      <c r="E31" s="147">
        <f>(E24-D24)/D24</f>
        <v>0.20049813200498143</v>
      </c>
      <c r="F31" s="147">
        <f t="shared" si="8"/>
        <v>0.17634854771784231</v>
      </c>
      <c r="G31" s="147">
        <f t="shared" si="8"/>
        <v>7.5837742504409111E-2</v>
      </c>
      <c r="H31" s="147">
        <f t="shared" si="8"/>
        <v>4.0983606557377046E-2</v>
      </c>
      <c r="I31" s="147">
        <f t="shared" si="8"/>
        <v>3.1496062992125984E-2</v>
      </c>
      <c r="J31" s="147">
        <f t="shared" si="8"/>
        <v>1.5267175572519083E-2</v>
      </c>
      <c r="K31" s="147">
        <f t="shared" si="8"/>
        <v>1.5037593984962405E-2</v>
      </c>
      <c r="L31" s="147">
        <f t="shared" si="8"/>
        <v>-1</v>
      </c>
      <c r="M31" s="147" t="e">
        <f t="shared" si="8"/>
        <v>#DIV/0!</v>
      </c>
      <c r="N31" s="147" t="e">
        <f t="shared" si="8"/>
        <v>#DIV/0!</v>
      </c>
      <c r="O31" s="147" t="e">
        <f t="shared" si="8"/>
        <v>#DIV/0!</v>
      </c>
      <c r="P31" s="147" t="e">
        <f t="shared" si="8"/>
        <v>#DIV/0!</v>
      </c>
    </row>
    <row r="32" spans="1:24" hidden="1">
      <c r="A32" s="281"/>
      <c r="B32" s="33">
        <v>41499</v>
      </c>
      <c r="C32" s="292" t="s">
        <v>16</v>
      </c>
      <c r="D32" s="293"/>
      <c r="E32" s="146">
        <f t="shared" ref="E32:J32" si="10">(E26-D26)/D26</f>
        <v>0.12401648557512186</v>
      </c>
      <c r="F32" s="146">
        <f t="shared" si="10"/>
        <v>3.3333333333333333E-2</v>
      </c>
      <c r="G32" s="146">
        <f t="shared" si="10"/>
        <v>4.3010752688172046E-2</v>
      </c>
      <c r="H32" s="146">
        <f t="shared" si="10"/>
        <v>3.0927835051546393E-2</v>
      </c>
      <c r="I32" s="146">
        <f t="shared" si="10"/>
        <v>0.01</v>
      </c>
      <c r="J32" s="146">
        <f t="shared" si="10"/>
        <v>9.9009900990099011E-3</v>
      </c>
      <c r="K32" s="146"/>
      <c r="L32" s="146"/>
      <c r="M32" s="146"/>
      <c r="N32" s="146"/>
      <c r="O32" s="146"/>
      <c r="P32" s="146"/>
    </row>
    <row r="33" spans="1:24">
      <c r="A33" s="106"/>
      <c r="B33" s="107"/>
      <c r="C33" s="156"/>
      <c r="D33" s="156"/>
      <c r="E33" s="157"/>
      <c r="F33" s="157"/>
      <c r="G33" s="158"/>
      <c r="H33" s="158"/>
      <c r="I33" s="158"/>
      <c r="J33" s="158"/>
      <c r="K33" s="158"/>
      <c r="L33" s="158"/>
      <c r="M33" s="158"/>
      <c r="N33" s="158"/>
      <c r="O33" s="158"/>
      <c r="P33" s="158"/>
    </row>
    <row r="34" spans="1:24">
      <c r="A34" s="298" t="s">
        <v>18</v>
      </c>
      <c r="B34" s="300">
        <v>43831</v>
      </c>
      <c r="C34" s="134" t="s">
        <v>4</v>
      </c>
      <c r="D34" s="135"/>
      <c r="E34" s="135"/>
      <c r="F34" s="135"/>
      <c r="G34" s="135"/>
      <c r="H34" s="135"/>
      <c r="I34" s="135">
        <v>3.24</v>
      </c>
      <c r="J34" s="135"/>
      <c r="K34" s="135"/>
      <c r="L34" s="135">
        <v>2.02</v>
      </c>
      <c r="M34" s="135">
        <v>2.23</v>
      </c>
      <c r="N34" s="135">
        <v>2.2400000000000002</v>
      </c>
      <c r="O34" s="135">
        <v>2.2799999999999998</v>
      </c>
      <c r="P34" s="135">
        <v>2.35</v>
      </c>
      <c r="R34" s="135"/>
      <c r="S34" s="135"/>
      <c r="T34" s="135"/>
      <c r="V34" s="135"/>
      <c r="W34" s="135"/>
      <c r="X34" s="135"/>
    </row>
    <row r="35" spans="1:24" ht="15" customHeight="1">
      <c r="A35" s="299"/>
      <c r="B35" s="301"/>
      <c r="C35" s="136" t="s">
        <v>2</v>
      </c>
      <c r="D35" s="159"/>
      <c r="E35" s="159"/>
      <c r="F35" s="159"/>
      <c r="G35" s="159"/>
      <c r="H35" s="159"/>
      <c r="I35" s="159">
        <v>3.24</v>
      </c>
      <c r="J35" s="159"/>
      <c r="K35" s="210"/>
      <c r="L35" s="210"/>
      <c r="M35" s="210">
        <v>2.16</v>
      </c>
      <c r="N35" s="210">
        <v>2.19</v>
      </c>
      <c r="O35" s="210"/>
      <c r="P35" s="210"/>
      <c r="R35" s="210"/>
      <c r="S35" s="210"/>
      <c r="T35" s="210"/>
      <c r="V35" s="210"/>
      <c r="W35" s="210"/>
      <c r="X35" s="210"/>
    </row>
    <row r="36" spans="1:24">
      <c r="A36" s="299"/>
      <c r="B36" s="301"/>
      <c r="C36" s="139" t="s">
        <v>0</v>
      </c>
      <c r="D36" s="140"/>
      <c r="E36" s="140"/>
      <c r="F36" s="140"/>
      <c r="G36" s="140"/>
      <c r="H36" s="140"/>
      <c r="I36" s="140">
        <v>3.25</v>
      </c>
      <c r="J36" s="140"/>
      <c r="K36" s="140"/>
      <c r="L36" s="140">
        <v>1.91</v>
      </c>
      <c r="M36" s="140">
        <v>2.1</v>
      </c>
      <c r="N36" s="140">
        <v>2.4500000000000002</v>
      </c>
      <c r="O36" s="140">
        <v>2.4900000000000002</v>
      </c>
      <c r="P36" s="140">
        <v>2.54</v>
      </c>
      <c r="R36" s="140">
        <v>1.9</v>
      </c>
      <c r="S36" s="140">
        <v>1.91</v>
      </c>
      <c r="T36" s="140">
        <v>2.16</v>
      </c>
      <c r="V36" s="140"/>
      <c r="W36" s="140"/>
      <c r="X36" s="140"/>
    </row>
    <row r="37" spans="1:24">
      <c r="A37" s="299"/>
      <c r="B37" s="301"/>
      <c r="C37" s="141" t="s">
        <v>3</v>
      </c>
      <c r="D37" s="142"/>
      <c r="E37" s="142"/>
      <c r="F37" s="142"/>
      <c r="G37" s="142"/>
      <c r="H37" s="142"/>
      <c r="I37" s="142">
        <v>3.22</v>
      </c>
      <c r="J37" s="142"/>
      <c r="K37" s="142"/>
      <c r="L37" s="142">
        <v>1.95</v>
      </c>
      <c r="M37" s="142">
        <v>2.12</v>
      </c>
      <c r="N37" s="142">
        <v>2.3199999999999998</v>
      </c>
      <c r="O37" s="142">
        <v>2.37</v>
      </c>
      <c r="P37" s="142">
        <v>2.4700000000000002</v>
      </c>
      <c r="R37" s="142"/>
      <c r="S37" s="142"/>
      <c r="T37" s="142"/>
      <c r="V37" s="142"/>
      <c r="W37" s="142"/>
      <c r="X37" s="142"/>
    </row>
    <row r="38" spans="1:24">
      <c r="A38" s="299"/>
      <c r="B38" s="302"/>
      <c r="C38" s="143" t="s">
        <v>1</v>
      </c>
      <c r="D38" s="144">
        <v>5.01</v>
      </c>
      <c r="E38" s="144">
        <v>4.38</v>
      </c>
      <c r="F38" s="144">
        <v>5.14</v>
      </c>
      <c r="G38" s="144">
        <v>3.78</v>
      </c>
      <c r="H38" s="144">
        <v>2.42</v>
      </c>
      <c r="I38" s="144">
        <f t="shared" ref="I38" si="11">+AVERAGE(I34:I37)</f>
        <v>3.2375000000000003</v>
      </c>
      <c r="J38" s="144" t="e">
        <f t="shared" ref="J38" si="12">AVERAGE(J34:J37)</f>
        <v>#DIV/0!</v>
      </c>
      <c r="K38" s="216" t="e">
        <f>AVERAGE(K34:K37)</f>
        <v>#DIV/0!</v>
      </c>
      <c r="L38" s="216">
        <v>1.95</v>
      </c>
      <c r="M38" s="216">
        <f t="shared" ref="M38:N38" si="13">AVERAGE(M34:M37)</f>
        <v>2.1524999999999999</v>
      </c>
      <c r="N38" s="216">
        <f t="shared" si="13"/>
        <v>2.2999999999999998</v>
      </c>
      <c r="O38" s="216">
        <f t="shared" ref="O38:P38" si="14">AVERAGE(O34:O37)</f>
        <v>2.38</v>
      </c>
      <c r="P38" s="216">
        <f t="shared" si="14"/>
        <v>2.4533333333333336</v>
      </c>
      <c r="R38" s="216">
        <f>AVERAGE(R34:R37)</f>
        <v>1.9</v>
      </c>
      <c r="S38" s="216">
        <v>1.9</v>
      </c>
      <c r="T38" s="216">
        <v>2.15</v>
      </c>
      <c r="V38" s="216">
        <v>2.0499999999999998</v>
      </c>
      <c r="W38" s="216">
        <v>2.1</v>
      </c>
      <c r="X38" s="216">
        <v>2.2999999999999998</v>
      </c>
    </row>
    <row r="39" spans="1:24">
      <c r="A39" s="299"/>
      <c r="B39" s="273">
        <v>43800</v>
      </c>
      <c r="C39" s="133" t="s">
        <v>1</v>
      </c>
      <c r="D39" s="138">
        <f>'Aug18'!D37</f>
        <v>5.01</v>
      </c>
      <c r="E39" s="138">
        <f>'Aug18'!E37</f>
        <v>4.38</v>
      </c>
      <c r="F39" s="138">
        <f>'Aug18'!F37</f>
        <v>5.14</v>
      </c>
      <c r="G39" s="138">
        <f>'Aug18'!G37</f>
        <v>3.78</v>
      </c>
      <c r="H39" s="138">
        <f>'Aug18'!H37</f>
        <v>2.42</v>
      </c>
      <c r="I39" s="138">
        <f>'Dec18'!I37</f>
        <v>3.2375000000000003</v>
      </c>
      <c r="J39" s="138">
        <f>'Dec18'!J37</f>
        <v>3.5142500000000001</v>
      </c>
      <c r="K39" s="138">
        <v>3.08</v>
      </c>
      <c r="L39" s="138">
        <v>2.1</v>
      </c>
      <c r="M39" s="138">
        <v>2.25</v>
      </c>
      <c r="N39" s="138">
        <v>2.5</v>
      </c>
      <c r="O39" s="138">
        <v>2.5</v>
      </c>
      <c r="P39" s="138">
        <v>2.5</v>
      </c>
      <c r="R39" t="s">
        <v>89</v>
      </c>
      <c r="V39" t="s">
        <v>90</v>
      </c>
    </row>
    <row r="40" spans="1:24" ht="15" hidden="1" customHeight="1">
      <c r="A40" s="204"/>
      <c r="B40" s="272"/>
      <c r="C40" s="133" t="s">
        <v>1</v>
      </c>
      <c r="D40" s="138">
        <v>5.01</v>
      </c>
      <c r="E40" s="138">
        <v>4.38</v>
      </c>
      <c r="F40" s="138">
        <v>5.13</v>
      </c>
      <c r="G40" s="138">
        <v>4.9000000000000004</v>
      </c>
      <c r="H40" s="138">
        <v>4.9000000000000004</v>
      </c>
      <c r="I40" s="138">
        <v>4.95</v>
      </c>
      <c r="J40" s="138">
        <v>5.0999999999999996</v>
      </c>
      <c r="K40" s="138">
        <v>5.2</v>
      </c>
      <c r="L40" s="138"/>
      <c r="M40" s="138"/>
    </row>
    <row r="41" spans="1:24" ht="15" hidden="1" customHeight="1">
      <c r="A41" s="204"/>
      <c r="B41" s="272"/>
      <c r="C41" s="133" t="s">
        <v>1</v>
      </c>
      <c r="D41" s="138">
        <v>5.01</v>
      </c>
      <c r="E41" s="138">
        <v>4.38</v>
      </c>
      <c r="F41" s="138">
        <v>5.15</v>
      </c>
      <c r="G41" s="138">
        <v>5.2</v>
      </c>
      <c r="H41" s="138">
        <v>5.25</v>
      </c>
      <c r="I41" s="138">
        <v>5.3</v>
      </c>
      <c r="J41" s="138">
        <v>5.35</v>
      </c>
      <c r="K41" s="138">
        <v>5.4</v>
      </c>
      <c r="L41" s="138"/>
      <c r="M41" s="138"/>
    </row>
    <row r="42" spans="1:24" ht="15" hidden="1" customHeight="1">
      <c r="A42" s="204"/>
      <c r="B42" s="272"/>
      <c r="C42" s="133" t="s">
        <v>1</v>
      </c>
      <c r="D42" s="138">
        <v>5</v>
      </c>
      <c r="E42" s="138">
        <v>4.5</v>
      </c>
      <c r="F42" s="138">
        <v>5</v>
      </c>
      <c r="G42" s="138">
        <v>5.4</v>
      </c>
      <c r="H42" s="138">
        <v>5.5</v>
      </c>
      <c r="I42" s="138">
        <v>5.5</v>
      </c>
      <c r="J42" s="138">
        <v>5.5</v>
      </c>
      <c r="K42" s="138"/>
      <c r="L42" s="138"/>
      <c r="M42" s="138"/>
    </row>
    <row r="43" spans="1:24" ht="15" hidden="1" customHeight="1">
      <c r="A43" s="204"/>
      <c r="B43" s="33">
        <v>41317</v>
      </c>
      <c r="C43" s="133" t="s">
        <v>1</v>
      </c>
      <c r="D43" s="145">
        <v>5</v>
      </c>
      <c r="E43" s="145">
        <v>4.5</v>
      </c>
      <c r="F43" s="145">
        <v>5.0999999999999996</v>
      </c>
      <c r="G43" s="145">
        <v>5.25</v>
      </c>
      <c r="H43" s="145">
        <v>5.5</v>
      </c>
      <c r="I43" s="145">
        <v>5.5</v>
      </c>
      <c r="J43" s="145"/>
      <c r="K43" s="145"/>
      <c r="L43" s="145"/>
      <c r="M43" s="145"/>
    </row>
    <row r="44" spans="1:24" ht="15" hidden="1" customHeight="1">
      <c r="A44" s="204"/>
      <c r="B44" s="33">
        <v>41244</v>
      </c>
      <c r="C44" s="133" t="s">
        <v>1</v>
      </c>
      <c r="D44" s="145">
        <v>5</v>
      </c>
      <c r="E44" s="145">
        <v>4.5</v>
      </c>
      <c r="F44" s="145">
        <v>5</v>
      </c>
      <c r="G44" s="145">
        <v>5.4</v>
      </c>
      <c r="H44" s="145">
        <v>5.6</v>
      </c>
      <c r="I44" s="145">
        <v>5.5</v>
      </c>
      <c r="J44" s="145">
        <v>5.5</v>
      </c>
      <c r="K44" s="145"/>
      <c r="L44" s="145"/>
      <c r="M44" s="145"/>
    </row>
    <row r="45" spans="1:24" ht="15" hidden="1" customHeight="1">
      <c r="A45" s="204"/>
      <c r="B45" s="33">
        <v>42217</v>
      </c>
      <c r="C45" s="292" t="s">
        <v>16</v>
      </c>
      <c r="D45" s="293"/>
      <c r="E45" s="146">
        <f t="shared" ref="E45:M47" si="15">(E38-D38)/D38</f>
        <v>-0.12574850299401197</v>
      </c>
      <c r="F45" s="146">
        <f t="shared" si="15"/>
        <v>0.17351598173515978</v>
      </c>
      <c r="G45" s="146">
        <f t="shared" si="15"/>
        <v>-0.26459143968871596</v>
      </c>
      <c r="H45" s="146">
        <f t="shared" si="15"/>
        <v>-0.35978835978835977</v>
      </c>
      <c r="I45" s="146">
        <f t="shared" si="15"/>
        <v>0.33780991735537202</v>
      </c>
      <c r="J45" s="146" t="e">
        <f t="shared" si="15"/>
        <v>#DIV/0!</v>
      </c>
      <c r="K45" s="146" t="e">
        <f t="shared" si="15"/>
        <v>#DIV/0!</v>
      </c>
      <c r="L45" s="146" t="e">
        <f t="shared" si="15"/>
        <v>#DIV/0!</v>
      </c>
      <c r="M45" s="146">
        <f t="shared" si="15"/>
        <v>0.1038461538461538</v>
      </c>
    </row>
    <row r="46" spans="1:24" ht="15" hidden="1" customHeight="1">
      <c r="A46" s="204"/>
      <c r="B46" s="33">
        <f>B30</f>
        <v>43800</v>
      </c>
      <c r="C46" s="290" t="s">
        <v>16</v>
      </c>
      <c r="D46" s="291"/>
      <c r="E46" s="147">
        <f t="shared" si="15"/>
        <v>-0.12574850299401197</v>
      </c>
      <c r="F46" s="147">
        <f t="shared" si="15"/>
        <v>0.17351598173515978</v>
      </c>
      <c r="G46" s="147">
        <f t="shared" si="15"/>
        <v>-0.26459143968871596</v>
      </c>
      <c r="H46" s="147">
        <f t="shared" si="15"/>
        <v>-0.35978835978835977</v>
      </c>
      <c r="I46" s="147">
        <f t="shared" si="15"/>
        <v>0.33780991735537202</v>
      </c>
      <c r="J46" s="147">
        <f t="shared" si="15"/>
        <v>8.5482625482625418E-2</v>
      </c>
      <c r="K46" s="147">
        <f t="shared" si="15"/>
        <v>-0.12356832894643238</v>
      </c>
      <c r="L46" s="147"/>
      <c r="M46" s="147"/>
    </row>
    <row r="47" spans="1:24" ht="15" hidden="1" customHeight="1">
      <c r="A47" s="204"/>
      <c r="B47" s="33">
        <v>41974</v>
      </c>
      <c r="C47" s="290" t="s">
        <v>16</v>
      </c>
      <c r="D47" s="291"/>
      <c r="E47" s="147">
        <f t="shared" si="15"/>
        <v>-0.12574850299401197</v>
      </c>
      <c r="F47" s="147">
        <f t="shared" si="15"/>
        <v>0.17123287671232876</v>
      </c>
      <c r="G47" s="147">
        <f t="shared" si="15"/>
        <v>-4.4834307992202643E-2</v>
      </c>
      <c r="H47" s="147">
        <f t="shared" si="15"/>
        <v>0</v>
      </c>
      <c r="I47" s="147">
        <f t="shared" si="15"/>
        <v>1.0204081632653024E-2</v>
      </c>
      <c r="J47" s="147">
        <f t="shared" si="15"/>
        <v>3.0303030303030193E-2</v>
      </c>
      <c r="K47" s="147">
        <f t="shared" si="15"/>
        <v>1.9607843137255009E-2</v>
      </c>
      <c r="L47" s="147">
        <f t="shared" si="15"/>
        <v>-1</v>
      </c>
      <c r="M47" s="147" t="e">
        <f t="shared" si="15"/>
        <v>#DIV/0!</v>
      </c>
    </row>
    <row r="48" spans="1:24" ht="15" hidden="1" customHeight="1">
      <c r="A48" s="205"/>
      <c r="B48" s="33">
        <v>41499</v>
      </c>
      <c r="C48" s="292" t="s">
        <v>16</v>
      </c>
      <c r="D48" s="293"/>
      <c r="E48" s="146">
        <f t="shared" ref="E48:J48" si="16">(E42-D42)/D42</f>
        <v>-0.1</v>
      </c>
      <c r="F48" s="146">
        <f t="shared" si="16"/>
        <v>0.1111111111111111</v>
      </c>
      <c r="G48" s="146">
        <f t="shared" si="16"/>
        <v>8.0000000000000071E-2</v>
      </c>
      <c r="H48" s="146">
        <f t="shared" si="16"/>
        <v>1.8518518518518452E-2</v>
      </c>
      <c r="I48" s="146">
        <f t="shared" si="16"/>
        <v>0</v>
      </c>
      <c r="J48" s="146">
        <f t="shared" si="16"/>
        <v>0</v>
      </c>
      <c r="K48" s="146"/>
      <c r="L48" s="146"/>
      <c r="M48" s="146"/>
    </row>
    <row r="49" spans="1:24">
      <c r="A49" s="65"/>
      <c r="B49" s="65"/>
      <c r="C49" s="65"/>
      <c r="D49" s="76"/>
      <c r="E49" s="76"/>
      <c r="F49" s="76"/>
      <c r="G49" s="130"/>
      <c r="H49" s="130"/>
      <c r="I49" s="130"/>
      <c r="J49" s="130"/>
      <c r="K49" s="130"/>
      <c r="L49" s="130"/>
      <c r="M49" s="130"/>
    </row>
    <row r="50" spans="1:24">
      <c r="A50" s="287" t="s">
        <v>19</v>
      </c>
      <c r="B50" s="273">
        <v>43831</v>
      </c>
      <c r="C50" s="136" t="s">
        <v>2</v>
      </c>
      <c r="D50" s="160"/>
      <c r="E50" s="161"/>
      <c r="F50" s="161"/>
      <c r="G50" s="161"/>
      <c r="H50" s="161"/>
      <c r="I50" s="161">
        <v>1235.7</v>
      </c>
      <c r="J50" s="161"/>
      <c r="K50" s="161"/>
      <c r="L50" s="161"/>
      <c r="M50" s="161"/>
      <c r="N50" s="161"/>
      <c r="O50" s="161"/>
      <c r="P50" s="161"/>
      <c r="R50" s="161"/>
      <c r="S50" s="161"/>
      <c r="T50" s="161"/>
      <c r="V50" s="161"/>
      <c r="W50" s="161"/>
      <c r="X50" s="161"/>
    </row>
    <row r="51" spans="1:24">
      <c r="A51" s="288"/>
      <c r="B51" s="272"/>
      <c r="C51" s="139" t="s">
        <v>0</v>
      </c>
      <c r="D51" s="162"/>
      <c r="E51" s="162"/>
      <c r="F51" s="162"/>
      <c r="G51" s="162"/>
      <c r="H51" s="162"/>
      <c r="I51" s="162"/>
      <c r="J51" s="162"/>
      <c r="K51" s="215"/>
      <c r="L51" s="215">
        <v>1747.33</v>
      </c>
      <c r="M51" s="215">
        <v>1635.85</v>
      </c>
      <c r="N51" s="215">
        <v>1599.68</v>
      </c>
      <c r="O51" s="215"/>
      <c r="P51" s="215"/>
      <c r="R51" s="215"/>
      <c r="S51" s="215"/>
      <c r="T51" s="215"/>
      <c r="V51" s="215"/>
      <c r="W51" s="215"/>
      <c r="X51" s="215"/>
    </row>
    <row r="52" spans="1:24">
      <c r="A52" s="288"/>
      <c r="B52" s="272"/>
      <c r="C52" s="141" t="s">
        <v>3</v>
      </c>
      <c r="D52" s="163"/>
      <c r="E52" s="163"/>
      <c r="F52" s="163"/>
      <c r="G52" s="163"/>
      <c r="H52" s="163"/>
      <c r="I52" s="163">
        <v>1235.5999999999999</v>
      </c>
      <c r="J52" s="163"/>
      <c r="K52" s="163"/>
      <c r="L52" s="163">
        <v>1730</v>
      </c>
      <c r="M52" s="163">
        <v>1702.3</v>
      </c>
      <c r="N52" s="163">
        <v>1613.4</v>
      </c>
      <c r="O52" s="163">
        <v>1561.1</v>
      </c>
      <c r="P52" s="163">
        <v>1506.8</v>
      </c>
      <c r="R52" s="163"/>
      <c r="S52" s="163"/>
      <c r="T52" s="163"/>
      <c r="V52" s="163"/>
      <c r="W52" s="163"/>
      <c r="X52" s="163"/>
    </row>
    <row r="53" spans="1:24">
      <c r="A53" s="288"/>
      <c r="B53" s="272"/>
      <c r="C53" s="143" t="s">
        <v>1</v>
      </c>
      <c r="D53" s="152">
        <v>1227</v>
      </c>
      <c r="E53" s="152">
        <v>1177.5</v>
      </c>
      <c r="F53" s="153">
        <v>1184.7</v>
      </c>
      <c r="G53" s="153">
        <v>1184.8</v>
      </c>
      <c r="H53" s="153">
        <v>1175</v>
      </c>
      <c r="I53" s="153">
        <f>(+AVERAGE(I50:I52))</f>
        <v>1235.6500000000001</v>
      </c>
      <c r="J53" s="206">
        <v>1361</v>
      </c>
      <c r="K53" s="214">
        <v>1562</v>
      </c>
      <c r="L53" s="226">
        <v>1740</v>
      </c>
      <c r="M53" s="226">
        <f>MROUND(L53*(1+M60),5)</f>
        <v>1485</v>
      </c>
      <c r="N53" s="226">
        <f>MROUND(M53*(1+N60),5)</f>
        <v>1410</v>
      </c>
      <c r="O53" s="225">
        <f t="shared" ref="O53:P53" si="17">AVERAGE(O49:O52)</f>
        <v>1561.1</v>
      </c>
      <c r="P53" s="225">
        <f t="shared" si="17"/>
        <v>1506.8</v>
      </c>
      <c r="R53" s="226">
        <f>+L53</f>
        <v>1740</v>
      </c>
      <c r="S53" s="226">
        <f>MROUND(R53*(1+S54),5)</f>
        <v>1260</v>
      </c>
      <c r="T53" s="226">
        <f>MROUND(S53*(1+T54),5)</f>
        <v>1085</v>
      </c>
      <c r="V53" s="225">
        <v>1750</v>
      </c>
      <c r="W53" s="225">
        <f>+V53*(1+W54)</f>
        <v>1715</v>
      </c>
      <c r="X53" s="225">
        <f>+W53*(1+X54)</f>
        <v>1726.9097222222222</v>
      </c>
    </row>
    <row r="54" spans="1:24">
      <c r="A54" s="288"/>
      <c r="B54" s="273">
        <v>43800</v>
      </c>
      <c r="C54" s="133" t="s">
        <v>1</v>
      </c>
      <c r="D54" s="160">
        <f>'Aug18'!D52</f>
        <v>1227</v>
      </c>
      <c r="E54" s="160">
        <f>'Aug18'!E52</f>
        <v>1177.5</v>
      </c>
      <c r="F54" s="160">
        <f>'Aug18'!F52</f>
        <v>1184.7</v>
      </c>
      <c r="G54" s="160">
        <f>'Aug18'!G52</f>
        <v>1184.8</v>
      </c>
      <c r="H54" s="160">
        <f>'Aug18'!H52</f>
        <v>1175</v>
      </c>
      <c r="I54" s="160">
        <f>'Dec18'!I52</f>
        <v>1235.6500000000001</v>
      </c>
      <c r="J54" s="160">
        <f>'Dec18'!J52</f>
        <v>1361</v>
      </c>
      <c r="K54" s="160">
        <v>1562.1499999999999</v>
      </c>
      <c r="L54" s="160">
        <v>1610</v>
      </c>
      <c r="M54" s="160">
        <v>1625.4313099041533</v>
      </c>
      <c r="N54" s="160">
        <v>1650</v>
      </c>
      <c r="O54" s="160">
        <v>1665.4205607476633</v>
      </c>
      <c r="P54" s="160">
        <v>1675</v>
      </c>
      <c r="R54" t="s">
        <v>89</v>
      </c>
      <c r="S54" s="112">
        <f>+S23/2</f>
        <v>-0.27500000000000002</v>
      </c>
      <c r="T54" s="112">
        <f>+T23/2</f>
        <v>-0.13750000000000001</v>
      </c>
      <c r="V54" t="s">
        <v>90</v>
      </c>
      <c r="W54" s="112">
        <f>+W23/2</f>
        <v>-2.0000000000000018E-2</v>
      </c>
      <c r="X54" s="112">
        <f>+X23/2</f>
        <v>6.9444444444444198E-3</v>
      </c>
    </row>
    <row r="55" spans="1:24" ht="14.65" hidden="1" customHeight="1">
      <c r="A55" s="288"/>
      <c r="B55" s="272"/>
      <c r="C55" s="133" t="s">
        <v>1</v>
      </c>
      <c r="D55" s="160">
        <v>1227</v>
      </c>
      <c r="E55" s="160">
        <v>1177.5</v>
      </c>
      <c r="F55" s="160">
        <v>1187.3</v>
      </c>
      <c r="G55" s="160">
        <v>1181</v>
      </c>
      <c r="H55" s="160">
        <v>1150</v>
      </c>
      <c r="I55" s="160">
        <v>1118</v>
      </c>
      <c r="J55" s="160">
        <v>1088</v>
      </c>
      <c r="K55" s="160">
        <v>1052</v>
      </c>
      <c r="L55" s="160"/>
      <c r="M55" s="160"/>
      <c r="N55" s="160"/>
      <c r="O55" s="160"/>
      <c r="P55" s="160"/>
    </row>
    <row r="56" spans="1:24" ht="14.65" hidden="1" customHeight="1">
      <c r="A56" s="288"/>
      <c r="B56" s="272"/>
      <c r="C56" s="133" t="s">
        <v>1</v>
      </c>
      <c r="D56" s="160">
        <v>1227</v>
      </c>
      <c r="E56" s="160">
        <v>1177.5</v>
      </c>
      <c r="F56" s="160">
        <v>1170</v>
      </c>
      <c r="G56" s="160">
        <v>1158.3</v>
      </c>
      <c r="H56" s="160">
        <v>1123.5509999999999</v>
      </c>
      <c r="I56" s="160">
        <v>1089.84447</v>
      </c>
      <c r="J56" s="160">
        <v>1057.1491358999999</v>
      </c>
      <c r="K56" s="160">
        <v>1025.4346618229999</v>
      </c>
      <c r="L56" s="160"/>
      <c r="M56" s="160"/>
      <c r="N56" s="160"/>
      <c r="O56" s="160"/>
      <c r="P56" s="160"/>
    </row>
    <row r="57" spans="1:24" ht="14.65" hidden="1" customHeight="1">
      <c r="A57" s="288"/>
      <c r="B57" s="272"/>
      <c r="C57" s="133" t="s">
        <v>1</v>
      </c>
      <c r="D57" s="160">
        <v>1225.8499999999999</v>
      </c>
      <c r="E57" s="160">
        <v>1165</v>
      </c>
      <c r="F57" s="160">
        <v>1110</v>
      </c>
      <c r="G57" s="160">
        <v>1070</v>
      </c>
      <c r="H57" s="160">
        <v>1030</v>
      </c>
      <c r="I57" s="160">
        <v>1000</v>
      </c>
      <c r="J57" s="160">
        <v>960</v>
      </c>
      <c r="K57" s="165"/>
      <c r="L57" s="165"/>
      <c r="M57" s="165"/>
      <c r="N57" s="165"/>
      <c r="O57" s="165"/>
      <c r="P57" s="165"/>
    </row>
    <row r="58" spans="1:24" hidden="1">
      <c r="A58" s="288"/>
      <c r="B58" s="33">
        <v>41317</v>
      </c>
      <c r="C58" s="133" t="s">
        <v>1</v>
      </c>
      <c r="D58" s="165">
        <v>1226</v>
      </c>
      <c r="E58" s="165">
        <v>1185</v>
      </c>
      <c r="F58" s="165">
        <v>1151</v>
      </c>
      <c r="G58" s="165">
        <v>1121</v>
      </c>
      <c r="H58" s="165">
        <v>1090.1407234210708</v>
      </c>
      <c r="I58" s="165">
        <v>1048</v>
      </c>
      <c r="J58" s="165"/>
      <c r="K58" s="165"/>
      <c r="L58" s="165"/>
      <c r="M58" s="165"/>
      <c r="N58" s="165"/>
      <c r="O58" s="165"/>
      <c r="P58" s="165"/>
    </row>
    <row r="59" spans="1:24" hidden="1">
      <c r="A59" s="288"/>
      <c r="B59" s="33">
        <v>41244</v>
      </c>
      <c r="C59" s="133" t="s">
        <v>1</v>
      </c>
      <c r="D59" s="165">
        <v>1228.5423506666664</v>
      </c>
      <c r="E59" s="165">
        <v>1184.5870287874238</v>
      </c>
      <c r="F59" s="165">
        <v>1151.3778293463738</v>
      </c>
      <c r="G59" s="165">
        <v>1121.0332793283103</v>
      </c>
      <c r="H59" s="165">
        <v>1090.1407234210708</v>
      </c>
      <c r="I59" s="165">
        <v>1048</v>
      </c>
      <c r="J59" s="165">
        <v>1048</v>
      </c>
      <c r="K59" s="165"/>
      <c r="L59" s="165"/>
      <c r="M59" s="165"/>
      <c r="N59" s="165"/>
      <c r="O59" s="165"/>
      <c r="P59" s="165"/>
    </row>
    <row r="60" spans="1:24">
      <c r="A60" s="288"/>
      <c r="B60" s="33">
        <f>B50</f>
        <v>43831</v>
      </c>
      <c r="C60" s="292" t="s">
        <v>16</v>
      </c>
      <c r="D60" s="293"/>
      <c r="E60" s="167">
        <f t="shared" ref="E60:P62" si="18">(E53-D53)/D53</f>
        <v>-4.0342298288508556E-2</v>
      </c>
      <c r="F60" s="167">
        <f t="shared" si="18"/>
        <v>6.1146496815287013E-3</v>
      </c>
      <c r="G60" s="167">
        <f>(G53-F53)/F53</f>
        <v>8.4409555161567526E-5</v>
      </c>
      <c r="H60" s="167">
        <f t="shared" si="18"/>
        <v>-8.2714382174206239E-3</v>
      </c>
      <c r="I60" s="167">
        <f t="shared" si="18"/>
        <v>5.1617021276595822E-2</v>
      </c>
      <c r="J60" s="167">
        <f t="shared" si="18"/>
        <v>0.10144458382227969</v>
      </c>
      <c r="K60" s="167">
        <f t="shared" si="18"/>
        <v>0.14768552534900808</v>
      </c>
      <c r="L60" s="167">
        <f t="shared" si="18"/>
        <v>0.11395646606914213</v>
      </c>
      <c r="M60" s="167">
        <f>+M29/2</f>
        <v>-0.14788732394366197</v>
      </c>
      <c r="N60" s="167">
        <f>+N29/2</f>
        <v>-0.05</v>
      </c>
      <c r="O60" s="167">
        <f t="shared" si="18"/>
        <v>0.10716312056737583</v>
      </c>
      <c r="P60" s="167">
        <f t="shared" si="18"/>
        <v>-3.4783165716481941E-2</v>
      </c>
    </row>
    <row r="61" spans="1:24">
      <c r="A61" s="288"/>
      <c r="B61" s="33">
        <f>B46</f>
        <v>43800</v>
      </c>
      <c r="C61" s="290" t="s">
        <v>16</v>
      </c>
      <c r="D61" s="291"/>
      <c r="E61" s="168">
        <f>(E54-D54)/D54</f>
        <v>-4.0342298288508556E-2</v>
      </c>
      <c r="F61" s="168">
        <f t="shared" si="18"/>
        <v>6.1146496815287013E-3</v>
      </c>
      <c r="G61" s="168">
        <f>(G54-F54)/F54</f>
        <v>8.4409555161567526E-5</v>
      </c>
      <c r="H61" s="168">
        <f t="shared" si="18"/>
        <v>-8.2714382174206239E-3</v>
      </c>
      <c r="I61" s="168">
        <f t="shared" si="18"/>
        <v>5.1617021276595822E-2</v>
      </c>
      <c r="J61" s="168">
        <f t="shared" si="18"/>
        <v>0.10144458382227969</v>
      </c>
      <c r="K61" s="168">
        <v>0.15723732549595884</v>
      </c>
      <c r="L61" s="168">
        <f>+L54/K54-1</f>
        <v>3.0630861312934243E-2</v>
      </c>
      <c r="M61" s="168">
        <f t="shared" ref="M61:P61" si="19">+M54/L54-1</f>
        <v>9.5846645367412275E-3</v>
      </c>
      <c r="N61" s="168">
        <f t="shared" si="19"/>
        <v>1.5115182011164352E-2</v>
      </c>
      <c r="O61" s="168">
        <f t="shared" si="19"/>
        <v>9.3457943925232545E-3</v>
      </c>
      <c r="P61" s="168">
        <f t="shared" si="19"/>
        <v>5.7519640852976561E-3</v>
      </c>
    </row>
    <row r="62" spans="1:24" hidden="1">
      <c r="A62" s="288"/>
      <c r="B62" s="33">
        <v>41974</v>
      </c>
      <c r="C62" s="290" t="s">
        <v>16</v>
      </c>
      <c r="D62" s="291"/>
      <c r="E62" s="147">
        <f>(E55-D55)/D55</f>
        <v>-4.0342298288508556E-2</v>
      </c>
      <c r="F62" s="147">
        <f t="shared" si="18"/>
        <v>8.3227176220806408E-3</v>
      </c>
      <c r="G62" s="147">
        <f t="shared" si="18"/>
        <v>-5.3061568264128316E-3</v>
      </c>
      <c r="H62" s="147">
        <f t="shared" si="18"/>
        <v>-2.6248941574936496E-2</v>
      </c>
      <c r="I62" s="147">
        <f t="shared" si="18"/>
        <v>-2.782608695652174E-2</v>
      </c>
      <c r="J62" s="147">
        <f t="shared" si="18"/>
        <v>-2.6833631484794274E-2</v>
      </c>
      <c r="K62" s="147">
        <f t="shared" si="18"/>
        <v>-3.3088235294117647E-2</v>
      </c>
      <c r="L62" s="147">
        <f t="shared" si="18"/>
        <v>-1</v>
      </c>
      <c r="M62" s="147" t="e">
        <f t="shared" si="18"/>
        <v>#DIV/0!</v>
      </c>
    </row>
    <row r="63" spans="1:24" hidden="1">
      <c r="A63" s="289"/>
      <c r="B63" s="33">
        <v>41499</v>
      </c>
      <c r="C63" s="292" t="s">
        <v>16</v>
      </c>
      <c r="D63" s="293"/>
      <c r="E63" s="146">
        <f t="shared" ref="E63:J63" si="20">(E57-D57)/D57</f>
        <v>-4.9639025981971625E-2</v>
      </c>
      <c r="F63" s="146">
        <f t="shared" si="20"/>
        <v>-4.7210300429184553E-2</v>
      </c>
      <c r="G63" s="146">
        <f t="shared" si="20"/>
        <v>-3.6036036036036036E-2</v>
      </c>
      <c r="H63" s="146">
        <f t="shared" si="20"/>
        <v>-3.7383177570093455E-2</v>
      </c>
      <c r="I63" s="146">
        <f t="shared" si="20"/>
        <v>-2.9126213592233011E-2</v>
      </c>
      <c r="J63" s="146">
        <f t="shared" si="20"/>
        <v>-0.04</v>
      </c>
      <c r="K63" s="146"/>
      <c r="L63" s="146"/>
      <c r="M63" s="146"/>
    </row>
    <row r="64" spans="1:24">
      <c r="A64" s="108"/>
      <c r="B64" s="13"/>
      <c r="F64" s="112"/>
      <c r="G64" s="112"/>
      <c r="H64" s="112"/>
      <c r="I64" s="112"/>
      <c r="J64" s="112"/>
      <c r="K64" s="112"/>
      <c r="L64" s="217"/>
      <c r="M64" s="112"/>
    </row>
    <row r="65" spans="1:16">
      <c r="A65" s="9"/>
      <c r="B65" s="13"/>
      <c r="E65" s="94"/>
      <c r="F65" s="94"/>
      <c r="G65" s="112"/>
      <c r="H65" s="112"/>
      <c r="I65" s="112"/>
      <c r="J65" s="112"/>
      <c r="K65" s="112"/>
      <c r="L65" s="112"/>
      <c r="M65" s="112"/>
      <c r="N65" s="112"/>
      <c r="O65" s="112"/>
      <c r="P65" s="112"/>
    </row>
    <row r="66" spans="1:16">
      <c r="A66" s="9"/>
      <c r="B66" s="13"/>
      <c r="E66" s="94"/>
      <c r="F66" s="94"/>
      <c r="G66" s="94"/>
      <c r="H66" s="112"/>
      <c r="I66" s="112"/>
      <c r="J66" s="112"/>
      <c r="K66" s="112"/>
      <c r="L66" s="112" t="e">
        <f t="shared" ref="L66:P67" si="21">L51/K51-1</f>
        <v>#DIV/0!</v>
      </c>
      <c r="M66" s="112">
        <f t="shared" si="21"/>
        <v>-6.3800198016402132E-2</v>
      </c>
      <c r="N66" s="112">
        <f t="shared" si="21"/>
        <v>-2.2110829232508955E-2</v>
      </c>
      <c r="O66" s="112">
        <f t="shared" si="21"/>
        <v>-1</v>
      </c>
      <c r="P66" s="112" t="e">
        <f t="shared" si="21"/>
        <v>#DIV/0!</v>
      </c>
    </row>
    <row r="67" spans="1:16">
      <c r="A67" s="9"/>
      <c r="B67" s="13"/>
      <c r="L67" s="112" t="e">
        <f t="shared" si="21"/>
        <v>#DIV/0!</v>
      </c>
      <c r="M67" s="112">
        <f t="shared" si="21"/>
        <v>-1.6011560693641624E-2</v>
      </c>
      <c r="N67" s="112">
        <f t="shared" si="21"/>
        <v>-5.2223462374434537E-2</v>
      </c>
      <c r="O67" s="112">
        <f t="shared" si="21"/>
        <v>-3.2416015867113068E-2</v>
      </c>
      <c r="P67" s="112">
        <f t="shared" si="21"/>
        <v>-3.478316571648199E-2</v>
      </c>
    </row>
    <row r="68" spans="1:16">
      <c r="A68" s="9"/>
      <c r="B68" s="13"/>
      <c r="L68" s="213" t="e">
        <f>AVERAGE(L65:L67)</f>
        <v>#DIV/0!</v>
      </c>
      <c r="M68" s="213">
        <f t="shared" ref="M68:P68" si="22">AVERAGE(M65:M67)</f>
        <v>-3.9905879355021878E-2</v>
      </c>
      <c r="N68" s="213">
        <f t="shared" si="22"/>
        <v>-3.7167145803471746E-2</v>
      </c>
      <c r="O68" s="213">
        <f t="shared" si="22"/>
        <v>-0.51620800793355648</v>
      </c>
      <c r="P68" s="213" t="e">
        <f t="shared" si="22"/>
        <v>#DIV/0!</v>
      </c>
    </row>
    <row r="69" spans="1:16">
      <c r="A69" s="9"/>
      <c r="B69" s="13"/>
    </row>
    <row r="70" spans="1:16">
      <c r="A70" s="9"/>
      <c r="B70" s="13"/>
    </row>
    <row r="71" spans="1:16">
      <c r="A71" s="9"/>
      <c r="B71" s="13"/>
    </row>
    <row r="72" spans="1:16">
      <c r="A72" s="9"/>
      <c r="B72" s="13"/>
    </row>
    <row r="73" spans="1:16">
      <c r="A73" s="9"/>
      <c r="B73" s="13"/>
    </row>
    <row r="74" spans="1:16">
      <c r="A74" s="9"/>
      <c r="B74" s="13"/>
    </row>
  </sheetData>
  <mergeCells count="28">
    <mergeCell ref="A2:A16"/>
    <mergeCell ref="B2:B6"/>
    <mergeCell ref="B7:B11"/>
    <mergeCell ref="C13:D13"/>
    <mergeCell ref="C14:D14"/>
    <mergeCell ref="C15:D15"/>
    <mergeCell ref="C16:D16"/>
    <mergeCell ref="C47:D47"/>
    <mergeCell ref="A19:A32"/>
    <mergeCell ref="B19:B22"/>
    <mergeCell ref="B23:B26"/>
    <mergeCell ref="C29:D29"/>
    <mergeCell ref="C30:D30"/>
    <mergeCell ref="C31:D31"/>
    <mergeCell ref="C32:D32"/>
    <mergeCell ref="A34:A39"/>
    <mergeCell ref="B34:B38"/>
    <mergeCell ref="B39:B42"/>
    <mergeCell ref="C45:D45"/>
    <mergeCell ref="C46:D46"/>
    <mergeCell ref="C48:D48"/>
    <mergeCell ref="A50:A63"/>
    <mergeCell ref="B50:B53"/>
    <mergeCell ref="B54:B57"/>
    <mergeCell ref="C60:D60"/>
    <mergeCell ref="C61:D61"/>
    <mergeCell ref="C62:D62"/>
    <mergeCell ref="C63:D63"/>
  </mergeCells>
  <pageMargins left="0.5" right="0.17" top="0.63" bottom="0.75" header="0.3" footer="0.3"/>
  <pageSetup orientation="landscape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pageSetUpPr fitToPage="1"/>
  </sheetPr>
  <dimension ref="A1:X66"/>
  <sheetViews>
    <sheetView zoomScale="115" zoomScaleNormal="115" workbookViewId="0">
      <pane xSplit="3" ySplit="1" topLeftCell="D2" activePane="bottomRight" state="frozen"/>
      <selection activeCell="I6" sqref="I6"/>
      <selection pane="topRight" activeCell="I6" sqref="I6"/>
      <selection pane="bottomLeft" activeCell="I6" sqref="I6"/>
      <selection pane="bottomRight" activeCell="I6" sqref="I6"/>
    </sheetView>
  </sheetViews>
  <sheetFormatPr defaultColWidth="9.28515625" defaultRowHeight="15"/>
  <cols>
    <col min="1" max="1" width="9.42578125" customWidth="1"/>
    <col min="2" max="2" width="7.5703125" bestFit="1" customWidth="1"/>
    <col min="3" max="3" width="13" customWidth="1"/>
    <col min="4" max="4" width="7.7109375" hidden="1" customWidth="1"/>
    <col min="5" max="5" width="8.28515625" hidden="1" customWidth="1"/>
    <col min="6" max="6" width="9.28515625" hidden="1" customWidth="1"/>
    <col min="7" max="7" width="13.42578125" hidden="1" customWidth="1"/>
    <col min="8" max="9" width="9.28515625" hidden="1" customWidth="1"/>
    <col min="10" max="10" width="7.7109375" hidden="1" customWidth="1"/>
    <col min="11" max="11" width="8.28515625" hidden="1" customWidth="1"/>
    <col min="12" max="12" width="9.28515625" bestFit="1" customWidth="1"/>
    <col min="13" max="13" width="9.42578125" bestFit="1" customWidth="1"/>
    <col min="14" max="14" width="10.7109375" bestFit="1" customWidth="1"/>
    <col min="15" max="15" width="10" customWidth="1"/>
    <col min="16" max="16" width="9.28515625" customWidth="1"/>
  </cols>
  <sheetData>
    <row r="1" spans="1:24" ht="34.5" customHeight="1">
      <c r="A1" s="8"/>
      <c r="B1" s="11"/>
      <c r="C1" s="133"/>
      <c r="D1" s="132" t="s">
        <v>17</v>
      </c>
      <c r="E1" s="132" t="s">
        <v>25</v>
      </c>
      <c r="F1" s="132" t="s">
        <v>73</v>
      </c>
      <c r="G1" s="132" t="s">
        <v>74</v>
      </c>
      <c r="H1" s="132" t="s">
        <v>75</v>
      </c>
      <c r="I1" s="132" t="s">
        <v>77</v>
      </c>
      <c r="J1" s="132" t="s">
        <v>81</v>
      </c>
      <c r="K1" s="132" t="s">
        <v>24</v>
      </c>
      <c r="L1" s="132" t="s">
        <v>27</v>
      </c>
      <c r="M1" s="132" t="s">
        <v>57</v>
      </c>
      <c r="N1" s="132" t="s">
        <v>76</v>
      </c>
      <c r="O1" s="132" t="s">
        <v>80</v>
      </c>
      <c r="P1" s="132" t="s">
        <v>82</v>
      </c>
      <c r="R1" s="132" t="s">
        <v>27</v>
      </c>
      <c r="S1" s="132" t="s">
        <v>57</v>
      </c>
      <c r="T1" s="132" t="s">
        <v>76</v>
      </c>
      <c r="V1" s="132" t="s">
        <v>27</v>
      </c>
      <c r="W1" s="132" t="s">
        <v>57</v>
      </c>
      <c r="X1" s="132" t="s">
        <v>76</v>
      </c>
    </row>
    <row r="2" spans="1:24">
      <c r="A2" s="284" t="s">
        <v>10</v>
      </c>
      <c r="B2" s="300">
        <v>43983</v>
      </c>
      <c r="C2" s="134" t="s">
        <v>4</v>
      </c>
      <c r="D2" s="135"/>
      <c r="E2" s="135"/>
      <c r="F2" s="135"/>
      <c r="G2" s="135"/>
      <c r="H2" s="135"/>
      <c r="I2" s="135">
        <v>44.74</v>
      </c>
      <c r="J2" s="135"/>
      <c r="K2" s="135"/>
      <c r="L2" s="135">
        <v>43.05</v>
      </c>
      <c r="M2" s="135">
        <v>31.83</v>
      </c>
      <c r="N2" s="135">
        <v>39.69</v>
      </c>
      <c r="O2" s="135">
        <v>43.13</v>
      </c>
      <c r="P2" s="135">
        <v>43.13</v>
      </c>
      <c r="R2" s="135"/>
      <c r="S2" s="135"/>
      <c r="T2" s="135"/>
      <c r="V2" s="135"/>
      <c r="W2" s="135"/>
      <c r="X2" s="135"/>
    </row>
    <row r="3" spans="1:24">
      <c r="A3" s="285"/>
      <c r="B3" s="301"/>
      <c r="C3" s="136" t="s">
        <v>2</v>
      </c>
      <c r="D3" s="137"/>
      <c r="E3" s="138"/>
      <c r="F3" s="138"/>
      <c r="G3" s="138"/>
      <c r="H3" s="138"/>
      <c r="I3" s="138">
        <v>44.76</v>
      </c>
      <c r="J3" s="138"/>
      <c r="K3" s="138"/>
      <c r="L3" s="138">
        <v>42.59</v>
      </c>
      <c r="M3" s="138">
        <v>32.18</v>
      </c>
      <c r="N3" s="138">
        <v>42.48</v>
      </c>
      <c r="O3" s="138">
        <v>44.66</v>
      </c>
      <c r="P3" s="138">
        <v>44.28</v>
      </c>
      <c r="R3" s="138"/>
      <c r="S3" s="138"/>
      <c r="T3" s="138"/>
      <c r="V3" s="138"/>
      <c r="W3" s="138"/>
      <c r="X3" s="138"/>
    </row>
    <row r="4" spans="1:24">
      <c r="A4" s="285"/>
      <c r="B4" s="301"/>
      <c r="C4" s="139" t="s">
        <v>0</v>
      </c>
      <c r="D4" s="140"/>
      <c r="E4" s="140"/>
      <c r="F4" s="140"/>
      <c r="G4" s="140"/>
      <c r="H4" s="140"/>
      <c r="I4" s="140">
        <v>44.75</v>
      </c>
      <c r="J4" s="140"/>
      <c r="K4" s="140"/>
      <c r="L4" s="140">
        <v>42.82</v>
      </c>
      <c r="M4" s="140">
        <v>29.57</v>
      </c>
      <c r="N4" s="140">
        <v>40.450000000000003</v>
      </c>
      <c r="O4" s="140">
        <v>42.34</v>
      </c>
      <c r="P4" s="140">
        <v>44.45</v>
      </c>
      <c r="R4" s="140"/>
      <c r="S4" s="140"/>
      <c r="T4" s="140"/>
      <c r="V4" s="140"/>
      <c r="W4" s="140"/>
      <c r="X4" s="140"/>
    </row>
    <row r="5" spans="1:24">
      <c r="A5" s="285"/>
      <c r="B5" s="301"/>
      <c r="C5" s="141" t="s">
        <v>3</v>
      </c>
      <c r="D5" s="142"/>
      <c r="E5" s="142"/>
      <c r="F5" s="142"/>
      <c r="G5" s="142"/>
      <c r="H5" s="142"/>
      <c r="I5" s="142">
        <v>44.39</v>
      </c>
      <c r="J5" s="142"/>
      <c r="K5" s="142"/>
      <c r="L5" s="142">
        <v>41.78</v>
      </c>
      <c r="M5" s="142">
        <v>30.78</v>
      </c>
      <c r="N5" s="142">
        <v>41.2</v>
      </c>
      <c r="O5" s="142">
        <v>43.62</v>
      </c>
      <c r="P5" s="142">
        <v>43.56</v>
      </c>
      <c r="R5" s="142">
        <v>40</v>
      </c>
      <c r="S5" s="142">
        <f>+M5-5.35</f>
        <v>25.43</v>
      </c>
      <c r="T5" s="142">
        <f>+N5-11.7</f>
        <v>29.500000000000004</v>
      </c>
      <c r="V5" s="142">
        <v>43</v>
      </c>
      <c r="W5" s="142">
        <f>+M5+10.15</f>
        <v>40.93</v>
      </c>
      <c r="X5" s="142">
        <f>+N5+7.98</f>
        <v>49.180000000000007</v>
      </c>
    </row>
    <row r="6" spans="1:24">
      <c r="A6" s="285"/>
      <c r="B6" s="302"/>
      <c r="C6" s="143" t="s">
        <v>1</v>
      </c>
      <c r="D6" s="144">
        <v>89.65</v>
      </c>
      <c r="E6" s="144">
        <v>85.82</v>
      </c>
      <c r="F6" s="144">
        <v>95.13</v>
      </c>
      <c r="G6" s="144">
        <v>60.67</v>
      </c>
      <c r="H6" s="144">
        <v>37.85</v>
      </c>
      <c r="I6" s="144">
        <f t="shared" ref="I6" si="0">+AVERAGE(I2:I5)</f>
        <v>44.66</v>
      </c>
      <c r="J6" s="144">
        <v>55.05</v>
      </c>
      <c r="K6" s="216" t="e">
        <f>AVERAGE(K2:K5)</f>
        <v>#DIV/0!</v>
      </c>
      <c r="L6" s="216">
        <v>42.5</v>
      </c>
      <c r="M6" s="216">
        <v>31</v>
      </c>
      <c r="N6" s="216">
        <v>41</v>
      </c>
      <c r="O6" s="216">
        <v>43.5</v>
      </c>
      <c r="P6" s="216">
        <v>44</v>
      </c>
      <c r="R6" s="216">
        <v>40</v>
      </c>
      <c r="S6" s="216">
        <v>25</v>
      </c>
      <c r="T6" s="216">
        <v>29.5</v>
      </c>
      <c r="V6" s="216">
        <f>AVERAGE(V2:V5)</f>
        <v>43</v>
      </c>
      <c r="W6" s="216">
        <v>41</v>
      </c>
      <c r="X6" s="216">
        <v>49</v>
      </c>
    </row>
    <row r="7" spans="1:24">
      <c r="A7" s="285"/>
      <c r="B7" s="300">
        <v>43800</v>
      </c>
      <c r="C7" s="133" t="s">
        <v>1</v>
      </c>
      <c r="D7" s="138">
        <f>'Aug18'!D6</f>
        <v>89.65</v>
      </c>
      <c r="E7" s="138">
        <f>'Aug18'!E6</f>
        <v>85.82</v>
      </c>
      <c r="F7" s="138">
        <f>'Aug18'!F6</f>
        <v>95.13</v>
      </c>
      <c r="G7" s="138">
        <f>'Aug18'!G6</f>
        <v>60.67</v>
      </c>
      <c r="H7" s="138">
        <f>'Aug18'!H6</f>
        <v>37.85</v>
      </c>
      <c r="I7" s="138">
        <f>'Dec18'!I6</f>
        <v>44.66</v>
      </c>
      <c r="J7" s="138">
        <f>'Dec18'!J6</f>
        <v>55.05</v>
      </c>
      <c r="K7" s="138">
        <v>51.464999999999996</v>
      </c>
      <c r="L7" s="138">
        <v>51.997500000000002</v>
      </c>
      <c r="M7" s="138">
        <v>50</v>
      </c>
      <c r="N7" s="138">
        <v>50</v>
      </c>
      <c r="O7" s="138">
        <v>52</v>
      </c>
      <c r="P7" s="138">
        <v>53</v>
      </c>
      <c r="R7" s="93" t="s">
        <v>89</v>
      </c>
      <c r="V7" t="s">
        <v>90</v>
      </c>
    </row>
    <row r="8" spans="1:24" ht="14.65" hidden="1" customHeight="1">
      <c r="A8" s="285"/>
      <c r="B8" s="301"/>
      <c r="C8" s="133" t="s">
        <v>1</v>
      </c>
      <c r="D8" s="138">
        <v>89.65</v>
      </c>
      <c r="E8" s="138">
        <v>85.82</v>
      </c>
      <c r="F8" s="138">
        <v>95.14</v>
      </c>
      <c r="G8" s="138">
        <v>71</v>
      </c>
      <c r="H8" s="138">
        <v>66</v>
      </c>
      <c r="I8" s="138">
        <v>72</v>
      </c>
      <c r="J8" s="138">
        <v>76</v>
      </c>
      <c r="K8" s="138">
        <v>80</v>
      </c>
      <c r="L8" s="138"/>
      <c r="M8" s="138"/>
    </row>
    <row r="9" spans="1:24" ht="14.65" hidden="1" customHeight="1">
      <c r="A9" s="285"/>
      <c r="B9" s="301"/>
      <c r="C9" s="133" t="s">
        <v>1</v>
      </c>
      <c r="D9" s="138">
        <v>89.65</v>
      </c>
      <c r="E9" s="138">
        <v>85.82</v>
      </c>
      <c r="F9" s="138">
        <v>95.75</v>
      </c>
      <c r="G9" s="138">
        <v>92</v>
      </c>
      <c r="H9" s="138">
        <v>88</v>
      </c>
      <c r="I9" s="138">
        <v>87</v>
      </c>
      <c r="J9" s="138">
        <v>86</v>
      </c>
      <c r="K9" s="138">
        <v>85</v>
      </c>
      <c r="L9" s="138"/>
      <c r="M9" s="138"/>
    </row>
    <row r="10" spans="1:24" ht="14.65" hidden="1" customHeight="1">
      <c r="A10" s="285"/>
      <c r="B10" s="301"/>
      <c r="C10" s="133" t="s">
        <v>1</v>
      </c>
      <c r="D10" s="138">
        <v>90</v>
      </c>
      <c r="E10" s="138">
        <v>87</v>
      </c>
      <c r="F10" s="138">
        <v>94</v>
      </c>
      <c r="G10" s="138">
        <v>87.5</v>
      </c>
      <c r="H10" s="138">
        <v>85</v>
      </c>
      <c r="I10" s="138">
        <v>84</v>
      </c>
      <c r="J10" s="138">
        <v>84</v>
      </c>
      <c r="K10" s="138"/>
      <c r="L10" s="138"/>
      <c r="M10" s="138"/>
    </row>
    <row r="11" spans="1:24" ht="14.65" hidden="1" customHeight="1">
      <c r="A11" s="285"/>
      <c r="B11" s="302"/>
      <c r="C11" s="133" t="s">
        <v>1</v>
      </c>
      <c r="D11" s="145">
        <v>90</v>
      </c>
      <c r="E11" s="145">
        <v>86.5</v>
      </c>
      <c r="F11" s="145">
        <v>88</v>
      </c>
      <c r="G11" s="145">
        <v>87.5</v>
      </c>
      <c r="H11" s="145">
        <v>87</v>
      </c>
      <c r="I11" s="145">
        <v>86.5</v>
      </c>
      <c r="J11" s="145"/>
      <c r="K11" s="145"/>
      <c r="L11" s="145"/>
      <c r="M11" s="145"/>
    </row>
    <row r="12" spans="1:24" hidden="1">
      <c r="A12" s="285"/>
      <c r="B12" s="33">
        <v>41244</v>
      </c>
      <c r="C12" s="133" t="s">
        <v>1</v>
      </c>
      <c r="D12" s="145">
        <v>89.640506965377526</v>
      </c>
      <c r="E12" s="145">
        <v>85</v>
      </c>
      <c r="F12" s="145">
        <v>84.75</v>
      </c>
      <c r="G12" s="145">
        <v>83.5</v>
      </c>
      <c r="H12" s="145">
        <v>82.5</v>
      </c>
      <c r="I12" s="145">
        <v>83</v>
      </c>
      <c r="J12" s="145">
        <v>83</v>
      </c>
      <c r="K12" s="145"/>
      <c r="L12" s="145"/>
      <c r="M12" s="145"/>
    </row>
    <row r="13" spans="1:24" hidden="1">
      <c r="A13" s="285"/>
      <c r="B13" s="33">
        <v>42217</v>
      </c>
      <c r="C13" s="292" t="s">
        <v>16</v>
      </c>
      <c r="D13" s="293"/>
      <c r="E13" s="146">
        <f t="shared" ref="E13:M13" si="1">+E6/D6-1</f>
        <v>-4.2721695482431765E-2</v>
      </c>
      <c r="F13" s="146">
        <f>+F6/E6-1</f>
        <v>0.10848287112561183</v>
      </c>
      <c r="G13" s="166">
        <f>+G6/F6-1</f>
        <v>-0.36224114369809735</v>
      </c>
      <c r="H13" s="146">
        <f t="shared" si="1"/>
        <v>-0.37613317949563208</v>
      </c>
      <c r="I13" s="146">
        <f t="shared" si="1"/>
        <v>0.17992073976221912</v>
      </c>
      <c r="J13" s="146">
        <f t="shared" si="1"/>
        <v>0.23264666368114639</v>
      </c>
      <c r="K13" s="146" t="e">
        <f t="shared" si="1"/>
        <v>#DIV/0!</v>
      </c>
      <c r="L13" s="146" t="e">
        <f t="shared" si="1"/>
        <v>#DIV/0!</v>
      </c>
      <c r="M13" s="146">
        <f t="shared" si="1"/>
        <v>-0.27058823529411768</v>
      </c>
    </row>
    <row r="14" spans="1:24" hidden="1">
      <c r="A14" s="285"/>
      <c r="B14" s="33">
        <v>42031</v>
      </c>
      <c r="C14" s="290" t="s">
        <v>16</v>
      </c>
      <c r="D14" s="291"/>
      <c r="E14" s="147">
        <f t="shared" ref="E14:K15" si="2">(E7-D7)/D7</f>
        <v>-4.2721695482431814E-2</v>
      </c>
      <c r="F14" s="147">
        <f t="shared" si="2"/>
        <v>0.10848287112561178</v>
      </c>
      <c r="G14" s="147">
        <f t="shared" si="2"/>
        <v>-0.36224114369809729</v>
      </c>
      <c r="H14" s="147">
        <f t="shared" si="2"/>
        <v>-0.37613317949563208</v>
      </c>
      <c r="I14" s="147">
        <f t="shared" si="2"/>
        <v>0.17992073976221915</v>
      </c>
      <c r="J14" s="147">
        <f t="shared" si="2"/>
        <v>0.23264666368114648</v>
      </c>
      <c r="K14" s="147">
        <f t="shared" si="2"/>
        <v>-6.5122615803814732E-2</v>
      </c>
      <c r="L14" s="147"/>
      <c r="M14" s="147"/>
    </row>
    <row r="15" spans="1:24" hidden="1">
      <c r="A15" s="285"/>
      <c r="B15" s="33">
        <v>41974</v>
      </c>
      <c r="C15" s="290" t="s">
        <v>16</v>
      </c>
      <c r="D15" s="291"/>
      <c r="E15" s="147">
        <f t="shared" si="2"/>
        <v>-4.2721695482431814E-2</v>
      </c>
      <c r="F15" s="147">
        <f t="shared" si="2"/>
        <v>0.10859939408063397</v>
      </c>
      <c r="G15" s="147">
        <f t="shared" si="2"/>
        <v>-0.2537313432835821</v>
      </c>
      <c r="H15" s="147">
        <f t="shared" si="2"/>
        <v>-7.0422535211267609E-2</v>
      </c>
      <c r="I15" s="147">
        <f t="shared" si="2"/>
        <v>9.0909090909090912E-2</v>
      </c>
      <c r="J15" s="147">
        <f t="shared" si="2"/>
        <v>5.5555555555555552E-2</v>
      </c>
      <c r="K15" s="147"/>
      <c r="L15" s="147"/>
      <c r="M15" s="147"/>
    </row>
    <row r="16" spans="1:24" hidden="1">
      <c r="A16" s="286"/>
      <c r="B16" s="33">
        <v>41499</v>
      </c>
      <c r="C16" s="292" t="s">
        <v>16</v>
      </c>
      <c r="D16" s="293"/>
      <c r="E16" s="146">
        <f t="shared" ref="E16:J16" si="3">(E10-D10)/D10</f>
        <v>-3.3333333333333333E-2</v>
      </c>
      <c r="F16" s="146">
        <f t="shared" si="3"/>
        <v>8.0459770114942528E-2</v>
      </c>
      <c r="G16" s="146">
        <f t="shared" si="3"/>
        <v>-6.9148936170212769E-2</v>
      </c>
      <c r="H16" s="146">
        <f t="shared" si="3"/>
        <v>-2.8571428571428571E-2</v>
      </c>
      <c r="I16" s="146">
        <f t="shared" si="3"/>
        <v>-1.1764705882352941E-2</v>
      </c>
      <c r="J16" s="146">
        <f t="shared" si="3"/>
        <v>0</v>
      </c>
      <c r="K16" s="146"/>
      <c r="L16" s="146"/>
      <c r="M16" s="146"/>
    </row>
    <row r="17" spans="1:24">
      <c r="A17" s="65"/>
      <c r="B17" s="65"/>
      <c r="C17" s="65"/>
      <c r="D17" s="65"/>
      <c r="E17" s="65"/>
      <c r="F17" s="65"/>
      <c r="G17" s="65"/>
      <c r="H17" s="65"/>
      <c r="I17" s="65"/>
      <c r="J17" s="65"/>
      <c r="K17" s="65"/>
      <c r="L17" s="65"/>
      <c r="M17" s="65"/>
      <c r="N17" s="65"/>
      <c r="O17" s="65"/>
      <c r="P17" s="65"/>
    </row>
    <row r="18" spans="1:24">
      <c r="A18" s="65"/>
      <c r="B18" s="65"/>
      <c r="C18" s="228" t="s">
        <v>4</v>
      </c>
      <c r="D18" s="229"/>
      <c r="E18" s="229"/>
      <c r="F18" s="229"/>
      <c r="G18" s="229"/>
      <c r="H18" s="229"/>
      <c r="I18" s="229"/>
      <c r="J18" s="229"/>
      <c r="K18" s="229"/>
      <c r="L18" s="229">
        <v>359.12099999999998</v>
      </c>
      <c r="M18" s="229">
        <v>257.24799999999999</v>
      </c>
      <c r="N18" s="229">
        <v>236.78899999999999</v>
      </c>
      <c r="O18" s="229">
        <v>261.62700000000001</v>
      </c>
      <c r="P18" s="229">
        <v>294.351</v>
      </c>
      <c r="R18" s="229">
        <v>331.62099999999998</v>
      </c>
      <c r="S18" s="229">
        <v>224.49700000000001</v>
      </c>
      <c r="T18" s="229">
        <v>203.59800000000001</v>
      </c>
    </row>
    <row r="19" spans="1:24">
      <c r="A19" s="281" t="s">
        <v>12</v>
      </c>
      <c r="B19" s="273">
        <v>43983</v>
      </c>
      <c r="C19" s="136" t="s">
        <v>2</v>
      </c>
      <c r="D19" s="148"/>
      <c r="E19" s="148"/>
      <c r="F19" s="148"/>
      <c r="G19" s="148"/>
      <c r="H19" s="148"/>
      <c r="I19" s="148">
        <v>155.96</v>
      </c>
      <c r="J19" s="148"/>
      <c r="K19" s="148"/>
      <c r="L19" s="148">
        <v>357.81</v>
      </c>
      <c r="M19" s="148">
        <v>260</v>
      </c>
      <c r="N19" s="148">
        <v>224.66</v>
      </c>
      <c r="O19" s="148">
        <v>232.27</v>
      </c>
      <c r="P19" s="148">
        <v>243.67</v>
      </c>
      <c r="Q19" s="112"/>
      <c r="R19" s="148"/>
      <c r="S19" s="148"/>
      <c r="T19" s="148"/>
      <c r="V19" s="148"/>
      <c r="W19" s="148"/>
      <c r="X19" s="148"/>
    </row>
    <row r="20" spans="1:24">
      <c r="A20" s="281"/>
      <c r="B20" s="272"/>
      <c r="C20" s="139" t="s">
        <v>0</v>
      </c>
      <c r="D20" s="149"/>
      <c r="E20" s="149"/>
      <c r="F20" s="149"/>
      <c r="G20" s="149"/>
      <c r="H20" s="149"/>
      <c r="I20" s="149"/>
      <c r="J20" s="149"/>
      <c r="K20" s="149"/>
      <c r="L20" s="149">
        <v>354.82</v>
      </c>
      <c r="M20" s="149">
        <v>248.37</v>
      </c>
      <c r="N20" s="149">
        <v>223.54</v>
      </c>
      <c r="O20" s="149">
        <v>240.08</v>
      </c>
      <c r="P20" s="149">
        <v>256.16000000000003</v>
      </c>
      <c r="Q20" s="112"/>
      <c r="R20" s="149"/>
      <c r="S20" s="149"/>
      <c r="T20" s="149"/>
      <c r="V20" s="149">
        <f>+L20</f>
        <v>354.82</v>
      </c>
      <c r="W20" s="149">
        <v>284.42</v>
      </c>
      <c r="X20" s="149"/>
    </row>
    <row r="21" spans="1:24">
      <c r="A21" s="281"/>
      <c r="B21" s="272"/>
      <c r="C21" s="141" t="s">
        <v>3</v>
      </c>
      <c r="D21" s="151"/>
      <c r="E21" s="151"/>
      <c r="F21" s="151"/>
      <c r="G21" s="151"/>
      <c r="H21" s="151"/>
      <c r="I21" s="151">
        <v>155.9</v>
      </c>
      <c r="J21" s="151"/>
      <c r="K21" s="151"/>
      <c r="L21" s="151">
        <v>347.142</v>
      </c>
      <c r="M21" s="151">
        <v>255.33</v>
      </c>
      <c r="N21" s="151">
        <v>222.209</v>
      </c>
      <c r="O21" s="151">
        <v>223.04599999999999</v>
      </c>
      <c r="P21" s="151">
        <v>223.678</v>
      </c>
      <c r="Q21" s="112"/>
      <c r="R21" s="151">
        <v>335</v>
      </c>
      <c r="S21" s="151">
        <v>189.75</v>
      </c>
      <c r="T21" s="151">
        <v>163.185</v>
      </c>
      <c r="V21" s="151">
        <v>360</v>
      </c>
      <c r="W21" s="151">
        <v>286</v>
      </c>
      <c r="X21" s="151">
        <f>+W21*1.15</f>
        <v>328.9</v>
      </c>
    </row>
    <row r="22" spans="1:24">
      <c r="A22" s="281"/>
      <c r="B22" s="272"/>
      <c r="C22" s="143" t="s">
        <v>1</v>
      </c>
      <c r="D22" s="152">
        <v>80.3</v>
      </c>
      <c r="E22" s="152">
        <v>96.4</v>
      </c>
      <c r="F22" s="153">
        <v>113.9</v>
      </c>
      <c r="G22" s="153">
        <v>141.4</v>
      </c>
      <c r="H22" s="153">
        <v>146.69999999999999</v>
      </c>
      <c r="I22" s="153">
        <v>153</v>
      </c>
      <c r="J22" s="206">
        <f>J23</f>
        <v>204.40600000000003</v>
      </c>
      <c r="K22" s="209">
        <v>300</v>
      </c>
      <c r="L22" s="226">
        <f>MROUND(AVERAGE(L18:L21),5)</f>
        <v>355</v>
      </c>
      <c r="M22" s="226">
        <f>MROUND(AVERAGE(M18:M21),5)</f>
        <v>255</v>
      </c>
      <c r="N22" s="226">
        <f t="shared" ref="N22:P22" si="4">MROUND(AVERAGE(N18:N21),5)</f>
        <v>225</v>
      </c>
      <c r="O22" s="226">
        <f t="shared" si="4"/>
        <v>240</v>
      </c>
      <c r="P22" s="226">
        <f t="shared" si="4"/>
        <v>255</v>
      </c>
      <c r="Q22" s="112"/>
      <c r="R22" s="226">
        <v>345</v>
      </c>
      <c r="S22" s="226">
        <f>MROUND(AVERAGE(S19:S21),5)</f>
        <v>190</v>
      </c>
      <c r="T22" s="226">
        <f>MROUND(AVERAGE(T19:T21),5)</f>
        <v>165</v>
      </c>
      <c r="V22" s="226">
        <f>MROUND(AVERAGE(V19:V21),5)</f>
        <v>355</v>
      </c>
      <c r="W22" s="226">
        <f>MROUND(AVERAGE(W19:W21),5)</f>
        <v>285</v>
      </c>
      <c r="X22" s="226">
        <f>MROUND(AVERAGE(X19:X21),5)</f>
        <v>330</v>
      </c>
    </row>
    <row r="23" spans="1:24">
      <c r="A23" s="281"/>
      <c r="B23" s="273">
        <v>43800</v>
      </c>
      <c r="C23" s="133" t="s">
        <v>1</v>
      </c>
      <c r="D23" s="154">
        <f>'Aug18'!D21</f>
        <v>80.3</v>
      </c>
      <c r="E23" s="154">
        <f>'Aug18'!E21</f>
        <v>96.4</v>
      </c>
      <c r="F23" s="154">
        <f>'Aug18'!F21</f>
        <v>113.9</v>
      </c>
      <c r="G23" s="154">
        <f>'Aug18'!G21</f>
        <v>141.4</v>
      </c>
      <c r="H23" s="154">
        <f>'Aug18'!H21</f>
        <v>146.69999999999999</v>
      </c>
      <c r="I23" s="154">
        <f>'Dec18'!I21</f>
        <v>153</v>
      </c>
      <c r="J23" s="154">
        <f>'Dec18'!J21</f>
        <v>204.40600000000003</v>
      </c>
      <c r="K23" s="154">
        <v>300.43599999999998</v>
      </c>
      <c r="L23" s="154">
        <v>350</v>
      </c>
      <c r="M23" s="154">
        <v>360</v>
      </c>
      <c r="N23" s="154">
        <v>365</v>
      </c>
      <c r="O23" s="154">
        <v>375</v>
      </c>
      <c r="P23" s="154">
        <v>385</v>
      </c>
      <c r="R23" s="93" t="s">
        <v>89</v>
      </c>
      <c r="S23" s="112">
        <f>+S22/R22-1</f>
        <v>-0.44927536231884058</v>
      </c>
      <c r="T23" s="112">
        <f>+T22/S22-1</f>
        <v>-0.13157894736842102</v>
      </c>
      <c r="V23" t="s">
        <v>90</v>
      </c>
      <c r="W23" s="112">
        <f>+W22/V22-1</f>
        <v>-0.19718309859154926</v>
      </c>
      <c r="X23" s="112">
        <f>+X22/W22-1</f>
        <v>0.15789473684210531</v>
      </c>
    </row>
    <row r="24" spans="1:24" hidden="1">
      <c r="A24" s="281"/>
      <c r="B24" s="272"/>
      <c r="C24" s="133" t="s">
        <v>1</v>
      </c>
      <c r="D24" s="154">
        <v>80.3</v>
      </c>
      <c r="E24" s="154">
        <v>96.4</v>
      </c>
      <c r="F24" s="154">
        <v>113.4</v>
      </c>
      <c r="G24" s="154">
        <v>122</v>
      </c>
      <c r="H24" s="154">
        <v>127</v>
      </c>
      <c r="I24" s="154">
        <v>131</v>
      </c>
      <c r="J24" s="154">
        <v>133</v>
      </c>
      <c r="K24" s="154">
        <v>135</v>
      </c>
      <c r="L24" s="154"/>
      <c r="M24" s="154"/>
      <c r="N24" s="154"/>
      <c r="O24" s="154"/>
      <c r="P24" s="154"/>
    </row>
    <row r="25" spans="1:24" hidden="1">
      <c r="A25" s="281"/>
      <c r="B25" s="272"/>
      <c r="C25" s="133" t="s">
        <v>1</v>
      </c>
      <c r="D25" s="154">
        <v>80.3</v>
      </c>
      <c r="E25" s="154">
        <v>96.4</v>
      </c>
      <c r="F25" s="154">
        <v>110</v>
      </c>
      <c r="G25" s="154">
        <v>117</v>
      </c>
      <c r="H25" s="154">
        <v>122</v>
      </c>
      <c r="I25" s="154">
        <v>125</v>
      </c>
      <c r="J25" s="154">
        <v>127</v>
      </c>
      <c r="K25" s="154">
        <v>129</v>
      </c>
      <c r="L25" s="154"/>
      <c r="M25" s="154"/>
      <c r="N25" s="154"/>
      <c r="O25" s="154"/>
      <c r="P25" s="154"/>
    </row>
    <row r="26" spans="1:24" hidden="1">
      <c r="A26" s="281"/>
      <c r="B26" s="272"/>
      <c r="C26" s="133" t="s">
        <v>1</v>
      </c>
      <c r="D26" s="154">
        <v>80.069999999999993</v>
      </c>
      <c r="E26" s="154">
        <v>90</v>
      </c>
      <c r="F26" s="154">
        <v>93</v>
      </c>
      <c r="G26" s="154">
        <v>97</v>
      </c>
      <c r="H26" s="154">
        <v>100</v>
      </c>
      <c r="I26" s="154">
        <v>101</v>
      </c>
      <c r="J26" s="154">
        <v>102</v>
      </c>
      <c r="K26" s="154"/>
      <c r="L26" s="154"/>
      <c r="M26" s="154"/>
      <c r="N26" s="154"/>
      <c r="O26" s="154"/>
      <c r="P26" s="154"/>
    </row>
    <row r="27" spans="1:24" hidden="1">
      <c r="A27" s="281"/>
      <c r="B27" s="33">
        <v>41317</v>
      </c>
      <c r="C27" s="133" t="s">
        <v>1</v>
      </c>
      <c r="D27" s="155">
        <v>80.099999999999994</v>
      </c>
      <c r="E27" s="155">
        <v>87</v>
      </c>
      <c r="F27" s="155">
        <v>91.4</v>
      </c>
      <c r="G27" s="155">
        <v>94.1</v>
      </c>
      <c r="H27" s="155">
        <v>96</v>
      </c>
      <c r="I27" s="155">
        <v>97.9</v>
      </c>
      <c r="J27" s="155"/>
      <c r="K27" s="155"/>
      <c r="L27" s="155"/>
      <c r="M27" s="155"/>
      <c r="N27" s="155"/>
      <c r="O27" s="155"/>
      <c r="P27" s="155"/>
    </row>
    <row r="28" spans="1:24" hidden="1">
      <c r="A28" s="281"/>
      <c r="B28" s="33">
        <v>41244</v>
      </c>
      <c r="C28" s="133" t="s">
        <v>1</v>
      </c>
      <c r="D28" s="155">
        <v>79.7</v>
      </c>
      <c r="E28" s="155">
        <v>84.119744824999998</v>
      </c>
      <c r="F28" s="155">
        <v>88.406534618000009</v>
      </c>
      <c r="G28" s="155">
        <v>92.434230656539995</v>
      </c>
      <c r="H28" s="155">
        <v>96.132415269670815</v>
      </c>
      <c r="I28" s="155">
        <v>97.6</v>
      </c>
      <c r="J28" s="155">
        <v>97.6</v>
      </c>
      <c r="K28" s="155"/>
      <c r="L28" s="155"/>
      <c r="M28" s="155"/>
      <c r="N28" s="155"/>
      <c r="O28" s="155"/>
      <c r="P28" s="155"/>
    </row>
    <row r="29" spans="1:24">
      <c r="A29" s="281"/>
      <c r="B29" s="33">
        <f>B19</f>
        <v>43983</v>
      </c>
      <c r="C29" s="292" t="s">
        <v>16</v>
      </c>
      <c r="D29" s="293"/>
      <c r="E29" s="167">
        <f t="shared" ref="E29:K30" si="5">(E22-D22)/D22</f>
        <v>0.20049813200498143</v>
      </c>
      <c r="F29" s="167">
        <f>(F22-E22)/E22</f>
        <v>0.18153526970954356</v>
      </c>
      <c r="G29" s="167">
        <f t="shared" si="5"/>
        <v>0.24143985952589991</v>
      </c>
      <c r="H29" s="167">
        <f t="shared" si="5"/>
        <v>3.7482319660537361E-2</v>
      </c>
      <c r="I29" s="167">
        <f>(I22-H22)/H22</f>
        <v>4.2944785276073698E-2</v>
      </c>
      <c r="J29" s="167">
        <f>(J22-I22)/I22</f>
        <v>0.33598692810457537</v>
      </c>
      <c r="K29" s="167">
        <f t="shared" si="5"/>
        <v>0.46766728960989379</v>
      </c>
      <c r="L29" s="167">
        <f>(L22-K22)/K22</f>
        <v>0.18333333333333332</v>
      </c>
      <c r="M29" s="167">
        <f>(M22-L22)/L22</f>
        <v>-0.28169014084507044</v>
      </c>
      <c r="N29" s="167">
        <f>(N22-M22)/M22</f>
        <v>-0.11764705882352941</v>
      </c>
      <c r="O29" s="167">
        <f>(O22-N22)/N22</f>
        <v>6.6666666666666666E-2</v>
      </c>
      <c r="P29" s="167">
        <f>(P22-O22)/O22</f>
        <v>6.25E-2</v>
      </c>
    </row>
    <row r="30" spans="1:24">
      <c r="A30" s="281"/>
      <c r="B30" s="33">
        <f>B7</f>
        <v>43800</v>
      </c>
      <c r="C30" s="290" t="s">
        <v>16</v>
      </c>
      <c r="D30" s="291"/>
      <c r="E30" s="168">
        <f>(E23-D23)/D23</f>
        <v>0.20049813200498143</v>
      </c>
      <c r="F30" s="168">
        <f t="shared" ref="F30:P31" si="6">(F23-E23)/E23</f>
        <v>0.18153526970954356</v>
      </c>
      <c r="G30" s="168">
        <f>(G23-F23)/F23</f>
        <v>0.24143985952589991</v>
      </c>
      <c r="H30" s="168">
        <f t="shared" si="5"/>
        <v>3.7482319660537361E-2</v>
      </c>
      <c r="I30" s="168">
        <f>(I23-H23)/H23</f>
        <v>4.2944785276073698E-2</v>
      </c>
      <c r="J30" s="168">
        <f t="shared" si="5"/>
        <v>0.33598692810457537</v>
      </c>
      <c r="K30" s="168">
        <v>0.45837206344236431</v>
      </c>
      <c r="L30" s="168">
        <f>+L23/K23-1</f>
        <v>0.16497357174240124</v>
      </c>
      <c r="M30" s="168">
        <f t="shared" ref="M30:P30" si="7">+M23/L23-1</f>
        <v>2.857142857142847E-2</v>
      </c>
      <c r="N30" s="168">
        <f t="shared" si="7"/>
        <v>1.388888888888884E-2</v>
      </c>
      <c r="O30" s="168">
        <f t="shared" si="7"/>
        <v>2.7397260273972712E-2</v>
      </c>
      <c r="P30" s="168">
        <f t="shared" si="7"/>
        <v>2.6666666666666616E-2</v>
      </c>
    </row>
    <row r="31" spans="1:24" hidden="1">
      <c r="A31" s="281"/>
      <c r="B31" s="33">
        <v>41974</v>
      </c>
      <c r="C31" s="290" t="s">
        <v>16</v>
      </c>
      <c r="D31" s="291"/>
      <c r="E31" s="147">
        <f>(E24-D24)/D24</f>
        <v>0.20049813200498143</v>
      </c>
      <c r="F31" s="147">
        <f t="shared" si="6"/>
        <v>0.17634854771784231</v>
      </c>
      <c r="G31" s="147">
        <f t="shared" si="6"/>
        <v>7.5837742504409111E-2</v>
      </c>
      <c r="H31" s="147">
        <f t="shared" si="6"/>
        <v>4.0983606557377046E-2</v>
      </c>
      <c r="I31" s="147">
        <f t="shared" si="6"/>
        <v>3.1496062992125984E-2</v>
      </c>
      <c r="J31" s="147">
        <f t="shared" si="6"/>
        <v>1.5267175572519083E-2</v>
      </c>
      <c r="K31" s="147">
        <f t="shared" si="6"/>
        <v>1.5037593984962405E-2</v>
      </c>
      <c r="L31" s="147">
        <f t="shared" si="6"/>
        <v>-1</v>
      </c>
      <c r="M31" s="147" t="e">
        <f t="shared" si="6"/>
        <v>#DIV/0!</v>
      </c>
      <c r="N31" s="147" t="e">
        <f t="shared" si="6"/>
        <v>#DIV/0!</v>
      </c>
      <c r="O31" s="147" t="e">
        <f t="shared" si="6"/>
        <v>#DIV/0!</v>
      </c>
      <c r="P31" s="147" t="e">
        <f t="shared" si="6"/>
        <v>#DIV/0!</v>
      </c>
    </row>
    <row r="32" spans="1:24" hidden="1">
      <c r="A32" s="281"/>
      <c r="B32" s="33">
        <v>41499</v>
      </c>
      <c r="C32" s="292" t="s">
        <v>16</v>
      </c>
      <c r="D32" s="293"/>
      <c r="E32" s="146">
        <f t="shared" ref="E32:J32" si="8">(E26-D26)/D26</f>
        <v>0.12401648557512186</v>
      </c>
      <c r="F32" s="146">
        <f t="shared" si="8"/>
        <v>3.3333333333333333E-2</v>
      </c>
      <c r="G32" s="146">
        <f t="shared" si="8"/>
        <v>4.3010752688172046E-2</v>
      </c>
      <c r="H32" s="146">
        <f t="shared" si="8"/>
        <v>3.0927835051546393E-2</v>
      </c>
      <c r="I32" s="146">
        <f t="shared" si="8"/>
        <v>0.01</v>
      </c>
      <c r="J32" s="146">
        <f t="shared" si="8"/>
        <v>9.9009900990099011E-3</v>
      </c>
      <c r="K32" s="146"/>
      <c r="L32" s="146"/>
      <c r="M32" s="146"/>
      <c r="N32" s="146"/>
      <c r="O32" s="146"/>
      <c r="P32" s="146"/>
    </row>
    <row r="33" spans="1:24">
      <c r="A33" s="106"/>
      <c r="B33" s="107"/>
      <c r="C33" s="156"/>
      <c r="D33" s="156"/>
      <c r="E33" s="157"/>
      <c r="F33" s="157"/>
      <c r="G33" s="158"/>
      <c r="H33" s="158"/>
      <c r="I33" s="158"/>
      <c r="J33" s="158"/>
      <c r="K33" s="158"/>
      <c r="L33" s="158"/>
      <c r="M33" s="158"/>
      <c r="N33" s="158"/>
      <c r="O33" s="158"/>
      <c r="P33" s="158"/>
    </row>
    <row r="34" spans="1:24">
      <c r="A34" s="298" t="s">
        <v>18</v>
      </c>
      <c r="B34" s="300">
        <v>43983</v>
      </c>
      <c r="C34" s="134" t="s">
        <v>4</v>
      </c>
      <c r="D34" s="135"/>
      <c r="E34" s="135"/>
      <c r="F34" s="135"/>
      <c r="G34" s="135"/>
      <c r="H34" s="135"/>
      <c r="I34" s="135">
        <v>3.24</v>
      </c>
      <c r="J34" s="135"/>
      <c r="K34" s="135"/>
      <c r="L34" s="135">
        <v>2.02</v>
      </c>
      <c r="M34" s="135">
        <v>2.2799999999999998</v>
      </c>
      <c r="N34" s="135">
        <v>2.39</v>
      </c>
      <c r="O34" s="135">
        <v>2.23</v>
      </c>
      <c r="P34" s="135">
        <v>2.27</v>
      </c>
      <c r="R34" s="135"/>
      <c r="S34" s="135"/>
      <c r="T34" s="135"/>
      <c r="V34" s="135"/>
      <c r="W34" s="135"/>
      <c r="X34" s="135"/>
    </row>
    <row r="35" spans="1:24" ht="15" customHeight="1">
      <c r="A35" s="299"/>
      <c r="B35" s="301"/>
      <c r="C35" s="136" t="s">
        <v>2</v>
      </c>
      <c r="D35" s="159"/>
      <c r="E35" s="159"/>
      <c r="F35" s="159"/>
      <c r="G35" s="159"/>
      <c r="H35" s="159"/>
      <c r="I35" s="159">
        <v>3.24</v>
      </c>
      <c r="J35" s="159"/>
      <c r="K35" s="210"/>
      <c r="L35" s="210">
        <v>1.98</v>
      </c>
      <c r="M35" s="210">
        <v>2.2999999999999998</v>
      </c>
      <c r="N35" s="210">
        <v>2.4500000000000002</v>
      </c>
      <c r="O35" s="210">
        <v>2.2200000000000002</v>
      </c>
      <c r="P35" s="210">
        <v>2.29</v>
      </c>
      <c r="R35" s="210"/>
      <c r="S35" s="210"/>
      <c r="T35" s="210"/>
      <c r="V35" s="210"/>
      <c r="W35" s="210"/>
      <c r="X35" s="210"/>
    </row>
    <row r="36" spans="1:24">
      <c r="A36" s="299"/>
      <c r="B36" s="301"/>
      <c r="C36" s="139" t="s">
        <v>0</v>
      </c>
      <c r="D36" s="140"/>
      <c r="E36" s="140"/>
      <c r="F36" s="140"/>
      <c r="G36" s="140"/>
      <c r="H36" s="140"/>
      <c r="I36" s="140">
        <v>3.25</v>
      </c>
      <c r="J36" s="140"/>
      <c r="K36" s="140"/>
      <c r="L36" s="140">
        <v>1.92</v>
      </c>
      <c r="M36" s="140">
        <v>2.08</v>
      </c>
      <c r="N36" s="140">
        <v>2.21</v>
      </c>
      <c r="O36" s="140">
        <v>2.16</v>
      </c>
      <c r="P36" s="140">
        <v>2.23</v>
      </c>
      <c r="R36" s="140"/>
      <c r="S36" s="140"/>
      <c r="T36" s="140"/>
      <c r="V36" s="140"/>
      <c r="W36" s="140"/>
      <c r="X36" s="140"/>
    </row>
    <row r="37" spans="1:24">
      <c r="A37" s="299"/>
      <c r="B37" s="301"/>
      <c r="C37" s="141" t="s">
        <v>3</v>
      </c>
      <c r="D37" s="142"/>
      <c r="E37" s="142"/>
      <c r="F37" s="142"/>
      <c r="G37" s="142"/>
      <c r="H37" s="142"/>
      <c r="I37" s="142">
        <v>3.22</v>
      </c>
      <c r="J37" s="142"/>
      <c r="K37" s="142"/>
      <c r="L37" s="142">
        <v>2.0299999999999998</v>
      </c>
      <c r="M37" s="142">
        <v>2.6</v>
      </c>
      <c r="N37" s="142">
        <v>2.94</v>
      </c>
      <c r="O37" s="142">
        <v>2.57</v>
      </c>
      <c r="P37" s="142">
        <v>2.64</v>
      </c>
      <c r="R37" s="142">
        <v>1.9</v>
      </c>
      <c r="S37" s="142">
        <v>2</v>
      </c>
      <c r="T37" s="142">
        <v>2.15</v>
      </c>
      <c r="V37" s="142">
        <f>+L37</f>
        <v>2.0299999999999998</v>
      </c>
      <c r="W37" s="142">
        <v>2.5</v>
      </c>
      <c r="X37" s="142">
        <v>2.75</v>
      </c>
    </row>
    <row r="38" spans="1:24">
      <c r="A38" s="299"/>
      <c r="B38" s="302"/>
      <c r="C38" s="143" t="s">
        <v>1</v>
      </c>
      <c r="D38" s="144">
        <v>5.01</v>
      </c>
      <c r="E38" s="144">
        <v>4.38</v>
      </c>
      <c r="F38" s="144">
        <v>5.14</v>
      </c>
      <c r="G38" s="144">
        <v>3.78</v>
      </c>
      <c r="H38" s="144">
        <v>2.42</v>
      </c>
      <c r="I38" s="144">
        <f t="shared" ref="I38" si="9">+AVERAGE(I34:I37)</f>
        <v>3.2375000000000003</v>
      </c>
      <c r="J38" s="144" t="e">
        <f t="shared" ref="J38" si="10">AVERAGE(J34:J37)</f>
        <v>#DIV/0!</v>
      </c>
      <c r="K38" s="216" t="e">
        <f>AVERAGE(K34:K37)</f>
        <v>#DIV/0!</v>
      </c>
      <c r="L38" s="216">
        <v>2</v>
      </c>
      <c r="M38" s="216">
        <f>MROUND(AVERAGE(M34:M36),0.05)</f>
        <v>2.2000000000000002</v>
      </c>
      <c r="N38" s="216">
        <f t="shared" ref="N38:P38" si="11">MROUND(AVERAGE(N34:N36),0.05)</f>
        <v>2.35</v>
      </c>
      <c r="O38" s="216">
        <f t="shared" si="11"/>
        <v>2.2000000000000002</v>
      </c>
      <c r="P38" s="216">
        <f t="shared" si="11"/>
        <v>2.25</v>
      </c>
      <c r="R38" s="216">
        <v>1.9</v>
      </c>
      <c r="S38" s="216">
        <v>2</v>
      </c>
      <c r="T38" s="216">
        <v>2.15</v>
      </c>
      <c r="V38" s="216">
        <v>2.0499999999999998</v>
      </c>
      <c r="W38" s="216">
        <f>+W37</f>
        <v>2.5</v>
      </c>
      <c r="X38" s="216">
        <f>+X37</f>
        <v>2.75</v>
      </c>
    </row>
    <row r="39" spans="1:24">
      <c r="A39" s="299"/>
      <c r="B39" s="231">
        <v>43800</v>
      </c>
      <c r="C39" s="133" t="s">
        <v>1</v>
      </c>
      <c r="D39" s="138">
        <f>'Aug18'!D37</f>
        <v>5.01</v>
      </c>
      <c r="E39" s="138">
        <f>'Aug18'!E37</f>
        <v>4.38</v>
      </c>
      <c r="F39" s="138">
        <f>'Aug18'!F37</f>
        <v>5.14</v>
      </c>
      <c r="G39" s="138">
        <f>'Aug18'!G37</f>
        <v>3.78</v>
      </c>
      <c r="H39" s="138">
        <f>'Aug18'!H37</f>
        <v>2.42</v>
      </c>
      <c r="I39" s="138">
        <f>'Dec18'!I37</f>
        <v>3.2375000000000003</v>
      </c>
      <c r="J39" s="138">
        <f>'Dec18'!J37</f>
        <v>3.5142500000000001</v>
      </c>
      <c r="K39" s="138">
        <v>3.08</v>
      </c>
      <c r="L39" s="138">
        <v>2.1</v>
      </c>
      <c r="M39" s="138">
        <v>2.25</v>
      </c>
      <c r="N39" s="138">
        <v>2.5</v>
      </c>
      <c r="O39" s="138">
        <v>2.5</v>
      </c>
      <c r="P39" s="138">
        <v>2.5</v>
      </c>
      <c r="R39" t="s">
        <v>89</v>
      </c>
      <c r="V39" t="s">
        <v>90</v>
      </c>
    </row>
    <row r="40" spans="1:24">
      <c r="A40" s="230"/>
      <c r="B40" s="232">
        <v>43941</v>
      </c>
      <c r="C40" s="233" t="s">
        <v>91</v>
      </c>
      <c r="D40" s="234"/>
      <c r="E40" s="234"/>
      <c r="F40" s="234"/>
      <c r="G40" s="234"/>
      <c r="H40" s="234"/>
      <c r="I40" s="234"/>
      <c r="J40" s="234"/>
      <c r="K40" s="234"/>
      <c r="L40" s="138">
        <f>'Apr 20'!L38</f>
        <v>1.95</v>
      </c>
      <c r="M40" s="138">
        <f>'Apr 20'!M38</f>
        <v>2.1524999999999999</v>
      </c>
      <c r="N40" s="138">
        <f>'Apr 20'!N38</f>
        <v>2.2999999999999998</v>
      </c>
      <c r="O40" s="138"/>
      <c r="P40" s="138"/>
    </row>
    <row r="41" spans="1:24">
      <c r="A41" s="65"/>
      <c r="B41" s="65"/>
      <c r="C41" s="65"/>
      <c r="D41" s="76"/>
      <c r="E41" s="76"/>
      <c r="F41" s="76"/>
      <c r="G41" s="130"/>
      <c r="H41" s="130"/>
      <c r="I41" s="130"/>
      <c r="J41" s="130"/>
      <c r="K41" s="130"/>
      <c r="L41" s="130"/>
      <c r="M41" s="130"/>
    </row>
    <row r="42" spans="1:24">
      <c r="A42" s="287" t="s">
        <v>19</v>
      </c>
      <c r="B42" s="273">
        <v>43983</v>
      </c>
      <c r="C42" s="136" t="s">
        <v>2</v>
      </c>
      <c r="D42" s="160"/>
      <c r="E42" s="161"/>
      <c r="F42" s="161"/>
      <c r="G42" s="161"/>
      <c r="H42" s="161"/>
      <c r="I42" s="161">
        <v>1235.7</v>
      </c>
      <c r="J42" s="161"/>
      <c r="K42" s="161"/>
      <c r="L42" s="161">
        <v>1769.33</v>
      </c>
      <c r="M42" s="161">
        <v>1498.03</v>
      </c>
      <c r="N42" s="161">
        <v>1371.8</v>
      </c>
      <c r="O42" s="161">
        <v>1369.07</v>
      </c>
      <c r="P42" s="161">
        <v>1381.11</v>
      </c>
      <c r="R42" s="161"/>
      <c r="S42" s="161"/>
      <c r="T42" s="161"/>
      <c r="V42" s="161"/>
      <c r="W42" s="161"/>
      <c r="X42" s="161"/>
    </row>
    <row r="43" spans="1:24">
      <c r="A43" s="288"/>
      <c r="B43" s="272"/>
      <c r="C43" s="139" t="s">
        <v>0</v>
      </c>
      <c r="D43" s="162"/>
      <c r="E43" s="162"/>
      <c r="F43" s="162"/>
      <c r="G43" s="162"/>
      <c r="H43" s="162"/>
      <c r="I43" s="162"/>
      <c r="J43" s="162"/>
      <c r="K43" s="215"/>
      <c r="L43" s="215">
        <v>1761.58</v>
      </c>
      <c r="M43" s="215">
        <v>1497.34</v>
      </c>
      <c r="N43" s="215">
        <v>1422.47</v>
      </c>
      <c r="O43" s="215">
        <v>1475</v>
      </c>
      <c r="P43" s="215">
        <v>1524.52</v>
      </c>
      <c r="R43" s="215"/>
      <c r="S43" s="215"/>
      <c r="T43" s="215"/>
      <c r="V43" s="215"/>
      <c r="W43" s="215"/>
      <c r="X43" s="215"/>
    </row>
    <row r="44" spans="1:24">
      <c r="A44" s="288"/>
      <c r="B44" s="272"/>
      <c r="C44" s="141" t="s">
        <v>3</v>
      </c>
      <c r="D44" s="163"/>
      <c r="E44" s="163"/>
      <c r="F44" s="163"/>
      <c r="G44" s="163"/>
      <c r="H44" s="163"/>
      <c r="I44" s="163">
        <v>1235.5999999999999</v>
      </c>
      <c r="J44" s="163"/>
      <c r="K44" s="163"/>
      <c r="L44" s="163">
        <v>1730</v>
      </c>
      <c r="M44" s="163">
        <v>1549.8</v>
      </c>
      <c r="N44" s="163">
        <v>1455.8</v>
      </c>
      <c r="O44" s="163">
        <v>1432.5</v>
      </c>
      <c r="P44" s="163">
        <v>1388.9</v>
      </c>
      <c r="R44" s="163"/>
      <c r="S44" s="163"/>
      <c r="T44" s="163"/>
      <c r="V44" s="163"/>
      <c r="W44" s="163"/>
      <c r="X44" s="163"/>
    </row>
    <row r="45" spans="1:24">
      <c r="A45" s="288"/>
      <c r="B45" s="272"/>
      <c r="C45" s="143" t="s">
        <v>1</v>
      </c>
      <c r="D45" s="152">
        <v>1227</v>
      </c>
      <c r="E45" s="152">
        <v>1177.5</v>
      </c>
      <c r="F45" s="153">
        <v>1184.7</v>
      </c>
      <c r="G45" s="153">
        <v>1184.8</v>
      </c>
      <c r="H45" s="153">
        <v>1175</v>
      </c>
      <c r="I45" s="153">
        <f>(+AVERAGE(I42:I44))</f>
        <v>1235.6500000000001</v>
      </c>
      <c r="J45" s="206">
        <v>1361</v>
      </c>
      <c r="K45" s="214">
        <v>1562</v>
      </c>
      <c r="L45" s="226">
        <f>MROUND(AVERAGE(L41:L44),5)</f>
        <v>1755</v>
      </c>
      <c r="M45" s="226">
        <f>MROUND(AVERAGE(M41:M44),5)</f>
        <v>1515</v>
      </c>
      <c r="N45" s="226">
        <f t="shared" ref="N45" si="12">MROUND(AVERAGE(N41:N44),5)</f>
        <v>1415</v>
      </c>
      <c r="O45" s="226">
        <f t="shared" ref="O45" si="13">MROUND(AVERAGE(O41:O44),5)</f>
        <v>1425</v>
      </c>
      <c r="P45" s="226">
        <f t="shared" ref="P45" si="14">MROUND(AVERAGE(P41:P44),5)</f>
        <v>1430</v>
      </c>
      <c r="R45" s="226">
        <v>1740</v>
      </c>
      <c r="S45" s="226">
        <f>MROUND(R45*(1+S46),5)</f>
        <v>1350</v>
      </c>
      <c r="T45" s="226">
        <f>MROUND(S45*(1+T46),5)</f>
        <v>1260</v>
      </c>
      <c r="V45" s="226">
        <v>1770</v>
      </c>
      <c r="W45" s="226">
        <f>MROUND(V45*(1+W46),5)</f>
        <v>1595</v>
      </c>
      <c r="X45" s="226">
        <f>MROUND(W45*(1+X46),5)</f>
        <v>1720</v>
      </c>
    </row>
    <row r="46" spans="1:24">
      <c r="A46" s="288"/>
      <c r="B46" s="273">
        <v>43800</v>
      </c>
      <c r="C46" s="133" t="s">
        <v>1</v>
      </c>
      <c r="D46" s="160">
        <f>'Aug18'!D52</f>
        <v>1227</v>
      </c>
      <c r="E46" s="160">
        <f>'Aug18'!E52</f>
        <v>1177.5</v>
      </c>
      <c r="F46" s="160">
        <f>'Aug18'!F52</f>
        <v>1184.7</v>
      </c>
      <c r="G46" s="160">
        <f>'Aug18'!G52</f>
        <v>1184.8</v>
      </c>
      <c r="H46" s="160">
        <f>'Aug18'!H52</f>
        <v>1175</v>
      </c>
      <c r="I46" s="160">
        <f>'Dec18'!I52</f>
        <v>1235.6500000000001</v>
      </c>
      <c r="J46" s="160">
        <f>'Dec18'!J52</f>
        <v>1361</v>
      </c>
      <c r="K46" s="160">
        <v>1562.1499999999999</v>
      </c>
      <c r="L46" s="160">
        <v>1610</v>
      </c>
      <c r="M46" s="160">
        <v>1625.4313099041533</v>
      </c>
      <c r="N46" s="160">
        <v>1650</v>
      </c>
      <c r="O46" s="160">
        <v>1665.4205607476633</v>
      </c>
      <c r="P46" s="160">
        <v>1675</v>
      </c>
      <c r="R46" t="s">
        <v>89</v>
      </c>
      <c r="S46" s="112">
        <f>+S23/2</f>
        <v>-0.22463768115942029</v>
      </c>
      <c r="T46" s="112">
        <f>+T23/2</f>
        <v>-6.5789473684210509E-2</v>
      </c>
      <c r="V46" t="s">
        <v>90</v>
      </c>
      <c r="W46" s="112">
        <f>+W23/2</f>
        <v>-9.8591549295774628E-2</v>
      </c>
      <c r="X46" s="112">
        <f>+X23/2</f>
        <v>7.8947368421052655E-2</v>
      </c>
    </row>
    <row r="47" spans="1:24" ht="14.65" hidden="1" customHeight="1">
      <c r="A47" s="288"/>
      <c r="B47" s="272"/>
      <c r="C47" s="133" t="s">
        <v>1</v>
      </c>
      <c r="D47" s="160">
        <v>1227</v>
      </c>
      <c r="E47" s="160">
        <v>1177.5</v>
      </c>
      <c r="F47" s="160">
        <v>1187.3</v>
      </c>
      <c r="G47" s="160">
        <v>1181</v>
      </c>
      <c r="H47" s="160">
        <v>1150</v>
      </c>
      <c r="I47" s="160">
        <v>1118</v>
      </c>
      <c r="J47" s="160">
        <v>1088</v>
      </c>
      <c r="K47" s="160">
        <v>1052</v>
      </c>
      <c r="L47" s="160"/>
      <c r="M47" s="160"/>
      <c r="N47" s="160"/>
      <c r="O47" s="160"/>
      <c r="P47" s="160"/>
    </row>
    <row r="48" spans="1:24" ht="14.65" hidden="1" customHeight="1">
      <c r="A48" s="288"/>
      <c r="B48" s="272"/>
      <c r="C48" s="133" t="s">
        <v>1</v>
      </c>
      <c r="D48" s="160">
        <v>1227</v>
      </c>
      <c r="E48" s="160">
        <v>1177.5</v>
      </c>
      <c r="F48" s="160">
        <v>1170</v>
      </c>
      <c r="G48" s="160">
        <v>1158.3</v>
      </c>
      <c r="H48" s="160">
        <v>1123.5509999999999</v>
      </c>
      <c r="I48" s="160">
        <v>1089.84447</v>
      </c>
      <c r="J48" s="160">
        <v>1057.1491358999999</v>
      </c>
      <c r="K48" s="160">
        <v>1025.4346618229999</v>
      </c>
      <c r="L48" s="160"/>
      <c r="M48" s="160"/>
      <c r="N48" s="160"/>
      <c r="O48" s="160"/>
      <c r="P48" s="160"/>
    </row>
    <row r="49" spans="1:16" ht="14.65" hidden="1" customHeight="1">
      <c r="A49" s="288"/>
      <c r="B49" s="272"/>
      <c r="C49" s="133" t="s">
        <v>1</v>
      </c>
      <c r="D49" s="160">
        <v>1225.8499999999999</v>
      </c>
      <c r="E49" s="160">
        <v>1165</v>
      </c>
      <c r="F49" s="160">
        <v>1110</v>
      </c>
      <c r="G49" s="160">
        <v>1070</v>
      </c>
      <c r="H49" s="160">
        <v>1030</v>
      </c>
      <c r="I49" s="160">
        <v>1000</v>
      </c>
      <c r="J49" s="160">
        <v>960</v>
      </c>
      <c r="K49" s="165"/>
      <c r="L49" s="165"/>
      <c r="M49" s="165"/>
      <c r="N49" s="165"/>
      <c r="O49" s="165"/>
      <c r="P49" s="165"/>
    </row>
    <row r="50" spans="1:16" hidden="1">
      <c r="A50" s="288"/>
      <c r="B50" s="33">
        <v>41317</v>
      </c>
      <c r="C50" s="133" t="s">
        <v>1</v>
      </c>
      <c r="D50" s="165">
        <v>1226</v>
      </c>
      <c r="E50" s="165">
        <v>1185</v>
      </c>
      <c r="F50" s="165">
        <v>1151</v>
      </c>
      <c r="G50" s="165">
        <v>1121</v>
      </c>
      <c r="H50" s="165">
        <v>1090.1407234210708</v>
      </c>
      <c r="I50" s="165">
        <v>1048</v>
      </c>
      <c r="J50" s="165"/>
      <c r="K50" s="165"/>
      <c r="L50" s="165"/>
      <c r="M50" s="165"/>
      <c r="N50" s="165"/>
      <c r="O50" s="165"/>
      <c r="P50" s="165"/>
    </row>
    <row r="51" spans="1:16" hidden="1">
      <c r="A51" s="288"/>
      <c r="B51" s="33">
        <v>41244</v>
      </c>
      <c r="C51" s="133" t="s">
        <v>1</v>
      </c>
      <c r="D51" s="165">
        <v>1228.5423506666664</v>
      </c>
      <c r="E51" s="165">
        <v>1184.5870287874238</v>
      </c>
      <c r="F51" s="165">
        <v>1151.3778293463738</v>
      </c>
      <c r="G51" s="165">
        <v>1121.0332793283103</v>
      </c>
      <c r="H51" s="165">
        <v>1090.1407234210708</v>
      </c>
      <c r="I51" s="165">
        <v>1048</v>
      </c>
      <c r="J51" s="165">
        <v>1048</v>
      </c>
      <c r="K51" s="165"/>
      <c r="L51" s="165"/>
      <c r="M51" s="165"/>
      <c r="N51" s="165"/>
      <c r="O51" s="165"/>
      <c r="P51" s="165"/>
    </row>
    <row r="52" spans="1:16">
      <c r="A52" s="288"/>
      <c r="B52" s="33">
        <f>B42</f>
        <v>43983</v>
      </c>
      <c r="C52" s="292" t="s">
        <v>16</v>
      </c>
      <c r="D52" s="293"/>
      <c r="E52" s="167">
        <f t="shared" ref="E52:M54" si="15">(E45-D45)/D45</f>
        <v>-4.0342298288508556E-2</v>
      </c>
      <c r="F52" s="167">
        <f t="shared" si="15"/>
        <v>6.1146496815287013E-3</v>
      </c>
      <c r="G52" s="167">
        <f>(G45-F45)/F45</f>
        <v>8.4409555161567526E-5</v>
      </c>
      <c r="H52" s="167">
        <f t="shared" si="15"/>
        <v>-8.2714382174206239E-3</v>
      </c>
      <c r="I52" s="167">
        <f t="shared" si="15"/>
        <v>5.1617021276595822E-2</v>
      </c>
      <c r="J52" s="167">
        <f t="shared" si="15"/>
        <v>0.10144458382227969</v>
      </c>
      <c r="K52" s="167">
        <f t="shared" si="15"/>
        <v>0.14768552534900808</v>
      </c>
      <c r="L52" s="167">
        <f>+L29/2</f>
        <v>9.166666666666666E-2</v>
      </c>
      <c r="M52" s="167">
        <f>+M29/2</f>
        <v>-0.14084507042253522</v>
      </c>
      <c r="N52" s="167">
        <f>+N29/2</f>
        <v>-5.8823529411764705E-2</v>
      </c>
      <c r="O52" s="167">
        <f>+O29/2</f>
        <v>3.3333333333333333E-2</v>
      </c>
      <c r="P52" s="167">
        <f>+P29/2</f>
        <v>3.125E-2</v>
      </c>
    </row>
    <row r="53" spans="1:16">
      <c r="A53" s="288"/>
      <c r="B53" s="33">
        <f>B39</f>
        <v>43800</v>
      </c>
      <c r="C53" s="290" t="s">
        <v>16</v>
      </c>
      <c r="D53" s="291"/>
      <c r="E53" s="168">
        <f>(E46-D46)/D46</f>
        <v>-4.0342298288508556E-2</v>
      </c>
      <c r="F53" s="168">
        <f t="shared" si="15"/>
        <v>6.1146496815287013E-3</v>
      </c>
      <c r="G53" s="168">
        <f>(G46-F46)/F46</f>
        <v>8.4409555161567526E-5</v>
      </c>
      <c r="H53" s="168">
        <f t="shared" si="15"/>
        <v>-8.2714382174206239E-3</v>
      </c>
      <c r="I53" s="168">
        <f t="shared" si="15"/>
        <v>5.1617021276595822E-2</v>
      </c>
      <c r="J53" s="168">
        <f t="shared" si="15"/>
        <v>0.10144458382227969</v>
      </c>
      <c r="K53" s="168">
        <v>0.15723732549595884</v>
      </c>
      <c r="L53" s="168">
        <f>+L46/K46-1</f>
        <v>3.0630861312934243E-2</v>
      </c>
      <c r="M53" s="168">
        <f t="shared" ref="M53:P53" si="16">+M46/L46-1</f>
        <v>9.5846645367412275E-3</v>
      </c>
      <c r="N53" s="168">
        <f t="shared" si="16"/>
        <v>1.5115182011164352E-2</v>
      </c>
      <c r="O53" s="168">
        <f t="shared" si="16"/>
        <v>9.3457943925232545E-3</v>
      </c>
      <c r="P53" s="168">
        <f t="shared" si="16"/>
        <v>5.7519640852976561E-3</v>
      </c>
    </row>
    <row r="54" spans="1:16" hidden="1">
      <c r="A54" s="288"/>
      <c r="B54" s="33">
        <v>41974</v>
      </c>
      <c r="C54" s="290" t="s">
        <v>16</v>
      </c>
      <c r="D54" s="291"/>
      <c r="E54" s="147">
        <f>(E47-D47)/D47</f>
        <v>-4.0342298288508556E-2</v>
      </c>
      <c r="F54" s="147">
        <f t="shared" si="15"/>
        <v>8.3227176220806408E-3</v>
      </c>
      <c r="G54" s="147">
        <f t="shared" si="15"/>
        <v>-5.3061568264128316E-3</v>
      </c>
      <c r="H54" s="147">
        <f t="shared" si="15"/>
        <v>-2.6248941574936496E-2</v>
      </c>
      <c r="I54" s="147">
        <f t="shared" si="15"/>
        <v>-2.782608695652174E-2</v>
      </c>
      <c r="J54" s="147">
        <f t="shared" si="15"/>
        <v>-2.6833631484794274E-2</v>
      </c>
      <c r="K54" s="147">
        <f t="shared" si="15"/>
        <v>-3.3088235294117647E-2</v>
      </c>
      <c r="L54" s="147">
        <f t="shared" si="15"/>
        <v>-1</v>
      </c>
      <c r="M54" s="147" t="e">
        <f t="shared" si="15"/>
        <v>#DIV/0!</v>
      </c>
    </row>
    <row r="55" spans="1:16" hidden="1">
      <c r="A55" s="289"/>
      <c r="B55" s="33">
        <v>41499</v>
      </c>
      <c r="C55" s="292" t="s">
        <v>16</v>
      </c>
      <c r="D55" s="293"/>
      <c r="E55" s="146">
        <f t="shared" ref="E55:J55" si="17">(E49-D49)/D49</f>
        <v>-4.9639025981971625E-2</v>
      </c>
      <c r="F55" s="146">
        <f t="shared" si="17"/>
        <v>-4.7210300429184553E-2</v>
      </c>
      <c r="G55" s="146">
        <f t="shared" si="17"/>
        <v>-3.6036036036036036E-2</v>
      </c>
      <c r="H55" s="146">
        <f t="shared" si="17"/>
        <v>-3.7383177570093455E-2</v>
      </c>
      <c r="I55" s="146">
        <f t="shared" si="17"/>
        <v>-2.9126213592233011E-2</v>
      </c>
      <c r="J55" s="146">
        <f t="shared" si="17"/>
        <v>-0.04</v>
      </c>
      <c r="K55" s="146"/>
      <c r="L55" s="146"/>
      <c r="M55" s="146"/>
    </row>
    <row r="56" spans="1:16">
      <c r="A56" s="108"/>
      <c r="B56" s="13"/>
      <c r="F56" s="112"/>
      <c r="G56" s="112"/>
      <c r="H56" s="112"/>
      <c r="I56" s="112"/>
      <c r="J56" s="112"/>
      <c r="K56" s="112"/>
      <c r="L56" s="217"/>
      <c r="M56" s="112"/>
    </row>
    <row r="57" spans="1:16">
      <c r="A57" s="9"/>
      <c r="B57" s="13"/>
      <c r="E57" s="94"/>
      <c r="F57" s="94"/>
      <c r="G57" s="112"/>
      <c r="H57" s="112"/>
      <c r="I57" s="112"/>
      <c r="J57" s="112"/>
      <c r="K57" s="112"/>
      <c r="L57" s="112"/>
      <c r="M57" s="112"/>
      <c r="N57" s="112"/>
      <c r="O57" s="112"/>
      <c r="P57" s="112"/>
    </row>
    <row r="58" spans="1:16">
      <c r="A58" s="9"/>
      <c r="B58" s="13"/>
      <c r="E58" s="94"/>
      <c r="F58" s="94"/>
      <c r="G58" s="94"/>
      <c r="H58" s="112"/>
      <c r="I58" s="112"/>
      <c r="J58" s="112"/>
      <c r="K58" s="112"/>
      <c r="L58" s="112"/>
      <c r="M58" s="112">
        <f t="shared" ref="M58:P59" si="18">M43/L43-1</f>
        <v>-0.15000170301661009</v>
      </c>
      <c r="N58" s="112">
        <f t="shared" si="18"/>
        <v>-5.0002003552967245E-2</v>
      </c>
      <c r="O58" s="112">
        <f t="shared" si="18"/>
        <v>3.6928722574113948E-2</v>
      </c>
      <c r="P58" s="112">
        <f t="shared" si="18"/>
        <v>3.3572881355932171E-2</v>
      </c>
    </row>
    <row r="59" spans="1:16">
      <c r="A59" s="9"/>
      <c r="B59" s="13"/>
      <c r="L59" s="112"/>
      <c r="M59" s="112">
        <f t="shared" si="18"/>
        <v>-0.10416184971098263</v>
      </c>
      <c r="N59" s="112">
        <f t="shared" si="18"/>
        <v>-6.0652987482255782E-2</v>
      </c>
      <c r="O59" s="112">
        <f t="shared" si="18"/>
        <v>-1.600494573430411E-2</v>
      </c>
      <c r="P59" s="112">
        <f t="shared" si="18"/>
        <v>-3.0436300174520037E-2</v>
      </c>
    </row>
    <row r="60" spans="1:16">
      <c r="A60" s="9"/>
      <c r="B60" s="13"/>
      <c r="L60" s="213"/>
      <c r="M60" s="213">
        <f t="shared" ref="M60:P60" si="19">AVERAGE(M57:M59)</f>
        <v>-0.12708177636379636</v>
      </c>
      <c r="N60" s="213">
        <f t="shared" si="19"/>
        <v>-5.5327495517611514E-2</v>
      </c>
      <c r="O60" s="213">
        <f t="shared" si="19"/>
        <v>1.0461888419904919E-2</v>
      </c>
      <c r="P60" s="213">
        <f t="shared" si="19"/>
        <v>1.5682905907060674E-3</v>
      </c>
    </row>
    <row r="61" spans="1:16">
      <c r="A61" s="9"/>
      <c r="B61" s="13"/>
    </row>
    <row r="62" spans="1:16">
      <c r="A62" s="9"/>
      <c r="B62" s="13"/>
    </row>
    <row r="63" spans="1:16">
      <c r="A63" s="9"/>
      <c r="B63" s="13"/>
    </row>
    <row r="64" spans="1:16">
      <c r="A64" s="9"/>
      <c r="B64" s="13"/>
    </row>
    <row r="65" spans="1:2">
      <c r="A65" s="9"/>
      <c r="B65" s="13"/>
    </row>
    <row r="66" spans="1:2">
      <c r="A66" s="9"/>
      <c r="B66" s="13"/>
    </row>
  </sheetData>
  <mergeCells count="23">
    <mergeCell ref="A42:A55"/>
    <mergeCell ref="B42:B45"/>
    <mergeCell ref="B46:B49"/>
    <mergeCell ref="C52:D52"/>
    <mergeCell ref="C53:D53"/>
    <mergeCell ref="C54:D54"/>
    <mergeCell ref="C55:D55"/>
    <mergeCell ref="C13:D13"/>
    <mergeCell ref="C14:D14"/>
    <mergeCell ref="C15:D15"/>
    <mergeCell ref="C16:D16"/>
    <mergeCell ref="A34:A39"/>
    <mergeCell ref="B34:B38"/>
    <mergeCell ref="A2:A16"/>
    <mergeCell ref="B2:B6"/>
    <mergeCell ref="B7:B11"/>
    <mergeCell ref="A19:A32"/>
    <mergeCell ref="B19:B22"/>
    <mergeCell ref="B23:B26"/>
    <mergeCell ref="C29:D29"/>
    <mergeCell ref="C30:D30"/>
    <mergeCell ref="C31:D31"/>
    <mergeCell ref="C32:D32"/>
  </mergeCells>
  <pageMargins left="0.5" right="0.17" top="0.63" bottom="0.75" header="0.3" footer="0.3"/>
  <pageSetup orientation="landscape"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pageSetUpPr fitToPage="1"/>
  </sheetPr>
  <dimension ref="A1:Z69"/>
  <sheetViews>
    <sheetView zoomScale="145" zoomScaleNormal="145" workbookViewId="0">
      <pane xSplit="3" ySplit="1" topLeftCell="L23" activePane="bottomRight" state="frozen"/>
      <selection activeCell="I6" sqref="I6"/>
      <selection pane="topRight" activeCell="I6" sqref="I6"/>
      <selection pane="bottomLeft" activeCell="I6" sqref="I6"/>
      <selection pane="bottomRight" activeCell="I6" sqref="I6"/>
    </sheetView>
  </sheetViews>
  <sheetFormatPr defaultColWidth="9.28515625" defaultRowHeight="15"/>
  <cols>
    <col min="1" max="1" width="9.42578125" customWidth="1"/>
    <col min="2" max="2" width="7.5703125" bestFit="1" customWidth="1"/>
    <col min="3" max="3" width="13" customWidth="1"/>
    <col min="4" max="4" width="7.7109375" hidden="1" customWidth="1"/>
    <col min="5" max="5" width="8.28515625" hidden="1" customWidth="1"/>
    <col min="6" max="6" width="9.28515625" hidden="1" customWidth="1"/>
    <col min="7" max="7" width="13.42578125" hidden="1" customWidth="1"/>
    <col min="8" max="9" width="9.28515625" hidden="1" customWidth="1"/>
    <col min="10" max="10" width="7.7109375" hidden="1" customWidth="1"/>
    <col min="11" max="11" width="8.28515625" hidden="1" customWidth="1"/>
    <col min="12" max="12" width="9.28515625" bestFit="1" customWidth="1"/>
    <col min="13" max="13" width="9.42578125" bestFit="1" customWidth="1"/>
    <col min="14" max="14" width="10.7109375" bestFit="1" customWidth="1"/>
    <col min="15" max="15" width="10" customWidth="1"/>
    <col min="16" max="17" width="9.28515625" customWidth="1"/>
    <col min="18" max="18" width="14.5703125" bestFit="1" customWidth="1"/>
    <col min="19" max="21" width="9.28515625" customWidth="1"/>
    <col min="22" max="22" width="2.28515625" customWidth="1"/>
    <col min="23" max="25" width="9.28515625" customWidth="1"/>
  </cols>
  <sheetData>
    <row r="1" spans="1:25" ht="34.5" customHeight="1">
      <c r="A1" s="8"/>
      <c r="B1" s="11"/>
      <c r="C1" s="133"/>
      <c r="D1" s="132" t="s">
        <v>17</v>
      </c>
      <c r="E1" s="132" t="s">
        <v>25</v>
      </c>
      <c r="F1" s="132" t="s">
        <v>73</v>
      </c>
      <c r="G1" s="132" t="s">
        <v>74</v>
      </c>
      <c r="H1" s="132" t="s">
        <v>75</v>
      </c>
      <c r="I1" s="132" t="s">
        <v>77</v>
      </c>
      <c r="J1" s="132" t="s">
        <v>81</v>
      </c>
      <c r="K1" s="132" t="s">
        <v>24</v>
      </c>
      <c r="L1" s="132" t="s">
        <v>27</v>
      </c>
      <c r="M1" s="132" t="s">
        <v>57</v>
      </c>
      <c r="N1" s="132" t="s">
        <v>76</v>
      </c>
      <c r="O1" s="132" t="s">
        <v>80</v>
      </c>
      <c r="P1" s="132" t="s">
        <v>82</v>
      </c>
      <c r="Q1" s="132" t="s">
        <v>92</v>
      </c>
      <c r="S1" s="132" t="s">
        <v>57</v>
      </c>
      <c r="T1" s="132" t="s">
        <v>76</v>
      </c>
      <c r="U1" s="187" t="s">
        <v>80</v>
      </c>
      <c r="W1" s="132" t="s">
        <v>57</v>
      </c>
      <c r="X1" s="132" t="s">
        <v>76</v>
      </c>
      <c r="Y1" s="187" t="s">
        <v>80</v>
      </c>
    </row>
    <row r="2" spans="1:25">
      <c r="A2" s="284" t="s">
        <v>10</v>
      </c>
      <c r="B2" s="300">
        <v>44044</v>
      </c>
      <c r="C2" s="134" t="s">
        <v>4</v>
      </c>
      <c r="D2" s="135"/>
      <c r="E2" s="135"/>
      <c r="F2" s="135"/>
      <c r="G2" s="135"/>
      <c r="H2" s="135"/>
      <c r="I2" s="135">
        <v>44.74</v>
      </c>
      <c r="J2" s="135"/>
      <c r="K2" s="135"/>
      <c r="L2" s="135">
        <v>44.01</v>
      </c>
      <c r="M2" s="135">
        <v>37.47</v>
      </c>
      <c r="N2" s="135">
        <v>43.15</v>
      </c>
      <c r="O2" s="135">
        <v>45.97</v>
      </c>
      <c r="P2" s="135">
        <v>46.99</v>
      </c>
      <c r="Q2" s="135">
        <v>48.4</v>
      </c>
      <c r="S2" s="135"/>
      <c r="T2" s="135"/>
      <c r="U2" s="135"/>
      <c r="W2" s="135"/>
      <c r="X2" s="135"/>
      <c r="Y2" s="135"/>
    </row>
    <row r="3" spans="1:25">
      <c r="A3" s="285"/>
      <c r="B3" s="301"/>
      <c r="C3" s="136" t="s">
        <v>2</v>
      </c>
      <c r="D3" s="137"/>
      <c r="E3" s="138"/>
      <c r="F3" s="138"/>
      <c r="G3" s="138"/>
      <c r="H3" s="138"/>
      <c r="I3" s="138">
        <v>44.76</v>
      </c>
      <c r="J3" s="138"/>
      <c r="K3" s="138"/>
      <c r="L3" s="138">
        <v>44.01</v>
      </c>
      <c r="M3" s="138">
        <v>38.770000000000003</v>
      </c>
      <c r="N3" s="138">
        <v>43.56</v>
      </c>
      <c r="O3" s="138">
        <v>46.19</v>
      </c>
      <c r="P3" s="138">
        <v>47.32</v>
      </c>
      <c r="Q3" s="138">
        <v>48.73</v>
      </c>
      <c r="S3" s="138"/>
      <c r="T3" s="138"/>
      <c r="U3" s="138"/>
      <c r="W3" s="138"/>
      <c r="X3" s="138"/>
      <c r="Y3" s="138"/>
    </row>
    <row r="4" spans="1:25">
      <c r="A4" s="285"/>
      <c r="B4" s="301"/>
      <c r="C4" s="139" t="s">
        <v>0</v>
      </c>
      <c r="D4" s="140"/>
      <c r="E4" s="140"/>
      <c r="F4" s="140"/>
      <c r="G4" s="140"/>
      <c r="H4" s="140"/>
      <c r="I4" s="140">
        <v>44.75</v>
      </c>
      <c r="J4" s="140"/>
      <c r="K4" s="140"/>
      <c r="L4" s="140">
        <v>43.75</v>
      </c>
      <c r="M4" s="140">
        <v>38.72</v>
      </c>
      <c r="N4" s="140">
        <v>43.72</v>
      </c>
      <c r="O4" s="140">
        <v>45.53</v>
      </c>
      <c r="P4" s="140">
        <v>47.62</v>
      </c>
      <c r="Q4" s="140">
        <v>49.79</v>
      </c>
      <c r="S4" s="140"/>
      <c r="T4" s="140"/>
      <c r="U4" s="140"/>
      <c r="W4" s="140"/>
      <c r="X4" s="140"/>
      <c r="Y4" s="140"/>
    </row>
    <row r="5" spans="1:25">
      <c r="A5" s="285"/>
      <c r="B5" s="301"/>
      <c r="C5" s="141" t="s">
        <v>3</v>
      </c>
      <c r="D5" s="142"/>
      <c r="E5" s="142"/>
      <c r="F5" s="142"/>
      <c r="G5" s="142"/>
      <c r="H5" s="142"/>
      <c r="I5" s="142">
        <v>44.39</v>
      </c>
      <c r="J5" s="142"/>
      <c r="K5" s="142"/>
      <c r="L5" s="142">
        <v>44.15</v>
      </c>
      <c r="M5" s="142">
        <v>37.909999999999997</v>
      </c>
      <c r="N5" s="142">
        <v>43.04</v>
      </c>
      <c r="O5" s="142">
        <v>46.04</v>
      </c>
      <c r="P5" s="142">
        <v>47.19</v>
      </c>
      <c r="Q5" s="142">
        <v>48.64</v>
      </c>
      <c r="S5" s="142"/>
      <c r="T5" s="142"/>
      <c r="U5" s="142"/>
      <c r="W5" s="142"/>
      <c r="X5" s="142"/>
      <c r="Y5" s="142"/>
    </row>
    <row r="6" spans="1:25">
      <c r="A6" s="285"/>
      <c r="B6" s="302"/>
      <c r="C6" s="143" t="s">
        <v>1</v>
      </c>
      <c r="D6" s="144">
        <v>89.65</v>
      </c>
      <c r="E6" s="144">
        <v>85.82</v>
      </c>
      <c r="F6" s="144">
        <v>95.13</v>
      </c>
      <c r="G6" s="144">
        <v>60.67</v>
      </c>
      <c r="H6" s="144">
        <v>37.85</v>
      </c>
      <c r="I6" s="144">
        <f t="shared" ref="I6" si="0">+AVERAGE(I2:I5)</f>
        <v>44.66</v>
      </c>
      <c r="J6" s="144">
        <v>55.05</v>
      </c>
      <c r="K6" s="216" t="e">
        <f>AVERAGE(K2:K5)</f>
        <v>#DIV/0!</v>
      </c>
      <c r="L6" s="216">
        <v>44.01</v>
      </c>
      <c r="M6" s="216">
        <v>38</v>
      </c>
      <c r="N6" s="216">
        <v>43.5</v>
      </c>
      <c r="O6" s="216">
        <v>46</v>
      </c>
      <c r="P6" s="216">
        <v>47.5</v>
      </c>
      <c r="Q6" s="216">
        <v>49</v>
      </c>
      <c r="R6" t="s">
        <v>93</v>
      </c>
      <c r="S6" s="216"/>
      <c r="T6" s="216"/>
      <c r="U6" s="216"/>
      <c r="W6" s="216"/>
      <c r="X6" s="216"/>
      <c r="Y6" s="216"/>
    </row>
    <row r="7" spans="1:25">
      <c r="A7" s="285"/>
      <c r="B7" s="300">
        <v>43983</v>
      </c>
      <c r="C7" s="133" t="s">
        <v>1</v>
      </c>
      <c r="D7" s="138">
        <f>'Aug18'!D6</f>
        <v>89.65</v>
      </c>
      <c r="E7" s="138">
        <f>'Aug18'!E6</f>
        <v>85.82</v>
      </c>
      <c r="F7" s="138">
        <f>'Aug18'!F6</f>
        <v>95.13</v>
      </c>
      <c r="G7" s="138">
        <f>'Aug18'!G6</f>
        <v>60.67</v>
      </c>
      <c r="H7" s="138">
        <f>'Aug18'!H6</f>
        <v>37.85</v>
      </c>
      <c r="I7" s="138">
        <f>'Dec18'!I6</f>
        <v>44.66</v>
      </c>
      <c r="J7" s="138">
        <f>'Dec18'!J6</f>
        <v>55.05</v>
      </c>
      <c r="K7" s="138">
        <v>51.464999999999996</v>
      </c>
      <c r="L7" s="138">
        <v>42.5</v>
      </c>
      <c r="M7" s="138">
        <v>31</v>
      </c>
      <c r="N7" s="138">
        <v>41</v>
      </c>
      <c r="O7" s="138">
        <v>43.5</v>
      </c>
      <c r="P7" s="138">
        <v>44</v>
      </c>
      <c r="Q7" s="138"/>
      <c r="S7" s="93" t="s">
        <v>89</v>
      </c>
      <c r="W7" t="s">
        <v>90</v>
      </c>
    </row>
    <row r="8" spans="1:25" ht="14.65" hidden="1" customHeight="1">
      <c r="A8" s="285"/>
      <c r="B8" s="301"/>
      <c r="C8" s="133" t="s">
        <v>1</v>
      </c>
      <c r="D8" s="138">
        <v>89.65</v>
      </c>
      <c r="E8" s="138">
        <v>85.82</v>
      </c>
      <c r="F8" s="138">
        <v>95.14</v>
      </c>
      <c r="G8" s="138">
        <v>71</v>
      </c>
      <c r="H8" s="138">
        <v>66</v>
      </c>
      <c r="I8" s="138">
        <v>72</v>
      </c>
      <c r="J8" s="138">
        <v>76</v>
      </c>
      <c r="K8" s="138">
        <v>80</v>
      </c>
      <c r="L8" s="138"/>
      <c r="M8" s="138"/>
    </row>
    <row r="9" spans="1:25" ht="14.65" hidden="1" customHeight="1">
      <c r="A9" s="285"/>
      <c r="B9" s="301"/>
      <c r="C9" s="133" t="s">
        <v>1</v>
      </c>
      <c r="D9" s="138">
        <v>89.65</v>
      </c>
      <c r="E9" s="138">
        <v>85.82</v>
      </c>
      <c r="F9" s="138">
        <v>95.75</v>
      </c>
      <c r="G9" s="138">
        <v>92</v>
      </c>
      <c r="H9" s="138">
        <v>88</v>
      </c>
      <c r="I9" s="138">
        <v>87</v>
      </c>
      <c r="J9" s="138">
        <v>86</v>
      </c>
      <c r="K9" s="138">
        <v>85</v>
      </c>
      <c r="L9" s="138"/>
      <c r="M9" s="138"/>
    </row>
    <row r="10" spans="1:25" ht="14.65" hidden="1" customHeight="1">
      <c r="A10" s="285"/>
      <c r="B10" s="301"/>
      <c r="C10" s="133" t="s">
        <v>1</v>
      </c>
      <c r="D10" s="138">
        <v>90</v>
      </c>
      <c r="E10" s="138">
        <v>87</v>
      </c>
      <c r="F10" s="138">
        <v>94</v>
      </c>
      <c r="G10" s="138">
        <v>87.5</v>
      </c>
      <c r="H10" s="138">
        <v>85</v>
      </c>
      <c r="I10" s="138">
        <v>84</v>
      </c>
      <c r="J10" s="138">
        <v>84</v>
      </c>
      <c r="K10" s="138"/>
      <c r="L10" s="138"/>
      <c r="M10" s="138"/>
    </row>
    <row r="11" spans="1:25" ht="14.65" hidden="1" customHeight="1">
      <c r="A11" s="285"/>
      <c r="B11" s="302"/>
      <c r="C11" s="133" t="s">
        <v>1</v>
      </c>
      <c r="D11" s="145">
        <v>90</v>
      </c>
      <c r="E11" s="145">
        <v>86.5</v>
      </c>
      <c r="F11" s="145">
        <v>88</v>
      </c>
      <c r="G11" s="145">
        <v>87.5</v>
      </c>
      <c r="H11" s="145">
        <v>87</v>
      </c>
      <c r="I11" s="145">
        <v>86.5</v>
      </c>
      <c r="J11" s="145"/>
      <c r="K11" s="145"/>
      <c r="L11" s="145"/>
      <c r="M11" s="145"/>
    </row>
    <row r="12" spans="1:25" hidden="1">
      <c r="A12" s="285"/>
      <c r="B12" s="33">
        <v>41244</v>
      </c>
      <c r="C12" s="133" t="s">
        <v>1</v>
      </c>
      <c r="D12" s="145">
        <v>89.640506965377526</v>
      </c>
      <c r="E12" s="145">
        <v>85</v>
      </c>
      <c r="F12" s="145">
        <v>84.75</v>
      </c>
      <c r="G12" s="145">
        <v>83.5</v>
      </c>
      <c r="H12" s="145">
        <v>82.5</v>
      </c>
      <c r="I12" s="145">
        <v>83</v>
      </c>
      <c r="J12" s="145">
        <v>83</v>
      </c>
      <c r="K12" s="145"/>
      <c r="L12" s="145"/>
      <c r="M12" s="145"/>
    </row>
    <row r="13" spans="1:25" hidden="1">
      <c r="A13" s="285"/>
      <c r="B13" s="33">
        <v>42217</v>
      </c>
      <c r="C13" s="292" t="s">
        <v>16</v>
      </c>
      <c r="D13" s="293"/>
      <c r="E13" s="146">
        <f t="shared" ref="E13:M13" si="1">+E6/D6-1</f>
        <v>-4.2721695482431765E-2</v>
      </c>
      <c r="F13" s="146">
        <f>+F6/E6-1</f>
        <v>0.10848287112561183</v>
      </c>
      <c r="G13" s="166">
        <f>+G6/F6-1</f>
        <v>-0.36224114369809735</v>
      </c>
      <c r="H13" s="146">
        <f t="shared" si="1"/>
        <v>-0.37613317949563208</v>
      </c>
      <c r="I13" s="146">
        <f t="shared" si="1"/>
        <v>0.17992073976221912</v>
      </c>
      <c r="J13" s="146">
        <f t="shared" si="1"/>
        <v>0.23264666368114639</v>
      </c>
      <c r="K13" s="146" t="e">
        <f t="shared" si="1"/>
        <v>#DIV/0!</v>
      </c>
      <c r="L13" s="146" t="e">
        <f t="shared" si="1"/>
        <v>#DIV/0!</v>
      </c>
      <c r="M13" s="146">
        <f t="shared" si="1"/>
        <v>-0.13655987275619175</v>
      </c>
    </row>
    <row r="14" spans="1:25" hidden="1">
      <c r="A14" s="285"/>
      <c r="B14" s="33">
        <v>42031</v>
      </c>
      <c r="C14" s="290" t="s">
        <v>16</v>
      </c>
      <c r="D14" s="291"/>
      <c r="E14" s="147">
        <f t="shared" ref="E14:K15" si="2">(E7-D7)/D7</f>
        <v>-4.2721695482431814E-2</v>
      </c>
      <c r="F14" s="147">
        <f t="shared" si="2"/>
        <v>0.10848287112561178</v>
      </c>
      <c r="G14" s="147">
        <f t="shared" si="2"/>
        <v>-0.36224114369809729</v>
      </c>
      <c r="H14" s="147">
        <f t="shared" si="2"/>
        <v>-0.37613317949563208</v>
      </c>
      <c r="I14" s="147">
        <f t="shared" si="2"/>
        <v>0.17992073976221915</v>
      </c>
      <c r="J14" s="147">
        <f t="shared" si="2"/>
        <v>0.23264666368114648</v>
      </c>
      <c r="K14" s="147">
        <f t="shared" si="2"/>
        <v>-6.5122615803814732E-2</v>
      </c>
      <c r="L14" s="147"/>
      <c r="M14" s="147"/>
    </row>
    <row r="15" spans="1:25" hidden="1">
      <c r="A15" s="285"/>
      <c r="B15" s="33">
        <v>41974</v>
      </c>
      <c r="C15" s="290" t="s">
        <v>16</v>
      </c>
      <c r="D15" s="291"/>
      <c r="E15" s="147">
        <f t="shared" si="2"/>
        <v>-4.2721695482431814E-2</v>
      </c>
      <c r="F15" s="147">
        <f t="shared" si="2"/>
        <v>0.10859939408063397</v>
      </c>
      <c r="G15" s="147">
        <f t="shared" si="2"/>
        <v>-0.2537313432835821</v>
      </c>
      <c r="H15" s="147">
        <f t="shared" si="2"/>
        <v>-7.0422535211267609E-2</v>
      </c>
      <c r="I15" s="147">
        <f t="shared" si="2"/>
        <v>9.0909090909090912E-2</v>
      </c>
      <c r="J15" s="147">
        <f t="shared" si="2"/>
        <v>5.5555555555555552E-2</v>
      </c>
      <c r="K15" s="147"/>
      <c r="L15" s="147"/>
      <c r="M15" s="147"/>
    </row>
    <row r="16" spans="1:25" hidden="1">
      <c r="A16" s="286"/>
      <c r="B16" s="33">
        <v>41499</v>
      </c>
      <c r="C16" s="292" t="s">
        <v>16</v>
      </c>
      <c r="D16" s="293"/>
      <c r="E16" s="146">
        <f t="shared" ref="E16:J16" si="3">(E10-D10)/D10</f>
        <v>-3.3333333333333333E-2</v>
      </c>
      <c r="F16" s="146">
        <f t="shared" si="3"/>
        <v>8.0459770114942528E-2</v>
      </c>
      <c r="G16" s="146">
        <f t="shared" si="3"/>
        <v>-6.9148936170212769E-2</v>
      </c>
      <c r="H16" s="146">
        <f t="shared" si="3"/>
        <v>-2.8571428571428571E-2</v>
      </c>
      <c r="I16" s="146">
        <f t="shared" si="3"/>
        <v>-1.1764705882352941E-2</v>
      </c>
      <c r="J16" s="146">
        <f t="shared" si="3"/>
        <v>0</v>
      </c>
      <c r="K16" s="146"/>
      <c r="L16" s="146"/>
      <c r="M16" s="146"/>
    </row>
    <row r="17" spans="1:26">
      <c r="A17" s="65"/>
      <c r="B17" s="65"/>
      <c r="C17" s="65"/>
      <c r="D17" s="65"/>
      <c r="E17" s="65"/>
      <c r="F17" s="65"/>
      <c r="G17" s="65"/>
      <c r="H17" s="65"/>
      <c r="I17" s="65"/>
      <c r="J17" s="65"/>
      <c r="K17" s="65"/>
      <c r="L17" s="65"/>
      <c r="M17" s="65"/>
      <c r="N17" s="65"/>
      <c r="O17" s="65"/>
      <c r="P17" s="65"/>
      <c r="Q17" s="65"/>
    </row>
    <row r="18" spans="1:26">
      <c r="A18" s="65"/>
      <c r="B18" s="65"/>
      <c r="C18" s="228" t="s">
        <v>4</v>
      </c>
      <c r="D18" s="229"/>
      <c r="E18" s="229"/>
      <c r="F18" s="229"/>
      <c r="G18" s="229"/>
      <c r="H18" s="229"/>
      <c r="I18" s="229"/>
      <c r="J18" s="229"/>
      <c r="K18" s="229"/>
      <c r="L18" s="229">
        <v>363.84699999999998</v>
      </c>
      <c r="M18" s="229">
        <v>294</v>
      </c>
      <c r="N18" s="229">
        <v>297</v>
      </c>
      <c r="O18" s="229">
        <v>305</v>
      </c>
      <c r="P18" s="229">
        <v>312</v>
      </c>
      <c r="Q18" s="229">
        <v>319</v>
      </c>
    </row>
    <row r="19" spans="1:26">
      <c r="A19" s="281" t="s">
        <v>12</v>
      </c>
      <c r="B19" s="273">
        <v>44044</v>
      </c>
      <c r="C19" s="136" t="s">
        <v>2</v>
      </c>
      <c r="D19" s="148"/>
      <c r="E19" s="148"/>
      <c r="F19" s="148"/>
      <c r="G19" s="148"/>
      <c r="H19" s="148"/>
      <c r="I19" s="148">
        <v>155.96</v>
      </c>
      <c r="J19" s="148"/>
      <c r="K19" s="148"/>
      <c r="L19" s="148">
        <v>369.54</v>
      </c>
      <c r="M19" s="148">
        <v>310</v>
      </c>
      <c r="N19" s="148">
        <v>301.76</v>
      </c>
      <c r="O19" s="148">
        <v>326.89</v>
      </c>
      <c r="P19" s="148">
        <v>348.58</v>
      </c>
      <c r="Q19" s="148">
        <v>367.6</v>
      </c>
      <c r="R19" s="112"/>
      <c r="S19" s="241"/>
      <c r="T19" s="148"/>
      <c r="U19" s="148"/>
      <c r="W19" s="148"/>
      <c r="X19" s="148"/>
      <c r="Y19" s="148"/>
    </row>
    <row r="20" spans="1:26">
      <c r="A20" s="281"/>
      <c r="B20" s="272"/>
      <c r="C20" s="139" t="s">
        <v>0</v>
      </c>
      <c r="D20" s="149"/>
      <c r="E20" s="149"/>
      <c r="F20" s="149"/>
      <c r="G20" s="149"/>
      <c r="H20" s="149"/>
      <c r="I20" s="149"/>
      <c r="J20" s="149"/>
      <c r="K20" s="149"/>
      <c r="L20" s="149">
        <v>368.08587199999999</v>
      </c>
      <c r="M20" s="149">
        <v>273.5</v>
      </c>
      <c r="N20" s="149">
        <v>284.99</v>
      </c>
      <c r="O20" s="149">
        <v>296.95999999999998</v>
      </c>
      <c r="P20" s="149">
        <v>308.24</v>
      </c>
      <c r="Q20" s="149">
        <v>319.95999999999998</v>
      </c>
      <c r="R20" s="112"/>
      <c r="S20" s="149"/>
      <c r="T20" s="149"/>
      <c r="U20" s="149"/>
      <c r="W20" s="149"/>
      <c r="X20" s="149"/>
      <c r="Y20" s="149"/>
    </row>
    <row r="21" spans="1:26">
      <c r="A21" s="281"/>
      <c r="B21" s="272"/>
      <c r="C21" s="141" t="s">
        <v>3</v>
      </c>
      <c r="D21" s="151"/>
      <c r="E21" s="151"/>
      <c r="F21" s="151"/>
      <c r="G21" s="151"/>
      <c r="H21" s="151"/>
      <c r="I21" s="151">
        <v>155.9</v>
      </c>
      <c r="J21" s="151"/>
      <c r="K21" s="151"/>
      <c r="L21" s="151">
        <v>368.1</v>
      </c>
      <c r="M21" s="151">
        <v>290.39999999999998</v>
      </c>
      <c r="N21" s="151">
        <v>297.11700000000002</v>
      </c>
      <c r="O21" s="151">
        <v>305.11200000000002</v>
      </c>
      <c r="P21" s="151">
        <v>312.08100000000002</v>
      </c>
      <c r="Q21" s="151">
        <v>323.238</v>
      </c>
      <c r="R21" s="112"/>
      <c r="S21" s="151"/>
      <c r="T21" s="151"/>
      <c r="U21" s="151"/>
      <c r="W21" s="151"/>
      <c r="X21" s="151"/>
      <c r="Y21" s="151"/>
    </row>
    <row r="22" spans="1:26">
      <c r="A22" s="281"/>
      <c r="B22" s="272"/>
      <c r="C22" s="143" t="s">
        <v>1</v>
      </c>
      <c r="D22" s="152">
        <v>80.3</v>
      </c>
      <c r="E22" s="152">
        <v>96.4</v>
      </c>
      <c r="F22" s="153">
        <v>113.9</v>
      </c>
      <c r="G22" s="153">
        <v>141.4</v>
      </c>
      <c r="H22" s="153">
        <v>146.69999999999999</v>
      </c>
      <c r="I22" s="153">
        <v>153</v>
      </c>
      <c r="J22" s="206">
        <f>J23</f>
        <v>204.40600000000003</v>
      </c>
      <c r="K22" s="209">
        <v>300</v>
      </c>
      <c r="L22" s="226">
        <f>L20</f>
        <v>368.08587199999999</v>
      </c>
      <c r="M22" s="226">
        <f t="shared" ref="M22:N22" si="4">MROUND(AVERAGE(M18:M21),5)</f>
        <v>290</v>
      </c>
      <c r="N22" s="226">
        <f t="shared" si="4"/>
        <v>295</v>
      </c>
      <c r="O22" s="226">
        <f>MROUND(N22*(1+O29),5)</f>
        <v>305</v>
      </c>
      <c r="P22" s="226">
        <f t="shared" ref="P22:Q22" si="5">MROUND(O22*(1+P29),5)</f>
        <v>315</v>
      </c>
      <c r="Q22" s="226">
        <f t="shared" si="5"/>
        <v>325</v>
      </c>
      <c r="R22" t="s">
        <v>93</v>
      </c>
      <c r="S22" s="226">
        <f>M22*0.9</f>
        <v>261</v>
      </c>
      <c r="T22" s="226">
        <f>N22*0.9</f>
        <v>265.5</v>
      </c>
      <c r="U22" s="226">
        <f>O22*0.9</f>
        <v>274.5</v>
      </c>
      <c r="W22" s="226">
        <f>M22*1.1</f>
        <v>319</v>
      </c>
      <c r="X22" s="226">
        <f>N22*1.1</f>
        <v>324.5</v>
      </c>
      <c r="Y22" s="226">
        <f>O22*1.1</f>
        <v>335.5</v>
      </c>
      <c r="Z22" t="s">
        <v>93</v>
      </c>
    </row>
    <row r="23" spans="1:26">
      <c r="A23" s="281"/>
      <c r="B23" s="273">
        <v>43983</v>
      </c>
      <c r="C23" s="133" t="s">
        <v>1</v>
      </c>
      <c r="D23" s="154">
        <f>'Aug18'!D21</f>
        <v>80.3</v>
      </c>
      <c r="E23" s="154">
        <f>'Aug18'!E21</f>
        <v>96.4</v>
      </c>
      <c r="F23" s="154">
        <f>'Aug18'!F21</f>
        <v>113.9</v>
      </c>
      <c r="G23" s="154">
        <f>'Aug18'!G21</f>
        <v>141.4</v>
      </c>
      <c r="H23" s="154">
        <f>'Aug18'!H21</f>
        <v>146.69999999999999</v>
      </c>
      <c r="I23" s="154">
        <f>'Dec18'!I21</f>
        <v>153</v>
      </c>
      <c r="J23" s="154">
        <f>'Dec18'!J21</f>
        <v>204.40600000000003</v>
      </c>
      <c r="K23" s="154">
        <v>300.43599999999998</v>
      </c>
      <c r="L23" s="154">
        <v>355</v>
      </c>
      <c r="M23" s="154">
        <v>255</v>
      </c>
      <c r="N23" s="154">
        <v>225</v>
      </c>
      <c r="O23" s="154">
        <v>240</v>
      </c>
      <c r="P23" s="154">
        <v>255</v>
      </c>
      <c r="Q23" s="154"/>
      <c r="S23" s="112">
        <f>+S22/L22-1</f>
        <v>-0.29092633036456228</v>
      </c>
      <c r="T23" s="112">
        <f>+T22/S22-1</f>
        <v>1.7241379310344751E-2</v>
      </c>
      <c r="U23" s="112">
        <f>+U22/T22-1</f>
        <v>3.3898305084745672E-2</v>
      </c>
      <c r="W23" s="112">
        <f>+W22/L22-1</f>
        <v>-0.1333544037789095</v>
      </c>
      <c r="X23" s="112">
        <f>+X22/W22-1</f>
        <v>1.7241379310344751E-2</v>
      </c>
      <c r="Y23" s="112">
        <f>+Y22/X22-1</f>
        <v>3.3898305084745672E-2</v>
      </c>
    </row>
    <row r="24" spans="1:26" hidden="1">
      <c r="A24" s="281"/>
      <c r="B24" s="272"/>
      <c r="C24" s="133" t="s">
        <v>1</v>
      </c>
      <c r="D24" s="154">
        <v>80.3</v>
      </c>
      <c r="E24" s="154">
        <v>96.4</v>
      </c>
      <c r="F24" s="154">
        <v>113.4</v>
      </c>
      <c r="G24" s="154">
        <v>122</v>
      </c>
      <c r="H24" s="154">
        <v>127</v>
      </c>
      <c r="I24" s="154">
        <v>131</v>
      </c>
      <c r="J24" s="154">
        <v>133</v>
      </c>
      <c r="K24" s="154">
        <v>135</v>
      </c>
      <c r="L24" s="154"/>
      <c r="M24" s="154"/>
      <c r="N24" s="154"/>
      <c r="O24" s="154"/>
      <c r="P24" s="154"/>
      <c r="Q24" s="154"/>
    </row>
    <row r="25" spans="1:26" hidden="1">
      <c r="A25" s="281"/>
      <c r="B25" s="272"/>
      <c r="C25" s="133" t="s">
        <v>1</v>
      </c>
      <c r="D25" s="154">
        <v>80.3</v>
      </c>
      <c r="E25" s="154">
        <v>96.4</v>
      </c>
      <c r="F25" s="154">
        <v>110</v>
      </c>
      <c r="G25" s="154">
        <v>117</v>
      </c>
      <c r="H25" s="154">
        <v>122</v>
      </c>
      <c r="I25" s="154">
        <v>125</v>
      </c>
      <c r="J25" s="154">
        <v>127</v>
      </c>
      <c r="K25" s="154">
        <v>129</v>
      </c>
      <c r="L25" s="154"/>
      <c r="M25" s="154"/>
      <c r="N25" s="154"/>
      <c r="O25" s="154"/>
      <c r="P25" s="154"/>
      <c r="Q25" s="154"/>
    </row>
    <row r="26" spans="1:26" hidden="1">
      <c r="A26" s="281"/>
      <c r="B26" s="272"/>
      <c r="C26" s="133" t="s">
        <v>1</v>
      </c>
      <c r="D26" s="154">
        <v>80.069999999999993</v>
      </c>
      <c r="E26" s="154">
        <v>90</v>
      </c>
      <c r="F26" s="154">
        <v>93</v>
      </c>
      <c r="G26" s="154">
        <v>97</v>
      </c>
      <c r="H26" s="154">
        <v>100</v>
      </c>
      <c r="I26" s="154">
        <v>101</v>
      </c>
      <c r="J26" s="154">
        <v>102</v>
      </c>
      <c r="K26" s="154"/>
      <c r="L26" s="154"/>
      <c r="M26" s="154"/>
      <c r="N26" s="154"/>
      <c r="O26" s="154"/>
      <c r="P26" s="154"/>
      <c r="Q26" s="154"/>
    </row>
    <row r="27" spans="1:26" hidden="1">
      <c r="A27" s="281"/>
      <c r="B27" s="33">
        <v>41317</v>
      </c>
      <c r="C27" s="133" t="s">
        <v>1</v>
      </c>
      <c r="D27" s="155">
        <v>80.099999999999994</v>
      </c>
      <c r="E27" s="155">
        <v>87</v>
      </c>
      <c r="F27" s="155">
        <v>91.4</v>
      </c>
      <c r="G27" s="155">
        <v>94.1</v>
      </c>
      <c r="H27" s="155">
        <v>96</v>
      </c>
      <c r="I27" s="155">
        <v>97.9</v>
      </c>
      <c r="J27" s="155"/>
      <c r="K27" s="155"/>
      <c r="L27" s="155"/>
      <c r="M27" s="155"/>
      <c r="N27" s="155"/>
      <c r="O27" s="155"/>
      <c r="P27" s="155"/>
      <c r="Q27" s="155"/>
    </row>
    <row r="28" spans="1:26" hidden="1">
      <c r="A28" s="281"/>
      <c r="B28" s="33">
        <v>41244</v>
      </c>
      <c r="C28" s="133" t="s">
        <v>1</v>
      </c>
      <c r="D28" s="155">
        <v>79.7</v>
      </c>
      <c r="E28" s="155">
        <v>84.119744824999998</v>
      </c>
      <c r="F28" s="155">
        <v>88.406534618000009</v>
      </c>
      <c r="G28" s="155">
        <v>92.434230656539995</v>
      </c>
      <c r="H28" s="155">
        <v>96.132415269670815</v>
      </c>
      <c r="I28" s="155">
        <v>97.6</v>
      </c>
      <c r="J28" s="155">
        <v>97.6</v>
      </c>
      <c r="K28" s="155"/>
      <c r="L28" s="155"/>
      <c r="M28" s="155"/>
      <c r="N28" s="155"/>
      <c r="O28" s="155"/>
      <c r="P28" s="155"/>
      <c r="Q28" s="155"/>
    </row>
    <row r="29" spans="1:26">
      <c r="A29" s="281"/>
      <c r="B29" s="33">
        <f>B19</f>
        <v>44044</v>
      </c>
      <c r="C29" s="292" t="s">
        <v>16</v>
      </c>
      <c r="D29" s="293"/>
      <c r="E29" s="167">
        <f t="shared" ref="E29:K30" si="6">(E22-D22)/D22</f>
        <v>0.20049813200498143</v>
      </c>
      <c r="F29" s="167">
        <f>(F22-E22)/E22</f>
        <v>0.18153526970954356</v>
      </c>
      <c r="G29" s="167">
        <f t="shared" si="6"/>
        <v>0.24143985952589991</v>
      </c>
      <c r="H29" s="167">
        <f t="shared" si="6"/>
        <v>3.7482319660537361E-2</v>
      </c>
      <c r="I29" s="167">
        <f>(I22-H22)/H22</f>
        <v>4.2944785276073698E-2</v>
      </c>
      <c r="J29" s="167">
        <f>(J22-I22)/I22</f>
        <v>0.33598692810457537</v>
      </c>
      <c r="K29" s="167">
        <f t="shared" si="6"/>
        <v>0.46766728960989379</v>
      </c>
      <c r="L29" s="167">
        <f t="shared" ref="L29:N29" si="7">(L22-K22)/K22</f>
        <v>0.22695290666666665</v>
      </c>
      <c r="M29" s="167">
        <f t="shared" si="7"/>
        <v>-0.21214036707173589</v>
      </c>
      <c r="N29" s="167">
        <f t="shared" si="7"/>
        <v>1.7241379310344827E-2</v>
      </c>
      <c r="O29" s="240">
        <v>0.03</v>
      </c>
      <c r="P29" s="240">
        <v>0.03</v>
      </c>
      <c r="Q29" s="240">
        <v>0.03</v>
      </c>
      <c r="S29" s="93" t="s">
        <v>89</v>
      </c>
      <c r="W29" t="s">
        <v>90</v>
      </c>
    </row>
    <row r="30" spans="1:26">
      <c r="A30" s="281"/>
      <c r="B30" s="33">
        <f>B7</f>
        <v>43983</v>
      </c>
      <c r="C30" s="290" t="s">
        <v>16</v>
      </c>
      <c r="D30" s="291"/>
      <c r="E30" s="168">
        <f>(E23-D23)/D23</f>
        <v>0.20049813200498143</v>
      </c>
      <c r="F30" s="168">
        <f t="shared" ref="F30:Q31" si="8">(F23-E23)/E23</f>
        <v>0.18153526970954356</v>
      </c>
      <c r="G30" s="168">
        <f>(G23-F23)/F23</f>
        <v>0.24143985952589991</v>
      </c>
      <c r="H30" s="168">
        <f t="shared" si="6"/>
        <v>3.7482319660537361E-2</v>
      </c>
      <c r="I30" s="168">
        <f>(I23-H23)/H23</f>
        <v>4.2944785276073698E-2</v>
      </c>
      <c r="J30" s="168">
        <f t="shared" si="6"/>
        <v>0.33598692810457537</v>
      </c>
      <c r="K30" s="168">
        <v>0.45837206344236431</v>
      </c>
      <c r="L30" s="168">
        <f>+L23/K23-1</f>
        <v>0.18161605133872105</v>
      </c>
      <c r="M30" s="168">
        <f t="shared" ref="M30:P30" si="9">+M23/L23-1</f>
        <v>-0.28169014084507038</v>
      </c>
      <c r="N30" s="168">
        <f t="shared" si="9"/>
        <v>-0.11764705882352944</v>
      </c>
      <c r="O30" s="168">
        <f t="shared" si="9"/>
        <v>6.6666666666666652E-2</v>
      </c>
      <c r="P30" s="168">
        <f t="shared" si="9"/>
        <v>6.25E-2</v>
      </c>
      <c r="Q30" s="168"/>
    </row>
    <row r="31" spans="1:26" hidden="1">
      <c r="A31" s="281"/>
      <c r="B31" s="33">
        <v>41974</v>
      </c>
      <c r="C31" s="290" t="s">
        <v>16</v>
      </c>
      <c r="D31" s="291"/>
      <c r="E31" s="147">
        <f>(E24-D24)/D24</f>
        <v>0.20049813200498143</v>
      </c>
      <c r="F31" s="147">
        <f t="shared" si="8"/>
        <v>0.17634854771784231</v>
      </c>
      <c r="G31" s="147">
        <f t="shared" si="8"/>
        <v>7.5837742504409111E-2</v>
      </c>
      <c r="H31" s="147">
        <f t="shared" si="8"/>
        <v>4.0983606557377046E-2</v>
      </c>
      <c r="I31" s="147">
        <f t="shared" si="8"/>
        <v>3.1496062992125984E-2</v>
      </c>
      <c r="J31" s="147">
        <f t="shared" si="8"/>
        <v>1.5267175572519083E-2</v>
      </c>
      <c r="K31" s="147">
        <f t="shared" si="8"/>
        <v>1.5037593984962405E-2</v>
      </c>
      <c r="L31" s="147">
        <f t="shared" si="8"/>
        <v>-1</v>
      </c>
      <c r="M31" s="147" t="e">
        <f t="shared" si="8"/>
        <v>#DIV/0!</v>
      </c>
      <c r="N31" s="147" t="e">
        <f t="shared" si="8"/>
        <v>#DIV/0!</v>
      </c>
      <c r="O31" s="147" t="e">
        <f t="shared" si="8"/>
        <v>#DIV/0!</v>
      </c>
      <c r="P31" s="147" t="e">
        <f t="shared" si="8"/>
        <v>#DIV/0!</v>
      </c>
      <c r="Q31" s="147" t="e">
        <f t="shared" si="8"/>
        <v>#DIV/0!</v>
      </c>
    </row>
    <row r="32" spans="1:26" hidden="1">
      <c r="A32" s="281"/>
      <c r="B32" s="33">
        <v>41499</v>
      </c>
      <c r="C32" s="292" t="s">
        <v>16</v>
      </c>
      <c r="D32" s="293"/>
      <c r="E32" s="146">
        <f t="shared" ref="E32:J32" si="10">(E26-D26)/D26</f>
        <v>0.12401648557512186</v>
      </c>
      <c r="F32" s="146">
        <f t="shared" si="10"/>
        <v>3.3333333333333333E-2</v>
      </c>
      <c r="G32" s="146">
        <f t="shared" si="10"/>
        <v>4.3010752688172046E-2</v>
      </c>
      <c r="H32" s="146">
        <f t="shared" si="10"/>
        <v>3.0927835051546393E-2</v>
      </c>
      <c r="I32" s="146">
        <f t="shared" si="10"/>
        <v>0.01</v>
      </c>
      <c r="J32" s="146">
        <f t="shared" si="10"/>
        <v>9.9009900990099011E-3</v>
      </c>
      <c r="K32" s="146"/>
      <c r="L32" s="146"/>
      <c r="M32" s="146"/>
      <c r="N32" s="146"/>
      <c r="O32" s="146"/>
      <c r="P32" s="146"/>
      <c r="Q32" s="146"/>
    </row>
    <row r="33" spans="1:25">
      <c r="A33" s="106"/>
      <c r="B33" s="107"/>
      <c r="C33" s="156"/>
      <c r="D33" s="156"/>
      <c r="E33" s="157"/>
      <c r="F33" s="157"/>
      <c r="G33" s="158"/>
      <c r="H33" s="158"/>
      <c r="I33" s="158"/>
      <c r="J33" s="158"/>
      <c r="K33" s="158"/>
      <c r="L33" s="158"/>
      <c r="M33" s="158"/>
      <c r="N33" s="158"/>
      <c r="O33" s="158"/>
      <c r="P33" s="158"/>
      <c r="Q33" s="158"/>
    </row>
    <row r="34" spans="1:25">
      <c r="A34" s="298" t="s">
        <v>18</v>
      </c>
      <c r="B34" s="300">
        <v>44044</v>
      </c>
      <c r="C34" s="134" t="s">
        <v>4</v>
      </c>
      <c r="D34" s="135"/>
      <c r="E34" s="135"/>
      <c r="F34" s="135"/>
      <c r="G34" s="135"/>
      <c r="H34" s="135"/>
      <c r="I34" s="135">
        <v>3.24</v>
      </c>
      <c r="J34" s="135"/>
      <c r="K34" s="135"/>
      <c r="L34" s="135">
        <v>1.9</v>
      </c>
      <c r="M34" s="135">
        <v>2.25</v>
      </c>
      <c r="N34" s="135">
        <v>2.37</v>
      </c>
      <c r="O34" s="135">
        <v>2.2799999999999998</v>
      </c>
      <c r="P34" s="135">
        <v>2.39</v>
      </c>
      <c r="Q34" s="135">
        <v>2.46</v>
      </c>
      <c r="S34" s="135"/>
      <c r="T34" s="135"/>
      <c r="U34" s="135"/>
      <c r="W34" s="135"/>
      <c r="X34" s="135"/>
      <c r="Y34" s="135"/>
    </row>
    <row r="35" spans="1:25" ht="15" customHeight="1">
      <c r="A35" s="299"/>
      <c r="B35" s="301"/>
      <c r="C35" s="136" t="s">
        <v>2</v>
      </c>
      <c r="D35" s="159"/>
      <c r="E35" s="159"/>
      <c r="F35" s="159"/>
      <c r="G35" s="159"/>
      <c r="H35" s="159"/>
      <c r="I35" s="159">
        <v>3.24</v>
      </c>
      <c r="J35" s="159"/>
      <c r="K35" s="210"/>
      <c r="L35" s="210">
        <v>1.9</v>
      </c>
      <c r="M35" s="210">
        <v>2.3199999999999998</v>
      </c>
      <c r="N35" s="210">
        <v>2.39</v>
      </c>
      <c r="O35" s="210">
        <v>2.46</v>
      </c>
      <c r="P35" s="210">
        <v>2.62</v>
      </c>
      <c r="Q35" s="210">
        <v>2.72</v>
      </c>
      <c r="S35" s="210"/>
      <c r="T35" s="210"/>
      <c r="U35" s="210"/>
      <c r="W35" s="210"/>
      <c r="X35" s="210"/>
      <c r="Y35" s="210"/>
    </row>
    <row r="36" spans="1:25">
      <c r="A36" s="299"/>
      <c r="B36" s="301"/>
      <c r="C36" s="139" t="s">
        <v>0</v>
      </c>
      <c r="D36" s="140"/>
      <c r="E36" s="140"/>
      <c r="F36" s="140"/>
      <c r="G36" s="140"/>
      <c r="H36" s="140"/>
      <c r="I36" s="140">
        <v>3.25</v>
      </c>
      <c r="J36" s="140"/>
      <c r="K36" s="140"/>
      <c r="L36" s="140">
        <v>1.9</v>
      </c>
      <c r="M36" s="140">
        <v>2.31</v>
      </c>
      <c r="N36" s="140">
        <v>2.4500000000000002</v>
      </c>
      <c r="O36" s="140">
        <v>2.2599999999999998</v>
      </c>
      <c r="P36" s="140">
        <v>2.31</v>
      </c>
      <c r="Q36" s="140">
        <v>2.4300000000000002</v>
      </c>
      <c r="S36" s="140"/>
      <c r="T36" s="140"/>
      <c r="U36" s="140"/>
      <c r="W36" s="140"/>
      <c r="X36" s="140"/>
      <c r="Y36" s="140"/>
    </row>
    <row r="37" spans="1:25">
      <c r="A37" s="299"/>
      <c r="B37" s="301"/>
      <c r="C37" s="141" t="s">
        <v>3</v>
      </c>
      <c r="D37" s="142"/>
      <c r="E37" s="142"/>
      <c r="F37" s="142"/>
      <c r="G37" s="142"/>
      <c r="H37" s="142"/>
      <c r="I37" s="142">
        <v>3.22</v>
      </c>
      <c r="J37" s="142"/>
      <c r="K37" s="142"/>
      <c r="L37" s="142">
        <v>1.9</v>
      </c>
      <c r="M37" s="142">
        <v>2.5499999999999998</v>
      </c>
      <c r="N37" s="142">
        <v>2.8</v>
      </c>
      <c r="O37" s="142">
        <v>2.63</v>
      </c>
      <c r="P37" s="142">
        <v>2.78</v>
      </c>
      <c r="Q37" s="142">
        <v>2.88</v>
      </c>
      <c r="S37" s="142"/>
      <c r="T37" s="142"/>
      <c r="U37" s="142"/>
      <c r="W37" s="142"/>
      <c r="X37" s="142"/>
      <c r="Y37" s="142"/>
    </row>
    <row r="38" spans="1:25">
      <c r="A38" s="299"/>
      <c r="B38" s="302"/>
      <c r="C38" s="143" t="s">
        <v>1</v>
      </c>
      <c r="D38" s="144">
        <v>5.01</v>
      </c>
      <c r="E38" s="144">
        <v>4.38</v>
      </c>
      <c r="F38" s="144">
        <v>5.14</v>
      </c>
      <c r="G38" s="144">
        <v>3.78</v>
      </c>
      <c r="H38" s="144">
        <v>2.42</v>
      </c>
      <c r="I38" s="144">
        <f t="shared" ref="I38" si="11">+AVERAGE(I34:I37)</f>
        <v>3.2375000000000003</v>
      </c>
      <c r="J38" s="144" t="e">
        <f t="shared" ref="J38" si="12">AVERAGE(J34:J37)</f>
        <v>#DIV/0!</v>
      </c>
      <c r="K38" s="216" t="e">
        <f>AVERAGE(K34:K37)</f>
        <v>#DIV/0!</v>
      </c>
      <c r="L38" s="216">
        <f>AVERAGE(L34:L37)</f>
        <v>1.9</v>
      </c>
      <c r="M38" s="216">
        <f>MROUND(AVERAGE(M34:M37),0.05)</f>
        <v>2.35</v>
      </c>
      <c r="N38" s="216">
        <f t="shared" ref="N38:Q38" si="13">MROUND(AVERAGE(N34:N37),0.05)</f>
        <v>2.5</v>
      </c>
      <c r="O38" s="216">
        <f t="shared" si="13"/>
        <v>2.4000000000000004</v>
      </c>
      <c r="P38" s="216">
        <f t="shared" si="13"/>
        <v>2.5</v>
      </c>
      <c r="Q38" s="216">
        <f t="shared" si="13"/>
        <v>2.6</v>
      </c>
      <c r="R38" t="s">
        <v>93</v>
      </c>
      <c r="S38" s="216"/>
      <c r="T38" s="216"/>
      <c r="U38" s="216"/>
      <c r="W38" s="216"/>
      <c r="X38" s="216"/>
      <c r="Y38" s="216"/>
    </row>
    <row r="39" spans="1:25">
      <c r="A39" s="299"/>
      <c r="B39" s="231">
        <v>43800</v>
      </c>
      <c r="C39" s="133" t="s">
        <v>1</v>
      </c>
      <c r="D39" s="138">
        <f>'Aug18'!D37</f>
        <v>5.01</v>
      </c>
      <c r="E39" s="138">
        <f>'Aug18'!E37</f>
        <v>4.38</v>
      </c>
      <c r="F39" s="138">
        <f>'Aug18'!F37</f>
        <v>5.14</v>
      </c>
      <c r="G39" s="138">
        <f>'Aug18'!G37</f>
        <v>3.78</v>
      </c>
      <c r="H39" s="138">
        <f>'Aug18'!H37</f>
        <v>2.42</v>
      </c>
      <c r="I39" s="138">
        <f>'Dec18'!I37</f>
        <v>3.2375000000000003</v>
      </c>
      <c r="J39" s="138">
        <f>'Dec18'!J37</f>
        <v>3.5142500000000001</v>
      </c>
      <c r="K39" s="138">
        <v>3.08</v>
      </c>
      <c r="L39" s="138">
        <v>2.1</v>
      </c>
      <c r="M39" s="138">
        <v>2.25</v>
      </c>
      <c r="N39" s="138">
        <v>2.5</v>
      </c>
      <c r="O39" s="138">
        <v>2.5</v>
      </c>
      <c r="P39" s="138">
        <v>2.5</v>
      </c>
      <c r="Q39" s="138">
        <v>2.5</v>
      </c>
      <c r="S39" t="s">
        <v>89</v>
      </c>
      <c r="W39" t="s">
        <v>90</v>
      </c>
    </row>
    <row r="40" spans="1:25">
      <c r="A40" s="230"/>
      <c r="B40" s="232">
        <v>43941</v>
      </c>
      <c r="C40" s="233" t="s">
        <v>91</v>
      </c>
      <c r="D40" s="234"/>
      <c r="E40" s="234"/>
      <c r="F40" s="234"/>
      <c r="G40" s="234"/>
      <c r="H40" s="234"/>
      <c r="I40" s="234"/>
      <c r="J40" s="234"/>
      <c r="K40" s="234"/>
      <c r="L40" s="138">
        <f>'Apr 20'!L38</f>
        <v>1.95</v>
      </c>
      <c r="M40" s="138">
        <f>'Apr 20'!M38</f>
        <v>2.1524999999999999</v>
      </c>
      <c r="N40" s="138">
        <f>'Apr 20'!N38</f>
        <v>2.2999999999999998</v>
      </c>
      <c r="O40" s="138"/>
      <c r="P40" s="138"/>
      <c r="Q40" s="138"/>
    </row>
    <row r="41" spans="1:25">
      <c r="A41" s="65"/>
      <c r="B41" s="65"/>
      <c r="C41" s="65"/>
      <c r="D41" s="76"/>
      <c r="E41" s="76"/>
      <c r="F41" s="76"/>
      <c r="G41" s="130"/>
      <c r="H41" s="130"/>
      <c r="I41" s="130"/>
      <c r="J41" s="130"/>
      <c r="K41" s="130"/>
      <c r="L41" s="130"/>
      <c r="M41" s="130"/>
    </row>
    <row r="42" spans="1:25">
      <c r="A42" s="287" t="s">
        <v>19</v>
      </c>
      <c r="B42" s="273">
        <v>44044</v>
      </c>
      <c r="C42" s="136" t="s">
        <v>2</v>
      </c>
      <c r="D42" s="160"/>
      <c r="E42" s="161"/>
      <c r="F42" s="161"/>
      <c r="G42" s="161"/>
      <c r="H42" s="161"/>
      <c r="I42" s="161">
        <v>1235.7</v>
      </c>
      <c r="J42" s="161"/>
      <c r="K42" s="161"/>
      <c r="L42" s="161">
        <v>1827.65</v>
      </c>
      <c r="M42" s="161">
        <v>1745.53</v>
      </c>
      <c r="N42" s="161">
        <v>1693.47</v>
      </c>
      <c r="O42" s="161">
        <v>1709.15</v>
      </c>
      <c r="P42" s="161">
        <v>1716.12</v>
      </c>
      <c r="Q42" s="161">
        <v>1720.36</v>
      </c>
      <c r="S42" s="161"/>
      <c r="T42" s="161"/>
      <c r="U42" s="161"/>
      <c r="W42" s="161"/>
      <c r="X42" s="161"/>
      <c r="Y42" s="161"/>
    </row>
    <row r="43" spans="1:25">
      <c r="A43" s="288"/>
      <c r="B43" s="272"/>
      <c r="C43" s="139" t="s">
        <v>0</v>
      </c>
      <c r="D43" s="162"/>
      <c r="E43" s="162"/>
      <c r="F43" s="162"/>
      <c r="G43" s="162"/>
      <c r="H43" s="162"/>
      <c r="I43" s="162"/>
      <c r="J43" s="162"/>
      <c r="K43" s="215"/>
      <c r="L43" s="215">
        <v>1829.34</v>
      </c>
      <c r="M43" s="215">
        <v>1728.8</v>
      </c>
      <c r="N43" s="215">
        <v>1699.05</v>
      </c>
      <c r="O43" s="215">
        <v>1713.86</v>
      </c>
      <c r="P43" s="215">
        <v>1731</v>
      </c>
      <c r="Q43" s="215">
        <v>1748.31</v>
      </c>
      <c r="S43" s="215"/>
      <c r="T43" s="215"/>
      <c r="U43" s="215"/>
      <c r="W43" s="215"/>
      <c r="X43" s="215"/>
      <c r="Y43" s="215"/>
    </row>
    <row r="44" spans="1:25">
      <c r="A44" s="288"/>
      <c r="B44" s="272"/>
      <c r="C44" s="141" t="s">
        <v>3</v>
      </c>
      <c r="D44" s="163"/>
      <c r="E44" s="163"/>
      <c r="F44" s="163"/>
      <c r="G44" s="163"/>
      <c r="H44" s="163"/>
      <c r="I44" s="163">
        <v>1235.5999999999999</v>
      </c>
      <c r="J44" s="163"/>
      <c r="K44" s="163"/>
      <c r="L44" s="163">
        <v>1829.3</v>
      </c>
      <c r="M44" s="163">
        <v>1722.2</v>
      </c>
      <c r="N44" s="163">
        <v>1723</v>
      </c>
      <c r="O44" s="163">
        <v>1730.3</v>
      </c>
      <c r="P44" s="163">
        <v>1731.3</v>
      </c>
      <c r="Q44" s="163">
        <v>1735.3</v>
      </c>
      <c r="S44" s="163"/>
      <c r="T44" s="163"/>
      <c r="U44" s="163"/>
      <c r="W44" s="163"/>
      <c r="X44" s="163"/>
      <c r="Y44" s="163"/>
    </row>
    <row r="45" spans="1:25">
      <c r="A45" s="288"/>
      <c r="B45" s="272"/>
      <c r="C45" s="143" t="s">
        <v>1</v>
      </c>
      <c r="D45" s="152">
        <v>1227</v>
      </c>
      <c r="E45" s="152">
        <v>1177.5</v>
      </c>
      <c r="F45" s="153">
        <v>1184.7</v>
      </c>
      <c r="G45" s="153">
        <v>1184.8</v>
      </c>
      <c r="H45" s="153">
        <v>1175</v>
      </c>
      <c r="I45" s="153">
        <f>(+AVERAGE(I42:I44))</f>
        <v>1235.6500000000001</v>
      </c>
      <c r="J45" s="206">
        <v>1361</v>
      </c>
      <c r="K45" s="214">
        <v>1562</v>
      </c>
      <c r="L45" s="242">
        <v>1829.192</v>
      </c>
      <c r="M45" s="242">
        <f>MROUND(AVERAGE(M42:M44),5)</f>
        <v>1730</v>
      </c>
      <c r="N45" s="242">
        <f t="shared" ref="N45:Q45" si="14">MROUND(AVERAGE(N42:N44),5)</f>
        <v>1705</v>
      </c>
      <c r="O45" s="242">
        <f t="shared" si="14"/>
        <v>1720</v>
      </c>
      <c r="P45" s="242">
        <f t="shared" si="14"/>
        <v>1725</v>
      </c>
      <c r="Q45" s="242">
        <f t="shared" si="14"/>
        <v>1735</v>
      </c>
      <c r="R45" t="s">
        <v>93</v>
      </c>
      <c r="S45" s="226">
        <f>MROUND(M45*0.95,5)</f>
        <v>1645</v>
      </c>
      <c r="T45" s="226">
        <f t="shared" ref="T45:U45" si="15">MROUND(N45*0.95,5)</f>
        <v>1620</v>
      </c>
      <c r="U45" s="226">
        <f t="shared" si="15"/>
        <v>1635</v>
      </c>
      <c r="W45" s="226">
        <f>MROUND(M45*1.05,5)</f>
        <v>1815</v>
      </c>
      <c r="X45" s="226">
        <f t="shared" ref="X45:Y45" si="16">MROUND(N45*1.05,5)</f>
        <v>1790</v>
      </c>
      <c r="Y45" s="226">
        <f t="shared" si="16"/>
        <v>1805</v>
      </c>
    </row>
    <row r="46" spans="1:25">
      <c r="A46" s="288"/>
      <c r="B46" s="273">
        <v>43800</v>
      </c>
      <c r="C46" s="133" t="s">
        <v>1</v>
      </c>
      <c r="D46" s="160">
        <f>'Aug18'!D52</f>
        <v>1227</v>
      </c>
      <c r="E46" s="160">
        <f>'Aug18'!E52</f>
        <v>1177.5</v>
      </c>
      <c r="F46" s="160">
        <f>'Aug18'!F52</f>
        <v>1184.7</v>
      </c>
      <c r="G46" s="160">
        <f>'Aug18'!G52</f>
        <v>1184.8</v>
      </c>
      <c r="H46" s="160">
        <f>'Aug18'!H52</f>
        <v>1175</v>
      </c>
      <c r="I46" s="160">
        <f>'Dec18'!I52</f>
        <v>1235.6500000000001</v>
      </c>
      <c r="J46" s="160">
        <f>'Dec18'!J52</f>
        <v>1361</v>
      </c>
      <c r="K46" s="160">
        <v>1562.1499999999999</v>
      </c>
      <c r="L46" s="160">
        <v>1610</v>
      </c>
      <c r="M46" s="160">
        <v>1625.4313099041533</v>
      </c>
      <c r="N46" s="160">
        <v>1650</v>
      </c>
      <c r="O46" s="160">
        <v>1665.4205607476633</v>
      </c>
      <c r="P46" s="160">
        <v>1675</v>
      </c>
      <c r="Q46" s="160">
        <v>1675</v>
      </c>
      <c r="S46" s="112">
        <f>+S45/L45-1</f>
        <v>-0.10069582635393115</v>
      </c>
      <c r="T46" s="112">
        <f>+T23/2</f>
        <v>8.6206896551723755E-3</v>
      </c>
      <c r="U46" s="112">
        <f>+U23/2</f>
        <v>1.6949152542372836E-2</v>
      </c>
      <c r="W46" s="112">
        <f>+W45/L45-1</f>
        <v>-7.7586169193829546E-3</v>
      </c>
      <c r="X46" s="112">
        <f>+X23/2</f>
        <v>8.6206896551723755E-3</v>
      </c>
      <c r="Y46" s="112">
        <f>+Y23/2</f>
        <v>1.6949152542372836E-2</v>
      </c>
    </row>
    <row r="47" spans="1:25" ht="14.65" hidden="1" customHeight="1">
      <c r="A47" s="288"/>
      <c r="B47" s="272"/>
      <c r="C47" s="133" t="s">
        <v>1</v>
      </c>
      <c r="D47" s="160">
        <v>1227</v>
      </c>
      <c r="E47" s="160">
        <v>1177.5</v>
      </c>
      <c r="F47" s="160">
        <v>1187.3</v>
      </c>
      <c r="G47" s="160">
        <v>1181</v>
      </c>
      <c r="H47" s="160">
        <v>1150</v>
      </c>
      <c r="I47" s="160">
        <v>1118</v>
      </c>
      <c r="J47" s="160">
        <v>1088</v>
      </c>
      <c r="K47" s="160">
        <v>1052</v>
      </c>
      <c r="L47" s="160"/>
      <c r="M47" s="160"/>
      <c r="N47" s="160"/>
      <c r="O47" s="160"/>
      <c r="P47" s="160"/>
      <c r="Q47" s="160"/>
    </row>
    <row r="48" spans="1:25" ht="14.65" hidden="1" customHeight="1">
      <c r="A48" s="288"/>
      <c r="B48" s="272"/>
      <c r="C48" s="133" t="s">
        <v>1</v>
      </c>
      <c r="D48" s="160">
        <v>1227</v>
      </c>
      <c r="E48" s="160">
        <v>1177.5</v>
      </c>
      <c r="F48" s="160">
        <v>1170</v>
      </c>
      <c r="G48" s="160">
        <v>1158.3</v>
      </c>
      <c r="H48" s="160">
        <v>1123.5509999999999</v>
      </c>
      <c r="I48" s="160">
        <v>1089.84447</v>
      </c>
      <c r="J48" s="160">
        <v>1057.1491358999999</v>
      </c>
      <c r="K48" s="160">
        <v>1025.4346618229999</v>
      </c>
      <c r="L48" s="160"/>
      <c r="M48" s="160"/>
      <c r="N48" s="160"/>
      <c r="O48" s="160"/>
      <c r="P48" s="160"/>
      <c r="Q48" s="160"/>
    </row>
    <row r="49" spans="1:23" ht="14.65" hidden="1" customHeight="1">
      <c r="A49" s="288"/>
      <c r="B49" s="272"/>
      <c r="C49" s="133" t="s">
        <v>1</v>
      </c>
      <c r="D49" s="160">
        <v>1225.8499999999999</v>
      </c>
      <c r="E49" s="160">
        <v>1165</v>
      </c>
      <c r="F49" s="160">
        <v>1110</v>
      </c>
      <c r="G49" s="160">
        <v>1070</v>
      </c>
      <c r="H49" s="160">
        <v>1030</v>
      </c>
      <c r="I49" s="160">
        <v>1000</v>
      </c>
      <c r="J49" s="160">
        <v>960</v>
      </c>
      <c r="K49" s="165"/>
      <c r="L49" s="165"/>
      <c r="M49" s="165"/>
      <c r="N49" s="165"/>
      <c r="O49" s="165"/>
      <c r="P49" s="165"/>
      <c r="Q49" s="165"/>
    </row>
    <row r="50" spans="1:23" hidden="1">
      <c r="A50" s="288"/>
      <c r="B50" s="33">
        <v>41317</v>
      </c>
      <c r="C50" s="133" t="s">
        <v>1</v>
      </c>
      <c r="D50" s="165">
        <v>1226</v>
      </c>
      <c r="E50" s="165">
        <v>1185</v>
      </c>
      <c r="F50" s="165">
        <v>1151</v>
      </c>
      <c r="G50" s="165">
        <v>1121</v>
      </c>
      <c r="H50" s="165">
        <v>1090.1407234210708</v>
      </c>
      <c r="I50" s="165">
        <v>1048</v>
      </c>
      <c r="J50" s="165"/>
      <c r="K50" s="165"/>
      <c r="L50" s="165"/>
      <c r="M50" s="165"/>
      <c r="N50" s="165"/>
      <c r="O50" s="165"/>
      <c r="P50" s="165"/>
      <c r="Q50" s="165"/>
    </row>
    <row r="51" spans="1:23" hidden="1">
      <c r="A51" s="288"/>
      <c r="B51" s="33">
        <v>41244</v>
      </c>
      <c r="C51" s="133" t="s">
        <v>1</v>
      </c>
      <c r="D51" s="165">
        <v>1228.5423506666664</v>
      </c>
      <c r="E51" s="165">
        <v>1184.5870287874238</v>
      </c>
      <c r="F51" s="165">
        <v>1151.3778293463738</v>
      </c>
      <c r="G51" s="165">
        <v>1121.0332793283103</v>
      </c>
      <c r="H51" s="165">
        <v>1090.1407234210708</v>
      </c>
      <c r="I51" s="165">
        <v>1048</v>
      </c>
      <c r="J51" s="165">
        <v>1048</v>
      </c>
      <c r="K51" s="165"/>
      <c r="L51" s="165"/>
      <c r="M51" s="165"/>
      <c r="N51" s="165"/>
      <c r="O51" s="165"/>
      <c r="P51" s="165"/>
      <c r="Q51" s="165"/>
    </row>
    <row r="52" spans="1:23">
      <c r="A52" s="288"/>
      <c r="B52" s="33">
        <f>B42</f>
        <v>44044</v>
      </c>
      <c r="C52" s="292" t="s">
        <v>16</v>
      </c>
      <c r="D52" s="293"/>
      <c r="E52" s="167">
        <f t="shared" ref="E52:M54" si="17">(E45-D45)/D45</f>
        <v>-4.0342298288508556E-2</v>
      </c>
      <c r="F52" s="167">
        <f t="shared" si="17"/>
        <v>6.1146496815287013E-3</v>
      </c>
      <c r="G52" s="167">
        <f>(G45-F45)/F45</f>
        <v>8.4409555161567526E-5</v>
      </c>
      <c r="H52" s="167">
        <f t="shared" si="17"/>
        <v>-8.2714382174206239E-3</v>
      </c>
      <c r="I52" s="167">
        <f t="shared" si="17"/>
        <v>5.1617021276595822E-2</v>
      </c>
      <c r="J52" s="167">
        <f t="shared" si="17"/>
        <v>0.10144458382227969</v>
      </c>
      <c r="K52" s="167">
        <f t="shared" si="17"/>
        <v>0.14768552534900808</v>
      </c>
      <c r="L52" s="167">
        <f t="shared" ref="L52" si="18">+L29/2</f>
        <v>0.11347645333333332</v>
      </c>
      <c r="M52" s="167">
        <f>+M45/L45-1</f>
        <v>-5.4227221636657053E-2</v>
      </c>
      <c r="N52" s="167">
        <f t="shared" ref="N52:Q52" si="19">+N45/M45-1</f>
        <v>-1.4450867052023142E-2</v>
      </c>
      <c r="O52" s="167">
        <f t="shared" si="19"/>
        <v>8.7976539589442737E-3</v>
      </c>
      <c r="P52" s="167">
        <f t="shared" si="19"/>
        <v>2.9069767441860517E-3</v>
      </c>
      <c r="Q52" s="167">
        <f t="shared" si="19"/>
        <v>5.7971014492752548E-3</v>
      </c>
      <c r="S52" t="s">
        <v>89</v>
      </c>
      <c r="W52" t="s">
        <v>90</v>
      </c>
    </row>
    <row r="53" spans="1:23" hidden="1">
      <c r="A53" s="288"/>
      <c r="B53" s="33">
        <f>B39</f>
        <v>43800</v>
      </c>
      <c r="C53" s="290" t="s">
        <v>16</v>
      </c>
      <c r="D53" s="291"/>
      <c r="E53" s="168">
        <f>(E46-D46)/D46</f>
        <v>-4.0342298288508556E-2</v>
      </c>
      <c r="F53" s="168">
        <f t="shared" si="17"/>
        <v>6.1146496815287013E-3</v>
      </c>
      <c r="G53" s="168">
        <f>(G46-F46)/F46</f>
        <v>8.4409555161567526E-5</v>
      </c>
      <c r="H53" s="168">
        <f t="shared" si="17"/>
        <v>-8.2714382174206239E-3</v>
      </c>
      <c r="I53" s="168">
        <f t="shared" si="17"/>
        <v>5.1617021276595822E-2</v>
      </c>
      <c r="J53" s="168">
        <f t="shared" si="17"/>
        <v>0.10144458382227969</v>
      </c>
      <c r="K53" s="168">
        <v>0.15723732549595884</v>
      </c>
      <c r="L53" s="168">
        <f>+L46/K46-1</f>
        <v>3.0630861312934243E-2</v>
      </c>
      <c r="M53" s="168">
        <f t="shared" ref="M53:Q53" si="20">+M46/L46-1</f>
        <v>9.5846645367412275E-3</v>
      </c>
      <c r="N53" s="168">
        <f t="shared" si="20"/>
        <v>1.5115182011164352E-2</v>
      </c>
      <c r="O53" s="168">
        <f t="shared" si="20"/>
        <v>9.3457943925232545E-3</v>
      </c>
      <c r="P53" s="168">
        <f t="shared" si="20"/>
        <v>5.7519640852976561E-3</v>
      </c>
      <c r="Q53" s="168">
        <f t="shared" si="20"/>
        <v>0</v>
      </c>
    </row>
    <row r="54" spans="1:23" hidden="1">
      <c r="A54" s="288"/>
      <c r="B54" s="33">
        <v>41974</v>
      </c>
      <c r="C54" s="290" t="s">
        <v>16</v>
      </c>
      <c r="D54" s="291"/>
      <c r="E54" s="147">
        <f>(E47-D47)/D47</f>
        <v>-4.0342298288508556E-2</v>
      </c>
      <c r="F54" s="147">
        <f t="shared" si="17"/>
        <v>8.3227176220806408E-3</v>
      </c>
      <c r="G54" s="147">
        <f t="shared" si="17"/>
        <v>-5.3061568264128316E-3</v>
      </c>
      <c r="H54" s="147">
        <f t="shared" si="17"/>
        <v>-2.6248941574936496E-2</v>
      </c>
      <c r="I54" s="147">
        <f t="shared" si="17"/>
        <v>-2.782608695652174E-2</v>
      </c>
      <c r="J54" s="147">
        <f t="shared" si="17"/>
        <v>-2.6833631484794274E-2</v>
      </c>
      <c r="K54" s="147">
        <f t="shared" si="17"/>
        <v>-3.3088235294117647E-2</v>
      </c>
      <c r="L54" s="147">
        <f t="shared" si="17"/>
        <v>-1</v>
      </c>
      <c r="M54" s="147" t="e">
        <f t="shared" si="17"/>
        <v>#DIV/0!</v>
      </c>
    </row>
    <row r="55" spans="1:23" hidden="1">
      <c r="A55" s="289"/>
      <c r="B55" s="33">
        <v>41499</v>
      </c>
      <c r="C55" s="292" t="s">
        <v>16</v>
      </c>
      <c r="D55" s="293"/>
      <c r="E55" s="146">
        <f t="shared" ref="E55:J55" si="21">(E49-D49)/D49</f>
        <v>-4.9639025981971625E-2</v>
      </c>
      <c r="F55" s="146">
        <f t="shared" si="21"/>
        <v>-4.7210300429184553E-2</v>
      </c>
      <c r="G55" s="146">
        <f t="shared" si="21"/>
        <v>-3.6036036036036036E-2</v>
      </c>
      <c r="H55" s="146">
        <f t="shared" si="21"/>
        <v>-3.7383177570093455E-2</v>
      </c>
      <c r="I55" s="146">
        <f t="shared" si="21"/>
        <v>-2.9126213592233011E-2</v>
      </c>
      <c r="J55" s="146">
        <f t="shared" si="21"/>
        <v>-0.04</v>
      </c>
      <c r="K55" s="146"/>
      <c r="L55" s="146"/>
      <c r="M55" s="146"/>
    </row>
    <row r="56" spans="1:23" hidden="1">
      <c r="A56" s="108"/>
      <c r="B56" s="13"/>
      <c r="F56" s="112"/>
      <c r="G56" s="112"/>
      <c r="H56" s="112"/>
      <c r="I56" s="112"/>
      <c r="J56" s="112"/>
      <c r="K56" s="112"/>
      <c r="L56" s="217"/>
      <c r="M56" s="112"/>
    </row>
    <row r="57" spans="1:23" hidden="1">
      <c r="A57" s="9"/>
      <c r="B57" s="13"/>
      <c r="E57" s="94"/>
      <c r="F57" s="94"/>
      <c r="G57" s="112"/>
      <c r="H57" s="112"/>
      <c r="I57" s="112"/>
      <c r="J57" s="112"/>
      <c r="K57" s="112"/>
      <c r="L57" s="112"/>
      <c r="M57" s="112"/>
      <c r="N57" s="112"/>
      <c r="O57" s="112"/>
      <c r="P57" s="112"/>
      <c r="Q57" s="112"/>
    </row>
    <row r="58" spans="1:23" hidden="1">
      <c r="A58" s="9"/>
      <c r="B58" s="13"/>
      <c r="E58" s="94"/>
      <c r="F58" s="94"/>
      <c r="G58" s="94"/>
      <c r="H58" s="112"/>
      <c r="I58" s="112"/>
      <c r="J58" s="112"/>
      <c r="K58" s="112"/>
      <c r="L58" s="112"/>
      <c r="M58" s="112">
        <f t="shared" ref="M58:Q59" si="22">M43/L43-1</f>
        <v>-5.4959712245946646E-2</v>
      </c>
      <c r="N58" s="112">
        <f t="shared" si="22"/>
        <v>-1.7208468301712188E-2</v>
      </c>
      <c r="O58" s="112">
        <f t="shared" si="22"/>
        <v>8.716635767046288E-3</v>
      </c>
      <c r="P58" s="112">
        <f t="shared" si="22"/>
        <v>1.00008168695227E-2</v>
      </c>
      <c r="Q58" s="112">
        <f t="shared" si="22"/>
        <v>1.0000000000000009E-2</v>
      </c>
    </row>
    <row r="59" spans="1:23" hidden="1">
      <c r="A59" s="9"/>
      <c r="B59" s="13"/>
      <c r="L59" s="112"/>
      <c r="M59" s="112">
        <f t="shared" si="22"/>
        <v>-5.8546985185590095E-2</v>
      </c>
      <c r="N59" s="112">
        <f t="shared" si="22"/>
        <v>4.6452212286607342E-4</v>
      </c>
      <c r="O59" s="112">
        <f t="shared" si="22"/>
        <v>4.2367962855485164E-3</v>
      </c>
      <c r="P59" s="112">
        <f t="shared" si="22"/>
        <v>5.7793446223208811E-4</v>
      </c>
      <c r="Q59" s="112">
        <f t="shared" si="22"/>
        <v>2.3104025876508061E-3</v>
      </c>
    </row>
    <row r="60" spans="1:23" hidden="1">
      <c r="A60" s="9"/>
      <c r="B60" s="13"/>
      <c r="L60" s="213"/>
      <c r="M60" s="213">
        <f t="shared" ref="M60:P60" si="23">AVERAGE(M57:M59)</f>
        <v>-5.675334871576837E-2</v>
      </c>
      <c r="N60" s="213">
        <f t="shared" si="23"/>
        <v>-8.3719730894230571E-3</v>
      </c>
      <c r="O60" s="213">
        <f t="shared" si="23"/>
        <v>6.4767160262974022E-3</v>
      </c>
      <c r="P60" s="213">
        <f t="shared" si="23"/>
        <v>5.2893756658773938E-3</v>
      </c>
      <c r="Q60" s="213">
        <f t="shared" ref="Q60" si="24">AVERAGE(Q57:Q59)</f>
        <v>6.1552012938254075E-3</v>
      </c>
    </row>
    <row r="61" spans="1:23" hidden="1">
      <c r="A61" s="9"/>
      <c r="B61" s="13"/>
    </row>
    <row r="62" spans="1:23">
      <c r="A62" s="9"/>
      <c r="B62" s="13"/>
      <c r="M62" s="112">
        <f>+M29/2</f>
        <v>-0.10607018353586795</v>
      </c>
      <c r="N62" s="112">
        <f t="shared" ref="N62:Q62" si="25">+N29/2</f>
        <v>8.6206896551724137E-3</v>
      </c>
      <c r="O62" s="112">
        <f t="shared" si="25"/>
        <v>1.4999999999999999E-2</v>
      </c>
      <c r="P62" s="112">
        <f t="shared" si="25"/>
        <v>1.4999999999999999E-2</v>
      </c>
      <c r="Q62" s="112">
        <f t="shared" si="25"/>
        <v>1.4999999999999999E-2</v>
      </c>
    </row>
    <row r="63" spans="1:23">
      <c r="A63" s="9"/>
      <c r="B63" s="13"/>
    </row>
    <row r="64" spans="1:23">
      <c r="A64" s="65"/>
      <c r="B64" s="65"/>
      <c r="C64" s="228" t="s">
        <v>4</v>
      </c>
      <c r="D64" s="229"/>
      <c r="E64" s="229"/>
      <c r="F64" s="229"/>
      <c r="G64" s="229"/>
      <c r="H64" s="229"/>
      <c r="I64" s="229"/>
      <c r="J64" s="229"/>
      <c r="K64" s="229"/>
      <c r="L64" s="229"/>
      <c r="M64" s="235">
        <f>M18/L22-1</f>
        <v>-0.2012733376520357</v>
      </c>
      <c r="N64" s="235">
        <f t="shared" ref="N64:Q64" si="26">N18/M18-1</f>
        <v>1.0204081632652962E-2</v>
      </c>
      <c r="O64" s="235">
        <f t="shared" si="26"/>
        <v>2.6936026936027035E-2</v>
      </c>
      <c r="P64" s="235">
        <f t="shared" si="26"/>
        <v>2.2950819672131084E-2</v>
      </c>
      <c r="Q64" s="235">
        <f t="shared" si="26"/>
        <v>2.2435897435897356E-2</v>
      </c>
    </row>
    <row r="65" spans="1:17">
      <c r="A65" s="281" t="s">
        <v>12</v>
      </c>
      <c r="B65" s="273">
        <v>44044</v>
      </c>
      <c r="C65" s="136" t="s">
        <v>2</v>
      </c>
      <c r="D65" s="148"/>
      <c r="E65" s="148"/>
      <c r="F65" s="148"/>
      <c r="G65" s="148"/>
      <c r="H65" s="148"/>
      <c r="I65" s="148">
        <v>155.96</v>
      </c>
      <c r="J65" s="148"/>
      <c r="K65" s="148"/>
      <c r="L65" s="148"/>
      <c r="M65" s="168">
        <f>M19/L22-1</f>
        <v>-0.15780521997323493</v>
      </c>
      <c r="N65" s="168">
        <f t="shared" ref="N65:Q65" si="27">N19/M19-1</f>
        <v>-2.6580645161290328E-2</v>
      </c>
      <c r="O65" s="168">
        <f t="shared" si="27"/>
        <v>8.3278101802757076E-2</v>
      </c>
      <c r="P65" s="168">
        <f t="shared" si="27"/>
        <v>6.6352595674385784E-2</v>
      </c>
      <c r="Q65" s="168">
        <f t="shared" si="27"/>
        <v>5.4564232027081383E-2</v>
      </c>
    </row>
    <row r="66" spans="1:17">
      <c r="A66" s="281"/>
      <c r="B66" s="272"/>
      <c r="C66" s="139" t="s">
        <v>0</v>
      </c>
      <c r="D66" s="149"/>
      <c r="E66" s="149"/>
      <c r="F66" s="149"/>
      <c r="G66" s="149"/>
      <c r="H66" s="149"/>
      <c r="I66" s="149"/>
      <c r="J66" s="149"/>
      <c r="K66" s="149"/>
      <c r="L66" s="149"/>
      <c r="M66" s="236">
        <f>M20/L22-1</f>
        <v>-0.25696686342799924</v>
      </c>
      <c r="N66" s="236">
        <f t="shared" ref="N66:Q66" si="28">N20/M20-1</f>
        <v>4.2010968921389447E-2</v>
      </c>
      <c r="O66" s="236">
        <f t="shared" si="28"/>
        <v>4.2001473735920447E-2</v>
      </c>
      <c r="P66" s="236">
        <f t="shared" si="28"/>
        <v>3.7984913793103647E-2</v>
      </c>
      <c r="Q66" s="236">
        <f t="shared" si="28"/>
        <v>3.8022320269919474E-2</v>
      </c>
    </row>
    <row r="67" spans="1:17">
      <c r="A67" s="281"/>
      <c r="B67" s="272"/>
      <c r="C67" s="141" t="s">
        <v>3</v>
      </c>
      <c r="D67" s="151"/>
      <c r="E67" s="151"/>
      <c r="F67" s="151"/>
      <c r="G67" s="151"/>
      <c r="H67" s="151"/>
      <c r="I67" s="151">
        <v>155.9</v>
      </c>
      <c r="J67" s="151"/>
      <c r="K67" s="151"/>
      <c r="L67" s="151"/>
      <c r="M67" s="237">
        <f>M21/L22-1</f>
        <v>-0.21105366412976589</v>
      </c>
      <c r="N67" s="237">
        <f t="shared" ref="N67:Q67" si="29">N21/M21-1</f>
        <v>2.3130165289256377E-2</v>
      </c>
      <c r="O67" s="237">
        <f t="shared" si="29"/>
        <v>2.6908591564939188E-2</v>
      </c>
      <c r="P67" s="237">
        <f t="shared" si="29"/>
        <v>2.2840792889168515E-2</v>
      </c>
      <c r="Q67" s="237">
        <f t="shared" si="29"/>
        <v>3.5750334047891297E-2</v>
      </c>
    </row>
    <row r="68" spans="1:17">
      <c r="A68" s="281"/>
      <c r="B68" s="272"/>
      <c r="C68" s="143" t="s">
        <v>1</v>
      </c>
      <c r="D68" s="152">
        <v>80.3</v>
      </c>
      <c r="E68" s="152">
        <v>96.4</v>
      </c>
      <c r="F68" s="153">
        <v>113.9</v>
      </c>
      <c r="G68" s="153">
        <v>141.4</v>
      </c>
      <c r="H68" s="153">
        <v>146.69999999999999</v>
      </c>
      <c r="I68" s="153">
        <v>153</v>
      </c>
      <c r="J68" s="206">
        <f>J69</f>
        <v>0</v>
      </c>
      <c r="K68" s="209">
        <v>300</v>
      </c>
      <c r="L68" s="226"/>
      <c r="M68" s="238">
        <f>AVERAGE(M64:M67)</f>
        <v>-0.20677477129575894</v>
      </c>
      <c r="N68" s="238">
        <f t="shared" ref="N68:Q68" si="30">AVERAGE(N64:N67)</f>
        <v>1.2191142670502114E-2</v>
      </c>
      <c r="O68" s="238">
        <f t="shared" si="30"/>
        <v>4.4781048509910937E-2</v>
      </c>
      <c r="P68" s="238">
        <f t="shared" si="30"/>
        <v>3.7532280507197258E-2</v>
      </c>
      <c r="Q68" s="238">
        <f t="shared" si="30"/>
        <v>3.7693195945197377E-2</v>
      </c>
    </row>
    <row r="69" spans="1:17">
      <c r="A69" s="281"/>
      <c r="B69" s="33">
        <v>43983</v>
      </c>
      <c r="C69" s="133" t="s">
        <v>1</v>
      </c>
      <c r="D69" s="154">
        <f>'Aug18'!D67</f>
        <v>0</v>
      </c>
      <c r="E69" s="154">
        <f>'Aug18'!E67</f>
        <v>0</v>
      </c>
      <c r="F69" s="154">
        <f>'Aug18'!F67</f>
        <v>0</v>
      </c>
      <c r="G69" s="154">
        <f>'Aug18'!G67</f>
        <v>0</v>
      </c>
      <c r="H69" s="154">
        <f>'Aug18'!H67</f>
        <v>0</v>
      </c>
      <c r="I69" s="154">
        <f>'Dec18'!I67</f>
        <v>0</v>
      </c>
      <c r="J69" s="154">
        <f>'Dec18'!J67</f>
        <v>0</v>
      </c>
      <c r="K69" s="154">
        <v>300.43599999999998</v>
      </c>
      <c r="L69" s="154"/>
      <c r="M69" s="239">
        <v>-0.28169014084507044</v>
      </c>
      <c r="N69" s="239">
        <v>-0.11764705882352941</v>
      </c>
      <c r="O69" s="239">
        <v>6.6666666666666666E-2</v>
      </c>
      <c r="P69" s="239">
        <v>6.25E-2</v>
      </c>
      <c r="Q69" s="154"/>
    </row>
  </sheetData>
  <mergeCells count="25">
    <mergeCell ref="A65:A69"/>
    <mergeCell ref="B65:B68"/>
    <mergeCell ref="A2:A16"/>
    <mergeCell ref="B2:B6"/>
    <mergeCell ref="B7:B11"/>
    <mergeCell ref="C13:D13"/>
    <mergeCell ref="C14:D14"/>
    <mergeCell ref="C15:D15"/>
    <mergeCell ref="C16:D16"/>
    <mergeCell ref="C52:D52"/>
    <mergeCell ref="C53:D53"/>
    <mergeCell ref="C54:D54"/>
    <mergeCell ref="C55:D55"/>
    <mergeCell ref="A19:A32"/>
    <mergeCell ref="B19:B22"/>
    <mergeCell ref="B23:B26"/>
    <mergeCell ref="C29:D29"/>
    <mergeCell ref="C30:D30"/>
    <mergeCell ref="C31:D31"/>
    <mergeCell ref="C32:D32"/>
    <mergeCell ref="A34:A39"/>
    <mergeCell ref="B34:B38"/>
    <mergeCell ref="A42:A55"/>
    <mergeCell ref="B42:B45"/>
    <mergeCell ref="B46:B49"/>
  </mergeCells>
  <pageMargins left="0.5" right="0.17" top="0.63" bottom="0.75" header="0.3" footer="0.3"/>
  <pageSetup orientation="landscape" r:id="rId1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pageSetUpPr fitToPage="1"/>
  </sheetPr>
  <dimension ref="A1:Z69"/>
  <sheetViews>
    <sheetView zoomScale="145" zoomScaleNormal="145" workbookViewId="0">
      <pane xSplit="3" ySplit="1" topLeftCell="L2" activePane="bottomRight" state="frozen"/>
      <selection activeCell="I6" sqref="I6"/>
      <selection pane="topRight" activeCell="I6" sqref="I6"/>
      <selection pane="bottomLeft" activeCell="I6" sqref="I6"/>
      <selection pane="bottomRight" activeCell="I6" sqref="I6"/>
    </sheetView>
  </sheetViews>
  <sheetFormatPr defaultColWidth="9.28515625" defaultRowHeight="15"/>
  <cols>
    <col min="1" max="1" width="9.42578125" customWidth="1"/>
    <col min="2" max="2" width="7.5703125" bestFit="1" customWidth="1"/>
    <col min="3" max="3" width="13" customWidth="1"/>
    <col min="4" max="4" width="7.7109375" hidden="1" customWidth="1"/>
    <col min="5" max="5" width="8.28515625" hidden="1" customWidth="1"/>
    <col min="6" max="6" width="9.28515625" hidden="1" customWidth="1"/>
    <col min="7" max="7" width="13.42578125" hidden="1" customWidth="1"/>
    <col min="8" max="9" width="9.28515625" hidden="1" customWidth="1"/>
    <col min="10" max="10" width="7.7109375" hidden="1" customWidth="1"/>
    <col min="11" max="11" width="8.28515625" hidden="1" customWidth="1"/>
    <col min="12" max="12" width="9.28515625" bestFit="1" customWidth="1"/>
    <col min="13" max="13" width="9.42578125" bestFit="1" customWidth="1"/>
    <col min="14" max="14" width="10.7109375" bestFit="1" customWidth="1"/>
    <col min="15" max="15" width="10" customWidth="1"/>
    <col min="16" max="17" width="9.28515625" customWidth="1"/>
    <col min="18" max="18" width="15.5703125" bestFit="1" customWidth="1"/>
    <col min="19" max="21" width="9.28515625" customWidth="1"/>
    <col min="22" max="22" width="2.28515625" customWidth="1"/>
    <col min="23" max="25" width="9.28515625" customWidth="1"/>
  </cols>
  <sheetData>
    <row r="1" spans="1:26" ht="34.5" customHeight="1">
      <c r="A1" s="8"/>
      <c r="B1" s="11"/>
      <c r="C1" s="133"/>
      <c r="D1" s="132" t="s">
        <v>17</v>
      </c>
      <c r="E1" s="132" t="s">
        <v>25</v>
      </c>
      <c r="F1" s="132" t="s">
        <v>73</v>
      </c>
      <c r="G1" s="132" t="s">
        <v>74</v>
      </c>
      <c r="H1" s="132" t="s">
        <v>75</v>
      </c>
      <c r="I1" s="132" t="s">
        <v>77</v>
      </c>
      <c r="J1" s="132" t="s">
        <v>81</v>
      </c>
      <c r="K1" s="132" t="s">
        <v>24</v>
      </c>
      <c r="L1" s="132" t="s">
        <v>27</v>
      </c>
      <c r="M1" s="132" t="s">
        <v>57</v>
      </c>
      <c r="N1" s="132" t="s">
        <v>76</v>
      </c>
      <c r="O1" s="132" t="s">
        <v>80</v>
      </c>
      <c r="P1" s="132" t="s">
        <v>82</v>
      </c>
      <c r="Q1" s="132" t="s">
        <v>92</v>
      </c>
      <c r="S1" s="132" t="s">
        <v>57</v>
      </c>
      <c r="T1" s="132" t="s">
        <v>76</v>
      </c>
      <c r="U1" s="187" t="s">
        <v>80</v>
      </c>
      <c r="W1" s="132" t="s">
        <v>57</v>
      </c>
      <c r="X1" s="132" t="s">
        <v>76</v>
      </c>
      <c r="Y1" s="187" t="s">
        <v>80</v>
      </c>
    </row>
    <row r="2" spans="1:26">
      <c r="A2" s="284" t="s">
        <v>10</v>
      </c>
      <c r="B2" s="300">
        <v>44166</v>
      </c>
      <c r="C2" s="134" t="s">
        <v>4</v>
      </c>
      <c r="D2" s="135"/>
      <c r="E2" s="135"/>
      <c r="F2" s="135"/>
      <c r="G2" s="135"/>
      <c r="H2" s="135"/>
      <c r="I2" s="135">
        <v>44.74</v>
      </c>
      <c r="J2" s="135"/>
      <c r="K2" s="135"/>
      <c r="L2" s="135">
        <v>44.01</v>
      </c>
      <c r="M2" s="135">
        <v>37.61</v>
      </c>
      <c r="N2" s="135">
        <v>43.17</v>
      </c>
      <c r="O2" s="135">
        <v>46.07</v>
      </c>
      <c r="P2" s="135">
        <v>46.9</v>
      </c>
      <c r="Q2" s="135">
        <v>47.93</v>
      </c>
      <c r="S2" s="135"/>
      <c r="T2" s="135"/>
      <c r="U2" s="135"/>
      <c r="W2" s="135"/>
      <c r="X2" s="135"/>
      <c r="Y2" s="135"/>
    </row>
    <row r="3" spans="1:26">
      <c r="A3" s="285"/>
      <c r="B3" s="301"/>
      <c r="C3" s="136" t="s">
        <v>2</v>
      </c>
      <c r="D3" s="137"/>
      <c r="E3" s="138"/>
      <c r="F3" s="138"/>
      <c r="G3" s="138"/>
      <c r="H3" s="138"/>
      <c r="I3" s="138">
        <v>44.76</v>
      </c>
      <c r="J3" s="138"/>
      <c r="K3" s="138"/>
      <c r="L3" s="138">
        <v>44.01</v>
      </c>
      <c r="M3" s="138">
        <v>38.6</v>
      </c>
      <c r="N3" s="138">
        <v>42.97</v>
      </c>
      <c r="O3" s="138">
        <v>45.93</v>
      </c>
      <c r="P3" s="138">
        <v>46.87</v>
      </c>
      <c r="Q3" s="138">
        <v>47.91</v>
      </c>
      <c r="S3" s="138"/>
      <c r="T3" s="138"/>
      <c r="U3" s="138"/>
      <c r="W3" s="138"/>
      <c r="X3" s="138"/>
      <c r="Y3" s="138"/>
    </row>
    <row r="4" spans="1:26">
      <c r="A4" s="285"/>
      <c r="B4" s="301"/>
      <c r="C4" s="139" t="s">
        <v>0</v>
      </c>
      <c r="D4" s="140"/>
      <c r="E4" s="140"/>
      <c r="F4" s="140"/>
      <c r="G4" s="140"/>
      <c r="H4" s="140"/>
      <c r="I4" s="140">
        <v>44.75</v>
      </c>
      <c r="J4" s="140"/>
      <c r="K4" s="140"/>
      <c r="L4" s="140">
        <v>43.75</v>
      </c>
      <c r="M4" s="140">
        <v>38.21</v>
      </c>
      <c r="N4" s="140">
        <v>44.51</v>
      </c>
      <c r="O4" s="140">
        <v>50.08</v>
      </c>
      <c r="P4" s="140">
        <v>48.97</v>
      </c>
      <c r="Q4" s="140">
        <v>49.88</v>
      </c>
      <c r="S4" s="140"/>
      <c r="T4" s="140"/>
      <c r="U4" s="140"/>
      <c r="W4" s="140"/>
      <c r="X4" s="140"/>
      <c r="Y4" s="140"/>
    </row>
    <row r="5" spans="1:26">
      <c r="A5" s="285"/>
      <c r="B5" s="301"/>
      <c r="C5" s="141" t="s">
        <v>3</v>
      </c>
      <c r="D5" s="142"/>
      <c r="E5" s="142"/>
      <c r="F5" s="142"/>
      <c r="G5" s="142"/>
      <c r="H5" s="142"/>
      <c r="I5" s="142">
        <v>44.39</v>
      </c>
      <c r="J5" s="142"/>
      <c r="K5" s="142"/>
      <c r="L5" s="142">
        <v>44.15</v>
      </c>
      <c r="M5" s="142">
        <v>38.36</v>
      </c>
      <c r="N5" s="142">
        <v>42.55</v>
      </c>
      <c r="O5" s="142">
        <v>45.72</v>
      </c>
      <c r="P5" s="142">
        <v>46.68</v>
      </c>
      <c r="Q5" s="142">
        <v>47.73</v>
      </c>
      <c r="S5" s="142"/>
      <c r="T5" s="142"/>
      <c r="U5" s="142"/>
      <c r="W5" s="142"/>
      <c r="X5" s="142"/>
      <c r="Y5" s="142"/>
    </row>
    <row r="6" spans="1:26">
      <c r="A6" s="285"/>
      <c r="B6" s="302"/>
      <c r="C6" s="143" t="s">
        <v>1</v>
      </c>
      <c r="D6" s="144">
        <v>89.65</v>
      </c>
      <c r="E6" s="144">
        <v>85.82</v>
      </c>
      <c r="F6" s="144">
        <v>95.13</v>
      </c>
      <c r="G6" s="144">
        <v>60.67</v>
      </c>
      <c r="H6" s="144">
        <v>37.85</v>
      </c>
      <c r="I6" s="144">
        <f t="shared" ref="I6" si="0">+AVERAGE(I2:I5)</f>
        <v>44.66</v>
      </c>
      <c r="J6" s="144">
        <v>55.05</v>
      </c>
      <c r="K6" s="216" t="e">
        <f>AVERAGE(K2:K5)</f>
        <v>#DIV/0!</v>
      </c>
      <c r="L6" s="216">
        <v>44.01</v>
      </c>
      <c r="M6" s="216">
        <f>MROUND(AVERAGE(M2:M5),0.5)</f>
        <v>38</v>
      </c>
      <c r="N6" s="216">
        <f>MROUND(AVERAGE(N2:N5),0.5)</f>
        <v>43.5</v>
      </c>
      <c r="O6" s="216">
        <f>MROUND(AVERAGE(O2:O5),0.5)</f>
        <v>47</v>
      </c>
      <c r="P6" s="216">
        <f>MROUND(AVERAGE(P2:P5),0.5)</f>
        <v>47.5</v>
      </c>
      <c r="Q6" s="216">
        <f>MROUND(AVERAGE(Q2:Q5),0.5)</f>
        <v>48.5</v>
      </c>
      <c r="R6" t="s">
        <v>94</v>
      </c>
      <c r="S6" s="216">
        <f>+M6-3.9</f>
        <v>34.1</v>
      </c>
      <c r="T6" s="216">
        <f>+N6-7.4</f>
        <v>36.1</v>
      </c>
      <c r="U6" s="216">
        <f>+O6-3</f>
        <v>44</v>
      </c>
      <c r="W6" s="216">
        <f>+M6+2.1</f>
        <v>40.1</v>
      </c>
      <c r="X6" s="216">
        <f>+N6+5.51</f>
        <v>49.01</v>
      </c>
      <c r="Y6" s="216">
        <f>+O6+5.83</f>
        <v>52.83</v>
      </c>
      <c r="Z6" t="s">
        <v>96</v>
      </c>
    </row>
    <row r="7" spans="1:26">
      <c r="A7" s="285"/>
      <c r="B7" s="300">
        <v>44075</v>
      </c>
      <c r="C7" s="133" t="s">
        <v>1</v>
      </c>
      <c r="D7" s="138">
        <f>'Aug18'!D6</f>
        <v>89.65</v>
      </c>
      <c r="E7" s="138">
        <f>'Aug18'!E6</f>
        <v>85.82</v>
      </c>
      <c r="F7" s="138">
        <f>'Aug18'!F6</f>
        <v>95.13</v>
      </c>
      <c r="G7" s="138">
        <f>'Aug18'!G6</f>
        <v>60.67</v>
      </c>
      <c r="H7" s="138">
        <f>'Aug18'!H6</f>
        <v>37.85</v>
      </c>
      <c r="I7" s="138">
        <f>'Dec18'!I6</f>
        <v>44.66</v>
      </c>
      <c r="J7" s="138">
        <f>'Dec18'!J6</f>
        <v>55.05</v>
      </c>
      <c r="K7" s="138">
        <v>51.464999999999996</v>
      </c>
      <c r="L7" s="138">
        <f>'Sep 20'!L6</f>
        <v>44.01</v>
      </c>
      <c r="M7" s="138">
        <f>'Sep 20'!M6</f>
        <v>38</v>
      </c>
      <c r="N7" s="138">
        <f>'Sep 20'!N6</f>
        <v>43.5</v>
      </c>
      <c r="O7" s="138">
        <f>'Sep 20'!O6</f>
        <v>46</v>
      </c>
      <c r="P7" s="138">
        <f>'Sep 20'!P6</f>
        <v>47.5</v>
      </c>
      <c r="Q7" s="138">
        <f>'Sep 20'!Q6</f>
        <v>49</v>
      </c>
      <c r="S7" s="93" t="s">
        <v>89</v>
      </c>
      <c r="W7" t="s">
        <v>90</v>
      </c>
    </row>
    <row r="8" spans="1:26" ht="14.65" hidden="1" customHeight="1">
      <c r="A8" s="285"/>
      <c r="B8" s="301"/>
      <c r="C8" s="133" t="s">
        <v>1</v>
      </c>
      <c r="D8" s="138">
        <v>89.65</v>
      </c>
      <c r="E8" s="138">
        <v>85.82</v>
      </c>
      <c r="F8" s="138">
        <v>95.14</v>
      </c>
      <c r="G8" s="138">
        <v>71</v>
      </c>
      <c r="H8" s="138">
        <v>66</v>
      </c>
      <c r="I8" s="138">
        <v>72</v>
      </c>
      <c r="J8" s="138">
        <v>76</v>
      </c>
      <c r="K8" s="138">
        <v>80</v>
      </c>
      <c r="L8" s="138"/>
      <c r="M8" s="138"/>
    </row>
    <row r="9" spans="1:26" ht="14.65" hidden="1" customHeight="1">
      <c r="A9" s="285"/>
      <c r="B9" s="301"/>
      <c r="C9" s="133" t="s">
        <v>1</v>
      </c>
      <c r="D9" s="138">
        <v>89.65</v>
      </c>
      <c r="E9" s="138">
        <v>85.82</v>
      </c>
      <c r="F9" s="138">
        <v>95.75</v>
      </c>
      <c r="G9" s="138">
        <v>92</v>
      </c>
      <c r="H9" s="138">
        <v>88</v>
      </c>
      <c r="I9" s="138">
        <v>87</v>
      </c>
      <c r="J9" s="138">
        <v>86</v>
      </c>
      <c r="K9" s="138">
        <v>85</v>
      </c>
      <c r="L9" s="138"/>
      <c r="M9" s="138"/>
    </row>
    <row r="10" spans="1:26" ht="14.65" hidden="1" customHeight="1">
      <c r="A10" s="285"/>
      <c r="B10" s="301"/>
      <c r="C10" s="133" t="s">
        <v>1</v>
      </c>
      <c r="D10" s="138">
        <v>90</v>
      </c>
      <c r="E10" s="138">
        <v>87</v>
      </c>
      <c r="F10" s="138">
        <v>94</v>
      </c>
      <c r="G10" s="138">
        <v>87.5</v>
      </c>
      <c r="H10" s="138">
        <v>85</v>
      </c>
      <c r="I10" s="138">
        <v>84</v>
      </c>
      <c r="J10" s="138">
        <v>84</v>
      </c>
      <c r="K10" s="138"/>
      <c r="L10" s="138"/>
      <c r="M10" s="138"/>
    </row>
    <row r="11" spans="1:26" ht="14.65" hidden="1" customHeight="1">
      <c r="A11" s="285"/>
      <c r="B11" s="302"/>
      <c r="C11" s="133" t="s">
        <v>1</v>
      </c>
      <c r="D11" s="145">
        <v>90</v>
      </c>
      <c r="E11" s="145">
        <v>86.5</v>
      </c>
      <c r="F11" s="145">
        <v>88</v>
      </c>
      <c r="G11" s="145">
        <v>87.5</v>
      </c>
      <c r="H11" s="145">
        <v>87</v>
      </c>
      <c r="I11" s="145">
        <v>86.5</v>
      </c>
      <c r="J11" s="145"/>
      <c r="K11" s="145"/>
      <c r="L11" s="145"/>
      <c r="M11" s="145"/>
    </row>
    <row r="12" spans="1:26" hidden="1">
      <c r="A12" s="285"/>
      <c r="B12" s="33">
        <v>41244</v>
      </c>
      <c r="C12" s="133" t="s">
        <v>1</v>
      </c>
      <c r="D12" s="145">
        <v>89.640506965377526</v>
      </c>
      <c r="E12" s="145">
        <v>85</v>
      </c>
      <c r="F12" s="145">
        <v>84.75</v>
      </c>
      <c r="G12" s="145">
        <v>83.5</v>
      </c>
      <c r="H12" s="145">
        <v>82.5</v>
      </c>
      <c r="I12" s="145">
        <v>83</v>
      </c>
      <c r="J12" s="145">
        <v>83</v>
      </c>
      <c r="K12" s="145"/>
      <c r="L12" s="145"/>
      <c r="M12" s="145"/>
    </row>
    <row r="13" spans="1:26" hidden="1">
      <c r="A13" s="285"/>
      <c r="B13" s="33">
        <v>42217</v>
      </c>
      <c r="C13" s="292" t="s">
        <v>16</v>
      </c>
      <c r="D13" s="293"/>
      <c r="E13" s="146">
        <f t="shared" ref="E13:M13" si="1">+E6/D6-1</f>
        <v>-4.2721695482431765E-2</v>
      </c>
      <c r="F13" s="146">
        <f>+F6/E6-1</f>
        <v>0.10848287112561183</v>
      </c>
      <c r="G13" s="166">
        <f>+G6/F6-1</f>
        <v>-0.36224114369809735</v>
      </c>
      <c r="H13" s="146">
        <f t="shared" si="1"/>
        <v>-0.37613317949563208</v>
      </c>
      <c r="I13" s="146">
        <f t="shared" si="1"/>
        <v>0.17992073976221912</v>
      </c>
      <c r="J13" s="146">
        <f t="shared" si="1"/>
        <v>0.23264666368114639</v>
      </c>
      <c r="K13" s="146" t="e">
        <f t="shared" si="1"/>
        <v>#DIV/0!</v>
      </c>
      <c r="L13" s="146" t="e">
        <f t="shared" si="1"/>
        <v>#DIV/0!</v>
      </c>
      <c r="M13" s="146">
        <f t="shared" si="1"/>
        <v>-0.13655987275619175</v>
      </c>
    </row>
    <row r="14" spans="1:26" hidden="1">
      <c r="A14" s="285"/>
      <c r="B14" s="33">
        <v>42031</v>
      </c>
      <c r="C14" s="290" t="s">
        <v>16</v>
      </c>
      <c r="D14" s="291"/>
      <c r="E14" s="147">
        <f t="shared" ref="E14:K15" si="2">(E7-D7)/D7</f>
        <v>-4.2721695482431814E-2</v>
      </c>
      <c r="F14" s="147">
        <f t="shared" si="2"/>
        <v>0.10848287112561178</v>
      </c>
      <c r="G14" s="147">
        <f t="shared" si="2"/>
        <v>-0.36224114369809729</v>
      </c>
      <c r="H14" s="147">
        <f t="shared" si="2"/>
        <v>-0.37613317949563208</v>
      </c>
      <c r="I14" s="147">
        <f t="shared" si="2"/>
        <v>0.17992073976221915</v>
      </c>
      <c r="J14" s="147">
        <f t="shared" si="2"/>
        <v>0.23264666368114648</v>
      </c>
      <c r="K14" s="147">
        <f t="shared" si="2"/>
        <v>-6.5122615803814732E-2</v>
      </c>
      <c r="L14" s="147"/>
      <c r="M14" s="147"/>
    </row>
    <row r="15" spans="1:26" hidden="1">
      <c r="A15" s="285"/>
      <c r="B15" s="33">
        <v>41974</v>
      </c>
      <c r="C15" s="290" t="s">
        <v>16</v>
      </c>
      <c r="D15" s="291"/>
      <c r="E15" s="147">
        <f t="shared" si="2"/>
        <v>-4.2721695482431814E-2</v>
      </c>
      <c r="F15" s="147">
        <f t="shared" si="2"/>
        <v>0.10859939408063397</v>
      </c>
      <c r="G15" s="147">
        <f t="shared" si="2"/>
        <v>-0.2537313432835821</v>
      </c>
      <c r="H15" s="147">
        <f t="shared" si="2"/>
        <v>-7.0422535211267609E-2</v>
      </c>
      <c r="I15" s="147">
        <f t="shared" si="2"/>
        <v>9.0909090909090912E-2</v>
      </c>
      <c r="J15" s="147">
        <f t="shared" si="2"/>
        <v>5.5555555555555552E-2</v>
      </c>
      <c r="K15" s="147"/>
      <c r="L15" s="147"/>
      <c r="M15" s="147"/>
    </row>
    <row r="16" spans="1:26" hidden="1">
      <c r="A16" s="286"/>
      <c r="B16" s="33">
        <v>41499</v>
      </c>
      <c r="C16" s="292" t="s">
        <v>16</v>
      </c>
      <c r="D16" s="293"/>
      <c r="E16" s="146">
        <f t="shared" ref="E16:J16" si="3">(E10-D10)/D10</f>
        <v>-3.3333333333333333E-2</v>
      </c>
      <c r="F16" s="146">
        <f t="shared" si="3"/>
        <v>8.0459770114942528E-2</v>
      </c>
      <c r="G16" s="146">
        <f t="shared" si="3"/>
        <v>-6.9148936170212769E-2</v>
      </c>
      <c r="H16" s="146">
        <f t="shared" si="3"/>
        <v>-2.8571428571428571E-2</v>
      </c>
      <c r="I16" s="146">
        <f t="shared" si="3"/>
        <v>-1.1764705882352941E-2</v>
      </c>
      <c r="J16" s="146">
        <f t="shared" si="3"/>
        <v>0</v>
      </c>
      <c r="K16" s="146"/>
      <c r="L16" s="146"/>
      <c r="M16" s="146"/>
    </row>
    <row r="17" spans="1:26">
      <c r="A17" s="65"/>
      <c r="B17" s="65"/>
      <c r="C17" s="65"/>
      <c r="D17" s="65"/>
      <c r="E17" s="65"/>
      <c r="F17" s="65"/>
      <c r="G17" s="65"/>
      <c r="H17" s="65"/>
      <c r="I17" s="65"/>
      <c r="J17" s="65"/>
      <c r="K17" s="65"/>
      <c r="L17" s="65"/>
      <c r="M17" s="65"/>
      <c r="N17" s="65"/>
      <c r="O17" s="65"/>
      <c r="P17" s="65"/>
      <c r="Q17" s="65"/>
    </row>
    <row r="18" spans="1:26">
      <c r="A18" s="65"/>
      <c r="B18" s="65"/>
      <c r="C18" s="228" t="s">
        <v>4</v>
      </c>
      <c r="D18" s="229"/>
      <c r="E18" s="229"/>
      <c r="F18" s="229"/>
      <c r="G18" s="229"/>
      <c r="H18" s="229"/>
      <c r="I18" s="229"/>
      <c r="J18" s="229"/>
      <c r="K18" s="229"/>
      <c r="L18" s="229">
        <v>363.84699999999998</v>
      </c>
      <c r="M18" s="229">
        <v>345</v>
      </c>
      <c r="N18" s="229">
        <v>356</v>
      </c>
      <c r="O18" s="229">
        <v>366</v>
      </c>
      <c r="P18" s="229">
        <v>372</v>
      </c>
      <c r="Q18" s="229">
        <v>380</v>
      </c>
    </row>
    <row r="19" spans="1:26">
      <c r="A19" s="281" t="s">
        <v>12</v>
      </c>
      <c r="B19" s="273">
        <v>44166</v>
      </c>
      <c r="C19" s="136" t="s">
        <v>2</v>
      </c>
      <c r="D19" s="148"/>
      <c r="E19" s="148"/>
      <c r="F19" s="148"/>
      <c r="G19" s="148"/>
      <c r="H19" s="148"/>
      <c r="I19" s="148">
        <v>155.96</v>
      </c>
      <c r="J19" s="148"/>
      <c r="K19" s="148"/>
      <c r="L19" s="148">
        <v>369.54</v>
      </c>
      <c r="M19" s="148">
        <v>350.58</v>
      </c>
      <c r="N19" s="148">
        <v>317.08999999999997</v>
      </c>
      <c r="O19" s="148">
        <v>326.10000000000002</v>
      </c>
      <c r="P19" s="148">
        <v>354.66</v>
      </c>
      <c r="Q19" s="148">
        <v>380.32</v>
      </c>
      <c r="R19" s="112"/>
      <c r="S19" s="241"/>
      <c r="T19" s="148"/>
      <c r="U19" s="148"/>
      <c r="W19" s="148"/>
      <c r="X19" s="148"/>
      <c r="Y19" s="148"/>
    </row>
    <row r="20" spans="1:26">
      <c r="A20" s="281"/>
      <c r="B20" s="272"/>
      <c r="C20" s="139" t="s">
        <v>0</v>
      </c>
      <c r="D20" s="149"/>
      <c r="E20" s="149"/>
      <c r="F20" s="149"/>
      <c r="G20" s="149"/>
      <c r="H20" s="149"/>
      <c r="I20" s="149"/>
      <c r="J20" s="149"/>
      <c r="K20" s="149"/>
      <c r="L20" s="149">
        <v>368.08587199999999</v>
      </c>
      <c r="M20" s="149">
        <v>334.62</v>
      </c>
      <c r="N20" s="149">
        <v>329.47</v>
      </c>
      <c r="O20" s="149">
        <v>342.3</v>
      </c>
      <c r="P20" s="149">
        <v>355.13</v>
      </c>
      <c r="Q20" s="149">
        <v>367.94</v>
      </c>
      <c r="R20" s="112"/>
      <c r="S20" s="149"/>
      <c r="T20" s="149"/>
      <c r="U20" s="149"/>
      <c r="W20" s="149"/>
      <c r="X20" s="149"/>
      <c r="Y20" s="149"/>
    </row>
    <row r="21" spans="1:26">
      <c r="A21" s="281"/>
      <c r="B21" s="272"/>
      <c r="C21" s="141" t="s">
        <v>3</v>
      </c>
      <c r="D21" s="151"/>
      <c r="E21" s="151"/>
      <c r="F21" s="151"/>
      <c r="G21" s="151"/>
      <c r="H21" s="151"/>
      <c r="I21" s="151">
        <v>155.9</v>
      </c>
      <c r="J21" s="151"/>
      <c r="K21" s="151"/>
      <c r="L21" s="151">
        <v>368.1</v>
      </c>
      <c r="M21" s="151">
        <v>328.9</v>
      </c>
      <c r="N21" s="151">
        <v>312.39800000000002</v>
      </c>
      <c r="O21" s="151">
        <v>331.16500000000002</v>
      </c>
      <c r="P21" s="151">
        <v>341.1</v>
      </c>
      <c r="Q21" s="151">
        <v>351.33300000000003</v>
      </c>
      <c r="R21" s="112"/>
      <c r="S21" s="151"/>
      <c r="T21" s="151"/>
      <c r="U21" s="151"/>
      <c r="W21" s="151"/>
      <c r="X21" s="151"/>
      <c r="Y21" s="151"/>
    </row>
    <row r="22" spans="1:26">
      <c r="A22" s="281"/>
      <c r="B22" s="272"/>
      <c r="C22" s="143" t="s">
        <v>1</v>
      </c>
      <c r="D22" s="152">
        <v>80.3</v>
      </c>
      <c r="E22" s="152">
        <v>96.4</v>
      </c>
      <c r="F22" s="153">
        <v>113.9</v>
      </c>
      <c r="G22" s="153">
        <v>141.4</v>
      </c>
      <c r="H22" s="153">
        <v>146.69999999999999</v>
      </c>
      <c r="I22" s="153">
        <v>153</v>
      </c>
      <c r="J22" s="206">
        <f>J23</f>
        <v>204.40600000000003</v>
      </c>
      <c r="K22" s="209">
        <v>300</v>
      </c>
      <c r="L22" s="226">
        <f>L20</f>
        <v>368.08587199999999</v>
      </c>
      <c r="M22" s="226">
        <f t="shared" ref="M22:Q22" si="4">MROUND(AVERAGE(M18:M21),5)</f>
        <v>340</v>
      </c>
      <c r="N22" s="226">
        <f t="shared" si="4"/>
        <v>330</v>
      </c>
      <c r="O22" s="226">
        <f t="shared" si="4"/>
        <v>340</v>
      </c>
      <c r="P22" s="226">
        <f t="shared" si="4"/>
        <v>355</v>
      </c>
      <c r="Q22" s="226">
        <f t="shared" si="4"/>
        <v>370</v>
      </c>
      <c r="R22" t="s">
        <v>95</v>
      </c>
      <c r="S22" s="226">
        <f>+L22*(1+S23)</f>
        <v>294.46869759999998</v>
      </c>
      <c r="T22" s="226">
        <f>+S22*(1+T23)</f>
        <v>289.1682610432</v>
      </c>
      <c r="U22" s="226">
        <f>O22</f>
        <v>340</v>
      </c>
      <c r="W22" s="226">
        <f>+M22</f>
        <v>340</v>
      </c>
      <c r="X22" s="226">
        <f>+W22*(1+X23)</f>
        <v>358.02</v>
      </c>
      <c r="Y22" s="226">
        <f>+X22*(1+Y23)</f>
        <v>375.56297999999998</v>
      </c>
      <c r="Z22" t="s">
        <v>96</v>
      </c>
    </row>
    <row r="23" spans="1:26">
      <c r="A23" s="281"/>
      <c r="B23" s="273">
        <v>44075</v>
      </c>
      <c r="C23" s="133" t="s">
        <v>1</v>
      </c>
      <c r="D23" s="154">
        <f>'Aug18'!D21</f>
        <v>80.3</v>
      </c>
      <c r="E23" s="154">
        <f>'Aug18'!E21</f>
        <v>96.4</v>
      </c>
      <c r="F23" s="154">
        <f>'Aug18'!F21</f>
        <v>113.9</v>
      </c>
      <c r="G23" s="154">
        <f>'Aug18'!G21</f>
        <v>141.4</v>
      </c>
      <c r="H23" s="154">
        <f>'Aug18'!H21</f>
        <v>146.69999999999999</v>
      </c>
      <c r="I23" s="154">
        <f>'Dec18'!I21</f>
        <v>153</v>
      </c>
      <c r="J23" s="154">
        <f>'Dec18'!J21</f>
        <v>204.40600000000003</v>
      </c>
      <c r="K23" s="154">
        <v>300.43599999999998</v>
      </c>
      <c r="L23" s="154">
        <f>'Sep 20'!L22</f>
        <v>368.08587199999999</v>
      </c>
      <c r="M23" s="154">
        <f>'Sep 20'!M22</f>
        <v>290</v>
      </c>
      <c r="N23" s="154">
        <f>'Sep 20'!N22</f>
        <v>295</v>
      </c>
      <c r="O23" s="154">
        <f>'Sep 20'!O22</f>
        <v>305</v>
      </c>
      <c r="P23" s="154">
        <f>'Sep 20'!P22</f>
        <v>315</v>
      </c>
      <c r="Q23" s="154">
        <f>'Sep 20'!Q22</f>
        <v>325</v>
      </c>
      <c r="S23" s="112">
        <v>-0.2</v>
      </c>
      <c r="T23" s="112">
        <v>-1.7999999999999999E-2</v>
      </c>
      <c r="U23" s="112">
        <f>U22/T22-1</f>
        <v>0.17578602428018897</v>
      </c>
      <c r="W23" s="112">
        <v>-8.2000000000000003E-2</v>
      </c>
      <c r="X23" s="112">
        <f>10.6%/2</f>
        <v>5.2999999999999999E-2</v>
      </c>
      <c r="Y23" s="112">
        <f>9.8%/2</f>
        <v>4.9000000000000002E-2</v>
      </c>
    </row>
    <row r="24" spans="1:26" hidden="1">
      <c r="A24" s="281"/>
      <c r="B24" s="272"/>
      <c r="C24" s="133" t="s">
        <v>1</v>
      </c>
      <c r="D24" s="154">
        <v>80.3</v>
      </c>
      <c r="E24" s="154">
        <v>96.4</v>
      </c>
      <c r="F24" s="154">
        <v>113.4</v>
      </c>
      <c r="G24" s="154">
        <v>122</v>
      </c>
      <c r="H24" s="154">
        <v>127</v>
      </c>
      <c r="I24" s="154">
        <v>131</v>
      </c>
      <c r="J24" s="154">
        <v>133</v>
      </c>
      <c r="K24" s="154">
        <v>135</v>
      </c>
      <c r="L24" s="154"/>
      <c r="M24" s="154"/>
      <c r="N24" s="154"/>
      <c r="O24" s="154"/>
      <c r="P24" s="154"/>
      <c r="Q24" s="154"/>
    </row>
    <row r="25" spans="1:26" hidden="1">
      <c r="A25" s="281"/>
      <c r="B25" s="272"/>
      <c r="C25" s="133" t="s">
        <v>1</v>
      </c>
      <c r="D25" s="154">
        <v>80.3</v>
      </c>
      <c r="E25" s="154">
        <v>96.4</v>
      </c>
      <c r="F25" s="154">
        <v>110</v>
      </c>
      <c r="G25" s="154">
        <v>117</v>
      </c>
      <c r="H25" s="154">
        <v>122</v>
      </c>
      <c r="I25" s="154">
        <v>125</v>
      </c>
      <c r="J25" s="154">
        <v>127</v>
      </c>
      <c r="K25" s="154">
        <v>129</v>
      </c>
      <c r="L25" s="154"/>
      <c r="M25" s="154"/>
      <c r="N25" s="154"/>
      <c r="O25" s="154"/>
      <c r="P25" s="154"/>
      <c r="Q25" s="154"/>
    </row>
    <row r="26" spans="1:26" hidden="1">
      <c r="A26" s="281"/>
      <c r="B26" s="272"/>
      <c r="C26" s="133" t="s">
        <v>1</v>
      </c>
      <c r="D26" s="154">
        <v>80.069999999999993</v>
      </c>
      <c r="E26" s="154">
        <v>90</v>
      </c>
      <c r="F26" s="154">
        <v>93</v>
      </c>
      <c r="G26" s="154">
        <v>97</v>
      </c>
      <c r="H26" s="154">
        <v>100</v>
      </c>
      <c r="I26" s="154">
        <v>101</v>
      </c>
      <c r="J26" s="154">
        <v>102</v>
      </c>
      <c r="K26" s="154"/>
      <c r="L26" s="154"/>
      <c r="M26" s="154"/>
      <c r="N26" s="154"/>
      <c r="O26" s="154"/>
      <c r="P26" s="154"/>
      <c r="Q26" s="154"/>
    </row>
    <row r="27" spans="1:26" hidden="1">
      <c r="A27" s="281"/>
      <c r="B27" s="33">
        <v>41317</v>
      </c>
      <c r="C27" s="133" t="s">
        <v>1</v>
      </c>
      <c r="D27" s="155">
        <v>80.099999999999994</v>
      </c>
      <c r="E27" s="155">
        <v>87</v>
      </c>
      <c r="F27" s="155">
        <v>91.4</v>
      </c>
      <c r="G27" s="155">
        <v>94.1</v>
      </c>
      <c r="H27" s="155">
        <v>96</v>
      </c>
      <c r="I27" s="155">
        <v>97.9</v>
      </c>
      <c r="J27" s="155"/>
      <c r="K27" s="155"/>
      <c r="L27" s="155"/>
      <c r="M27" s="155"/>
      <c r="N27" s="155"/>
      <c r="O27" s="155"/>
      <c r="P27" s="155"/>
      <c r="Q27" s="155"/>
    </row>
    <row r="28" spans="1:26" hidden="1">
      <c r="A28" s="281"/>
      <c r="B28" s="33">
        <v>41244</v>
      </c>
      <c r="C28" s="133" t="s">
        <v>1</v>
      </c>
      <c r="D28" s="155">
        <v>79.7</v>
      </c>
      <c r="E28" s="155">
        <v>84.119744824999998</v>
      </c>
      <c r="F28" s="155">
        <v>88.406534618000009</v>
      </c>
      <c r="G28" s="155">
        <v>92.434230656539995</v>
      </c>
      <c r="H28" s="155">
        <v>96.132415269670815</v>
      </c>
      <c r="I28" s="155">
        <v>97.6</v>
      </c>
      <c r="J28" s="155">
        <v>97.6</v>
      </c>
      <c r="K28" s="155"/>
      <c r="L28" s="155"/>
      <c r="M28" s="155"/>
      <c r="N28" s="155"/>
      <c r="O28" s="155"/>
      <c r="P28" s="155"/>
      <c r="Q28" s="155"/>
    </row>
    <row r="29" spans="1:26">
      <c r="A29" s="281"/>
      <c r="B29" s="33">
        <f>B19</f>
        <v>44166</v>
      </c>
      <c r="C29" s="292" t="s">
        <v>16</v>
      </c>
      <c r="D29" s="293"/>
      <c r="E29" s="167">
        <f t="shared" ref="E29:N30" si="5">(E22-D22)/D22</f>
        <v>0.20049813200498143</v>
      </c>
      <c r="F29" s="167">
        <f>(F22-E22)/E22</f>
        <v>0.18153526970954356</v>
      </c>
      <c r="G29" s="167">
        <f t="shared" si="5"/>
        <v>0.24143985952589991</v>
      </c>
      <c r="H29" s="167">
        <f t="shared" si="5"/>
        <v>3.7482319660537361E-2</v>
      </c>
      <c r="I29" s="167">
        <f>(I22-H22)/H22</f>
        <v>4.2944785276073698E-2</v>
      </c>
      <c r="J29" s="167">
        <f>(J22-I22)/I22</f>
        <v>0.33598692810457537</v>
      </c>
      <c r="K29" s="167">
        <f t="shared" si="5"/>
        <v>0.46766728960989379</v>
      </c>
      <c r="L29" s="167">
        <f t="shared" si="5"/>
        <v>0.22695290666666665</v>
      </c>
      <c r="M29" s="167">
        <f t="shared" si="5"/>
        <v>-7.6302499325483469E-2</v>
      </c>
      <c r="N29" s="167">
        <f t="shared" si="5"/>
        <v>-2.9411764705882353E-2</v>
      </c>
      <c r="O29" s="167">
        <f t="shared" ref="O29" si="6">(O22-N22)/N22</f>
        <v>3.0303030303030304E-2</v>
      </c>
      <c r="P29" s="167">
        <f t="shared" ref="P29" si="7">(P22-O22)/O22</f>
        <v>4.4117647058823532E-2</v>
      </c>
      <c r="Q29" s="167">
        <f t="shared" ref="Q29" si="8">(Q22-P22)/P22</f>
        <v>4.2253521126760563E-2</v>
      </c>
      <c r="S29" s="93" t="s">
        <v>89</v>
      </c>
      <c r="W29" t="s">
        <v>90</v>
      </c>
    </row>
    <row r="30" spans="1:26">
      <c r="A30" s="281"/>
      <c r="B30" s="33">
        <f>B7</f>
        <v>44075</v>
      </c>
      <c r="C30" s="290" t="s">
        <v>16</v>
      </c>
      <c r="D30" s="291"/>
      <c r="E30" s="168">
        <f>(E23-D23)/D23</f>
        <v>0.20049813200498143</v>
      </c>
      <c r="F30" s="168">
        <f t="shared" ref="F30:Q31" si="9">(F23-E23)/E23</f>
        <v>0.18153526970954356</v>
      </c>
      <c r="G30" s="168">
        <f>(G23-F23)/F23</f>
        <v>0.24143985952589991</v>
      </c>
      <c r="H30" s="168">
        <f t="shared" si="5"/>
        <v>3.7482319660537361E-2</v>
      </c>
      <c r="I30" s="168">
        <f>(I23-H23)/H23</f>
        <v>4.2944785276073698E-2</v>
      </c>
      <c r="J30" s="168">
        <f t="shared" si="5"/>
        <v>0.33598692810457537</v>
      </c>
      <c r="K30" s="168">
        <v>0.45837206344236431</v>
      </c>
      <c r="L30" s="168">
        <f>+L23/K23-1</f>
        <v>0.2251723228907323</v>
      </c>
      <c r="M30" s="168">
        <f t="shared" ref="M30:P30" si="10">+M23/L23-1</f>
        <v>-0.21214036707173589</v>
      </c>
      <c r="N30" s="168">
        <f t="shared" si="10"/>
        <v>1.7241379310344751E-2</v>
      </c>
      <c r="O30" s="168">
        <f t="shared" si="10"/>
        <v>3.3898305084745672E-2</v>
      </c>
      <c r="P30" s="168">
        <f t="shared" si="10"/>
        <v>3.2786885245901676E-2</v>
      </c>
      <c r="Q30" s="168"/>
    </row>
    <row r="31" spans="1:26" hidden="1">
      <c r="A31" s="281"/>
      <c r="B31" s="33">
        <v>41974</v>
      </c>
      <c r="C31" s="290" t="s">
        <v>16</v>
      </c>
      <c r="D31" s="291"/>
      <c r="E31" s="147">
        <f>(E24-D24)/D24</f>
        <v>0.20049813200498143</v>
      </c>
      <c r="F31" s="147">
        <f t="shared" si="9"/>
        <v>0.17634854771784231</v>
      </c>
      <c r="G31" s="147">
        <f t="shared" si="9"/>
        <v>7.5837742504409111E-2</v>
      </c>
      <c r="H31" s="147">
        <f t="shared" si="9"/>
        <v>4.0983606557377046E-2</v>
      </c>
      <c r="I31" s="147">
        <f t="shared" si="9"/>
        <v>3.1496062992125984E-2</v>
      </c>
      <c r="J31" s="147">
        <f t="shared" si="9"/>
        <v>1.5267175572519083E-2</v>
      </c>
      <c r="K31" s="147">
        <f t="shared" si="9"/>
        <v>1.5037593984962405E-2</v>
      </c>
      <c r="L31" s="147">
        <f t="shared" si="9"/>
        <v>-1</v>
      </c>
      <c r="M31" s="147" t="e">
        <f t="shared" si="9"/>
        <v>#DIV/0!</v>
      </c>
      <c r="N31" s="147" t="e">
        <f t="shared" si="9"/>
        <v>#DIV/0!</v>
      </c>
      <c r="O31" s="147" t="e">
        <f t="shared" si="9"/>
        <v>#DIV/0!</v>
      </c>
      <c r="P31" s="147" t="e">
        <f t="shared" si="9"/>
        <v>#DIV/0!</v>
      </c>
      <c r="Q31" s="147" t="e">
        <f t="shared" si="9"/>
        <v>#DIV/0!</v>
      </c>
    </row>
    <row r="32" spans="1:26" hidden="1">
      <c r="A32" s="281"/>
      <c r="B32" s="33">
        <v>41499</v>
      </c>
      <c r="C32" s="292" t="s">
        <v>16</v>
      </c>
      <c r="D32" s="293"/>
      <c r="E32" s="146">
        <f t="shared" ref="E32:J32" si="11">(E26-D26)/D26</f>
        <v>0.12401648557512186</v>
      </c>
      <c r="F32" s="146">
        <f t="shared" si="11"/>
        <v>3.3333333333333333E-2</v>
      </c>
      <c r="G32" s="146">
        <f t="shared" si="11"/>
        <v>4.3010752688172046E-2</v>
      </c>
      <c r="H32" s="146">
        <f t="shared" si="11"/>
        <v>3.0927835051546393E-2</v>
      </c>
      <c r="I32" s="146">
        <f t="shared" si="11"/>
        <v>0.01</v>
      </c>
      <c r="J32" s="146">
        <f t="shared" si="11"/>
        <v>9.9009900990099011E-3</v>
      </c>
      <c r="K32" s="146"/>
      <c r="L32" s="146"/>
      <c r="M32" s="146"/>
      <c r="N32" s="146"/>
      <c r="O32" s="146"/>
      <c r="P32" s="146"/>
      <c r="Q32" s="146"/>
    </row>
    <row r="33" spans="1:26">
      <c r="A33" s="106"/>
      <c r="B33" s="107"/>
      <c r="C33" s="156"/>
      <c r="D33" s="156"/>
      <c r="E33" s="157"/>
      <c r="F33" s="157"/>
      <c r="G33" s="158"/>
      <c r="H33" s="158"/>
      <c r="I33" s="158"/>
      <c r="J33" s="158"/>
      <c r="K33" s="158"/>
      <c r="L33" s="158"/>
      <c r="M33" s="158"/>
      <c r="N33" s="158"/>
      <c r="O33" s="158"/>
      <c r="P33" s="158"/>
      <c r="Q33" s="158"/>
    </row>
    <row r="34" spans="1:26">
      <c r="A34" s="298" t="s">
        <v>18</v>
      </c>
      <c r="B34" s="300">
        <v>44166</v>
      </c>
      <c r="C34" s="134" t="s">
        <v>4</v>
      </c>
      <c r="D34" s="135"/>
      <c r="E34" s="135"/>
      <c r="F34" s="135"/>
      <c r="G34" s="135"/>
      <c r="H34" s="135"/>
      <c r="I34" s="135">
        <v>3.24</v>
      </c>
      <c r="J34" s="135"/>
      <c r="K34" s="135"/>
      <c r="L34" s="135">
        <v>1.9</v>
      </c>
      <c r="M34" s="135">
        <v>2.42</v>
      </c>
      <c r="N34" s="135">
        <v>2.54</v>
      </c>
      <c r="O34" s="135">
        <v>2.4300000000000002</v>
      </c>
      <c r="P34" s="135">
        <v>2.5299999999999998</v>
      </c>
      <c r="Q34" s="135">
        <v>2.65</v>
      </c>
      <c r="S34" s="135"/>
      <c r="T34" s="135"/>
      <c r="U34" s="135"/>
      <c r="W34" s="135"/>
      <c r="X34" s="135"/>
      <c r="Y34" s="135"/>
    </row>
    <row r="35" spans="1:26" ht="15" customHeight="1">
      <c r="A35" s="299"/>
      <c r="B35" s="301"/>
      <c r="C35" s="136" t="s">
        <v>2</v>
      </c>
      <c r="D35" s="159"/>
      <c r="E35" s="159"/>
      <c r="F35" s="159"/>
      <c r="G35" s="159"/>
      <c r="H35" s="159"/>
      <c r="I35" s="159">
        <v>3.24</v>
      </c>
      <c r="J35" s="159"/>
      <c r="K35" s="210"/>
      <c r="L35" s="210">
        <v>1.9</v>
      </c>
      <c r="M35" s="210">
        <v>2.56</v>
      </c>
      <c r="N35" s="210">
        <v>2.57</v>
      </c>
      <c r="O35" s="210">
        <v>2.56</v>
      </c>
      <c r="P35" s="210">
        <v>2.68</v>
      </c>
      <c r="Q35" s="210">
        <v>2.79</v>
      </c>
      <c r="S35" s="210"/>
      <c r="T35" s="210"/>
      <c r="U35" s="210"/>
      <c r="W35" s="210"/>
      <c r="X35" s="210"/>
      <c r="Y35" s="210"/>
    </row>
    <row r="36" spans="1:26">
      <c r="A36" s="299"/>
      <c r="B36" s="301"/>
      <c r="C36" s="139" t="s">
        <v>0</v>
      </c>
      <c r="D36" s="140"/>
      <c r="E36" s="140"/>
      <c r="F36" s="140"/>
      <c r="G36" s="140"/>
      <c r="H36" s="140"/>
      <c r="I36" s="140">
        <v>3.25</v>
      </c>
      <c r="J36" s="140"/>
      <c r="K36" s="140"/>
      <c r="L36" s="140">
        <v>1.9</v>
      </c>
      <c r="M36" s="140">
        <v>2.4900000000000002</v>
      </c>
      <c r="N36" s="140">
        <v>2.59</v>
      </c>
      <c r="O36" s="140">
        <v>2.54</v>
      </c>
      <c r="P36" s="140">
        <v>2.5499999999999998</v>
      </c>
      <c r="Q36" s="140">
        <v>2.6</v>
      </c>
      <c r="S36" s="140"/>
      <c r="T36" s="140"/>
      <c r="U36" s="140"/>
      <c r="W36" s="140"/>
      <c r="X36" s="140"/>
      <c r="Y36" s="140"/>
    </row>
    <row r="37" spans="1:26">
      <c r="A37" s="299"/>
      <c r="B37" s="301"/>
      <c r="C37" s="141" t="s">
        <v>3</v>
      </c>
      <c r="D37" s="142"/>
      <c r="E37" s="142"/>
      <c r="F37" s="142"/>
      <c r="G37" s="142"/>
      <c r="H37" s="142"/>
      <c r="I37" s="142">
        <v>3.22</v>
      </c>
      <c r="J37" s="142"/>
      <c r="K37" s="142"/>
      <c r="L37" s="142">
        <v>1.9</v>
      </c>
      <c r="M37" s="142">
        <v>2.64</v>
      </c>
      <c r="N37" s="142">
        <v>2.86</v>
      </c>
      <c r="O37" s="142">
        <v>2.71</v>
      </c>
      <c r="P37" s="142">
        <v>2.86</v>
      </c>
      <c r="Q37" s="142">
        <v>3.03</v>
      </c>
      <c r="S37" s="142"/>
      <c r="T37" s="142"/>
      <c r="U37" s="142"/>
      <c r="W37" s="142"/>
      <c r="X37" s="142"/>
      <c r="Y37" s="142"/>
    </row>
    <row r="38" spans="1:26">
      <c r="A38" s="299"/>
      <c r="B38" s="302"/>
      <c r="C38" s="143" t="s">
        <v>1</v>
      </c>
      <c r="D38" s="144">
        <v>5.01</v>
      </c>
      <c r="E38" s="144">
        <v>4.38</v>
      </c>
      <c r="F38" s="144">
        <v>5.14</v>
      </c>
      <c r="G38" s="144">
        <v>3.78</v>
      </c>
      <c r="H38" s="144">
        <v>2.42</v>
      </c>
      <c r="I38" s="144">
        <f t="shared" ref="I38" si="12">+AVERAGE(I34:I37)</f>
        <v>3.2375000000000003</v>
      </c>
      <c r="J38" s="144" t="e">
        <f t="shared" ref="J38" si="13">AVERAGE(J34:J37)</f>
        <v>#DIV/0!</v>
      </c>
      <c r="K38" s="216" t="e">
        <f>AVERAGE(K34:K37)</f>
        <v>#DIV/0!</v>
      </c>
      <c r="L38" s="216">
        <f>AVERAGE(L34:L37)</f>
        <v>1.9</v>
      </c>
      <c r="M38" s="216">
        <f>MROUND(AVERAGE(M34:M37),0.05)</f>
        <v>2.5500000000000003</v>
      </c>
      <c r="N38" s="216">
        <f t="shared" ref="N38:Q38" si="14">MROUND(AVERAGE(N34:N37),0.05)</f>
        <v>2.6500000000000004</v>
      </c>
      <c r="O38" s="216">
        <f t="shared" si="14"/>
        <v>2.5500000000000003</v>
      </c>
      <c r="P38" s="216">
        <f t="shared" si="14"/>
        <v>2.6500000000000004</v>
      </c>
      <c r="Q38" s="216">
        <f t="shared" si="14"/>
        <v>2.75</v>
      </c>
      <c r="R38" t="s">
        <v>95</v>
      </c>
      <c r="S38" s="216">
        <f>+M38-0.04</f>
        <v>2.5100000000000002</v>
      </c>
      <c r="T38" s="216">
        <f>+N38-0.05</f>
        <v>2.6000000000000005</v>
      </c>
      <c r="U38" s="216">
        <f>+O38-0.01</f>
        <v>2.5400000000000005</v>
      </c>
      <c r="W38" s="216">
        <f>+M38+0.05</f>
        <v>2.6</v>
      </c>
      <c r="X38" s="216">
        <f>+N38+0.1</f>
        <v>2.7500000000000004</v>
      </c>
      <c r="Y38" s="216">
        <f>+O38+0.08</f>
        <v>2.6300000000000003</v>
      </c>
      <c r="Z38" t="s">
        <v>96</v>
      </c>
    </row>
    <row r="39" spans="1:26">
      <c r="A39" s="299"/>
      <c r="B39" s="231">
        <v>44075</v>
      </c>
      <c r="C39" s="133" t="s">
        <v>1</v>
      </c>
      <c r="D39" s="138">
        <f>'Aug18'!D37</f>
        <v>5.01</v>
      </c>
      <c r="E39" s="138">
        <f>'Aug18'!E37</f>
        <v>4.38</v>
      </c>
      <c r="F39" s="138">
        <f>'Aug18'!F37</f>
        <v>5.14</v>
      </c>
      <c r="G39" s="138">
        <f>'Aug18'!G37</f>
        <v>3.78</v>
      </c>
      <c r="H39" s="138">
        <f>'Aug18'!H37</f>
        <v>2.42</v>
      </c>
      <c r="I39" s="138">
        <f>'Dec18'!I37</f>
        <v>3.2375000000000003</v>
      </c>
      <c r="J39" s="138">
        <f>'Dec18'!J37</f>
        <v>3.5142500000000001</v>
      </c>
      <c r="K39" s="138">
        <v>3.08</v>
      </c>
      <c r="L39" s="138">
        <f>'Sep 20'!L38</f>
        <v>1.9</v>
      </c>
      <c r="M39" s="138">
        <f>'Sep 20'!M38</f>
        <v>2.35</v>
      </c>
      <c r="N39" s="138">
        <f>'Sep 20'!N38</f>
        <v>2.5</v>
      </c>
      <c r="O39" s="138">
        <f>'Sep 20'!O38</f>
        <v>2.4000000000000004</v>
      </c>
      <c r="P39" s="138">
        <f>'Sep 20'!P38</f>
        <v>2.5</v>
      </c>
      <c r="Q39" s="138">
        <f>'Sep 20'!Q38</f>
        <v>2.6</v>
      </c>
      <c r="S39" t="s">
        <v>89</v>
      </c>
      <c r="W39" t="s">
        <v>90</v>
      </c>
    </row>
    <row r="40" spans="1:26">
      <c r="A40" s="230"/>
      <c r="B40" s="232"/>
      <c r="C40" s="233"/>
      <c r="D40" s="234"/>
      <c r="E40" s="234"/>
      <c r="F40" s="234"/>
      <c r="G40" s="234"/>
      <c r="H40" s="234"/>
      <c r="I40" s="234"/>
      <c r="J40" s="234"/>
      <c r="K40" s="234"/>
      <c r="L40" s="138"/>
      <c r="M40" s="138"/>
      <c r="N40" s="138"/>
      <c r="O40" s="138"/>
      <c r="P40" s="138"/>
      <c r="Q40" s="138"/>
    </row>
    <row r="41" spans="1:26">
      <c r="A41" s="65"/>
      <c r="B41" s="65"/>
      <c r="C41" s="65"/>
      <c r="D41" s="76"/>
      <c r="E41" s="76"/>
      <c r="F41" s="76"/>
      <c r="G41" s="130"/>
      <c r="H41" s="130"/>
      <c r="I41" s="130"/>
      <c r="J41" s="130"/>
      <c r="K41" s="130"/>
      <c r="L41" s="130"/>
      <c r="M41" s="130"/>
    </row>
    <row r="42" spans="1:26">
      <c r="A42" s="287" t="s">
        <v>19</v>
      </c>
      <c r="B42" s="273">
        <v>44166</v>
      </c>
      <c r="C42" s="136" t="s">
        <v>2</v>
      </c>
      <c r="D42" s="160"/>
      <c r="E42" s="161"/>
      <c r="F42" s="161"/>
      <c r="G42" s="161"/>
      <c r="H42" s="161"/>
      <c r="I42" s="161">
        <v>1235.7</v>
      </c>
      <c r="J42" s="161"/>
      <c r="K42" s="161"/>
      <c r="L42" s="161">
        <v>1827.65</v>
      </c>
      <c r="M42" s="161">
        <v>1818.31</v>
      </c>
      <c r="N42" s="161">
        <v>1629.85</v>
      </c>
      <c r="O42" s="161">
        <v>1621.66</v>
      </c>
      <c r="P42" s="161">
        <v>1689.27</v>
      </c>
      <c r="Q42" s="161">
        <v>1759.66</v>
      </c>
      <c r="S42" s="161"/>
      <c r="T42" s="161"/>
      <c r="U42" s="161"/>
      <c r="W42" s="161"/>
      <c r="X42" s="161"/>
      <c r="Y42" s="161"/>
    </row>
    <row r="43" spans="1:26">
      <c r="A43" s="288"/>
      <c r="B43" s="272"/>
      <c r="C43" s="139" t="s">
        <v>0</v>
      </c>
      <c r="D43" s="162"/>
      <c r="E43" s="162"/>
      <c r="F43" s="162"/>
      <c r="G43" s="162"/>
      <c r="H43" s="162"/>
      <c r="I43" s="162"/>
      <c r="J43" s="162"/>
      <c r="K43" s="215"/>
      <c r="L43" s="215">
        <v>1829.34</v>
      </c>
      <c r="M43" s="215">
        <v>1746.72</v>
      </c>
      <c r="N43" s="215">
        <v>1733.27</v>
      </c>
      <c r="O43" s="215">
        <v>1767.03</v>
      </c>
      <c r="P43" s="215">
        <v>1800.13</v>
      </c>
      <c r="Q43" s="215">
        <v>1832.59</v>
      </c>
      <c r="S43" s="215"/>
      <c r="T43" s="215"/>
      <c r="U43" s="215"/>
      <c r="W43" s="215"/>
      <c r="X43" s="215"/>
      <c r="Y43" s="215"/>
    </row>
    <row r="44" spans="1:26">
      <c r="A44" s="288"/>
      <c r="B44" s="272"/>
      <c r="C44" s="141" t="s">
        <v>3</v>
      </c>
      <c r="D44" s="163"/>
      <c r="E44" s="163"/>
      <c r="F44" s="163"/>
      <c r="G44" s="163"/>
      <c r="H44" s="163"/>
      <c r="I44" s="163">
        <v>1235.5999999999999</v>
      </c>
      <c r="J44" s="163"/>
      <c r="K44" s="163"/>
      <c r="L44" s="163">
        <v>1829.3</v>
      </c>
      <c r="M44" s="163">
        <v>1772.1</v>
      </c>
      <c r="N44" s="163">
        <v>1694.3</v>
      </c>
      <c r="O44" s="163">
        <v>1743.6</v>
      </c>
      <c r="P44" s="163">
        <v>1769.7</v>
      </c>
      <c r="Q44" s="163">
        <v>1796.3</v>
      </c>
      <c r="S44" s="163"/>
      <c r="T44" s="163"/>
      <c r="U44" s="163"/>
      <c r="W44" s="163"/>
      <c r="X44" s="163"/>
      <c r="Y44" s="163"/>
    </row>
    <row r="45" spans="1:26">
      <c r="A45" s="288"/>
      <c r="B45" s="272"/>
      <c r="C45" s="143" t="s">
        <v>1</v>
      </c>
      <c r="D45" s="152">
        <v>1227</v>
      </c>
      <c r="E45" s="152">
        <v>1177.5</v>
      </c>
      <c r="F45" s="153">
        <v>1184.7</v>
      </c>
      <c r="G45" s="153">
        <v>1184.8</v>
      </c>
      <c r="H45" s="153">
        <v>1175</v>
      </c>
      <c r="I45" s="153">
        <f>(+AVERAGE(I42:I44))</f>
        <v>1235.6500000000001</v>
      </c>
      <c r="J45" s="206">
        <v>1361</v>
      </c>
      <c r="K45" s="214">
        <v>1562</v>
      </c>
      <c r="L45" s="242">
        <v>1829.192</v>
      </c>
      <c r="M45" s="242">
        <f>MROUND(AVERAGE(M43:M44),5)</f>
        <v>1760</v>
      </c>
      <c r="N45" s="242">
        <f t="shared" ref="N45:Q45" si="15">MROUND(AVERAGE(N43:N44),5)</f>
        <v>1715</v>
      </c>
      <c r="O45" s="242">
        <f t="shared" si="15"/>
        <v>1755</v>
      </c>
      <c r="P45" s="242">
        <f t="shared" si="15"/>
        <v>1785</v>
      </c>
      <c r="Q45" s="242">
        <f t="shared" si="15"/>
        <v>1815</v>
      </c>
      <c r="R45" t="s">
        <v>95</v>
      </c>
      <c r="S45" s="226">
        <f>MROUND(L45*(1+S46),5)</f>
        <v>1645</v>
      </c>
      <c r="T45" s="226">
        <f>MROUND(S45*(1+T46),5)</f>
        <v>1630</v>
      </c>
      <c r="U45" s="226">
        <f>O45</f>
        <v>1755</v>
      </c>
      <c r="W45" s="226">
        <f>M45</f>
        <v>1760</v>
      </c>
      <c r="X45" s="226">
        <f>W45*(1+X46)</f>
        <v>1806.6399999999999</v>
      </c>
      <c r="Y45" s="226">
        <f>X45*(1+Y46)</f>
        <v>1850.9026799999999</v>
      </c>
      <c r="Z45" t="s">
        <v>96</v>
      </c>
    </row>
    <row r="46" spans="1:26">
      <c r="A46" s="288"/>
      <c r="B46" s="273">
        <v>44075</v>
      </c>
      <c r="C46" s="133" t="s">
        <v>1</v>
      </c>
      <c r="D46" s="160">
        <f>'Aug18'!D52</f>
        <v>1227</v>
      </c>
      <c r="E46" s="160">
        <f>'Aug18'!E52</f>
        <v>1177.5</v>
      </c>
      <c r="F46" s="160">
        <f>'Aug18'!F52</f>
        <v>1184.7</v>
      </c>
      <c r="G46" s="160">
        <f>'Aug18'!G52</f>
        <v>1184.8</v>
      </c>
      <c r="H46" s="160">
        <f>'Aug18'!H52</f>
        <v>1175</v>
      </c>
      <c r="I46" s="160">
        <f>'Dec18'!I52</f>
        <v>1235.6500000000001</v>
      </c>
      <c r="J46" s="160">
        <f>'Dec18'!J52</f>
        <v>1361</v>
      </c>
      <c r="K46" s="160">
        <v>1562.1499999999999</v>
      </c>
      <c r="L46" s="160">
        <f>'Sep 20'!L45</f>
        <v>1829.192</v>
      </c>
      <c r="M46" s="160">
        <v>1625.4313099041533</v>
      </c>
      <c r="N46" s="160">
        <v>1650</v>
      </c>
      <c r="O46" s="160">
        <v>1665.4205607476633</v>
      </c>
      <c r="P46" s="160">
        <v>1675</v>
      </c>
      <c r="Q46" s="160">
        <v>1675</v>
      </c>
      <c r="S46" s="112">
        <f>S23/2</f>
        <v>-0.1</v>
      </c>
      <c r="T46" s="112">
        <f t="shared" ref="T46" si="16">T23/2</f>
        <v>-8.9999999999999993E-3</v>
      </c>
      <c r="U46" s="112">
        <f>U45/T45-1</f>
        <v>7.6687116564417179E-2</v>
      </c>
      <c r="W46" s="112"/>
      <c r="X46" s="112">
        <f>+X23/2</f>
        <v>2.6499999999999999E-2</v>
      </c>
      <c r="Y46" s="112">
        <f>+Y23/2</f>
        <v>2.4500000000000001E-2</v>
      </c>
    </row>
    <row r="47" spans="1:26" ht="14.65" hidden="1" customHeight="1">
      <c r="A47" s="288"/>
      <c r="B47" s="272"/>
      <c r="C47" s="133" t="s">
        <v>1</v>
      </c>
      <c r="D47" s="160">
        <v>1227</v>
      </c>
      <c r="E47" s="160">
        <v>1177.5</v>
      </c>
      <c r="F47" s="160">
        <v>1187.3</v>
      </c>
      <c r="G47" s="160">
        <v>1181</v>
      </c>
      <c r="H47" s="160">
        <v>1150</v>
      </c>
      <c r="I47" s="160">
        <v>1118</v>
      </c>
      <c r="J47" s="160">
        <v>1088</v>
      </c>
      <c r="K47" s="160">
        <v>1052</v>
      </c>
      <c r="L47" s="160"/>
      <c r="M47" s="160"/>
      <c r="N47" s="160"/>
      <c r="O47" s="160"/>
      <c r="P47" s="160"/>
      <c r="Q47" s="160"/>
    </row>
    <row r="48" spans="1:26" ht="14.65" hidden="1" customHeight="1">
      <c r="A48" s="288"/>
      <c r="B48" s="272"/>
      <c r="C48" s="133" t="s">
        <v>1</v>
      </c>
      <c r="D48" s="160">
        <v>1227</v>
      </c>
      <c r="E48" s="160">
        <v>1177.5</v>
      </c>
      <c r="F48" s="160">
        <v>1170</v>
      </c>
      <c r="G48" s="160">
        <v>1158.3</v>
      </c>
      <c r="H48" s="160">
        <v>1123.5509999999999</v>
      </c>
      <c r="I48" s="160">
        <v>1089.84447</v>
      </c>
      <c r="J48" s="160">
        <v>1057.1491358999999</v>
      </c>
      <c r="K48" s="160">
        <v>1025.4346618229999</v>
      </c>
      <c r="L48" s="160"/>
      <c r="M48" s="160"/>
      <c r="N48" s="160"/>
      <c r="O48" s="160"/>
      <c r="P48" s="160"/>
      <c r="Q48" s="160"/>
    </row>
    <row r="49" spans="1:23" ht="14.65" hidden="1" customHeight="1">
      <c r="A49" s="288"/>
      <c r="B49" s="272"/>
      <c r="C49" s="133" t="s">
        <v>1</v>
      </c>
      <c r="D49" s="160">
        <v>1225.8499999999999</v>
      </c>
      <c r="E49" s="160">
        <v>1165</v>
      </c>
      <c r="F49" s="160">
        <v>1110</v>
      </c>
      <c r="G49" s="160">
        <v>1070</v>
      </c>
      <c r="H49" s="160">
        <v>1030</v>
      </c>
      <c r="I49" s="160">
        <v>1000</v>
      </c>
      <c r="J49" s="160">
        <v>960</v>
      </c>
      <c r="K49" s="165"/>
      <c r="L49" s="165"/>
      <c r="M49" s="165"/>
      <c r="N49" s="165"/>
      <c r="O49" s="165"/>
      <c r="P49" s="165"/>
      <c r="Q49" s="165"/>
    </row>
    <row r="50" spans="1:23" hidden="1">
      <c r="A50" s="288"/>
      <c r="B50" s="33">
        <v>41317</v>
      </c>
      <c r="C50" s="133" t="s">
        <v>1</v>
      </c>
      <c r="D50" s="165">
        <v>1226</v>
      </c>
      <c r="E50" s="165">
        <v>1185</v>
      </c>
      <c r="F50" s="165">
        <v>1151</v>
      </c>
      <c r="G50" s="165">
        <v>1121</v>
      </c>
      <c r="H50" s="165">
        <v>1090.1407234210708</v>
      </c>
      <c r="I50" s="165">
        <v>1048</v>
      </c>
      <c r="J50" s="165"/>
      <c r="K50" s="165"/>
      <c r="L50" s="165"/>
      <c r="M50" s="165"/>
      <c r="N50" s="165"/>
      <c r="O50" s="165"/>
      <c r="P50" s="165"/>
      <c r="Q50" s="165"/>
    </row>
    <row r="51" spans="1:23" hidden="1">
      <c r="A51" s="288"/>
      <c r="B51" s="33">
        <v>41244</v>
      </c>
      <c r="C51" s="133" t="s">
        <v>1</v>
      </c>
      <c r="D51" s="165">
        <v>1228.5423506666664</v>
      </c>
      <c r="E51" s="165">
        <v>1184.5870287874238</v>
      </c>
      <c r="F51" s="165">
        <v>1151.3778293463738</v>
      </c>
      <c r="G51" s="165">
        <v>1121.0332793283103</v>
      </c>
      <c r="H51" s="165">
        <v>1090.1407234210708</v>
      </c>
      <c r="I51" s="165">
        <v>1048</v>
      </c>
      <c r="J51" s="165">
        <v>1048</v>
      </c>
      <c r="K51" s="165"/>
      <c r="L51" s="165"/>
      <c r="M51" s="165"/>
      <c r="N51" s="165"/>
      <c r="O51" s="165"/>
      <c r="P51" s="165"/>
      <c r="Q51" s="165"/>
    </row>
    <row r="52" spans="1:23">
      <c r="A52" s="288"/>
      <c r="B52" s="33">
        <v>44185</v>
      </c>
      <c r="C52" s="292" t="s">
        <v>16</v>
      </c>
      <c r="D52" s="293"/>
      <c r="E52" s="167">
        <f t="shared" ref="E52:M54" si="17">(E45-D45)/D45</f>
        <v>-4.0342298288508556E-2</v>
      </c>
      <c r="F52" s="167">
        <f t="shared" si="17"/>
        <v>6.1146496815287013E-3</v>
      </c>
      <c r="G52" s="167">
        <f>(G45-F45)/F45</f>
        <v>8.4409555161567526E-5</v>
      </c>
      <c r="H52" s="167">
        <f t="shared" si="17"/>
        <v>-8.2714382174206239E-3</v>
      </c>
      <c r="I52" s="167">
        <f t="shared" si="17"/>
        <v>5.1617021276595822E-2</v>
      </c>
      <c r="J52" s="167">
        <f t="shared" si="17"/>
        <v>0.10144458382227969</v>
      </c>
      <c r="K52" s="167">
        <f t="shared" si="17"/>
        <v>0.14768552534900808</v>
      </c>
      <c r="L52" s="167">
        <f t="shared" ref="L52" si="18">+L29/2</f>
        <v>0.11347645333333332</v>
      </c>
      <c r="M52" s="167">
        <f>+M45/L45-1</f>
        <v>-3.7826537618795619E-2</v>
      </c>
      <c r="N52" s="167">
        <f t="shared" ref="N52:Q52" si="19">+N45/M45-1</f>
        <v>-2.5568181818181768E-2</v>
      </c>
      <c r="O52" s="167">
        <f t="shared" si="19"/>
        <v>2.3323615160349753E-2</v>
      </c>
      <c r="P52" s="167">
        <f t="shared" si="19"/>
        <v>1.7094017094017033E-2</v>
      </c>
      <c r="Q52" s="167">
        <f t="shared" si="19"/>
        <v>1.6806722689075571E-2</v>
      </c>
      <c r="S52" t="s">
        <v>89</v>
      </c>
      <c r="W52" t="s">
        <v>90</v>
      </c>
    </row>
    <row r="53" spans="1:23" hidden="1">
      <c r="A53" s="288"/>
      <c r="B53" s="33">
        <f>B39</f>
        <v>44075</v>
      </c>
      <c r="C53" s="290" t="s">
        <v>16</v>
      </c>
      <c r="D53" s="291"/>
      <c r="E53" s="168">
        <f>(E46-D46)/D46</f>
        <v>-4.0342298288508556E-2</v>
      </c>
      <c r="F53" s="168">
        <f t="shared" si="17"/>
        <v>6.1146496815287013E-3</v>
      </c>
      <c r="G53" s="168">
        <f>(G46-F46)/F46</f>
        <v>8.4409555161567526E-5</v>
      </c>
      <c r="H53" s="168">
        <f t="shared" si="17"/>
        <v>-8.2714382174206239E-3</v>
      </c>
      <c r="I53" s="168">
        <f t="shared" si="17"/>
        <v>5.1617021276595822E-2</v>
      </c>
      <c r="J53" s="168">
        <f t="shared" si="17"/>
        <v>0.10144458382227969</v>
      </c>
      <c r="K53" s="168">
        <v>0.15723732549595884</v>
      </c>
      <c r="L53" s="168">
        <f>+L46/K46-1</f>
        <v>0.17094517171846513</v>
      </c>
      <c r="M53" s="168">
        <f t="shared" ref="M53:Q53" si="20">+M46/L46-1</f>
        <v>-0.11139382311744572</v>
      </c>
      <c r="N53" s="168">
        <f t="shared" si="20"/>
        <v>1.5115182011164352E-2</v>
      </c>
      <c r="O53" s="168">
        <f t="shared" si="20"/>
        <v>9.3457943925232545E-3</v>
      </c>
      <c r="P53" s="168">
        <f t="shared" si="20"/>
        <v>5.7519640852976561E-3</v>
      </c>
      <c r="Q53" s="168">
        <f t="shared" si="20"/>
        <v>0</v>
      </c>
    </row>
    <row r="54" spans="1:23" hidden="1">
      <c r="A54" s="288"/>
      <c r="B54" s="33">
        <v>41974</v>
      </c>
      <c r="C54" s="290" t="s">
        <v>16</v>
      </c>
      <c r="D54" s="291"/>
      <c r="E54" s="147">
        <f>(E47-D47)/D47</f>
        <v>-4.0342298288508556E-2</v>
      </c>
      <c r="F54" s="147">
        <f t="shared" si="17"/>
        <v>8.3227176220806408E-3</v>
      </c>
      <c r="G54" s="147">
        <f t="shared" si="17"/>
        <v>-5.3061568264128316E-3</v>
      </c>
      <c r="H54" s="147">
        <f t="shared" si="17"/>
        <v>-2.6248941574936496E-2</v>
      </c>
      <c r="I54" s="147">
        <f t="shared" si="17"/>
        <v>-2.782608695652174E-2</v>
      </c>
      <c r="J54" s="147">
        <f t="shared" si="17"/>
        <v>-2.6833631484794274E-2</v>
      </c>
      <c r="K54" s="147">
        <f t="shared" si="17"/>
        <v>-3.3088235294117647E-2</v>
      </c>
      <c r="L54" s="147">
        <f t="shared" si="17"/>
        <v>-1</v>
      </c>
      <c r="M54" s="147" t="e">
        <f t="shared" si="17"/>
        <v>#DIV/0!</v>
      </c>
    </row>
    <row r="55" spans="1:23" hidden="1">
      <c r="A55" s="289"/>
      <c r="B55" s="33">
        <v>41499</v>
      </c>
      <c r="C55" s="292" t="s">
        <v>16</v>
      </c>
      <c r="D55" s="293"/>
      <c r="E55" s="146">
        <f t="shared" ref="E55:J55" si="21">(E49-D49)/D49</f>
        <v>-4.9639025981971625E-2</v>
      </c>
      <c r="F55" s="146">
        <f t="shared" si="21"/>
        <v>-4.7210300429184553E-2</v>
      </c>
      <c r="G55" s="146">
        <f t="shared" si="21"/>
        <v>-3.6036036036036036E-2</v>
      </c>
      <c r="H55" s="146">
        <f t="shared" si="21"/>
        <v>-3.7383177570093455E-2</v>
      </c>
      <c r="I55" s="146">
        <f t="shared" si="21"/>
        <v>-2.9126213592233011E-2</v>
      </c>
      <c r="J55" s="146">
        <f t="shared" si="21"/>
        <v>-0.04</v>
      </c>
      <c r="K55" s="146"/>
      <c r="L55" s="146"/>
      <c r="M55" s="146"/>
    </row>
    <row r="56" spans="1:23" hidden="1">
      <c r="A56" s="108"/>
      <c r="B56" s="13"/>
      <c r="F56" s="112"/>
      <c r="G56" s="112"/>
      <c r="H56" s="112"/>
      <c r="I56" s="112"/>
      <c r="J56" s="112"/>
      <c r="K56" s="112"/>
      <c r="L56" s="217"/>
      <c r="M56" s="112"/>
    </row>
    <row r="57" spans="1:23" hidden="1">
      <c r="A57" s="9"/>
      <c r="B57" s="13"/>
      <c r="E57" s="94"/>
      <c r="F57" s="94"/>
      <c r="G57" s="112"/>
      <c r="H57" s="112"/>
      <c r="I57" s="112"/>
      <c r="J57" s="112"/>
      <c r="K57" s="112"/>
      <c r="L57" s="112"/>
      <c r="M57" s="112"/>
      <c r="N57" s="112"/>
      <c r="O57" s="112"/>
      <c r="P57" s="112"/>
      <c r="Q57" s="112"/>
    </row>
    <row r="58" spans="1:23" hidden="1">
      <c r="A58" s="9"/>
      <c r="B58" s="13"/>
      <c r="E58" s="94"/>
      <c r="F58" s="94"/>
      <c r="G58" s="94"/>
      <c r="H58" s="112"/>
      <c r="I58" s="112"/>
      <c r="J58" s="112"/>
      <c r="K58" s="112"/>
      <c r="L58" s="112"/>
      <c r="M58" s="112">
        <f t="shared" ref="M58:Q59" si="22">M43/L43-1</f>
        <v>-4.5163829577880454E-2</v>
      </c>
      <c r="N58" s="112">
        <f t="shared" si="22"/>
        <v>-7.7001465604104036E-3</v>
      </c>
      <c r="O58" s="112">
        <f t="shared" si="22"/>
        <v>1.9477634759731632E-2</v>
      </c>
      <c r="P58" s="112">
        <f t="shared" si="22"/>
        <v>1.8731996627108893E-2</v>
      </c>
      <c r="Q58" s="112">
        <f t="shared" si="22"/>
        <v>1.8032031019981742E-2</v>
      </c>
    </row>
    <row r="59" spans="1:23" hidden="1">
      <c r="A59" s="9"/>
      <c r="B59" s="13"/>
      <c r="L59" s="112"/>
      <c r="M59" s="112">
        <f t="shared" si="22"/>
        <v>-3.1268791340950064E-2</v>
      </c>
      <c r="N59" s="112">
        <f t="shared" si="22"/>
        <v>-4.390271429377568E-2</v>
      </c>
      <c r="O59" s="112">
        <f t="shared" si="22"/>
        <v>2.9097562415156597E-2</v>
      </c>
      <c r="P59" s="112">
        <f t="shared" si="22"/>
        <v>1.496902959394375E-2</v>
      </c>
      <c r="Q59" s="112">
        <f t="shared" si="22"/>
        <v>1.5030796180143469E-2</v>
      </c>
    </row>
    <row r="60" spans="1:23" hidden="1">
      <c r="A60" s="9"/>
      <c r="B60" s="13"/>
      <c r="L60" s="213"/>
      <c r="M60" s="213">
        <f t="shared" ref="M60:Q60" si="23">AVERAGE(M57:M59)</f>
        <v>-3.8216310459415259E-2</v>
      </c>
      <c r="N60" s="213">
        <f t="shared" si="23"/>
        <v>-2.5801430427093042E-2</v>
      </c>
      <c r="O60" s="213">
        <f t="shared" si="23"/>
        <v>2.4287598587444115E-2</v>
      </c>
      <c r="P60" s="213">
        <f t="shared" si="23"/>
        <v>1.6850513110526322E-2</v>
      </c>
      <c r="Q60" s="213">
        <f t="shared" si="23"/>
        <v>1.6531413600062606E-2</v>
      </c>
    </row>
    <row r="61" spans="1:23" hidden="1">
      <c r="A61" s="9"/>
      <c r="B61" s="13"/>
    </row>
    <row r="62" spans="1:23">
      <c r="A62" s="9"/>
      <c r="B62" s="13"/>
      <c r="M62" s="112">
        <f>+M29/2</f>
        <v>-3.8151249662741735E-2</v>
      </c>
      <c r="N62" s="112">
        <f t="shared" ref="N62:Q62" si="24">+N29/2</f>
        <v>-1.4705882352941176E-2</v>
      </c>
      <c r="O62" s="112">
        <f t="shared" si="24"/>
        <v>1.5151515151515152E-2</v>
      </c>
      <c r="P62" s="112">
        <f t="shared" si="24"/>
        <v>2.2058823529411766E-2</v>
      </c>
      <c r="Q62" s="112">
        <f t="shared" si="24"/>
        <v>2.1126760563380281E-2</v>
      </c>
    </row>
    <row r="63" spans="1:23">
      <c r="A63" s="9"/>
      <c r="B63" s="13"/>
    </row>
    <row r="64" spans="1:23">
      <c r="A64" s="65"/>
      <c r="B64" s="65"/>
      <c r="C64" s="228" t="s">
        <v>4</v>
      </c>
      <c r="D64" s="229"/>
      <c r="E64" s="229"/>
      <c r="F64" s="229"/>
      <c r="G64" s="229"/>
      <c r="H64" s="229"/>
      <c r="I64" s="229"/>
      <c r="J64" s="229"/>
      <c r="K64" s="229"/>
      <c r="L64" s="229"/>
      <c r="M64" s="235">
        <f>M18/L22-1</f>
        <v>-6.2718712550858258E-2</v>
      </c>
      <c r="N64" s="235">
        <f t="shared" ref="N64:Q67" si="25">N18/M18-1</f>
        <v>3.1884057971014457E-2</v>
      </c>
      <c r="O64" s="235">
        <f t="shared" si="25"/>
        <v>2.8089887640449396E-2</v>
      </c>
      <c r="P64" s="235">
        <f t="shared" si="25"/>
        <v>1.6393442622950838E-2</v>
      </c>
      <c r="Q64" s="235">
        <f t="shared" si="25"/>
        <v>2.1505376344086002E-2</v>
      </c>
    </row>
    <row r="65" spans="1:17">
      <c r="A65" s="281" t="s">
        <v>12</v>
      </c>
      <c r="B65" s="273">
        <v>44044</v>
      </c>
      <c r="C65" s="136" t="s">
        <v>2</v>
      </c>
      <c r="D65" s="148"/>
      <c r="E65" s="148"/>
      <c r="F65" s="148"/>
      <c r="G65" s="148"/>
      <c r="H65" s="148"/>
      <c r="I65" s="148">
        <v>155.96</v>
      </c>
      <c r="J65" s="148"/>
      <c r="K65" s="148"/>
      <c r="L65" s="148"/>
      <c r="M65" s="168">
        <f>M19/L22-1</f>
        <v>-4.7559206510376484E-2</v>
      </c>
      <c r="N65" s="168">
        <f t="shared" si="25"/>
        <v>-9.5527411717724942E-2</v>
      </c>
      <c r="O65" s="168">
        <f t="shared" si="25"/>
        <v>2.841464568419072E-2</v>
      </c>
      <c r="P65" s="168">
        <f t="shared" si="25"/>
        <v>8.7580496780128803E-2</v>
      </c>
      <c r="Q65" s="168">
        <f t="shared" si="25"/>
        <v>7.2350984041053223E-2</v>
      </c>
    </row>
    <row r="66" spans="1:17">
      <c r="A66" s="281"/>
      <c r="B66" s="272"/>
      <c r="C66" s="139" t="s">
        <v>0</v>
      </c>
      <c r="D66" s="149"/>
      <c r="E66" s="149"/>
      <c r="F66" s="149"/>
      <c r="G66" s="149"/>
      <c r="H66" s="149"/>
      <c r="I66" s="149"/>
      <c r="J66" s="149"/>
      <c r="K66" s="149"/>
      <c r="L66" s="149"/>
      <c r="M66" s="236">
        <f>M20/L22-1</f>
        <v>-9.0918653894980217E-2</v>
      </c>
      <c r="N66" s="236">
        <f t="shared" si="25"/>
        <v>-1.5390592313669127E-2</v>
      </c>
      <c r="O66" s="236">
        <f t="shared" si="25"/>
        <v>3.8941330014872211E-2</v>
      </c>
      <c r="P66" s="236">
        <f t="shared" si="25"/>
        <v>3.7481741162722626E-2</v>
      </c>
      <c r="Q66" s="236">
        <f t="shared" si="25"/>
        <v>3.6071297834595839E-2</v>
      </c>
    </row>
    <row r="67" spans="1:17">
      <c r="A67" s="281"/>
      <c r="B67" s="272"/>
      <c r="C67" s="141" t="s">
        <v>3</v>
      </c>
      <c r="D67" s="151"/>
      <c r="E67" s="151"/>
      <c r="F67" s="151"/>
      <c r="G67" s="151"/>
      <c r="H67" s="151"/>
      <c r="I67" s="151">
        <v>155.9</v>
      </c>
      <c r="J67" s="151"/>
      <c r="K67" s="151"/>
      <c r="L67" s="151"/>
      <c r="M67" s="237">
        <f>M21/L22-1</f>
        <v>-0.10645850596515161</v>
      </c>
      <c r="N67" s="237">
        <f t="shared" si="25"/>
        <v>-5.0173304955913545E-2</v>
      </c>
      <c r="O67" s="237">
        <f t="shared" si="25"/>
        <v>6.0074008156262293E-2</v>
      </c>
      <c r="P67" s="237">
        <f t="shared" si="25"/>
        <v>3.0000150982138818E-2</v>
      </c>
      <c r="Q67" s="237">
        <f t="shared" si="25"/>
        <v>3.0000000000000027E-2</v>
      </c>
    </row>
    <row r="68" spans="1:17">
      <c r="A68" s="281"/>
      <c r="B68" s="272"/>
      <c r="C68" s="143" t="s">
        <v>1</v>
      </c>
      <c r="D68" s="152">
        <v>80.3</v>
      </c>
      <c r="E68" s="152">
        <v>96.4</v>
      </c>
      <c r="F68" s="153">
        <v>113.9</v>
      </c>
      <c r="G68" s="153">
        <v>141.4</v>
      </c>
      <c r="H68" s="153">
        <v>146.69999999999999</v>
      </c>
      <c r="I68" s="153">
        <v>153</v>
      </c>
      <c r="J68" s="206">
        <f>J69</f>
        <v>0</v>
      </c>
      <c r="K68" s="209">
        <v>300</v>
      </c>
      <c r="L68" s="226"/>
      <c r="M68" s="238">
        <f>AVERAGE(M64:M67)</f>
        <v>-7.6913769730341641E-2</v>
      </c>
      <c r="N68" s="238">
        <f t="shared" ref="N68:Q68" si="26">AVERAGE(N64:N67)</f>
        <v>-3.2301812754073289E-2</v>
      </c>
      <c r="O68" s="238">
        <f t="shared" si="26"/>
        <v>3.8879967873943655E-2</v>
      </c>
      <c r="P68" s="238">
        <f t="shared" si="26"/>
        <v>4.2863957886985271E-2</v>
      </c>
      <c r="Q68" s="238">
        <f t="shared" si="26"/>
        <v>3.9981914554933773E-2</v>
      </c>
    </row>
    <row r="69" spans="1:17">
      <c r="A69" s="281"/>
      <c r="B69" s="33">
        <v>43983</v>
      </c>
      <c r="C69" s="133" t="s">
        <v>1</v>
      </c>
      <c r="D69" s="154">
        <f>'Aug18'!D67</f>
        <v>0</v>
      </c>
      <c r="E69" s="154">
        <f>'Aug18'!E67</f>
        <v>0</v>
      </c>
      <c r="F69" s="154">
        <f>'Aug18'!F67</f>
        <v>0</v>
      </c>
      <c r="G69" s="154">
        <f>'Aug18'!G67</f>
        <v>0</v>
      </c>
      <c r="H69" s="154">
        <f>'Aug18'!H67</f>
        <v>0</v>
      </c>
      <c r="I69" s="154">
        <f>'Dec18'!I67</f>
        <v>0</v>
      </c>
      <c r="J69" s="154">
        <f>'Dec18'!J67</f>
        <v>0</v>
      </c>
      <c r="K69" s="154">
        <v>300.43599999999998</v>
      </c>
      <c r="L69" s="154"/>
      <c r="M69" s="239">
        <v>-0.28169014084507044</v>
      </c>
      <c r="N69" s="239">
        <v>-0.11764705882352941</v>
      </c>
      <c r="O69" s="239">
        <v>6.6666666666666666E-2</v>
      </c>
      <c r="P69" s="239">
        <v>6.25E-2</v>
      </c>
      <c r="Q69" s="154"/>
    </row>
  </sheetData>
  <mergeCells count="25">
    <mergeCell ref="A2:A16"/>
    <mergeCell ref="B2:B6"/>
    <mergeCell ref="B7:B11"/>
    <mergeCell ref="C13:D13"/>
    <mergeCell ref="C14:D14"/>
    <mergeCell ref="C15:D15"/>
    <mergeCell ref="C16:D16"/>
    <mergeCell ref="C52:D52"/>
    <mergeCell ref="C53:D53"/>
    <mergeCell ref="C54:D54"/>
    <mergeCell ref="C55:D55"/>
    <mergeCell ref="A19:A32"/>
    <mergeCell ref="B19:B22"/>
    <mergeCell ref="B23:B26"/>
    <mergeCell ref="C29:D29"/>
    <mergeCell ref="C30:D30"/>
    <mergeCell ref="C31:D31"/>
    <mergeCell ref="C32:D32"/>
    <mergeCell ref="A65:A69"/>
    <mergeCell ref="B65:B68"/>
    <mergeCell ref="A34:A39"/>
    <mergeCell ref="B34:B38"/>
    <mergeCell ref="A42:A55"/>
    <mergeCell ref="B42:B45"/>
    <mergeCell ref="B46:B49"/>
  </mergeCells>
  <pageMargins left="0.5" right="0.17" top="0.63" bottom="0.75" header="0.3" footer="0.3"/>
  <pageSetup orientation="landscape" r:id="rId1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pageSetUpPr fitToPage="1"/>
  </sheetPr>
  <dimension ref="A1:AD69"/>
  <sheetViews>
    <sheetView zoomScale="130" zoomScaleNormal="130" workbookViewId="0">
      <pane xSplit="3" ySplit="1" topLeftCell="L2" activePane="bottomRight" state="frozen"/>
      <selection activeCell="I6" sqref="I6"/>
      <selection pane="topRight" activeCell="I6" sqref="I6"/>
      <selection pane="bottomLeft" activeCell="I6" sqref="I6"/>
      <selection pane="bottomRight" activeCell="I6" sqref="I6"/>
    </sheetView>
  </sheetViews>
  <sheetFormatPr defaultColWidth="9.28515625" defaultRowHeight="15"/>
  <cols>
    <col min="1" max="1" width="9.42578125" customWidth="1"/>
    <col min="2" max="2" width="7.5703125" bestFit="1" customWidth="1"/>
    <col min="3" max="3" width="13" customWidth="1"/>
    <col min="4" max="4" width="7.7109375" hidden="1" customWidth="1"/>
    <col min="5" max="5" width="8.28515625" hidden="1" customWidth="1"/>
    <col min="6" max="6" width="9.28515625" hidden="1" customWidth="1"/>
    <col min="7" max="7" width="13.42578125" hidden="1" customWidth="1"/>
    <col min="8" max="9" width="9.28515625" hidden="1" customWidth="1"/>
    <col min="10" max="10" width="7.7109375" hidden="1" customWidth="1"/>
    <col min="11" max="11" width="8.28515625" hidden="1" customWidth="1"/>
    <col min="12" max="12" width="9.28515625" bestFit="1" customWidth="1"/>
    <col min="13" max="13" width="9.42578125" bestFit="1" customWidth="1"/>
    <col min="14" max="14" width="10.7109375" bestFit="1" customWidth="1"/>
    <col min="15" max="15" width="10" customWidth="1"/>
    <col min="16" max="17" width="9.28515625" customWidth="1"/>
    <col min="18" max="18" width="15.5703125" bestFit="1" customWidth="1"/>
    <col min="19" max="21" width="9.28515625" customWidth="1"/>
    <col min="22" max="22" width="2.28515625" customWidth="1"/>
    <col min="23" max="25" width="9.28515625" customWidth="1"/>
    <col min="26" max="26" width="2.28515625" customWidth="1"/>
    <col min="27" max="29" width="9.28515625" customWidth="1"/>
  </cols>
  <sheetData>
    <row r="1" spans="1:30" ht="34.5" customHeight="1">
      <c r="A1" s="8"/>
      <c r="B1" s="11"/>
      <c r="C1" s="133"/>
      <c r="D1" s="132" t="s">
        <v>17</v>
      </c>
      <c r="E1" s="132" t="s">
        <v>25</v>
      </c>
      <c r="F1" s="132" t="s">
        <v>73</v>
      </c>
      <c r="G1" s="132" t="s">
        <v>74</v>
      </c>
      <c r="H1" s="132" t="s">
        <v>75</v>
      </c>
      <c r="I1" s="132" t="s">
        <v>77</v>
      </c>
      <c r="J1" s="132" t="s">
        <v>81</v>
      </c>
      <c r="K1" s="132" t="s">
        <v>24</v>
      </c>
      <c r="L1" s="132" t="s">
        <v>27</v>
      </c>
      <c r="M1" s="132" t="s">
        <v>57</v>
      </c>
      <c r="N1" s="132" t="s">
        <v>76</v>
      </c>
      <c r="O1" s="132" t="s">
        <v>80</v>
      </c>
      <c r="P1" s="132" t="s">
        <v>82</v>
      </c>
      <c r="Q1" s="132" t="s">
        <v>92</v>
      </c>
      <c r="S1" s="132" t="s">
        <v>57</v>
      </c>
      <c r="T1" s="132" t="s">
        <v>76</v>
      </c>
      <c r="U1" s="187" t="s">
        <v>80</v>
      </c>
      <c r="W1" s="132" t="s">
        <v>57</v>
      </c>
      <c r="X1" s="132" t="s">
        <v>76</v>
      </c>
      <c r="Y1" s="187" t="s">
        <v>80</v>
      </c>
      <c r="AA1" s="132" t="s">
        <v>57</v>
      </c>
      <c r="AB1" s="132" t="s">
        <v>76</v>
      </c>
      <c r="AC1" s="187" t="s">
        <v>80</v>
      </c>
    </row>
    <row r="2" spans="1:30">
      <c r="A2" s="284" t="s">
        <v>10</v>
      </c>
      <c r="B2" s="300">
        <v>44228</v>
      </c>
      <c r="C2" s="134" t="s">
        <v>4</v>
      </c>
      <c r="D2" s="135"/>
      <c r="E2" s="135"/>
      <c r="F2" s="135"/>
      <c r="G2" s="135"/>
      <c r="H2" s="135"/>
      <c r="I2" s="135">
        <v>44.74</v>
      </c>
      <c r="J2" s="135"/>
      <c r="K2" s="135"/>
      <c r="L2" s="135">
        <v>44.01</v>
      </c>
      <c r="M2" s="135">
        <v>43.09</v>
      </c>
      <c r="N2" s="135">
        <v>47.3</v>
      </c>
      <c r="O2" s="135">
        <v>47.81</v>
      </c>
      <c r="P2" s="135">
        <v>47.81</v>
      </c>
      <c r="Q2" s="135">
        <v>48.6</v>
      </c>
      <c r="S2" s="135"/>
      <c r="T2" s="135"/>
      <c r="U2" s="135"/>
      <c r="W2" s="135"/>
      <c r="X2" s="135"/>
      <c r="Y2" s="135"/>
      <c r="AA2" s="135"/>
      <c r="AB2" s="135"/>
      <c r="AC2" s="135"/>
    </row>
    <row r="3" spans="1:30">
      <c r="A3" s="285"/>
      <c r="B3" s="301"/>
      <c r="C3" s="136" t="s">
        <v>2</v>
      </c>
      <c r="D3" s="137"/>
      <c r="E3" s="138"/>
      <c r="F3" s="138"/>
      <c r="G3" s="138"/>
      <c r="H3" s="138"/>
      <c r="I3" s="138">
        <v>44.76</v>
      </c>
      <c r="J3" s="138"/>
      <c r="K3" s="138"/>
      <c r="L3" s="138">
        <v>44.01</v>
      </c>
      <c r="M3" s="138">
        <v>43.89</v>
      </c>
      <c r="N3" s="138">
        <v>47.1</v>
      </c>
      <c r="O3" s="138"/>
      <c r="P3" s="138"/>
      <c r="Q3" s="138"/>
      <c r="S3" s="138"/>
      <c r="T3" s="138"/>
      <c r="U3" s="138"/>
      <c r="W3" s="138"/>
      <c r="X3" s="138"/>
      <c r="Y3" s="138"/>
      <c r="AA3" s="138"/>
      <c r="AB3" s="138"/>
      <c r="AC3" s="138"/>
    </row>
    <row r="4" spans="1:30">
      <c r="A4" s="285"/>
      <c r="B4" s="301"/>
      <c r="C4" s="139" t="s">
        <v>0</v>
      </c>
      <c r="D4" s="140"/>
      <c r="E4" s="140"/>
      <c r="F4" s="140"/>
      <c r="G4" s="140"/>
      <c r="H4" s="140"/>
      <c r="I4" s="140">
        <v>44.75</v>
      </c>
      <c r="J4" s="140"/>
      <c r="K4" s="140"/>
      <c r="L4" s="140">
        <v>43.75</v>
      </c>
      <c r="M4" s="140">
        <v>43.39</v>
      </c>
      <c r="N4" s="140">
        <v>47.41</v>
      </c>
      <c r="O4" s="140">
        <v>49.95</v>
      </c>
      <c r="P4" s="140">
        <v>50.94</v>
      </c>
      <c r="Q4" s="140">
        <v>51.21</v>
      </c>
      <c r="S4" s="140"/>
      <c r="T4" s="140"/>
      <c r="U4" s="140"/>
      <c r="W4" s="140"/>
      <c r="X4" s="140"/>
      <c r="Y4" s="140"/>
      <c r="AA4" s="140"/>
      <c r="AB4" s="140"/>
      <c r="AC4" s="140"/>
    </row>
    <row r="5" spans="1:30">
      <c r="A5" s="285"/>
      <c r="B5" s="301"/>
      <c r="C5" s="141" t="s">
        <v>3</v>
      </c>
      <c r="D5" s="142"/>
      <c r="E5" s="142"/>
      <c r="F5" s="142"/>
      <c r="G5" s="142"/>
      <c r="H5" s="142"/>
      <c r="I5" s="142">
        <v>44.39</v>
      </c>
      <c r="J5" s="142"/>
      <c r="K5" s="142"/>
      <c r="L5" s="142">
        <v>44.15</v>
      </c>
      <c r="M5" s="142">
        <v>43.36</v>
      </c>
      <c r="N5" s="142">
        <v>45.89</v>
      </c>
      <c r="O5" s="142">
        <v>47.08</v>
      </c>
      <c r="P5" s="142">
        <v>47.61</v>
      </c>
      <c r="Q5" s="142">
        <v>48.49</v>
      </c>
      <c r="S5" s="142"/>
      <c r="T5" s="142"/>
      <c r="U5" s="142"/>
      <c r="W5" s="142"/>
      <c r="X5" s="142"/>
      <c r="Y5" s="142"/>
      <c r="AA5" s="142"/>
      <c r="AB5" s="142"/>
      <c r="AC5" s="142"/>
    </row>
    <row r="6" spans="1:30">
      <c r="A6" s="285"/>
      <c r="B6" s="302"/>
      <c r="C6" s="143" t="s">
        <v>1</v>
      </c>
      <c r="D6" s="144">
        <v>89.65</v>
      </c>
      <c r="E6" s="144">
        <v>85.82</v>
      </c>
      <c r="F6" s="144">
        <v>95.13</v>
      </c>
      <c r="G6" s="144">
        <v>60.67</v>
      </c>
      <c r="H6" s="144">
        <v>37.85</v>
      </c>
      <c r="I6" s="144">
        <f t="shared" ref="I6" si="0">+AVERAGE(I2:I5)</f>
        <v>44.66</v>
      </c>
      <c r="J6" s="144">
        <v>55.05</v>
      </c>
      <c r="K6" s="216" t="e">
        <f>AVERAGE(K2:K5)</f>
        <v>#DIV/0!</v>
      </c>
      <c r="L6" s="216">
        <v>44.01</v>
      </c>
      <c r="M6" s="216">
        <f>MROUND(AVERAGE(M2:M5),0.5)</f>
        <v>43.5</v>
      </c>
      <c r="N6" s="216">
        <f>MROUND(AVERAGE(N2:N5),0.5)</f>
        <v>47</v>
      </c>
      <c r="O6" s="216">
        <f>MROUND(AVERAGE(O2:O5),0.5)</f>
        <v>48.5</v>
      </c>
      <c r="P6" s="216">
        <f>MROUND(AVERAGE(P2:P5),0.5)</f>
        <v>49</v>
      </c>
      <c r="Q6" s="216">
        <f>MROUND(AVERAGE(Q2:Q5),0.5)</f>
        <v>49.5</v>
      </c>
      <c r="R6" t="s">
        <v>97</v>
      </c>
      <c r="S6" s="216">
        <v>33.78</v>
      </c>
      <c r="T6" s="216">
        <v>23.92</v>
      </c>
      <c r="U6" s="216">
        <v>24.68</v>
      </c>
      <c r="W6" s="216">
        <v>38.47</v>
      </c>
      <c r="X6" s="216">
        <v>23.34</v>
      </c>
      <c r="Y6" s="216">
        <v>27.59</v>
      </c>
      <c r="AA6" s="216">
        <v>45.41</v>
      </c>
      <c r="AB6" s="216">
        <v>51.88</v>
      </c>
      <c r="AC6" s="216">
        <v>53.22</v>
      </c>
      <c r="AD6" t="s">
        <v>96</v>
      </c>
    </row>
    <row r="7" spans="1:30">
      <c r="A7" s="285"/>
      <c r="B7" s="300">
        <v>44166</v>
      </c>
      <c r="C7" s="133" t="s">
        <v>1</v>
      </c>
      <c r="D7" s="138">
        <f>'Aug18'!D6</f>
        <v>89.65</v>
      </c>
      <c r="E7" s="138">
        <f>'Aug18'!E6</f>
        <v>85.82</v>
      </c>
      <c r="F7" s="138">
        <f>'Aug18'!F6</f>
        <v>95.13</v>
      </c>
      <c r="G7" s="138">
        <f>'Aug18'!G6</f>
        <v>60.67</v>
      </c>
      <c r="H7" s="138">
        <f>'Aug18'!H6</f>
        <v>37.85</v>
      </c>
      <c r="I7" s="138">
        <f>'Dec18'!I6</f>
        <v>44.66</v>
      </c>
      <c r="J7" s="138">
        <f>'Dec18'!J6</f>
        <v>55.05</v>
      </c>
      <c r="K7" s="138">
        <v>51.464999999999996</v>
      </c>
      <c r="L7" s="138">
        <f>'Dec 20'!L6</f>
        <v>44.01</v>
      </c>
      <c r="M7" s="138">
        <f>'Dec 20'!M6</f>
        <v>38</v>
      </c>
      <c r="N7" s="138">
        <f>'Dec 20'!N6</f>
        <v>43.5</v>
      </c>
      <c r="O7" s="138">
        <f>'Dec 20'!O6</f>
        <v>47</v>
      </c>
      <c r="P7" s="138">
        <f>'Dec 20'!P6</f>
        <v>47.5</v>
      </c>
      <c r="Q7" s="138">
        <f>'Dec 20'!Q6</f>
        <v>48.5</v>
      </c>
      <c r="S7" s="93" t="s">
        <v>99</v>
      </c>
      <c r="W7" s="93" t="s">
        <v>100</v>
      </c>
      <c r="AA7" t="s">
        <v>101</v>
      </c>
    </row>
    <row r="8" spans="1:30" ht="14.65" hidden="1" customHeight="1">
      <c r="A8" s="285"/>
      <c r="B8" s="301"/>
      <c r="C8" s="133" t="s">
        <v>1</v>
      </c>
      <c r="D8" s="138">
        <v>89.65</v>
      </c>
      <c r="E8" s="138">
        <v>85.82</v>
      </c>
      <c r="F8" s="138">
        <v>95.14</v>
      </c>
      <c r="G8" s="138">
        <v>71</v>
      </c>
      <c r="H8" s="138">
        <v>66</v>
      </c>
      <c r="I8" s="138">
        <v>72</v>
      </c>
      <c r="J8" s="138">
        <v>76</v>
      </c>
      <c r="K8" s="138">
        <v>80</v>
      </c>
      <c r="L8" s="138"/>
      <c r="M8" s="138"/>
    </row>
    <row r="9" spans="1:30" ht="14.65" hidden="1" customHeight="1">
      <c r="A9" s="285"/>
      <c r="B9" s="301"/>
      <c r="C9" s="133" t="s">
        <v>1</v>
      </c>
      <c r="D9" s="138">
        <v>89.65</v>
      </c>
      <c r="E9" s="138">
        <v>85.82</v>
      </c>
      <c r="F9" s="138">
        <v>95.75</v>
      </c>
      <c r="G9" s="138">
        <v>92</v>
      </c>
      <c r="H9" s="138">
        <v>88</v>
      </c>
      <c r="I9" s="138">
        <v>87</v>
      </c>
      <c r="J9" s="138">
        <v>86</v>
      </c>
      <c r="K9" s="138">
        <v>85</v>
      </c>
      <c r="L9" s="138"/>
      <c r="M9" s="138"/>
    </row>
    <row r="10" spans="1:30" ht="14.65" hidden="1" customHeight="1">
      <c r="A10" s="285"/>
      <c r="B10" s="301"/>
      <c r="C10" s="133" t="s">
        <v>1</v>
      </c>
      <c r="D10" s="138">
        <v>90</v>
      </c>
      <c r="E10" s="138">
        <v>87</v>
      </c>
      <c r="F10" s="138">
        <v>94</v>
      </c>
      <c r="G10" s="138">
        <v>87.5</v>
      </c>
      <c r="H10" s="138">
        <v>85</v>
      </c>
      <c r="I10" s="138">
        <v>84</v>
      </c>
      <c r="J10" s="138">
        <v>84</v>
      </c>
      <c r="K10" s="138"/>
      <c r="L10" s="138"/>
      <c r="M10" s="138"/>
    </row>
    <row r="11" spans="1:30" ht="14.65" hidden="1" customHeight="1">
      <c r="A11" s="285"/>
      <c r="B11" s="302"/>
      <c r="C11" s="133" t="s">
        <v>1</v>
      </c>
      <c r="D11" s="145">
        <v>90</v>
      </c>
      <c r="E11" s="145">
        <v>86.5</v>
      </c>
      <c r="F11" s="145">
        <v>88</v>
      </c>
      <c r="G11" s="145">
        <v>87.5</v>
      </c>
      <c r="H11" s="145">
        <v>87</v>
      </c>
      <c r="I11" s="145">
        <v>86.5</v>
      </c>
      <c r="J11" s="145"/>
      <c r="K11" s="145"/>
      <c r="L11" s="145"/>
      <c r="M11" s="145"/>
    </row>
    <row r="12" spans="1:30" hidden="1">
      <c r="A12" s="285"/>
      <c r="B12" s="33">
        <v>41244</v>
      </c>
      <c r="C12" s="133" t="s">
        <v>1</v>
      </c>
      <c r="D12" s="145">
        <v>89.640506965377526</v>
      </c>
      <c r="E12" s="145">
        <v>85</v>
      </c>
      <c r="F12" s="145">
        <v>84.75</v>
      </c>
      <c r="G12" s="145">
        <v>83.5</v>
      </c>
      <c r="H12" s="145">
        <v>82.5</v>
      </c>
      <c r="I12" s="145">
        <v>83</v>
      </c>
      <c r="J12" s="145">
        <v>83</v>
      </c>
      <c r="K12" s="145"/>
      <c r="L12" s="145"/>
      <c r="M12" s="145"/>
    </row>
    <row r="13" spans="1:30" hidden="1">
      <c r="A13" s="285"/>
      <c r="B13" s="33">
        <v>42217</v>
      </c>
      <c r="C13" s="292" t="s">
        <v>16</v>
      </c>
      <c r="D13" s="293"/>
      <c r="E13" s="146">
        <f t="shared" ref="E13:M13" si="1">+E6/D6-1</f>
        <v>-4.2721695482431765E-2</v>
      </c>
      <c r="F13" s="146">
        <f>+F6/E6-1</f>
        <v>0.10848287112561183</v>
      </c>
      <c r="G13" s="166">
        <f>+G6/F6-1</f>
        <v>-0.36224114369809735</v>
      </c>
      <c r="H13" s="146">
        <f t="shared" si="1"/>
        <v>-0.37613317949563208</v>
      </c>
      <c r="I13" s="146">
        <f t="shared" si="1"/>
        <v>0.17992073976221912</v>
      </c>
      <c r="J13" s="146">
        <f t="shared" si="1"/>
        <v>0.23264666368114639</v>
      </c>
      <c r="K13" s="146" t="e">
        <f t="shared" si="1"/>
        <v>#DIV/0!</v>
      </c>
      <c r="L13" s="146" t="e">
        <f t="shared" si="1"/>
        <v>#DIV/0!</v>
      </c>
      <c r="M13" s="146">
        <f t="shared" si="1"/>
        <v>-1.1588275391956282E-2</v>
      </c>
    </row>
    <row r="14" spans="1:30" hidden="1">
      <c r="A14" s="285"/>
      <c r="B14" s="33">
        <v>42031</v>
      </c>
      <c r="C14" s="290" t="s">
        <v>16</v>
      </c>
      <c r="D14" s="291"/>
      <c r="E14" s="147">
        <f t="shared" ref="E14:K15" si="2">(E7-D7)/D7</f>
        <v>-4.2721695482431814E-2</v>
      </c>
      <c r="F14" s="147">
        <f t="shared" si="2"/>
        <v>0.10848287112561178</v>
      </c>
      <c r="G14" s="147">
        <f t="shared" si="2"/>
        <v>-0.36224114369809729</v>
      </c>
      <c r="H14" s="147">
        <f t="shared" si="2"/>
        <v>-0.37613317949563208</v>
      </c>
      <c r="I14" s="147">
        <f t="shared" si="2"/>
        <v>0.17992073976221915</v>
      </c>
      <c r="J14" s="147">
        <f t="shared" si="2"/>
        <v>0.23264666368114648</v>
      </c>
      <c r="K14" s="147">
        <f t="shared" si="2"/>
        <v>-6.5122615803814732E-2</v>
      </c>
      <c r="L14" s="147"/>
      <c r="M14" s="147"/>
    </row>
    <row r="15" spans="1:30" hidden="1">
      <c r="A15" s="285"/>
      <c r="B15" s="33">
        <v>41974</v>
      </c>
      <c r="C15" s="290" t="s">
        <v>16</v>
      </c>
      <c r="D15" s="291"/>
      <c r="E15" s="147">
        <f t="shared" si="2"/>
        <v>-4.2721695482431814E-2</v>
      </c>
      <c r="F15" s="147">
        <f t="shared" si="2"/>
        <v>0.10859939408063397</v>
      </c>
      <c r="G15" s="147">
        <f t="shared" si="2"/>
        <v>-0.2537313432835821</v>
      </c>
      <c r="H15" s="147">
        <f t="shared" si="2"/>
        <v>-7.0422535211267609E-2</v>
      </c>
      <c r="I15" s="147">
        <f t="shared" si="2"/>
        <v>9.0909090909090912E-2</v>
      </c>
      <c r="J15" s="147">
        <f t="shared" si="2"/>
        <v>5.5555555555555552E-2</v>
      </c>
      <c r="K15" s="147"/>
      <c r="L15" s="147"/>
      <c r="M15" s="147"/>
    </row>
    <row r="16" spans="1:30" hidden="1">
      <c r="A16" s="286"/>
      <c r="B16" s="33">
        <v>41499</v>
      </c>
      <c r="C16" s="292" t="s">
        <v>16</v>
      </c>
      <c r="D16" s="293"/>
      <c r="E16" s="146">
        <f t="shared" ref="E16:J16" si="3">(E10-D10)/D10</f>
        <v>-3.3333333333333333E-2</v>
      </c>
      <c r="F16" s="146">
        <f t="shared" si="3"/>
        <v>8.0459770114942528E-2</v>
      </c>
      <c r="G16" s="146">
        <f t="shared" si="3"/>
        <v>-6.9148936170212769E-2</v>
      </c>
      <c r="H16" s="146">
        <f t="shared" si="3"/>
        <v>-2.8571428571428571E-2</v>
      </c>
      <c r="I16" s="146">
        <f t="shared" si="3"/>
        <v>-1.1764705882352941E-2</v>
      </c>
      <c r="J16" s="146">
        <f t="shared" si="3"/>
        <v>0</v>
      </c>
      <c r="K16" s="146"/>
      <c r="L16" s="146"/>
      <c r="M16" s="146"/>
    </row>
    <row r="17" spans="1:30">
      <c r="A17" s="65"/>
      <c r="B17" s="65"/>
      <c r="C17" s="65"/>
      <c r="D17" s="65"/>
      <c r="E17" s="65"/>
      <c r="F17" s="65"/>
      <c r="G17" s="65"/>
      <c r="H17" s="65"/>
      <c r="I17" s="65"/>
      <c r="J17" s="65"/>
      <c r="K17" s="65"/>
      <c r="L17" s="65"/>
      <c r="M17" s="65"/>
      <c r="N17" s="65"/>
      <c r="O17" s="65"/>
      <c r="P17" s="65"/>
      <c r="Q17" s="65"/>
    </row>
    <row r="18" spans="1:30">
      <c r="A18" s="65"/>
      <c r="B18" s="65"/>
      <c r="C18" s="228" t="s">
        <v>4</v>
      </c>
      <c r="D18" s="229"/>
      <c r="E18" s="229"/>
      <c r="F18" s="229"/>
      <c r="G18" s="229"/>
      <c r="H18" s="229"/>
      <c r="I18" s="229"/>
      <c r="J18" s="229"/>
      <c r="K18" s="229"/>
      <c r="L18" s="229">
        <v>363.84699999999998</v>
      </c>
      <c r="M18" s="229"/>
      <c r="N18" s="229"/>
      <c r="O18" s="229"/>
      <c r="P18" s="229"/>
      <c r="Q18" s="229"/>
    </row>
    <row r="19" spans="1:30">
      <c r="A19" s="281" t="s">
        <v>12</v>
      </c>
      <c r="B19" s="273">
        <v>44228</v>
      </c>
      <c r="C19" s="136" t="s">
        <v>2</v>
      </c>
      <c r="D19" s="148"/>
      <c r="E19" s="148"/>
      <c r="F19" s="148"/>
      <c r="G19" s="148"/>
      <c r="H19" s="148"/>
      <c r="I19" s="148">
        <v>155.96</v>
      </c>
      <c r="J19" s="148"/>
      <c r="K19" s="148"/>
      <c r="L19" s="148">
        <v>369.54</v>
      </c>
      <c r="M19" s="148">
        <v>378.9</v>
      </c>
      <c r="N19" s="148">
        <v>390.3</v>
      </c>
      <c r="O19" s="148">
        <v>394.2</v>
      </c>
      <c r="P19" s="148">
        <v>398.1</v>
      </c>
      <c r="Q19" s="148">
        <v>402.1</v>
      </c>
      <c r="R19" s="112"/>
      <c r="S19" s="241"/>
      <c r="T19" s="148"/>
      <c r="U19" s="148"/>
      <c r="W19" s="241"/>
      <c r="X19" s="148"/>
      <c r="Y19" s="148"/>
      <c r="AA19" s="148"/>
      <c r="AB19" s="148"/>
      <c r="AC19" s="148"/>
    </row>
    <row r="20" spans="1:30">
      <c r="A20" s="281"/>
      <c r="B20" s="272"/>
      <c r="C20" s="139" t="s">
        <v>0</v>
      </c>
      <c r="D20" s="149"/>
      <c r="E20" s="149"/>
      <c r="F20" s="149"/>
      <c r="G20" s="149"/>
      <c r="H20" s="149"/>
      <c r="I20" s="149"/>
      <c r="J20" s="149"/>
      <c r="K20" s="149"/>
      <c r="L20" s="149">
        <v>368.08587199999999</v>
      </c>
      <c r="M20" s="149">
        <v>380.84</v>
      </c>
      <c r="N20" s="149">
        <v>384.5</v>
      </c>
      <c r="O20" s="149">
        <v>395.29</v>
      </c>
      <c r="P20" s="149">
        <v>398.38</v>
      </c>
      <c r="Q20" s="149">
        <v>398.38</v>
      </c>
      <c r="R20" s="112"/>
      <c r="S20" s="149"/>
      <c r="T20" s="149"/>
      <c r="U20" s="149"/>
      <c r="W20" s="149"/>
      <c r="X20" s="149"/>
      <c r="Y20" s="149"/>
      <c r="AA20" s="149"/>
      <c r="AB20" s="149"/>
      <c r="AC20" s="149"/>
    </row>
    <row r="21" spans="1:30">
      <c r="A21" s="281"/>
      <c r="B21" s="272"/>
      <c r="C21" s="141" t="s">
        <v>3</v>
      </c>
      <c r="D21" s="151"/>
      <c r="E21" s="151"/>
      <c r="F21" s="151"/>
      <c r="G21" s="151"/>
      <c r="H21" s="151"/>
      <c r="I21" s="151">
        <v>155.9</v>
      </c>
      <c r="J21" s="151"/>
      <c r="K21" s="151"/>
      <c r="L21" s="151">
        <v>368.1</v>
      </c>
      <c r="M21" s="151">
        <v>371.3</v>
      </c>
      <c r="N21" s="151">
        <v>364.4</v>
      </c>
      <c r="O21" s="151">
        <v>380.6</v>
      </c>
      <c r="P21" s="151">
        <v>392</v>
      </c>
      <c r="Q21" s="151">
        <v>403.77800000000002</v>
      </c>
      <c r="R21" s="112"/>
      <c r="S21" s="151"/>
      <c r="T21" s="151"/>
      <c r="U21" s="151"/>
      <c r="W21" s="151"/>
      <c r="X21" s="151"/>
      <c r="Y21" s="151"/>
      <c r="AA21" s="151"/>
      <c r="AB21" s="151"/>
      <c r="AC21" s="151"/>
    </row>
    <row r="22" spans="1:30">
      <c r="A22" s="281"/>
      <c r="B22" s="272"/>
      <c r="C22" s="143" t="s">
        <v>1</v>
      </c>
      <c r="D22" s="152">
        <v>80.3</v>
      </c>
      <c r="E22" s="152">
        <v>96.4</v>
      </c>
      <c r="F22" s="153">
        <v>113.9</v>
      </c>
      <c r="G22" s="153">
        <v>141.4</v>
      </c>
      <c r="H22" s="153">
        <v>146.69999999999999</v>
      </c>
      <c r="I22" s="153">
        <v>153</v>
      </c>
      <c r="J22" s="206">
        <f>J23</f>
        <v>204.40600000000003</v>
      </c>
      <c r="K22" s="209">
        <v>300</v>
      </c>
      <c r="L22" s="226">
        <f>L20</f>
        <v>368.08587199999999</v>
      </c>
      <c r="M22" s="226">
        <v>370</v>
      </c>
      <c r="N22" s="226">
        <v>370</v>
      </c>
      <c r="O22" s="226">
        <v>370</v>
      </c>
      <c r="P22" s="226">
        <v>370</v>
      </c>
      <c r="Q22" s="226">
        <v>370</v>
      </c>
      <c r="R22" t="s">
        <v>97</v>
      </c>
      <c r="S22" s="226">
        <v>346.83</v>
      </c>
      <c r="T22" s="226">
        <v>296.62</v>
      </c>
      <c r="U22" s="226">
        <v>256.89</v>
      </c>
      <c r="W22" s="226">
        <v>367.17</v>
      </c>
      <c r="X22" s="226">
        <v>335.49</v>
      </c>
      <c r="Y22" s="226">
        <v>344.07</v>
      </c>
      <c r="AA22" s="226">
        <v>371.03</v>
      </c>
      <c r="AB22" s="226">
        <v>380.45</v>
      </c>
      <c r="AC22" s="226">
        <v>390.07</v>
      </c>
      <c r="AD22" t="s">
        <v>96</v>
      </c>
    </row>
    <row r="23" spans="1:30">
      <c r="A23" s="281"/>
      <c r="B23" s="273">
        <v>44166</v>
      </c>
      <c r="C23" s="133" t="s">
        <v>1</v>
      </c>
      <c r="D23" s="154">
        <f>'Aug18'!D21</f>
        <v>80.3</v>
      </c>
      <c r="E23" s="154">
        <f>'Aug18'!E21</f>
        <v>96.4</v>
      </c>
      <c r="F23" s="154">
        <f>'Aug18'!F21</f>
        <v>113.9</v>
      </c>
      <c r="G23" s="154">
        <f>'Aug18'!G21</f>
        <v>141.4</v>
      </c>
      <c r="H23" s="154">
        <f>'Aug18'!H21</f>
        <v>146.69999999999999</v>
      </c>
      <c r="I23" s="154">
        <f>'Dec18'!I21</f>
        <v>153</v>
      </c>
      <c r="J23" s="154">
        <f>'Dec18'!J21</f>
        <v>204.40600000000003</v>
      </c>
      <c r="K23" s="154">
        <v>300.43599999999998</v>
      </c>
      <c r="L23" s="154">
        <f>'Dec 20'!L22</f>
        <v>368.08587199999999</v>
      </c>
      <c r="M23" s="154">
        <f>'Dec 20'!M22</f>
        <v>340</v>
      </c>
      <c r="N23" s="154">
        <f>'Dec 20'!N22</f>
        <v>330</v>
      </c>
      <c r="O23" s="154">
        <f>'Dec 20'!O22</f>
        <v>340</v>
      </c>
      <c r="P23" s="154">
        <f>'Dec 20'!P22</f>
        <v>355</v>
      </c>
      <c r="Q23" s="154">
        <f>'Dec 20'!Q22</f>
        <v>370</v>
      </c>
      <c r="S23" s="112">
        <f>+S22/L22-1</f>
        <v>-5.7747046591345441E-2</v>
      </c>
      <c r="T23" s="112">
        <f>+T22/S22-1</f>
        <v>-0.14476833030591352</v>
      </c>
      <c r="U23" s="112">
        <f>+U22/T22-1</f>
        <v>-0.13394241790843509</v>
      </c>
      <c r="W23" s="112">
        <f>+W22/L22-1</f>
        <v>-2.488201992169814E-3</v>
      </c>
      <c r="X23" s="112">
        <f>+X22/W22-1</f>
        <v>-8.6281558950894732E-2</v>
      </c>
      <c r="Y23" s="112">
        <f>+Y22/X22-1</f>
        <v>2.5574532772958847E-2</v>
      </c>
      <c r="AA23" s="112">
        <f>+AA22/L22-1</f>
        <v>7.998481397840651E-3</v>
      </c>
      <c r="AB23" s="112">
        <f>+AB22/AA22-1</f>
        <v>2.5388782578228186E-2</v>
      </c>
      <c r="AC23" s="112">
        <f>+AC22/AB22-1</f>
        <v>2.5285845709028809E-2</v>
      </c>
    </row>
    <row r="24" spans="1:30" ht="14.65" hidden="1" customHeight="1">
      <c r="A24" s="281"/>
      <c r="B24" s="272"/>
      <c r="C24" s="133" t="s">
        <v>1</v>
      </c>
      <c r="D24" s="154">
        <v>80.3</v>
      </c>
      <c r="E24" s="154">
        <v>96.4</v>
      </c>
      <c r="F24" s="154">
        <v>113.4</v>
      </c>
      <c r="G24" s="154">
        <v>122</v>
      </c>
      <c r="H24" s="154">
        <v>127</v>
      </c>
      <c r="I24" s="154">
        <v>131</v>
      </c>
      <c r="J24" s="154">
        <v>133</v>
      </c>
      <c r="K24" s="154">
        <v>135</v>
      </c>
      <c r="L24" s="154"/>
      <c r="M24" s="154"/>
      <c r="N24" s="154"/>
      <c r="O24" s="154"/>
      <c r="P24" s="154"/>
      <c r="Q24" s="154"/>
    </row>
    <row r="25" spans="1:30" ht="14.65" hidden="1" customHeight="1">
      <c r="A25" s="281"/>
      <c r="B25" s="272"/>
      <c r="C25" s="133" t="s">
        <v>1</v>
      </c>
      <c r="D25" s="154">
        <v>80.3</v>
      </c>
      <c r="E25" s="154">
        <v>96.4</v>
      </c>
      <c r="F25" s="154">
        <v>110</v>
      </c>
      <c r="G25" s="154">
        <v>117</v>
      </c>
      <c r="H25" s="154">
        <v>122</v>
      </c>
      <c r="I25" s="154">
        <v>125</v>
      </c>
      <c r="J25" s="154">
        <v>127</v>
      </c>
      <c r="K25" s="154">
        <v>129</v>
      </c>
      <c r="L25" s="154"/>
      <c r="M25" s="154"/>
      <c r="N25" s="154"/>
      <c r="O25" s="154"/>
      <c r="P25" s="154"/>
      <c r="Q25" s="154"/>
    </row>
    <row r="26" spans="1:30" ht="14.65" hidden="1" customHeight="1">
      <c r="A26" s="281"/>
      <c r="B26" s="272"/>
      <c r="C26" s="133" t="s">
        <v>1</v>
      </c>
      <c r="D26" s="154">
        <v>80.069999999999993</v>
      </c>
      <c r="E26" s="154">
        <v>90</v>
      </c>
      <c r="F26" s="154">
        <v>93</v>
      </c>
      <c r="G26" s="154">
        <v>97</v>
      </c>
      <c r="H26" s="154">
        <v>100</v>
      </c>
      <c r="I26" s="154">
        <v>101</v>
      </c>
      <c r="J26" s="154">
        <v>102</v>
      </c>
      <c r="K26" s="154"/>
      <c r="L26" s="154"/>
      <c r="M26" s="154"/>
      <c r="N26" s="154"/>
      <c r="O26" s="154"/>
      <c r="P26" s="154"/>
      <c r="Q26" s="154"/>
    </row>
    <row r="27" spans="1:30" hidden="1">
      <c r="A27" s="281"/>
      <c r="B27" s="33">
        <v>41317</v>
      </c>
      <c r="C27" s="133" t="s">
        <v>1</v>
      </c>
      <c r="D27" s="155">
        <v>80.099999999999994</v>
      </c>
      <c r="E27" s="155">
        <v>87</v>
      </c>
      <c r="F27" s="155">
        <v>91.4</v>
      </c>
      <c r="G27" s="155">
        <v>94.1</v>
      </c>
      <c r="H27" s="155">
        <v>96</v>
      </c>
      <c r="I27" s="155">
        <v>97.9</v>
      </c>
      <c r="J27" s="155"/>
      <c r="K27" s="155"/>
      <c r="L27" s="155"/>
      <c r="M27" s="155"/>
      <c r="N27" s="155"/>
      <c r="O27" s="155"/>
      <c r="P27" s="155"/>
      <c r="Q27" s="155"/>
    </row>
    <row r="28" spans="1:30" hidden="1">
      <c r="A28" s="281"/>
      <c r="B28" s="33">
        <v>41244</v>
      </c>
      <c r="C28" s="133" t="s">
        <v>1</v>
      </c>
      <c r="D28" s="155">
        <v>79.7</v>
      </c>
      <c r="E28" s="155">
        <v>84.119744824999998</v>
      </c>
      <c r="F28" s="155">
        <v>88.406534618000009</v>
      </c>
      <c r="G28" s="155">
        <v>92.434230656539995</v>
      </c>
      <c r="H28" s="155">
        <v>96.132415269670815</v>
      </c>
      <c r="I28" s="155">
        <v>97.6</v>
      </c>
      <c r="J28" s="155">
        <v>97.6</v>
      </c>
      <c r="K28" s="155"/>
      <c r="L28" s="155"/>
      <c r="M28" s="155"/>
      <c r="N28" s="155"/>
      <c r="O28" s="155"/>
      <c r="P28" s="155"/>
      <c r="Q28" s="155"/>
    </row>
    <row r="29" spans="1:30">
      <c r="A29" s="281"/>
      <c r="B29" s="33">
        <f>B19</f>
        <v>44228</v>
      </c>
      <c r="C29" s="292" t="s">
        <v>16</v>
      </c>
      <c r="D29" s="293"/>
      <c r="E29" s="167">
        <f t="shared" ref="E29:Q30" si="4">(E22-D22)/D22</f>
        <v>0.20049813200498143</v>
      </c>
      <c r="F29" s="167">
        <f>(F22-E22)/E22</f>
        <v>0.18153526970954356</v>
      </c>
      <c r="G29" s="167">
        <f t="shared" si="4"/>
        <v>0.24143985952589991</v>
      </c>
      <c r="H29" s="167">
        <f t="shared" si="4"/>
        <v>3.7482319660537361E-2</v>
      </c>
      <c r="I29" s="167">
        <f>(I22-H22)/H22</f>
        <v>4.2944785276073698E-2</v>
      </c>
      <c r="J29" s="167">
        <f>(J22-I22)/I22</f>
        <v>0.33598692810457537</v>
      </c>
      <c r="K29" s="167">
        <f t="shared" si="4"/>
        <v>0.46766728960989379</v>
      </c>
      <c r="L29" s="167">
        <f t="shared" si="4"/>
        <v>0.22695290666666665</v>
      </c>
      <c r="M29" s="167">
        <f t="shared" si="4"/>
        <v>5.2002213222679871E-3</v>
      </c>
      <c r="N29" s="167">
        <f t="shared" si="4"/>
        <v>0</v>
      </c>
      <c r="O29" s="167">
        <f t="shared" si="4"/>
        <v>0</v>
      </c>
      <c r="P29" s="167">
        <f t="shared" si="4"/>
        <v>0</v>
      </c>
      <c r="Q29" s="167">
        <f t="shared" si="4"/>
        <v>0</v>
      </c>
      <c r="S29" s="93" t="s">
        <v>99</v>
      </c>
      <c r="W29" s="93" t="s">
        <v>100</v>
      </c>
      <c r="AA29" t="s">
        <v>101</v>
      </c>
    </row>
    <row r="30" spans="1:30">
      <c r="A30" s="281"/>
      <c r="B30" s="33">
        <f>B7</f>
        <v>44166</v>
      </c>
      <c r="C30" s="290" t="s">
        <v>16</v>
      </c>
      <c r="D30" s="291"/>
      <c r="E30" s="168">
        <f>(E23-D23)/D23</f>
        <v>0.20049813200498143</v>
      </c>
      <c r="F30" s="168">
        <f t="shared" ref="F30:Q31" si="5">(F23-E23)/E23</f>
        <v>0.18153526970954356</v>
      </c>
      <c r="G30" s="168">
        <f>(G23-F23)/F23</f>
        <v>0.24143985952589991</v>
      </c>
      <c r="H30" s="168">
        <f t="shared" si="4"/>
        <v>3.7482319660537361E-2</v>
      </c>
      <c r="I30" s="168">
        <f>(I23-H23)/H23</f>
        <v>4.2944785276073698E-2</v>
      </c>
      <c r="J30" s="168">
        <f t="shared" si="4"/>
        <v>0.33598692810457537</v>
      </c>
      <c r="K30" s="168">
        <v>0.45837206344236431</v>
      </c>
      <c r="L30" s="168">
        <f>+L23/K23-1</f>
        <v>0.2251723228907323</v>
      </c>
      <c r="M30" s="168">
        <f t="shared" ref="M30:P30" si="6">+M23/L23-1</f>
        <v>-7.6302499325483497E-2</v>
      </c>
      <c r="N30" s="168">
        <f t="shared" si="6"/>
        <v>-2.9411764705882359E-2</v>
      </c>
      <c r="O30" s="168">
        <f t="shared" si="6"/>
        <v>3.0303030303030276E-2</v>
      </c>
      <c r="P30" s="168">
        <f t="shared" si="6"/>
        <v>4.4117647058823595E-2</v>
      </c>
      <c r="Q30" s="168"/>
    </row>
    <row r="31" spans="1:30" hidden="1">
      <c r="A31" s="281"/>
      <c r="B31" s="33">
        <v>41974</v>
      </c>
      <c r="C31" s="290" t="s">
        <v>16</v>
      </c>
      <c r="D31" s="291"/>
      <c r="E31" s="147">
        <f>(E24-D24)/D24</f>
        <v>0.20049813200498143</v>
      </c>
      <c r="F31" s="147">
        <f t="shared" si="5"/>
        <v>0.17634854771784231</v>
      </c>
      <c r="G31" s="147">
        <f t="shared" si="5"/>
        <v>7.5837742504409111E-2</v>
      </c>
      <c r="H31" s="147">
        <f t="shared" si="5"/>
        <v>4.0983606557377046E-2</v>
      </c>
      <c r="I31" s="147">
        <f t="shared" si="5"/>
        <v>3.1496062992125984E-2</v>
      </c>
      <c r="J31" s="147">
        <f t="shared" si="5"/>
        <v>1.5267175572519083E-2</v>
      </c>
      <c r="K31" s="147">
        <f t="shared" si="5"/>
        <v>1.5037593984962405E-2</v>
      </c>
      <c r="L31" s="147">
        <f t="shared" si="5"/>
        <v>-1</v>
      </c>
      <c r="M31" s="147" t="e">
        <f t="shared" si="5"/>
        <v>#DIV/0!</v>
      </c>
      <c r="N31" s="147" t="e">
        <f t="shared" si="5"/>
        <v>#DIV/0!</v>
      </c>
      <c r="O31" s="147" t="e">
        <f t="shared" si="5"/>
        <v>#DIV/0!</v>
      </c>
      <c r="P31" s="147" t="e">
        <f t="shared" si="5"/>
        <v>#DIV/0!</v>
      </c>
      <c r="Q31" s="147" t="e">
        <f t="shared" si="5"/>
        <v>#DIV/0!</v>
      </c>
    </row>
    <row r="32" spans="1:30" hidden="1">
      <c r="A32" s="281"/>
      <c r="B32" s="33">
        <v>41499</v>
      </c>
      <c r="C32" s="292" t="s">
        <v>16</v>
      </c>
      <c r="D32" s="293"/>
      <c r="E32" s="146">
        <f t="shared" ref="E32:J32" si="7">(E26-D26)/D26</f>
        <v>0.12401648557512186</v>
      </c>
      <c r="F32" s="146">
        <f t="shared" si="7"/>
        <v>3.3333333333333333E-2</v>
      </c>
      <c r="G32" s="146">
        <f t="shared" si="7"/>
        <v>4.3010752688172046E-2</v>
      </c>
      <c r="H32" s="146">
        <f t="shared" si="7"/>
        <v>3.0927835051546393E-2</v>
      </c>
      <c r="I32" s="146">
        <f t="shared" si="7"/>
        <v>0.01</v>
      </c>
      <c r="J32" s="146">
        <f t="shared" si="7"/>
        <v>9.9009900990099011E-3</v>
      </c>
      <c r="K32" s="146"/>
      <c r="L32" s="146"/>
      <c r="M32" s="146"/>
      <c r="N32" s="146"/>
      <c r="O32" s="146"/>
      <c r="P32" s="146"/>
      <c r="Q32" s="146"/>
    </row>
    <row r="33" spans="1:30">
      <c r="A33" s="106"/>
      <c r="B33" s="107"/>
      <c r="C33" s="156"/>
      <c r="D33" s="156"/>
      <c r="E33" s="157"/>
      <c r="F33" s="157"/>
      <c r="G33" s="158"/>
      <c r="H33" s="158"/>
      <c r="I33" s="158"/>
      <c r="J33" s="158"/>
      <c r="K33" s="158"/>
      <c r="L33" s="158"/>
      <c r="M33" s="158"/>
      <c r="N33" s="158"/>
      <c r="O33" s="158"/>
      <c r="P33" s="158"/>
      <c r="Q33" s="158"/>
    </row>
    <row r="34" spans="1:30">
      <c r="A34" s="298" t="s">
        <v>18</v>
      </c>
      <c r="B34" s="300">
        <v>44228</v>
      </c>
      <c r="C34" s="134" t="s">
        <v>4</v>
      </c>
      <c r="D34" s="135"/>
      <c r="E34" s="135"/>
      <c r="F34" s="135"/>
      <c r="G34" s="135"/>
      <c r="H34" s="135"/>
      <c r="I34" s="135">
        <v>3.24</v>
      </c>
      <c r="J34" s="135"/>
      <c r="K34" s="135"/>
      <c r="L34" s="135">
        <v>1.9</v>
      </c>
      <c r="M34" s="135">
        <v>2.48</v>
      </c>
      <c r="N34" s="135">
        <v>2.7</v>
      </c>
      <c r="O34" s="135">
        <v>2.66</v>
      </c>
      <c r="P34" s="135">
        <v>2.69</v>
      </c>
      <c r="Q34" s="135">
        <v>2.8</v>
      </c>
      <c r="S34" s="135"/>
      <c r="T34" s="135"/>
      <c r="U34" s="135"/>
      <c r="W34" s="135"/>
      <c r="X34" s="135"/>
      <c r="Y34" s="135"/>
      <c r="AA34" s="135"/>
      <c r="AB34" s="135"/>
      <c r="AC34" s="135"/>
    </row>
    <row r="35" spans="1:30" ht="15" customHeight="1">
      <c r="A35" s="299"/>
      <c r="B35" s="301"/>
      <c r="C35" s="136" t="s">
        <v>2</v>
      </c>
      <c r="D35" s="159"/>
      <c r="E35" s="159"/>
      <c r="F35" s="159"/>
      <c r="G35" s="159"/>
      <c r="H35" s="159"/>
      <c r="I35" s="159">
        <v>3.24</v>
      </c>
      <c r="J35" s="159"/>
      <c r="K35" s="210"/>
      <c r="L35" s="210">
        <v>1.9</v>
      </c>
      <c r="M35" s="210">
        <v>2.44</v>
      </c>
      <c r="N35" s="210">
        <v>2.72</v>
      </c>
      <c r="O35" s="210">
        <v>2.69</v>
      </c>
      <c r="P35" s="210">
        <v>2.72</v>
      </c>
      <c r="Q35" s="210">
        <v>2.75</v>
      </c>
      <c r="S35" s="210"/>
      <c r="T35" s="210"/>
      <c r="U35" s="210"/>
      <c r="W35" s="210"/>
      <c r="X35" s="210"/>
      <c r="Y35" s="210"/>
      <c r="AA35" s="210"/>
      <c r="AB35" s="210"/>
      <c r="AC35" s="210"/>
    </row>
    <row r="36" spans="1:30">
      <c r="A36" s="299"/>
      <c r="B36" s="301"/>
      <c r="C36" s="139" t="s">
        <v>0</v>
      </c>
      <c r="D36" s="140"/>
      <c r="E36" s="140"/>
      <c r="F36" s="140"/>
      <c r="G36" s="140"/>
      <c r="H36" s="140"/>
      <c r="I36" s="140">
        <v>3.25</v>
      </c>
      <c r="J36" s="140"/>
      <c r="K36" s="140"/>
      <c r="L36" s="140">
        <v>1.9</v>
      </c>
      <c r="M36" s="140">
        <v>2.42</v>
      </c>
      <c r="N36" s="140">
        <v>2.68</v>
      </c>
      <c r="O36" s="140">
        <v>2.62</v>
      </c>
      <c r="P36" s="140">
        <v>2.57</v>
      </c>
      <c r="Q36" s="140">
        <v>2.7</v>
      </c>
      <c r="S36" s="140"/>
      <c r="T36" s="140"/>
      <c r="U36" s="140"/>
      <c r="W36" s="140"/>
      <c r="X36" s="140"/>
      <c r="Y36" s="140"/>
      <c r="AA36" s="140"/>
      <c r="AB36" s="140"/>
      <c r="AC36" s="140"/>
    </row>
    <row r="37" spans="1:30">
      <c r="A37" s="299"/>
      <c r="B37" s="301"/>
      <c r="C37" s="141" t="s">
        <v>3</v>
      </c>
      <c r="D37" s="142"/>
      <c r="E37" s="142"/>
      <c r="F37" s="142"/>
      <c r="G37" s="142"/>
      <c r="H37" s="142"/>
      <c r="I37" s="142">
        <v>3.22</v>
      </c>
      <c r="J37" s="142"/>
      <c r="K37" s="142"/>
      <c r="L37" s="142">
        <v>1.9</v>
      </c>
      <c r="M37" s="142">
        <v>2.46</v>
      </c>
      <c r="N37" s="142">
        <v>2.74</v>
      </c>
      <c r="O37" s="142">
        <v>2.71</v>
      </c>
      <c r="P37" s="142">
        <v>2.74</v>
      </c>
      <c r="Q37" s="142">
        <v>2.88</v>
      </c>
      <c r="S37" s="142"/>
      <c r="T37" s="142"/>
      <c r="U37" s="142"/>
      <c r="W37" s="142"/>
      <c r="X37" s="142"/>
      <c r="Y37" s="142"/>
      <c r="AA37" s="142"/>
      <c r="AB37" s="142"/>
      <c r="AC37" s="142"/>
    </row>
    <row r="38" spans="1:30">
      <c r="A38" s="299"/>
      <c r="B38" s="302"/>
      <c r="C38" s="143" t="s">
        <v>1</v>
      </c>
      <c r="D38" s="144">
        <v>5.01</v>
      </c>
      <c r="E38" s="144">
        <v>4.38</v>
      </c>
      <c r="F38" s="144">
        <v>5.14</v>
      </c>
      <c r="G38" s="144">
        <v>3.78</v>
      </c>
      <c r="H38" s="144">
        <v>2.42</v>
      </c>
      <c r="I38" s="144">
        <f t="shared" ref="I38" si="8">+AVERAGE(I34:I37)</f>
        <v>3.2375000000000003</v>
      </c>
      <c r="J38" s="144" t="e">
        <f t="shared" ref="J38" si="9">AVERAGE(J34:J37)</f>
        <v>#DIV/0!</v>
      </c>
      <c r="K38" s="216" t="e">
        <f>AVERAGE(K34:K37)</f>
        <v>#DIV/0!</v>
      </c>
      <c r="L38" s="216">
        <f>AVERAGE(L34:L37)</f>
        <v>1.9</v>
      </c>
      <c r="M38" s="216">
        <f>MROUND(AVERAGE(M34:M37),0.05)</f>
        <v>2.4500000000000002</v>
      </c>
      <c r="N38" s="216">
        <f t="shared" ref="N38:Q38" si="10">MROUND(AVERAGE(N34:N37),0.05)</f>
        <v>2.7</v>
      </c>
      <c r="O38" s="216">
        <f t="shared" si="10"/>
        <v>2.6500000000000004</v>
      </c>
      <c r="P38" s="216">
        <f t="shared" si="10"/>
        <v>2.7</v>
      </c>
      <c r="Q38" s="216">
        <f t="shared" si="10"/>
        <v>2.8000000000000003</v>
      </c>
      <c r="R38" t="s">
        <v>97</v>
      </c>
      <c r="S38" s="216">
        <v>2.2999999999999998</v>
      </c>
      <c r="T38" s="216">
        <v>2.23</v>
      </c>
      <c r="U38" s="216">
        <v>2.2799999999999998</v>
      </c>
      <c r="W38" s="216">
        <v>2.19</v>
      </c>
      <c r="X38" s="216">
        <v>1.73</v>
      </c>
      <c r="Y38" s="216">
        <v>2.0099999999999998</v>
      </c>
      <c r="AA38" s="216">
        <v>2.52</v>
      </c>
      <c r="AB38" s="216">
        <v>2.86</v>
      </c>
      <c r="AC38" s="216">
        <v>2.79</v>
      </c>
      <c r="AD38" t="s">
        <v>96</v>
      </c>
    </row>
    <row r="39" spans="1:30">
      <c r="A39" s="299"/>
      <c r="B39" s="231">
        <v>44166</v>
      </c>
      <c r="C39" s="133" t="s">
        <v>1</v>
      </c>
      <c r="D39" s="138">
        <f>'Aug18'!D37</f>
        <v>5.01</v>
      </c>
      <c r="E39" s="138">
        <f>'Aug18'!E37</f>
        <v>4.38</v>
      </c>
      <c r="F39" s="138">
        <f>'Aug18'!F37</f>
        <v>5.14</v>
      </c>
      <c r="G39" s="138">
        <f>'Aug18'!G37</f>
        <v>3.78</v>
      </c>
      <c r="H39" s="138">
        <f>'Aug18'!H37</f>
        <v>2.42</v>
      </c>
      <c r="I39" s="138">
        <f>'Dec18'!I37</f>
        <v>3.2375000000000003</v>
      </c>
      <c r="J39" s="138">
        <f>'Dec18'!J37</f>
        <v>3.5142500000000001</v>
      </c>
      <c r="K39" s="138">
        <v>3.08</v>
      </c>
      <c r="L39" s="138">
        <f>'Dec 20'!L38</f>
        <v>1.9</v>
      </c>
      <c r="M39" s="138">
        <f>'Dec 20'!M38</f>
        <v>2.5500000000000003</v>
      </c>
      <c r="N39" s="138">
        <f>'Dec 20'!N38</f>
        <v>2.6500000000000004</v>
      </c>
      <c r="O39" s="138">
        <f>'Dec 20'!O38</f>
        <v>2.5500000000000003</v>
      </c>
      <c r="P39" s="138">
        <f>'Dec 20'!P38</f>
        <v>2.6500000000000004</v>
      </c>
      <c r="Q39" s="138">
        <f>'Dec 20'!Q38</f>
        <v>2.75</v>
      </c>
      <c r="S39" s="93" t="s">
        <v>99</v>
      </c>
      <c r="W39" s="93" t="s">
        <v>100</v>
      </c>
      <c r="AA39" t="s">
        <v>101</v>
      </c>
    </row>
    <row r="40" spans="1:30">
      <c r="A40" s="230"/>
      <c r="B40" s="232"/>
      <c r="C40" s="233"/>
      <c r="D40" s="234"/>
      <c r="E40" s="234"/>
      <c r="F40" s="234"/>
      <c r="G40" s="234"/>
      <c r="H40" s="234"/>
      <c r="I40" s="234"/>
      <c r="J40" s="234"/>
      <c r="K40" s="234"/>
      <c r="L40" s="138"/>
      <c r="M40" s="138"/>
      <c r="N40" s="138"/>
      <c r="O40" s="138"/>
      <c r="P40" s="138"/>
      <c r="Q40" s="138"/>
    </row>
    <row r="41" spans="1:30">
      <c r="A41" s="65"/>
      <c r="B41" s="65"/>
      <c r="C41" s="65"/>
      <c r="D41" s="76"/>
      <c r="E41" s="76"/>
      <c r="F41" s="76"/>
      <c r="G41" s="130"/>
      <c r="H41" s="130"/>
      <c r="I41" s="130"/>
      <c r="J41" s="130"/>
      <c r="K41" s="130"/>
      <c r="L41" s="130"/>
      <c r="M41" s="130"/>
    </row>
    <row r="42" spans="1:30">
      <c r="A42" s="287" t="s">
        <v>19</v>
      </c>
      <c r="B42" s="273">
        <v>44228</v>
      </c>
      <c r="C42" s="136" t="s">
        <v>2</v>
      </c>
      <c r="D42" s="160"/>
      <c r="E42" s="161"/>
      <c r="F42" s="161"/>
      <c r="G42" s="161"/>
      <c r="H42" s="161"/>
      <c r="I42" s="161">
        <v>1235.7</v>
      </c>
      <c r="J42" s="161"/>
      <c r="K42" s="161"/>
      <c r="L42" s="161">
        <v>1827.65</v>
      </c>
      <c r="M42" s="161">
        <v>1827</v>
      </c>
      <c r="N42" s="161">
        <v>1845</v>
      </c>
      <c r="O42" s="161">
        <v>1864</v>
      </c>
      <c r="P42" s="161">
        <v>1882</v>
      </c>
      <c r="Q42" s="161">
        <v>1901</v>
      </c>
      <c r="S42" s="161"/>
      <c r="T42" s="161"/>
      <c r="U42" s="161"/>
      <c r="W42" s="161"/>
      <c r="X42" s="161"/>
      <c r="Y42" s="161"/>
      <c r="AA42" s="161"/>
      <c r="AB42" s="161"/>
      <c r="AC42" s="161"/>
    </row>
    <row r="43" spans="1:30">
      <c r="A43" s="288"/>
      <c r="B43" s="272"/>
      <c r="C43" s="139" t="s">
        <v>0</v>
      </c>
      <c r="D43" s="162"/>
      <c r="E43" s="162"/>
      <c r="F43" s="162"/>
      <c r="G43" s="162"/>
      <c r="H43" s="162"/>
      <c r="I43" s="162"/>
      <c r="J43" s="162"/>
      <c r="K43" s="215"/>
      <c r="L43" s="215">
        <v>1829.34</v>
      </c>
      <c r="M43" s="215">
        <v>1861.35</v>
      </c>
      <c r="N43" s="215">
        <v>1870.31</v>
      </c>
      <c r="O43" s="215">
        <v>1896.56</v>
      </c>
      <c r="P43" s="215">
        <v>1903.97</v>
      </c>
      <c r="Q43" s="215">
        <v>1903.97</v>
      </c>
      <c r="S43" s="215"/>
      <c r="T43" s="215"/>
      <c r="U43" s="215"/>
      <c r="W43" s="215"/>
      <c r="X43" s="215"/>
      <c r="Y43" s="215"/>
      <c r="AA43" s="215"/>
      <c r="AB43" s="215"/>
      <c r="AC43" s="215"/>
    </row>
    <row r="44" spans="1:30">
      <c r="A44" s="288"/>
      <c r="B44" s="272"/>
      <c r="C44" s="141" t="s">
        <v>3</v>
      </c>
      <c r="D44" s="163"/>
      <c r="E44" s="163"/>
      <c r="F44" s="163"/>
      <c r="G44" s="163"/>
      <c r="H44" s="163"/>
      <c r="I44" s="163">
        <v>1235.5999999999999</v>
      </c>
      <c r="J44" s="163"/>
      <c r="K44" s="163"/>
      <c r="L44" s="163">
        <v>1829.3</v>
      </c>
      <c r="M44" s="163">
        <v>1880.7</v>
      </c>
      <c r="N44" s="163">
        <v>1809.7</v>
      </c>
      <c r="O44" s="163">
        <v>1872.4</v>
      </c>
      <c r="P44" s="163">
        <v>1900.5</v>
      </c>
      <c r="Q44" s="163">
        <v>1929</v>
      </c>
      <c r="S44" s="163"/>
      <c r="T44" s="163"/>
      <c r="U44" s="163"/>
      <c r="W44" s="163"/>
      <c r="X44" s="163"/>
      <c r="Y44" s="163"/>
      <c r="AA44" s="163"/>
      <c r="AB44" s="163"/>
      <c r="AC44" s="163"/>
    </row>
    <row r="45" spans="1:30">
      <c r="A45" s="288"/>
      <c r="B45" s="272"/>
      <c r="C45" s="143" t="s">
        <v>1</v>
      </c>
      <c r="D45" s="152">
        <v>1227</v>
      </c>
      <c r="E45" s="152">
        <v>1177.5</v>
      </c>
      <c r="F45" s="153">
        <v>1184.7</v>
      </c>
      <c r="G45" s="153">
        <v>1184.8</v>
      </c>
      <c r="H45" s="153">
        <v>1175</v>
      </c>
      <c r="I45" s="153">
        <f>(+AVERAGE(I42:I44))</f>
        <v>1235.6500000000001</v>
      </c>
      <c r="J45" s="206">
        <v>1361</v>
      </c>
      <c r="K45" s="214">
        <v>1562</v>
      </c>
      <c r="L45" s="242">
        <v>1829.192</v>
      </c>
      <c r="M45" s="242">
        <v>1830</v>
      </c>
      <c r="N45" s="242">
        <v>1830</v>
      </c>
      <c r="O45" s="242">
        <v>1830</v>
      </c>
      <c r="P45" s="242">
        <v>1830</v>
      </c>
      <c r="Q45" s="242">
        <v>1830</v>
      </c>
      <c r="R45" t="s">
        <v>98</v>
      </c>
      <c r="S45" s="226">
        <f>$L$45*(1+S46)</f>
        <v>1776.3767821757419</v>
      </c>
      <c r="T45" s="226">
        <f>+S45*(1+T46)</f>
        <v>1647.7952318008552</v>
      </c>
      <c r="U45" s="226">
        <f>+T45*(1+U46)</f>
        <v>1537.4403930181566</v>
      </c>
      <c r="W45" s="226">
        <f>$L$45*(1+W46)</f>
        <v>1826.9163004107695</v>
      </c>
      <c r="X45" s="226">
        <f>+W45*(1+X46)</f>
        <v>1748.1017071746483</v>
      </c>
      <c r="Y45" s="226">
        <f>+X45*(1+Y46)</f>
        <v>1770.45514937495</v>
      </c>
      <c r="Z45" s="243"/>
      <c r="AA45" s="226">
        <f>$L$45*(1+AA46)</f>
        <v>1836.5073790925392</v>
      </c>
      <c r="AB45" s="226">
        <f>+AA45*(1+AB46)</f>
        <v>1859.8207223680854</v>
      </c>
      <c r="AC45" s="226">
        <f>+AB45*(1+AC46)</f>
        <v>1883.3342922842123</v>
      </c>
      <c r="AD45" t="s">
        <v>96</v>
      </c>
    </row>
    <row r="46" spans="1:30">
      <c r="A46" s="288"/>
      <c r="B46" s="273">
        <v>44166</v>
      </c>
      <c r="C46" s="133" t="s">
        <v>1</v>
      </c>
      <c r="D46" s="160">
        <f>'Aug18'!D52</f>
        <v>1227</v>
      </c>
      <c r="E46" s="160">
        <f>'Aug18'!E52</f>
        <v>1177.5</v>
      </c>
      <c r="F46" s="160">
        <f>'Aug18'!F52</f>
        <v>1184.7</v>
      </c>
      <c r="G46" s="160">
        <f>'Aug18'!G52</f>
        <v>1184.8</v>
      </c>
      <c r="H46" s="160">
        <f>'Aug18'!H52</f>
        <v>1175</v>
      </c>
      <c r="I46" s="160">
        <f>'Dec18'!I52</f>
        <v>1235.6500000000001</v>
      </c>
      <c r="J46" s="160">
        <f>'Dec18'!J52</f>
        <v>1361</v>
      </c>
      <c r="K46" s="160">
        <v>1562.1499999999999</v>
      </c>
      <c r="L46" s="160">
        <f>'Dec 20'!L45</f>
        <v>1829.192</v>
      </c>
      <c r="M46" s="160">
        <f>'Dec 20'!M45</f>
        <v>1760</v>
      </c>
      <c r="N46" s="160">
        <f>'Dec 20'!N45</f>
        <v>1715</v>
      </c>
      <c r="O46" s="160">
        <f>'Dec 20'!O45</f>
        <v>1755</v>
      </c>
      <c r="P46" s="160">
        <f>'Dec 20'!P45</f>
        <v>1785</v>
      </c>
      <c r="Q46" s="160">
        <f>'Dec 20'!Q45</f>
        <v>1815</v>
      </c>
      <c r="S46" s="112">
        <f>S23/2</f>
        <v>-2.8873523295672721E-2</v>
      </c>
      <c r="T46" s="112">
        <f t="shared" ref="T46:U46" si="11">T23/2</f>
        <v>-7.2384165152956759E-2</v>
      </c>
      <c r="U46" s="112">
        <f t="shared" si="11"/>
        <v>-6.6971208954217543E-2</v>
      </c>
      <c r="W46" s="112">
        <f>W23/2</f>
        <v>-1.244100996084907E-3</v>
      </c>
      <c r="X46" s="112">
        <f t="shared" ref="X46:Y46" si="12">X23/2</f>
        <v>-4.3140779475447366E-2</v>
      </c>
      <c r="Y46" s="112">
        <f t="shared" si="12"/>
        <v>1.2787266386479423E-2</v>
      </c>
      <c r="AA46" s="112">
        <f>AA23/2</f>
        <v>3.9992406989203255E-3</v>
      </c>
      <c r="AB46" s="112">
        <f t="shared" ref="AB46:AC46" si="13">AB23/2</f>
        <v>1.2694391289114093E-2</v>
      </c>
      <c r="AC46" s="112">
        <f t="shared" si="13"/>
        <v>1.2642922854514405E-2</v>
      </c>
    </row>
    <row r="47" spans="1:30" ht="14.65" hidden="1" customHeight="1">
      <c r="A47" s="288"/>
      <c r="B47" s="272"/>
      <c r="C47" s="133" t="s">
        <v>1</v>
      </c>
      <c r="D47" s="160">
        <v>1227</v>
      </c>
      <c r="E47" s="160">
        <v>1177.5</v>
      </c>
      <c r="F47" s="160">
        <v>1187.3</v>
      </c>
      <c r="G47" s="160">
        <v>1181</v>
      </c>
      <c r="H47" s="160">
        <v>1150</v>
      </c>
      <c r="I47" s="160">
        <v>1118</v>
      </c>
      <c r="J47" s="160">
        <v>1088</v>
      </c>
      <c r="K47" s="160">
        <v>1052</v>
      </c>
      <c r="L47" s="160"/>
      <c r="M47" s="160"/>
      <c r="N47" s="160"/>
      <c r="O47" s="160"/>
      <c r="P47" s="160"/>
      <c r="Q47" s="160"/>
    </row>
    <row r="48" spans="1:30" ht="14.65" hidden="1" customHeight="1">
      <c r="A48" s="288"/>
      <c r="B48" s="272"/>
      <c r="C48" s="133" t="s">
        <v>1</v>
      </c>
      <c r="D48" s="160">
        <v>1227</v>
      </c>
      <c r="E48" s="160">
        <v>1177.5</v>
      </c>
      <c r="F48" s="160">
        <v>1170</v>
      </c>
      <c r="G48" s="160">
        <v>1158.3</v>
      </c>
      <c r="H48" s="160">
        <v>1123.5509999999999</v>
      </c>
      <c r="I48" s="160">
        <v>1089.84447</v>
      </c>
      <c r="J48" s="160">
        <v>1057.1491358999999</v>
      </c>
      <c r="K48" s="160">
        <v>1025.4346618229999</v>
      </c>
      <c r="L48" s="160"/>
      <c r="M48" s="160"/>
      <c r="N48" s="160"/>
      <c r="O48" s="160"/>
      <c r="P48" s="160"/>
      <c r="Q48" s="160"/>
    </row>
    <row r="49" spans="1:27" ht="14.65" hidden="1" customHeight="1">
      <c r="A49" s="288"/>
      <c r="B49" s="272"/>
      <c r="C49" s="133" t="s">
        <v>1</v>
      </c>
      <c r="D49" s="160">
        <v>1225.8499999999999</v>
      </c>
      <c r="E49" s="160">
        <v>1165</v>
      </c>
      <c r="F49" s="160">
        <v>1110</v>
      </c>
      <c r="G49" s="160">
        <v>1070</v>
      </c>
      <c r="H49" s="160">
        <v>1030</v>
      </c>
      <c r="I49" s="160">
        <v>1000</v>
      </c>
      <c r="J49" s="160">
        <v>960</v>
      </c>
      <c r="K49" s="165"/>
      <c r="L49" s="165"/>
      <c r="M49" s="165"/>
      <c r="N49" s="165"/>
      <c r="O49" s="165"/>
      <c r="P49" s="165"/>
      <c r="Q49" s="165"/>
    </row>
    <row r="50" spans="1:27" hidden="1">
      <c r="A50" s="288"/>
      <c r="B50" s="33">
        <v>41317</v>
      </c>
      <c r="C50" s="133" t="s">
        <v>1</v>
      </c>
      <c r="D50" s="165">
        <v>1226</v>
      </c>
      <c r="E50" s="165">
        <v>1185</v>
      </c>
      <c r="F50" s="165">
        <v>1151</v>
      </c>
      <c r="G50" s="165">
        <v>1121</v>
      </c>
      <c r="H50" s="165">
        <v>1090.1407234210708</v>
      </c>
      <c r="I50" s="165">
        <v>1048</v>
      </c>
      <c r="J50" s="165"/>
      <c r="K50" s="165"/>
      <c r="L50" s="165"/>
      <c r="M50" s="165"/>
      <c r="N50" s="165"/>
      <c r="O50" s="165"/>
      <c r="P50" s="165"/>
      <c r="Q50" s="165"/>
    </row>
    <row r="51" spans="1:27" hidden="1">
      <c r="A51" s="288"/>
      <c r="B51" s="33">
        <v>41244</v>
      </c>
      <c r="C51" s="133" t="s">
        <v>1</v>
      </c>
      <c r="D51" s="165">
        <v>1228.5423506666664</v>
      </c>
      <c r="E51" s="165">
        <v>1184.5870287874238</v>
      </c>
      <c r="F51" s="165">
        <v>1151.3778293463738</v>
      </c>
      <c r="G51" s="165">
        <v>1121.0332793283103</v>
      </c>
      <c r="H51" s="165">
        <v>1090.1407234210708</v>
      </c>
      <c r="I51" s="165">
        <v>1048</v>
      </c>
      <c r="J51" s="165">
        <v>1048</v>
      </c>
      <c r="K51" s="165"/>
      <c r="L51" s="165"/>
      <c r="M51" s="165"/>
      <c r="N51" s="165"/>
      <c r="O51" s="165"/>
      <c r="P51" s="165"/>
      <c r="Q51" s="165"/>
    </row>
    <row r="52" spans="1:27">
      <c r="A52" s="288"/>
      <c r="B52" s="33">
        <v>44185</v>
      </c>
      <c r="C52" s="292" t="s">
        <v>16</v>
      </c>
      <c r="D52" s="293"/>
      <c r="E52" s="167">
        <f t="shared" ref="E52:M54" si="14">(E45-D45)/D45</f>
        <v>-4.0342298288508556E-2</v>
      </c>
      <c r="F52" s="167">
        <f t="shared" si="14"/>
        <v>6.1146496815287013E-3</v>
      </c>
      <c r="G52" s="167">
        <f>(G45-F45)/F45</f>
        <v>8.4409555161567526E-5</v>
      </c>
      <c r="H52" s="167">
        <f t="shared" si="14"/>
        <v>-8.2714382174206239E-3</v>
      </c>
      <c r="I52" s="167">
        <f t="shared" si="14"/>
        <v>5.1617021276595822E-2</v>
      </c>
      <c r="J52" s="167">
        <f t="shared" si="14"/>
        <v>0.10144458382227969</v>
      </c>
      <c r="K52" s="167">
        <f t="shared" si="14"/>
        <v>0.14768552534900808</v>
      </c>
      <c r="L52" s="167">
        <f t="shared" ref="L52" si="15">+L29/2</f>
        <v>0.11347645333333332</v>
      </c>
      <c r="M52" s="167">
        <f>+M45/L45-1</f>
        <v>4.41725089547651E-4</v>
      </c>
      <c r="N52" s="167">
        <f>N29/2</f>
        <v>0</v>
      </c>
      <c r="O52" s="167">
        <f t="shared" ref="O52:Q52" si="16">+O45/N45-1</f>
        <v>0</v>
      </c>
      <c r="P52" s="167">
        <f t="shared" si="16"/>
        <v>0</v>
      </c>
      <c r="Q52" s="167">
        <f t="shared" si="16"/>
        <v>0</v>
      </c>
      <c r="S52" s="93" t="s">
        <v>99</v>
      </c>
      <c r="W52" s="93" t="s">
        <v>100</v>
      </c>
      <c r="AA52" t="s">
        <v>101</v>
      </c>
    </row>
    <row r="53" spans="1:27" hidden="1">
      <c r="A53" s="288"/>
      <c r="B53" s="33">
        <f>B39</f>
        <v>44166</v>
      </c>
      <c r="C53" s="290" t="s">
        <v>16</v>
      </c>
      <c r="D53" s="291"/>
      <c r="E53" s="168">
        <f>(E46-D46)/D46</f>
        <v>-4.0342298288508556E-2</v>
      </c>
      <c r="F53" s="168">
        <f t="shared" si="14"/>
        <v>6.1146496815287013E-3</v>
      </c>
      <c r="G53" s="168">
        <f>(G46-F46)/F46</f>
        <v>8.4409555161567526E-5</v>
      </c>
      <c r="H53" s="168">
        <f t="shared" si="14"/>
        <v>-8.2714382174206239E-3</v>
      </c>
      <c r="I53" s="168">
        <f t="shared" si="14"/>
        <v>5.1617021276595822E-2</v>
      </c>
      <c r="J53" s="168">
        <f t="shared" si="14"/>
        <v>0.10144458382227969</v>
      </c>
      <c r="K53" s="168">
        <v>0.15723732549595884</v>
      </c>
      <c r="L53" s="168">
        <f>+L46/K46-1</f>
        <v>0.17094517171846513</v>
      </c>
      <c r="M53" s="168">
        <f t="shared" ref="M53:Q53" si="17">+M46/L46-1</f>
        <v>-3.7826537618795619E-2</v>
      </c>
      <c r="N53" s="168">
        <f t="shared" si="17"/>
        <v>-2.5568181818181768E-2</v>
      </c>
      <c r="O53" s="168">
        <f t="shared" si="17"/>
        <v>2.3323615160349753E-2</v>
      </c>
      <c r="P53" s="168">
        <f t="shared" si="17"/>
        <v>1.7094017094017033E-2</v>
      </c>
      <c r="Q53" s="168">
        <f t="shared" si="17"/>
        <v>1.6806722689075571E-2</v>
      </c>
    </row>
    <row r="54" spans="1:27" hidden="1">
      <c r="A54" s="288"/>
      <c r="B54" s="33">
        <v>41974</v>
      </c>
      <c r="C54" s="290" t="s">
        <v>16</v>
      </c>
      <c r="D54" s="291"/>
      <c r="E54" s="147">
        <f>(E47-D47)/D47</f>
        <v>-4.0342298288508556E-2</v>
      </c>
      <c r="F54" s="147">
        <f t="shared" si="14"/>
        <v>8.3227176220806408E-3</v>
      </c>
      <c r="G54" s="147">
        <f t="shared" si="14"/>
        <v>-5.3061568264128316E-3</v>
      </c>
      <c r="H54" s="147">
        <f t="shared" si="14"/>
        <v>-2.6248941574936496E-2</v>
      </c>
      <c r="I54" s="147">
        <f t="shared" si="14"/>
        <v>-2.782608695652174E-2</v>
      </c>
      <c r="J54" s="147">
        <f t="shared" si="14"/>
        <v>-2.6833631484794274E-2</v>
      </c>
      <c r="K54" s="147">
        <f t="shared" si="14"/>
        <v>-3.3088235294117647E-2</v>
      </c>
      <c r="L54" s="147">
        <f t="shared" si="14"/>
        <v>-1</v>
      </c>
      <c r="M54" s="147" t="e">
        <f t="shared" si="14"/>
        <v>#DIV/0!</v>
      </c>
    </row>
    <row r="55" spans="1:27" hidden="1">
      <c r="A55" s="289"/>
      <c r="B55" s="33">
        <v>41499</v>
      </c>
      <c r="C55" s="292" t="s">
        <v>16</v>
      </c>
      <c r="D55" s="293"/>
      <c r="E55" s="146">
        <f t="shared" ref="E55:J55" si="18">(E49-D49)/D49</f>
        <v>-4.9639025981971625E-2</v>
      </c>
      <c r="F55" s="146">
        <f t="shared" si="18"/>
        <v>-4.7210300429184553E-2</v>
      </c>
      <c r="G55" s="146">
        <f t="shared" si="18"/>
        <v>-3.6036036036036036E-2</v>
      </c>
      <c r="H55" s="146">
        <f t="shared" si="18"/>
        <v>-3.7383177570093455E-2</v>
      </c>
      <c r="I55" s="146">
        <f t="shared" si="18"/>
        <v>-2.9126213592233011E-2</v>
      </c>
      <c r="J55" s="146">
        <f t="shared" si="18"/>
        <v>-0.04</v>
      </c>
      <c r="K55" s="146"/>
      <c r="L55" s="146"/>
      <c r="M55" s="146"/>
    </row>
    <row r="56" spans="1:27" hidden="1">
      <c r="A56" s="108"/>
      <c r="B56" s="13"/>
      <c r="F56" s="112"/>
      <c r="G56" s="112"/>
      <c r="H56" s="112"/>
      <c r="I56" s="112"/>
      <c r="J56" s="112"/>
      <c r="K56" s="112"/>
      <c r="L56" s="217"/>
      <c r="M56" s="112"/>
    </row>
    <row r="57" spans="1:27" hidden="1">
      <c r="A57" s="9"/>
      <c r="B57" s="13"/>
      <c r="E57" s="94"/>
      <c r="F57" s="94"/>
      <c r="G57" s="112"/>
      <c r="H57" s="112"/>
      <c r="I57" s="112"/>
      <c r="J57" s="112"/>
      <c r="K57" s="112"/>
      <c r="L57" s="112"/>
      <c r="M57" s="112"/>
      <c r="N57" s="112"/>
      <c r="O57" s="112"/>
      <c r="P57" s="112"/>
      <c r="Q57" s="112"/>
    </row>
    <row r="58" spans="1:27" hidden="1">
      <c r="A58" s="9"/>
      <c r="B58" s="13"/>
      <c r="E58" s="94"/>
      <c r="F58" s="94"/>
      <c r="G58" s="94"/>
      <c r="H58" s="112"/>
      <c r="I58" s="112"/>
      <c r="J58" s="112"/>
      <c r="K58" s="112"/>
      <c r="L58" s="112"/>
      <c r="M58" s="112">
        <f t="shared" ref="M58:Q59" si="19">M43/L43-1</f>
        <v>1.7498114073928317E-2</v>
      </c>
      <c r="N58" s="112">
        <f t="shared" si="19"/>
        <v>4.8137104789534035E-3</v>
      </c>
      <c r="O58" s="112">
        <f t="shared" si="19"/>
        <v>1.4035106479674431E-2</v>
      </c>
      <c r="P58" s="112">
        <f t="shared" si="19"/>
        <v>3.9070738600412991E-3</v>
      </c>
      <c r="Q58" s="112">
        <f t="shared" si="19"/>
        <v>0</v>
      </c>
    </row>
    <row r="59" spans="1:27" hidden="1">
      <c r="A59" s="9"/>
      <c r="B59" s="13"/>
      <c r="L59" s="112"/>
      <c r="M59" s="112">
        <f t="shared" si="19"/>
        <v>2.8098179631553144E-2</v>
      </c>
      <c r="N59" s="112">
        <f t="shared" si="19"/>
        <v>-3.7751900887967205E-2</v>
      </c>
      <c r="O59" s="112">
        <f t="shared" si="19"/>
        <v>3.4646626512681689E-2</v>
      </c>
      <c r="P59" s="112">
        <f t="shared" si="19"/>
        <v>1.5007477034821637E-2</v>
      </c>
      <c r="Q59" s="112">
        <f t="shared" si="19"/>
        <v>1.4996053670086829E-2</v>
      </c>
    </row>
    <row r="60" spans="1:27" hidden="1">
      <c r="A60" s="9"/>
      <c r="B60" s="13"/>
      <c r="L60" s="213"/>
      <c r="M60" s="213">
        <f t="shared" ref="M60:Q60" si="20">AVERAGE(M57:M59)</f>
        <v>2.279814685274073E-2</v>
      </c>
      <c r="N60" s="213">
        <f t="shared" si="20"/>
        <v>-1.6469095204506901E-2</v>
      </c>
      <c r="O60" s="213">
        <f t="shared" si="20"/>
        <v>2.434086649617806E-2</v>
      </c>
      <c r="P60" s="213">
        <f t="shared" si="20"/>
        <v>9.457275447431468E-3</v>
      </c>
      <c r="Q60" s="213">
        <f t="shared" si="20"/>
        <v>7.4980268350434143E-3</v>
      </c>
    </row>
    <row r="61" spans="1:27" hidden="1">
      <c r="A61" s="9"/>
      <c r="B61" s="13"/>
    </row>
    <row r="62" spans="1:27">
      <c r="A62" s="9"/>
      <c r="B62" s="13"/>
      <c r="M62" s="112">
        <f>+M29/2</f>
        <v>2.6001106611339936E-3</v>
      </c>
      <c r="N62" s="112">
        <f t="shared" ref="N62:Q62" si="21">+N29/2</f>
        <v>0</v>
      </c>
      <c r="O62" s="112">
        <f t="shared" si="21"/>
        <v>0</v>
      </c>
      <c r="P62" s="112">
        <f t="shared" si="21"/>
        <v>0</v>
      </c>
      <c r="Q62" s="112">
        <f t="shared" si="21"/>
        <v>0</v>
      </c>
    </row>
    <row r="63" spans="1:27">
      <c r="A63" s="9"/>
      <c r="B63" s="13"/>
    </row>
    <row r="64" spans="1:27">
      <c r="A64" s="65"/>
      <c r="B64" s="65"/>
      <c r="C64" s="228" t="s">
        <v>4</v>
      </c>
      <c r="D64" s="229"/>
      <c r="E64" s="229"/>
      <c r="F64" s="229"/>
      <c r="G64" s="229"/>
      <c r="H64" s="229"/>
      <c r="I64" s="229"/>
      <c r="J64" s="229"/>
      <c r="K64" s="229"/>
      <c r="L64" s="229"/>
      <c r="M64" s="235"/>
      <c r="N64" s="235"/>
      <c r="O64" s="235"/>
      <c r="P64" s="235"/>
      <c r="Q64" s="235"/>
    </row>
    <row r="65" spans="1:17">
      <c r="A65" s="281" t="s">
        <v>12</v>
      </c>
      <c r="B65" s="273">
        <v>44044</v>
      </c>
      <c r="C65" s="136" t="s">
        <v>2</v>
      </c>
      <c r="D65" s="148"/>
      <c r="E65" s="148"/>
      <c r="F65" s="148"/>
      <c r="G65" s="148"/>
      <c r="H65" s="148"/>
      <c r="I65" s="148">
        <v>155.96</v>
      </c>
      <c r="J65" s="148"/>
      <c r="K65" s="148"/>
      <c r="L65" s="148"/>
      <c r="M65" s="168">
        <f>M19/L22-1</f>
        <v>2.9379361781100899E-2</v>
      </c>
      <c r="N65" s="168">
        <f t="shared" ref="N65:Q67" si="22">N19/M19-1</f>
        <v>3.0087094220111021E-2</v>
      </c>
      <c r="O65" s="168">
        <f t="shared" si="22"/>
        <v>9.9923136049191452E-3</v>
      </c>
      <c r="P65" s="168">
        <f t="shared" si="22"/>
        <v>9.8934550989346892E-3</v>
      </c>
      <c r="Q65" s="168">
        <f t="shared" si="22"/>
        <v>1.0047726701833737E-2</v>
      </c>
    </row>
    <row r="66" spans="1:17">
      <c r="A66" s="281"/>
      <c r="B66" s="272"/>
      <c r="C66" s="139" t="s">
        <v>0</v>
      </c>
      <c r="D66" s="149"/>
      <c r="E66" s="149"/>
      <c r="F66" s="149"/>
      <c r="G66" s="149"/>
      <c r="H66" s="149"/>
      <c r="I66" s="149"/>
      <c r="J66" s="149"/>
      <c r="K66" s="149"/>
      <c r="L66" s="149"/>
      <c r="M66" s="236">
        <f>M20/L22-1</f>
        <v>3.4649871049655445E-2</v>
      </c>
      <c r="N66" s="236">
        <f t="shared" si="22"/>
        <v>9.6103350488394579E-3</v>
      </c>
      <c r="O66" s="236">
        <f t="shared" si="22"/>
        <v>2.8062418725617766E-2</v>
      </c>
      <c r="P66" s="236">
        <f t="shared" si="22"/>
        <v>7.8170457132737958E-3</v>
      </c>
      <c r="Q66" s="236">
        <f t="shared" si="22"/>
        <v>0</v>
      </c>
    </row>
    <row r="67" spans="1:17">
      <c r="A67" s="281"/>
      <c r="B67" s="272"/>
      <c r="C67" s="141" t="s">
        <v>3</v>
      </c>
      <c r="D67" s="151"/>
      <c r="E67" s="151"/>
      <c r="F67" s="151"/>
      <c r="G67" s="151"/>
      <c r="H67" s="151"/>
      <c r="I67" s="151">
        <v>155.9</v>
      </c>
      <c r="J67" s="151"/>
      <c r="K67" s="151"/>
      <c r="L67" s="151"/>
      <c r="M67" s="237">
        <f>M21/L22-1</f>
        <v>8.7320058836706238E-3</v>
      </c>
      <c r="N67" s="237">
        <f t="shared" si="22"/>
        <v>-1.8583355776999877E-2</v>
      </c>
      <c r="O67" s="237">
        <f t="shared" si="22"/>
        <v>4.4456641053787216E-2</v>
      </c>
      <c r="P67" s="237">
        <f t="shared" si="22"/>
        <v>2.9952706253284278E-2</v>
      </c>
      <c r="Q67" s="237">
        <f t="shared" si="22"/>
        <v>3.0045918367346935E-2</v>
      </c>
    </row>
    <row r="68" spans="1:17">
      <c r="A68" s="281"/>
      <c r="B68" s="272"/>
      <c r="C68" s="143" t="s">
        <v>1</v>
      </c>
      <c r="D68" s="152">
        <v>80.3</v>
      </c>
      <c r="E68" s="152">
        <v>96.4</v>
      </c>
      <c r="F68" s="153">
        <v>113.9</v>
      </c>
      <c r="G68" s="153">
        <v>141.4</v>
      </c>
      <c r="H68" s="153">
        <v>146.69999999999999</v>
      </c>
      <c r="I68" s="153">
        <v>153</v>
      </c>
      <c r="J68" s="206">
        <f>J69</f>
        <v>0</v>
      </c>
      <c r="K68" s="209">
        <v>300</v>
      </c>
      <c r="L68" s="226"/>
      <c r="M68" s="238">
        <f>AVERAGE(M64:M67)</f>
        <v>2.4253746238142321E-2</v>
      </c>
      <c r="N68" s="238">
        <f t="shared" ref="N68:Q68" si="23">AVERAGE(N64:N67)</f>
        <v>7.0380244973168677E-3</v>
      </c>
      <c r="O68" s="238">
        <f t="shared" si="23"/>
        <v>2.7503791128108041E-2</v>
      </c>
      <c r="P68" s="238">
        <f t="shared" si="23"/>
        <v>1.5887735688497589E-2</v>
      </c>
      <c r="Q68" s="238">
        <f t="shared" si="23"/>
        <v>1.3364548356393557E-2</v>
      </c>
    </row>
    <row r="69" spans="1:17">
      <c r="A69" s="281"/>
      <c r="B69" s="33">
        <v>43983</v>
      </c>
      <c r="C69" s="133" t="s">
        <v>1</v>
      </c>
      <c r="D69" s="154">
        <f>'Aug18'!D67</f>
        <v>0</v>
      </c>
      <c r="E69" s="154">
        <f>'Aug18'!E67</f>
        <v>0</v>
      </c>
      <c r="F69" s="154">
        <f>'Aug18'!F67</f>
        <v>0</v>
      </c>
      <c r="G69" s="154">
        <f>'Aug18'!G67</f>
        <v>0</v>
      </c>
      <c r="H69" s="154">
        <f>'Aug18'!H67</f>
        <v>0</v>
      </c>
      <c r="I69" s="154">
        <f>'Dec18'!I67</f>
        <v>0</v>
      </c>
      <c r="J69" s="154">
        <f>'Dec18'!J67</f>
        <v>0</v>
      </c>
      <c r="K69" s="154">
        <v>300.43599999999998</v>
      </c>
      <c r="L69" s="154"/>
      <c r="M69" s="239">
        <v>-0.28169014084507044</v>
      </c>
      <c r="N69" s="239">
        <v>-0.11764705882352941</v>
      </c>
      <c r="O69" s="239">
        <v>6.6666666666666666E-2</v>
      </c>
      <c r="P69" s="239">
        <v>6.25E-2</v>
      </c>
      <c r="Q69" s="154"/>
    </row>
  </sheetData>
  <mergeCells count="25">
    <mergeCell ref="A65:A69"/>
    <mergeCell ref="B65:B68"/>
    <mergeCell ref="A34:A39"/>
    <mergeCell ref="B34:B38"/>
    <mergeCell ref="A42:A55"/>
    <mergeCell ref="B42:B45"/>
    <mergeCell ref="B46:B49"/>
    <mergeCell ref="C52:D52"/>
    <mergeCell ref="C53:D53"/>
    <mergeCell ref="C54:D54"/>
    <mergeCell ref="C55:D55"/>
    <mergeCell ref="A19:A32"/>
    <mergeCell ref="B19:B22"/>
    <mergeCell ref="B23:B26"/>
    <mergeCell ref="C29:D29"/>
    <mergeCell ref="C30:D30"/>
    <mergeCell ref="C31:D31"/>
    <mergeCell ref="C32:D32"/>
    <mergeCell ref="A2:A16"/>
    <mergeCell ref="B2:B6"/>
    <mergeCell ref="B7:B11"/>
    <mergeCell ref="C13:D13"/>
    <mergeCell ref="C14:D14"/>
    <mergeCell ref="C15:D15"/>
    <mergeCell ref="C16:D16"/>
  </mergeCells>
  <pageMargins left="0.5" right="0.17" top="0.63" bottom="0.75" header="0.3" footer="0.3"/>
  <pageSetup orientation="landscape" r:id="rId1"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pageSetUpPr fitToPage="1"/>
  </sheetPr>
  <dimension ref="A1:AD69"/>
  <sheetViews>
    <sheetView tabSelected="1" zoomScale="130" zoomScaleNormal="130" workbookViewId="0">
      <pane xSplit="3" ySplit="1" topLeftCell="M2" activePane="bottomRight" state="frozen"/>
      <selection pane="topRight" activeCell="D1" sqref="D1"/>
      <selection pane="bottomLeft" activeCell="A2" sqref="A2"/>
      <selection pane="bottomRight" activeCell="Y40" sqref="Y40"/>
    </sheetView>
  </sheetViews>
  <sheetFormatPr defaultColWidth="9.28515625" defaultRowHeight="15"/>
  <cols>
    <col min="1" max="1" width="9.42578125" customWidth="1"/>
    <col min="2" max="2" width="7.5703125" bestFit="1" customWidth="1"/>
    <col min="3" max="3" width="13" customWidth="1"/>
    <col min="4" max="4" width="7.7109375" hidden="1" customWidth="1"/>
    <col min="5" max="5" width="8.28515625" hidden="1" customWidth="1"/>
    <col min="6" max="6" width="9.28515625" hidden="1" customWidth="1"/>
    <col min="7" max="7" width="13.42578125" hidden="1" customWidth="1"/>
    <col min="8" max="9" width="9.28515625" hidden="1" customWidth="1"/>
    <col min="10" max="10" width="7.7109375" hidden="1" customWidth="1"/>
    <col min="11" max="11" width="8.28515625" hidden="1" customWidth="1"/>
    <col min="12" max="12" width="9.28515625" bestFit="1" customWidth="1"/>
    <col min="13" max="13" width="9.42578125" bestFit="1" customWidth="1"/>
    <col min="14" max="14" width="10.7109375" bestFit="1" customWidth="1"/>
    <col min="15" max="15" width="10" customWidth="1"/>
    <col min="16" max="18" width="9.28515625" customWidth="1"/>
    <col min="19" max="19" width="15.5703125" bestFit="1" customWidth="1"/>
    <col min="20" max="22" width="9.28515625" customWidth="1"/>
    <col min="23" max="23" width="2.28515625" customWidth="1"/>
    <col min="24" max="26" width="9.28515625" customWidth="1"/>
    <col min="27" max="27" width="2.28515625" customWidth="1"/>
    <col min="28" max="30" width="9.28515625" customWidth="1"/>
  </cols>
  <sheetData>
    <row r="1" spans="1:30" ht="34.5" customHeight="1">
      <c r="A1" s="8"/>
      <c r="B1" s="11"/>
      <c r="C1" s="133"/>
      <c r="D1" s="132" t="s">
        <v>17</v>
      </c>
      <c r="E1" s="132" t="s">
        <v>25</v>
      </c>
      <c r="F1" s="132" t="s">
        <v>73</v>
      </c>
      <c r="G1" s="132" t="s">
        <v>74</v>
      </c>
      <c r="H1" s="132" t="s">
        <v>75</v>
      </c>
      <c r="I1" s="132" t="s">
        <v>77</v>
      </c>
      <c r="J1" s="132" t="s">
        <v>81</v>
      </c>
      <c r="K1" s="132" t="s">
        <v>24</v>
      </c>
      <c r="L1" s="132" t="s">
        <v>27</v>
      </c>
      <c r="M1" s="132" t="s">
        <v>57</v>
      </c>
      <c r="N1" s="132" t="s">
        <v>76</v>
      </c>
      <c r="O1" s="132" t="s">
        <v>80</v>
      </c>
      <c r="P1" s="132" t="s">
        <v>82</v>
      </c>
      <c r="Q1" s="132" t="s">
        <v>92</v>
      </c>
      <c r="R1" s="132" t="s">
        <v>102</v>
      </c>
      <c r="T1" s="132" t="s">
        <v>76</v>
      </c>
      <c r="U1" s="187" t="s">
        <v>80</v>
      </c>
      <c r="V1" s="187" t="s">
        <v>82</v>
      </c>
      <c r="X1" s="132" t="s">
        <v>76</v>
      </c>
      <c r="Y1" s="187" t="s">
        <v>80</v>
      </c>
      <c r="Z1" s="187" t="s">
        <v>82</v>
      </c>
      <c r="AB1" s="132" t="s">
        <v>76</v>
      </c>
      <c r="AC1" s="187" t="s">
        <v>80</v>
      </c>
      <c r="AD1" s="187" t="s">
        <v>82</v>
      </c>
    </row>
    <row r="2" spans="1:30">
      <c r="A2" s="284" t="s">
        <v>10</v>
      </c>
      <c r="B2" s="300">
        <v>44429</v>
      </c>
      <c r="C2" s="134" t="s">
        <v>4</v>
      </c>
      <c r="D2" s="135"/>
      <c r="E2" s="135"/>
      <c r="F2" s="135"/>
      <c r="G2" s="135"/>
      <c r="H2" s="135"/>
      <c r="I2" s="135">
        <v>44.74</v>
      </c>
      <c r="J2" s="135"/>
      <c r="K2" s="135"/>
      <c r="L2" s="135">
        <v>44.01</v>
      </c>
      <c r="M2" s="135">
        <v>49.94</v>
      </c>
      <c r="N2" s="135">
        <v>64.81</v>
      </c>
      <c r="O2" s="135">
        <v>59.02</v>
      </c>
      <c r="P2" s="135">
        <v>56.53</v>
      </c>
      <c r="Q2" s="135">
        <v>55.08</v>
      </c>
      <c r="R2" s="135">
        <v>54.32</v>
      </c>
      <c r="T2" s="135"/>
      <c r="U2" s="135"/>
      <c r="V2" s="135"/>
      <c r="X2" s="135"/>
      <c r="Y2" s="135"/>
      <c r="Z2" s="135"/>
      <c r="AB2" s="135"/>
      <c r="AC2" s="135"/>
      <c r="AD2" s="135"/>
    </row>
    <row r="3" spans="1:30">
      <c r="A3" s="285"/>
      <c r="B3" s="301"/>
      <c r="C3" s="136" t="s">
        <v>2</v>
      </c>
      <c r="D3" s="137"/>
      <c r="E3" s="138"/>
      <c r="F3" s="138"/>
      <c r="G3" s="138"/>
      <c r="H3" s="138"/>
      <c r="I3" s="138">
        <v>44.76</v>
      </c>
      <c r="J3" s="138"/>
      <c r="K3" s="138"/>
      <c r="L3" s="138">
        <v>44.01</v>
      </c>
      <c r="M3" s="138">
        <v>49.86</v>
      </c>
      <c r="N3" s="138">
        <v>62.98</v>
      </c>
      <c r="O3" s="138">
        <v>57.88</v>
      </c>
      <c r="P3" s="138">
        <v>56.49</v>
      </c>
      <c r="Q3" s="138">
        <v>55.49</v>
      </c>
      <c r="R3" s="138">
        <v>55.03</v>
      </c>
      <c r="T3" s="138"/>
      <c r="U3" s="138"/>
      <c r="V3" s="138"/>
      <c r="X3" s="138"/>
      <c r="Y3" s="138"/>
      <c r="Z3" s="138"/>
      <c r="AB3" s="138"/>
      <c r="AC3" s="138"/>
      <c r="AD3" s="138"/>
    </row>
    <row r="4" spans="1:30">
      <c r="A4" s="285"/>
      <c r="B4" s="301"/>
      <c r="C4" s="139" t="s">
        <v>0</v>
      </c>
      <c r="D4" s="140"/>
      <c r="E4" s="140"/>
      <c r="F4" s="140"/>
      <c r="G4" s="140"/>
      <c r="H4" s="140"/>
      <c r="I4" s="140">
        <v>44.75</v>
      </c>
      <c r="J4" s="140"/>
      <c r="K4" s="140"/>
      <c r="L4" s="140">
        <v>43.75</v>
      </c>
      <c r="M4" s="140">
        <v>49.93</v>
      </c>
      <c r="N4" s="140">
        <v>62.55</v>
      </c>
      <c r="O4" s="140">
        <v>56.96</v>
      </c>
      <c r="P4" s="140">
        <v>53.32</v>
      </c>
      <c r="Q4" s="140">
        <v>54.89</v>
      </c>
      <c r="R4" s="140">
        <v>56.84</v>
      </c>
      <c r="T4" s="140"/>
      <c r="U4" s="140"/>
      <c r="V4" s="140"/>
      <c r="X4" s="140"/>
      <c r="Y4" s="140"/>
      <c r="Z4" s="140"/>
      <c r="AB4" s="140"/>
      <c r="AC4" s="140"/>
      <c r="AD4" s="140"/>
    </row>
    <row r="5" spans="1:30">
      <c r="A5" s="285"/>
      <c r="B5" s="301"/>
      <c r="C5" s="141" t="s">
        <v>3</v>
      </c>
      <c r="D5" s="142"/>
      <c r="E5" s="142"/>
      <c r="F5" s="142"/>
      <c r="G5" s="142"/>
      <c r="H5" s="142"/>
      <c r="I5" s="142">
        <v>44.39</v>
      </c>
      <c r="J5" s="142"/>
      <c r="K5" s="142"/>
      <c r="L5" s="142">
        <v>44.15</v>
      </c>
      <c r="M5" s="142">
        <v>49.94</v>
      </c>
      <c r="N5" s="142">
        <v>63.3</v>
      </c>
      <c r="O5" s="142">
        <v>58.41</v>
      </c>
      <c r="P5" s="142">
        <v>57.33</v>
      </c>
      <c r="Q5" s="142">
        <v>56.27</v>
      </c>
      <c r="R5" s="142">
        <v>55.75</v>
      </c>
      <c r="T5" s="142"/>
      <c r="U5" s="142"/>
      <c r="V5" s="142"/>
      <c r="X5" s="142"/>
      <c r="Y5" s="142"/>
      <c r="Z5" s="142"/>
      <c r="AB5" s="142"/>
      <c r="AC5" s="142"/>
      <c r="AD5" s="142"/>
    </row>
    <row r="6" spans="1:30">
      <c r="A6" s="285"/>
      <c r="B6" s="302"/>
      <c r="C6" s="143" t="s">
        <v>1</v>
      </c>
      <c r="D6" s="144">
        <v>89.65</v>
      </c>
      <c r="E6" s="144">
        <v>85.82</v>
      </c>
      <c r="F6" s="144">
        <v>95.13</v>
      </c>
      <c r="G6" s="144">
        <v>60.67</v>
      </c>
      <c r="H6" s="144">
        <v>37.85</v>
      </c>
      <c r="I6" s="144">
        <f t="shared" ref="I6" si="0">+AVERAGE(I2:I5)</f>
        <v>44.66</v>
      </c>
      <c r="J6" s="144">
        <v>55.05</v>
      </c>
      <c r="K6" s="216" t="e">
        <f>AVERAGE(K2:K5)</f>
        <v>#DIV/0!</v>
      </c>
      <c r="L6" s="216">
        <v>44.01</v>
      </c>
      <c r="M6" s="216">
        <f>AVERAGE(M2:M5)</f>
        <v>49.917499999999997</v>
      </c>
      <c r="N6" s="216">
        <f t="shared" ref="N6:R6" si="1">MROUND(AVERAGE(N2:N5),0.5)</f>
        <v>63.5</v>
      </c>
      <c r="O6" s="216">
        <f t="shared" si="1"/>
        <v>58</v>
      </c>
      <c r="P6" s="216">
        <f t="shared" si="1"/>
        <v>56</v>
      </c>
      <c r="Q6" s="216">
        <f t="shared" si="1"/>
        <v>55.5</v>
      </c>
      <c r="R6" s="216">
        <f t="shared" si="1"/>
        <v>55.5</v>
      </c>
      <c r="S6" t="s">
        <v>103</v>
      </c>
      <c r="T6" s="216">
        <v>41.99</v>
      </c>
      <c r="U6" s="216">
        <v>29.52</v>
      </c>
      <c r="V6" s="216">
        <v>28.5</v>
      </c>
      <c r="X6" s="216">
        <v>49.17</v>
      </c>
      <c r="Y6" s="216">
        <v>37.74</v>
      </c>
      <c r="Z6" s="216">
        <v>43.93</v>
      </c>
      <c r="AB6" s="216">
        <v>66.78</v>
      </c>
      <c r="AC6" s="216">
        <v>63.27</v>
      </c>
      <c r="AD6" s="216">
        <v>61.29</v>
      </c>
    </row>
    <row r="7" spans="1:30">
      <c r="A7" s="285"/>
      <c r="B7" s="300">
        <v>44248</v>
      </c>
      <c r="C7" s="133" t="s">
        <v>1</v>
      </c>
      <c r="D7" s="138">
        <f>'Aug18'!D6</f>
        <v>89.65</v>
      </c>
      <c r="E7" s="138">
        <f>'Aug18'!E6</f>
        <v>85.82</v>
      </c>
      <c r="F7" s="138">
        <f>'Aug18'!F6</f>
        <v>95.13</v>
      </c>
      <c r="G7" s="138">
        <f>'Aug18'!G6</f>
        <v>60.67</v>
      </c>
      <c r="H7" s="138">
        <f>'Aug18'!H6</f>
        <v>37.85</v>
      </c>
      <c r="I7" s="138">
        <f>'Dec18'!I6</f>
        <v>44.66</v>
      </c>
      <c r="J7" s="138">
        <f>'Dec18'!J6</f>
        <v>55.05</v>
      </c>
      <c r="K7" s="138">
        <v>51.464999999999996</v>
      </c>
      <c r="L7" s="138">
        <f>'Feb21'!L6</f>
        <v>44.01</v>
      </c>
      <c r="M7" s="138">
        <f>'Feb21'!M6</f>
        <v>43.5</v>
      </c>
      <c r="N7" s="138">
        <f>'Feb21'!N6</f>
        <v>47</v>
      </c>
      <c r="O7" s="138">
        <f>'Feb21'!O6</f>
        <v>48.5</v>
      </c>
      <c r="P7" s="138">
        <f>'Feb21'!P6</f>
        <v>49</v>
      </c>
      <c r="Q7" s="138">
        <f>'Feb21'!Q6</f>
        <v>49.5</v>
      </c>
      <c r="R7" s="138"/>
      <c r="T7" s="93" t="s">
        <v>99</v>
      </c>
      <c r="X7" s="93" t="s">
        <v>100</v>
      </c>
      <c r="AB7" t="s">
        <v>101</v>
      </c>
    </row>
    <row r="8" spans="1:30" ht="14.65" hidden="1" customHeight="1">
      <c r="A8" s="285"/>
      <c r="B8" s="301"/>
      <c r="C8" s="133" t="s">
        <v>1</v>
      </c>
      <c r="D8" s="138">
        <v>89.65</v>
      </c>
      <c r="E8" s="138">
        <v>85.82</v>
      </c>
      <c r="F8" s="138">
        <v>95.14</v>
      </c>
      <c r="G8" s="138">
        <v>71</v>
      </c>
      <c r="H8" s="138">
        <v>66</v>
      </c>
      <c r="I8" s="138">
        <v>72</v>
      </c>
      <c r="J8" s="138">
        <v>76</v>
      </c>
      <c r="K8" s="138">
        <v>80</v>
      </c>
      <c r="L8" s="138"/>
      <c r="M8" s="138"/>
    </row>
    <row r="9" spans="1:30" ht="14.65" hidden="1" customHeight="1">
      <c r="A9" s="285"/>
      <c r="B9" s="301"/>
      <c r="C9" s="133" t="s">
        <v>1</v>
      </c>
      <c r="D9" s="138">
        <v>89.65</v>
      </c>
      <c r="E9" s="138">
        <v>85.82</v>
      </c>
      <c r="F9" s="138">
        <v>95.75</v>
      </c>
      <c r="G9" s="138">
        <v>92</v>
      </c>
      <c r="H9" s="138">
        <v>88</v>
      </c>
      <c r="I9" s="138">
        <v>87</v>
      </c>
      <c r="J9" s="138">
        <v>86</v>
      </c>
      <c r="K9" s="138">
        <v>85</v>
      </c>
      <c r="L9" s="138"/>
      <c r="M9" s="138"/>
    </row>
    <row r="10" spans="1:30" ht="14.65" hidden="1" customHeight="1">
      <c r="A10" s="285"/>
      <c r="B10" s="301"/>
      <c r="C10" s="133" t="s">
        <v>1</v>
      </c>
      <c r="D10" s="138">
        <v>90</v>
      </c>
      <c r="E10" s="138">
        <v>87</v>
      </c>
      <c r="F10" s="138">
        <v>94</v>
      </c>
      <c r="G10" s="138">
        <v>87.5</v>
      </c>
      <c r="H10" s="138">
        <v>85</v>
      </c>
      <c r="I10" s="138">
        <v>84</v>
      </c>
      <c r="J10" s="138">
        <v>84</v>
      </c>
      <c r="K10" s="138"/>
      <c r="L10" s="138"/>
      <c r="M10" s="138"/>
    </row>
    <row r="11" spans="1:30" ht="14.65" hidden="1" customHeight="1">
      <c r="A11" s="285"/>
      <c r="B11" s="302"/>
      <c r="C11" s="133" t="s">
        <v>1</v>
      </c>
      <c r="D11" s="145">
        <v>90</v>
      </c>
      <c r="E11" s="145">
        <v>86.5</v>
      </c>
      <c r="F11" s="145">
        <v>88</v>
      </c>
      <c r="G11" s="145">
        <v>87.5</v>
      </c>
      <c r="H11" s="145">
        <v>87</v>
      </c>
      <c r="I11" s="145">
        <v>86.5</v>
      </c>
      <c r="J11" s="145"/>
      <c r="K11" s="145"/>
      <c r="L11" s="145"/>
      <c r="M11" s="145"/>
    </row>
    <row r="12" spans="1:30" hidden="1">
      <c r="A12" s="285"/>
      <c r="B12" s="33">
        <v>41244</v>
      </c>
      <c r="C12" s="133" t="s">
        <v>1</v>
      </c>
      <c r="D12" s="145">
        <v>89.640506965377526</v>
      </c>
      <c r="E12" s="145">
        <v>85</v>
      </c>
      <c r="F12" s="145">
        <v>84.75</v>
      </c>
      <c r="G12" s="145">
        <v>83.5</v>
      </c>
      <c r="H12" s="145">
        <v>82.5</v>
      </c>
      <c r="I12" s="145">
        <v>83</v>
      </c>
      <c r="J12" s="145">
        <v>83</v>
      </c>
      <c r="K12" s="145"/>
      <c r="L12" s="145"/>
      <c r="M12" s="145"/>
    </row>
    <row r="13" spans="1:30" hidden="1">
      <c r="A13" s="285"/>
      <c r="B13" s="33">
        <v>42217</v>
      </c>
      <c r="C13" s="292" t="s">
        <v>16</v>
      </c>
      <c r="D13" s="293"/>
      <c r="E13" s="146">
        <f t="shared" ref="E13:M13" si="2">+E6/D6-1</f>
        <v>-4.2721695482431765E-2</v>
      </c>
      <c r="F13" s="146">
        <f>+F6/E6-1</f>
        <v>0.10848287112561183</v>
      </c>
      <c r="G13" s="166">
        <f>+G6/F6-1</f>
        <v>-0.36224114369809735</v>
      </c>
      <c r="H13" s="146">
        <f t="shared" si="2"/>
        <v>-0.37613317949563208</v>
      </c>
      <c r="I13" s="146">
        <f t="shared" si="2"/>
        <v>0.17992073976221912</v>
      </c>
      <c r="J13" s="146">
        <f t="shared" si="2"/>
        <v>0.23264666368114639</v>
      </c>
      <c r="K13" s="146" t="e">
        <f t="shared" si="2"/>
        <v>#DIV/0!</v>
      </c>
      <c r="L13" s="146" t="e">
        <f t="shared" si="2"/>
        <v>#DIV/0!</v>
      </c>
      <c r="M13" s="146">
        <f t="shared" si="2"/>
        <v>0.13423085662349465</v>
      </c>
    </row>
    <row r="14" spans="1:30" hidden="1">
      <c r="A14" s="285"/>
      <c r="B14" s="33">
        <v>42031</v>
      </c>
      <c r="C14" s="290" t="s">
        <v>16</v>
      </c>
      <c r="D14" s="291"/>
      <c r="E14" s="147">
        <f t="shared" ref="E14:K15" si="3">(E7-D7)/D7</f>
        <v>-4.2721695482431814E-2</v>
      </c>
      <c r="F14" s="147">
        <f t="shared" si="3"/>
        <v>0.10848287112561178</v>
      </c>
      <c r="G14" s="147">
        <f t="shared" si="3"/>
        <v>-0.36224114369809729</v>
      </c>
      <c r="H14" s="147">
        <f t="shared" si="3"/>
        <v>-0.37613317949563208</v>
      </c>
      <c r="I14" s="147">
        <f t="shared" si="3"/>
        <v>0.17992073976221915</v>
      </c>
      <c r="J14" s="147">
        <f t="shared" si="3"/>
        <v>0.23264666368114648</v>
      </c>
      <c r="K14" s="147">
        <f t="shared" si="3"/>
        <v>-6.5122615803814732E-2</v>
      </c>
      <c r="L14" s="147"/>
      <c r="M14" s="147"/>
    </row>
    <row r="15" spans="1:30" hidden="1">
      <c r="A15" s="285"/>
      <c r="B15" s="33">
        <v>41974</v>
      </c>
      <c r="C15" s="290" t="s">
        <v>16</v>
      </c>
      <c r="D15" s="291"/>
      <c r="E15" s="147">
        <f t="shared" si="3"/>
        <v>-4.2721695482431814E-2</v>
      </c>
      <c r="F15" s="147">
        <f t="shared" si="3"/>
        <v>0.10859939408063397</v>
      </c>
      <c r="G15" s="147">
        <f t="shared" si="3"/>
        <v>-0.2537313432835821</v>
      </c>
      <c r="H15" s="147">
        <f t="shared" si="3"/>
        <v>-7.0422535211267609E-2</v>
      </c>
      <c r="I15" s="147">
        <f t="shared" si="3"/>
        <v>9.0909090909090912E-2</v>
      </c>
      <c r="J15" s="147">
        <f t="shared" si="3"/>
        <v>5.5555555555555552E-2</v>
      </c>
      <c r="K15" s="147"/>
      <c r="L15" s="147"/>
      <c r="M15" s="147"/>
    </row>
    <row r="16" spans="1:30" hidden="1">
      <c r="A16" s="286"/>
      <c r="B16" s="33">
        <v>41499</v>
      </c>
      <c r="C16" s="292" t="s">
        <v>16</v>
      </c>
      <c r="D16" s="293"/>
      <c r="E16" s="146">
        <f t="shared" ref="E16:J16" si="4">(E10-D10)/D10</f>
        <v>-3.3333333333333333E-2</v>
      </c>
      <c r="F16" s="146">
        <f t="shared" si="4"/>
        <v>8.0459770114942528E-2</v>
      </c>
      <c r="G16" s="146">
        <f t="shared" si="4"/>
        <v>-6.9148936170212769E-2</v>
      </c>
      <c r="H16" s="146">
        <f t="shared" si="4"/>
        <v>-2.8571428571428571E-2</v>
      </c>
      <c r="I16" s="146">
        <f t="shared" si="4"/>
        <v>-1.1764705882352941E-2</v>
      </c>
      <c r="J16" s="146">
        <f t="shared" si="4"/>
        <v>0</v>
      </c>
      <c r="K16" s="146"/>
      <c r="L16" s="146"/>
      <c r="M16" s="146"/>
    </row>
    <row r="17" spans="1:30">
      <c r="A17" s="65"/>
      <c r="B17" s="65"/>
      <c r="C17" s="65"/>
      <c r="D17" s="65"/>
      <c r="E17" s="65"/>
      <c r="F17" s="65"/>
      <c r="G17" s="65"/>
      <c r="H17" s="65"/>
      <c r="I17" s="65"/>
      <c r="J17" s="65"/>
      <c r="K17" s="65"/>
      <c r="L17" s="65"/>
      <c r="M17" s="65"/>
      <c r="N17" s="65"/>
      <c r="O17" s="65"/>
      <c r="P17" s="65"/>
      <c r="Q17" s="65"/>
      <c r="R17" s="65"/>
      <c r="T17" s="112">
        <f>+T6/$N$6-1</f>
        <v>-0.33874015748031494</v>
      </c>
      <c r="U17" s="112">
        <f>+U6/T6-1</f>
        <v>-0.29697547035008343</v>
      </c>
      <c r="V17" s="112">
        <f>+V6/U6-1</f>
        <v>-3.4552845528455278E-2</v>
      </c>
      <c r="X17" s="112">
        <f>+X6/$N$6-1</f>
        <v>-0.2256692913385826</v>
      </c>
      <c r="Y17" s="112">
        <f>+Y6/X6-1</f>
        <v>-0.23245881635143384</v>
      </c>
      <c r="Z17" s="112">
        <f>+Z6/Y6-1</f>
        <v>0.16401695813460515</v>
      </c>
      <c r="AB17" s="112">
        <f>+AB6/$N$6-1</f>
        <v>5.1653543307086602E-2</v>
      </c>
      <c r="AC17" s="112">
        <f>+AC6/AB6-1</f>
        <v>-5.2560646900269514E-2</v>
      </c>
      <c r="AD17" s="112">
        <f>+AD6/AC6-1</f>
        <v>-3.1294452347083945E-2</v>
      </c>
    </row>
    <row r="18" spans="1:30">
      <c r="A18" s="65"/>
      <c r="B18" s="65"/>
      <c r="C18" s="228" t="s">
        <v>4</v>
      </c>
      <c r="D18" s="229"/>
      <c r="E18" s="229"/>
      <c r="F18" s="229"/>
      <c r="G18" s="229"/>
      <c r="H18" s="229"/>
      <c r="I18" s="229"/>
      <c r="J18" s="229"/>
      <c r="K18" s="229"/>
      <c r="L18" s="229">
        <v>363.84699999999998</v>
      </c>
      <c r="M18" s="229"/>
      <c r="N18" s="229"/>
      <c r="O18" s="229"/>
      <c r="P18" s="229"/>
      <c r="Q18" s="229"/>
      <c r="R18" s="229"/>
    </row>
    <row r="19" spans="1:30">
      <c r="A19" s="281" t="s">
        <v>12</v>
      </c>
      <c r="B19" s="273">
        <v>44429</v>
      </c>
      <c r="C19" s="136" t="s">
        <v>2</v>
      </c>
      <c r="D19" s="148"/>
      <c r="E19" s="148"/>
      <c r="F19" s="148"/>
      <c r="G19" s="148"/>
      <c r="H19" s="148"/>
      <c r="I19" s="148">
        <v>155.96</v>
      </c>
      <c r="J19" s="148"/>
      <c r="K19" s="148"/>
      <c r="L19" s="148">
        <v>369.54</v>
      </c>
      <c r="M19" s="148">
        <v>406</v>
      </c>
      <c r="N19" s="148">
        <v>430</v>
      </c>
      <c r="O19" s="148">
        <v>451</v>
      </c>
      <c r="P19" s="148">
        <v>465</v>
      </c>
      <c r="Q19" s="148">
        <v>474</v>
      </c>
      <c r="R19" s="148">
        <v>479</v>
      </c>
      <c r="S19" s="112"/>
      <c r="T19" s="241"/>
      <c r="U19" s="148"/>
      <c r="V19" s="148"/>
      <c r="X19" s="241"/>
      <c r="Y19" s="148"/>
      <c r="Z19" s="148"/>
      <c r="AB19" s="148"/>
      <c r="AC19" s="148"/>
      <c r="AD19" s="148"/>
    </row>
    <row r="20" spans="1:30">
      <c r="A20" s="281"/>
      <c r="B20" s="272"/>
      <c r="C20" s="139" t="s">
        <v>0</v>
      </c>
      <c r="D20" s="149"/>
      <c r="E20" s="149"/>
      <c r="F20" s="149"/>
      <c r="G20" s="149"/>
      <c r="H20" s="149"/>
      <c r="I20" s="149"/>
      <c r="J20" s="149"/>
      <c r="K20" s="149"/>
      <c r="L20" s="149">
        <v>368.08587199999999</v>
      </c>
      <c r="M20" s="149">
        <v>400</v>
      </c>
      <c r="N20" s="149">
        <v>447.18</v>
      </c>
      <c r="O20" s="149">
        <v>477.66</v>
      </c>
      <c r="P20" s="149">
        <v>501.2</v>
      </c>
      <c r="Q20" s="149">
        <v>511.23</v>
      </c>
      <c r="R20" s="149">
        <v>521.45000000000005</v>
      </c>
      <c r="S20" s="112"/>
      <c r="T20" s="149"/>
      <c r="U20" s="149"/>
      <c r="V20" s="149"/>
      <c r="X20" s="149"/>
      <c r="Y20" s="149"/>
      <c r="Z20" s="149"/>
      <c r="AB20" s="149"/>
      <c r="AC20" s="149"/>
      <c r="AD20" s="149"/>
    </row>
    <row r="21" spans="1:30">
      <c r="A21" s="281"/>
      <c r="B21" s="272"/>
      <c r="C21" s="141" t="s">
        <v>3</v>
      </c>
      <c r="D21" s="151"/>
      <c r="E21" s="151"/>
      <c r="F21" s="151"/>
      <c r="G21" s="151"/>
      <c r="H21" s="151"/>
      <c r="I21" s="151">
        <v>155.9</v>
      </c>
      <c r="J21" s="151"/>
      <c r="K21" s="151"/>
      <c r="L21" s="151">
        <v>368.1</v>
      </c>
      <c r="M21" s="151">
        <v>404.68</v>
      </c>
      <c r="N21" s="151">
        <v>455.16899999999998</v>
      </c>
      <c r="O21" s="151">
        <v>454.39</v>
      </c>
      <c r="P21" s="151">
        <v>460.16</v>
      </c>
      <c r="Q21" s="151">
        <v>475.47</v>
      </c>
      <c r="R21" s="151">
        <v>485.66699999999997</v>
      </c>
      <c r="S21" s="112"/>
      <c r="T21" s="151"/>
      <c r="U21" s="151"/>
      <c r="V21" s="151"/>
      <c r="X21" s="151"/>
      <c r="Y21" s="151"/>
      <c r="Z21" s="151"/>
      <c r="AB21" s="151"/>
      <c r="AC21" s="151"/>
      <c r="AD21" s="151"/>
    </row>
    <row r="22" spans="1:30">
      <c r="A22" s="281"/>
      <c r="B22" s="272"/>
      <c r="C22" s="143" t="s">
        <v>1</v>
      </c>
      <c r="D22" s="152">
        <v>80.3</v>
      </c>
      <c r="E22" s="152">
        <v>96.4</v>
      </c>
      <c r="F22" s="153">
        <v>113.9</v>
      </c>
      <c r="G22" s="153">
        <v>141.4</v>
      </c>
      <c r="H22" s="153">
        <v>146.69999999999999</v>
      </c>
      <c r="I22" s="153">
        <v>153</v>
      </c>
      <c r="J22" s="206">
        <f>J23</f>
        <v>204.40600000000003</v>
      </c>
      <c r="K22" s="209">
        <v>300</v>
      </c>
      <c r="L22" s="226">
        <f>L20</f>
        <v>368.08587199999999</v>
      </c>
      <c r="M22" s="226">
        <f>MROUND(AVERAGE(M18:M21),5)</f>
        <v>405</v>
      </c>
      <c r="N22" s="226">
        <f t="shared" ref="N22:R22" si="5">MROUND(AVERAGE(N18:N21),5)</f>
        <v>445</v>
      </c>
      <c r="O22" s="226">
        <f t="shared" si="5"/>
        <v>460</v>
      </c>
      <c r="P22" s="226">
        <f t="shared" si="5"/>
        <v>475</v>
      </c>
      <c r="Q22" s="226">
        <f t="shared" si="5"/>
        <v>485</v>
      </c>
      <c r="R22" s="226">
        <f t="shared" si="5"/>
        <v>495</v>
      </c>
      <c r="S22" t="s">
        <v>103</v>
      </c>
      <c r="T22" s="226">
        <v>399.54</v>
      </c>
      <c r="U22" s="226">
        <v>386.18</v>
      </c>
      <c r="V22" s="226">
        <v>407.79</v>
      </c>
      <c r="X22" s="226">
        <v>435.28</v>
      </c>
      <c r="Y22" s="226">
        <v>411.74</v>
      </c>
      <c r="Z22" s="226">
        <v>454.6</v>
      </c>
      <c r="AB22" s="226">
        <v>445.64</v>
      </c>
      <c r="AC22" s="226">
        <v>462.26</v>
      </c>
      <c r="AD22" s="226">
        <v>482.08</v>
      </c>
    </row>
    <row r="23" spans="1:30">
      <c r="A23" s="281"/>
      <c r="B23" s="273">
        <v>44248</v>
      </c>
      <c r="C23" s="133" t="s">
        <v>1</v>
      </c>
      <c r="D23" s="154">
        <f>'Aug18'!D21</f>
        <v>80.3</v>
      </c>
      <c r="E23" s="154">
        <f>'Aug18'!E21</f>
        <v>96.4</v>
      </c>
      <c r="F23" s="154">
        <f>'Aug18'!F21</f>
        <v>113.9</v>
      </c>
      <c r="G23" s="154">
        <f>'Aug18'!G21</f>
        <v>141.4</v>
      </c>
      <c r="H23" s="154">
        <f>'Aug18'!H21</f>
        <v>146.69999999999999</v>
      </c>
      <c r="I23" s="154">
        <f>'Dec18'!I21</f>
        <v>153</v>
      </c>
      <c r="J23" s="154">
        <f>'Dec18'!J21</f>
        <v>204.40600000000003</v>
      </c>
      <c r="K23" s="154">
        <v>300.43599999999998</v>
      </c>
      <c r="L23" s="154">
        <f>'Feb21'!L22</f>
        <v>368.08587199999999</v>
      </c>
      <c r="M23" s="154">
        <f>'Feb21'!M22</f>
        <v>370</v>
      </c>
      <c r="N23" s="154">
        <f>'Feb21'!N22</f>
        <v>370</v>
      </c>
      <c r="O23" s="154">
        <f>'Feb21'!O22</f>
        <v>370</v>
      </c>
      <c r="P23" s="154">
        <f>'Feb21'!P22</f>
        <v>370</v>
      </c>
      <c r="Q23" s="154">
        <f>'Feb21'!Q22</f>
        <v>370</v>
      </c>
      <c r="R23" s="154"/>
      <c r="T23" s="112">
        <f>+T22/$N$22-1</f>
        <v>-0.10215730337078643</v>
      </c>
      <c r="U23" s="112">
        <f>+U22/T22-1</f>
        <v>-3.3438454222355696E-2</v>
      </c>
      <c r="V23" s="112">
        <f>+V22/U22-1</f>
        <v>5.5958361385882283E-2</v>
      </c>
      <c r="X23" s="112">
        <f>+X22/$N$22-1</f>
        <v>-2.1842696629213565E-2</v>
      </c>
      <c r="Y23" s="112">
        <f>+Y22/X22-1</f>
        <v>-5.4080132328615971E-2</v>
      </c>
      <c r="Z23" s="112">
        <f>+Z22/Y22-1</f>
        <v>0.1040948171175986</v>
      </c>
      <c r="AB23" s="112">
        <f>+AB22/$N$22-1</f>
        <v>1.4382022471910449E-3</v>
      </c>
      <c r="AC23" s="112">
        <f>+AC22/AB22-1</f>
        <v>3.7294677318014502E-2</v>
      </c>
      <c r="AD23" s="112">
        <f>+AD22/AC22-1</f>
        <v>4.2876303379050684E-2</v>
      </c>
    </row>
    <row r="24" spans="1:30" ht="14.65" hidden="1" customHeight="1">
      <c r="A24" s="281"/>
      <c r="B24" s="272"/>
      <c r="C24" s="133" t="s">
        <v>1</v>
      </c>
      <c r="D24" s="154">
        <v>80.3</v>
      </c>
      <c r="E24" s="154">
        <v>96.4</v>
      </c>
      <c r="F24" s="154">
        <v>113.4</v>
      </c>
      <c r="G24" s="154">
        <v>122</v>
      </c>
      <c r="H24" s="154">
        <v>127</v>
      </c>
      <c r="I24" s="154">
        <v>131</v>
      </c>
      <c r="J24" s="154">
        <v>133</v>
      </c>
      <c r="K24" s="154">
        <v>135</v>
      </c>
      <c r="L24" s="154"/>
      <c r="M24" s="154"/>
      <c r="N24" s="154"/>
      <c r="O24" s="154"/>
      <c r="P24" s="154"/>
      <c r="Q24" s="154"/>
      <c r="R24" s="154"/>
    </row>
    <row r="25" spans="1:30" ht="14.65" hidden="1" customHeight="1">
      <c r="A25" s="281"/>
      <c r="B25" s="272"/>
      <c r="C25" s="133" t="s">
        <v>1</v>
      </c>
      <c r="D25" s="154">
        <v>80.3</v>
      </c>
      <c r="E25" s="154">
        <v>96.4</v>
      </c>
      <c r="F25" s="154">
        <v>110</v>
      </c>
      <c r="G25" s="154">
        <v>117</v>
      </c>
      <c r="H25" s="154">
        <v>122</v>
      </c>
      <c r="I25" s="154">
        <v>125</v>
      </c>
      <c r="J25" s="154">
        <v>127</v>
      </c>
      <c r="K25" s="154">
        <v>129</v>
      </c>
      <c r="L25" s="154"/>
      <c r="M25" s="154"/>
      <c r="N25" s="154"/>
      <c r="O25" s="154"/>
      <c r="P25" s="154"/>
      <c r="Q25" s="154"/>
      <c r="R25" s="154"/>
    </row>
    <row r="26" spans="1:30" ht="14.65" hidden="1" customHeight="1">
      <c r="A26" s="281"/>
      <c r="B26" s="272"/>
      <c r="C26" s="133" t="s">
        <v>1</v>
      </c>
      <c r="D26" s="154">
        <v>80.069999999999993</v>
      </c>
      <c r="E26" s="154">
        <v>90</v>
      </c>
      <c r="F26" s="154">
        <v>93</v>
      </c>
      <c r="G26" s="154">
        <v>97</v>
      </c>
      <c r="H26" s="154">
        <v>100</v>
      </c>
      <c r="I26" s="154">
        <v>101</v>
      </c>
      <c r="J26" s="154">
        <v>102</v>
      </c>
      <c r="K26" s="154"/>
      <c r="L26" s="154"/>
      <c r="M26" s="154"/>
      <c r="N26" s="154"/>
      <c r="O26" s="154"/>
      <c r="P26" s="154"/>
      <c r="Q26" s="154"/>
      <c r="R26" s="154"/>
    </row>
    <row r="27" spans="1:30" hidden="1">
      <c r="A27" s="281"/>
      <c r="B27" s="33">
        <v>41317</v>
      </c>
      <c r="C27" s="133" t="s">
        <v>1</v>
      </c>
      <c r="D27" s="155">
        <v>80.099999999999994</v>
      </c>
      <c r="E27" s="155">
        <v>87</v>
      </c>
      <c r="F27" s="155">
        <v>91.4</v>
      </c>
      <c r="G27" s="155">
        <v>94.1</v>
      </c>
      <c r="H27" s="155">
        <v>96</v>
      </c>
      <c r="I27" s="155">
        <v>97.9</v>
      </c>
      <c r="J27" s="155"/>
      <c r="K27" s="155"/>
      <c r="L27" s="155"/>
      <c r="M27" s="155"/>
      <c r="N27" s="155"/>
      <c r="O27" s="155"/>
      <c r="P27" s="155"/>
      <c r="Q27" s="155"/>
      <c r="R27" s="155"/>
    </row>
    <row r="28" spans="1:30" hidden="1">
      <c r="A28" s="281"/>
      <c r="B28" s="33">
        <v>41244</v>
      </c>
      <c r="C28" s="133" t="s">
        <v>1</v>
      </c>
      <c r="D28" s="155">
        <v>79.7</v>
      </c>
      <c r="E28" s="155">
        <v>84.119744824999998</v>
      </c>
      <c r="F28" s="155">
        <v>88.406534618000009</v>
      </c>
      <c r="G28" s="155">
        <v>92.434230656539995</v>
      </c>
      <c r="H28" s="155">
        <v>96.132415269670815</v>
      </c>
      <c r="I28" s="155">
        <v>97.6</v>
      </c>
      <c r="J28" s="155">
        <v>97.6</v>
      </c>
      <c r="K28" s="155"/>
      <c r="L28" s="155"/>
      <c r="M28" s="155"/>
      <c r="N28" s="155"/>
      <c r="O28" s="155"/>
      <c r="P28" s="155"/>
      <c r="Q28" s="155"/>
      <c r="R28" s="155"/>
    </row>
    <row r="29" spans="1:30">
      <c r="A29" s="281"/>
      <c r="B29" s="33">
        <f>B19</f>
        <v>44429</v>
      </c>
      <c r="C29" s="292" t="s">
        <v>16</v>
      </c>
      <c r="D29" s="293"/>
      <c r="E29" s="167">
        <f t="shared" ref="E29:R30" si="6">(E22-D22)/D22</f>
        <v>0.20049813200498143</v>
      </c>
      <c r="F29" s="167">
        <f>(F22-E22)/E22</f>
        <v>0.18153526970954356</v>
      </c>
      <c r="G29" s="167">
        <f t="shared" si="6"/>
        <v>0.24143985952589991</v>
      </c>
      <c r="H29" s="167">
        <f t="shared" si="6"/>
        <v>3.7482319660537361E-2</v>
      </c>
      <c r="I29" s="167">
        <f>(I22-H22)/H22</f>
        <v>4.2944785276073698E-2</v>
      </c>
      <c r="J29" s="167">
        <f>(J22-I22)/I22</f>
        <v>0.33598692810457537</v>
      </c>
      <c r="K29" s="167">
        <f t="shared" si="6"/>
        <v>0.46766728960989379</v>
      </c>
      <c r="L29" s="167">
        <f t="shared" si="6"/>
        <v>0.22695290666666665</v>
      </c>
      <c r="M29" s="167">
        <f t="shared" si="6"/>
        <v>0.10028672874464468</v>
      </c>
      <c r="N29" s="167">
        <f t="shared" si="6"/>
        <v>9.8765432098765427E-2</v>
      </c>
      <c r="O29" s="167">
        <f t="shared" si="6"/>
        <v>3.3707865168539325E-2</v>
      </c>
      <c r="P29" s="167">
        <f t="shared" si="6"/>
        <v>3.2608695652173912E-2</v>
      </c>
      <c r="Q29" s="167">
        <f t="shared" si="6"/>
        <v>2.1052631578947368E-2</v>
      </c>
      <c r="R29" s="167">
        <f t="shared" si="6"/>
        <v>2.0618556701030927E-2</v>
      </c>
      <c r="T29" s="93" t="s">
        <v>99</v>
      </c>
      <c r="X29" s="93" t="s">
        <v>100</v>
      </c>
      <c r="AB29" t="s">
        <v>101</v>
      </c>
    </row>
    <row r="30" spans="1:30">
      <c r="A30" s="281"/>
      <c r="B30" s="33">
        <f>B7</f>
        <v>44248</v>
      </c>
      <c r="C30" s="290" t="s">
        <v>16</v>
      </c>
      <c r="D30" s="291"/>
      <c r="E30" s="168">
        <f>(E23-D23)/D23</f>
        <v>0.20049813200498143</v>
      </c>
      <c r="F30" s="168">
        <f t="shared" ref="F30:Q31" si="7">(F23-E23)/E23</f>
        <v>0.18153526970954356</v>
      </c>
      <c r="G30" s="168">
        <f>(G23-F23)/F23</f>
        <v>0.24143985952589991</v>
      </c>
      <c r="H30" s="168">
        <f t="shared" si="6"/>
        <v>3.7482319660537361E-2</v>
      </c>
      <c r="I30" s="168">
        <f>(I23-H23)/H23</f>
        <v>4.2944785276073698E-2</v>
      </c>
      <c r="J30" s="168">
        <f t="shared" si="6"/>
        <v>0.33598692810457537</v>
      </c>
      <c r="K30" s="168">
        <v>0.45837206344236431</v>
      </c>
      <c r="L30" s="168">
        <f>+L23/K23-1</f>
        <v>0.2251723228907323</v>
      </c>
      <c r="M30" s="168">
        <f t="shared" ref="M30:P30" si="8">+M23/L23-1</f>
        <v>5.2002213222679394E-3</v>
      </c>
      <c r="N30" s="168">
        <f t="shared" si="8"/>
        <v>0</v>
      </c>
      <c r="O30" s="168">
        <f t="shared" si="8"/>
        <v>0</v>
      </c>
      <c r="P30" s="168">
        <f t="shared" si="8"/>
        <v>0</v>
      </c>
      <c r="Q30" s="168"/>
      <c r="R30" s="168"/>
    </row>
    <row r="31" spans="1:30" hidden="1">
      <c r="A31" s="281"/>
      <c r="B31" s="33">
        <v>41974</v>
      </c>
      <c r="C31" s="290" t="s">
        <v>16</v>
      </c>
      <c r="D31" s="291"/>
      <c r="E31" s="147">
        <f>(E24-D24)/D24</f>
        <v>0.20049813200498143</v>
      </c>
      <c r="F31" s="147">
        <f t="shared" si="7"/>
        <v>0.17634854771784231</v>
      </c>
      <c r="G31" s="147">
        <f t="shared" si="7"/>
        <v>7.5837742504409111E-2</v>
      </c>
      <c r="H31" s="147">
        <f t="shared" si="7"/>
        <v>4.0983606557377046E-2</v>
      </c>
      <c r="I31" s="147">
        <f t="shared" si="7"/>
        <v>3.1496062992125984E-2</v>
      </c>
      <c r="J31" s="147">
        <f t="shared" si="7"/>
        <v>1.5267175572519083E-2</v>
      </c>
      <c r="K31" s="147">
        <f t="shared" si="7"/>
        <v>1.5037593984962405E-2</v>
      </c>
      <c r="L31" s="147">
        <f t="shared" si="7"/>
        <v>-1</v>
      </c>
      <c r="M31" s="147" t="e">
        <f t="shared" si="7"/>
        <v>#DIV/0!</v>
      </c>
      <c r="N31" s="147" t="e">
        <f t="shared" si="7"/>
        <v>#DIV/0!</v>
      </c>
      <c r="O31" s="147" t="e">
        <f t="shared" si="7"/>
        <v>#DIV/0!</v>
      </c>
      <c r="P31" s="147" t="e">
        <f t="shared" si="7"/>
        <v>#DIV/0!</v>
      </c>
      <c r="Q31" s="147" t="e">
        <f t="shared" si="7"/>
        <v>#DIV/0!</v>
      </c>
      <c r="R31" s="147"/>
    </row>
    <row r="32" spans="1:30" hidden="1">
      <c r="A32" s="281"/>
      <c r="B32" s="33">
        <v>41499</v>
      </c>
      <c r="C32" s="292" t="s">
        <v>16</v>
      </c>
      <c r="D32" s="293"/>
      <c r="E32" s="146">
        <f t="shared" ref="E32:J32" si="9">(E26-D26)/D26</f>
        <v>0.12401648557512186</v>
      </c>
      <c r="F32" s="146">
        <f t="shared" si="9"/>
        <v>3.3333333333333333E-2</v>
      </c>
      <c r="G32" s="146">
        <f t="shared" si="9"/>
        <v>4.3010752688172046E-2</v>
      </c>
      <c r="H32" s="146">
        <f t="shared" si="9"/>
        <v>3.0927835051546393E-2</v>
      </c>
      <c r="I32" s="146">
        <f t="shared" si="9"/>
        <v>0.01</v>
      </c>
      <c r="J32" s="146">
        <f t="shared" si="9"/>
        <v>9.9009900990099011E-3</v>
      </c>
      <c r="K32" s="146"/>
      <c r="L32" s="146"/>
      <c r="M32" s="146"/>
      <c r="N32" s="146"/>
      <c r="O32" s="146"/>
      <c r="P32" s="146"/>
      <c r="Q32" s="146"/>
      <c r="R32" s="146"/>
    </row>
    <row r="33" spans="1:30">
      <c r="A33" s="106"/>
      <c r="B33" s="107"/>
      <c r="C33" s="156"/>
      <c r="D33" s="156"/>
      <c r="E33" s="157"/>
      <c r="F33" s="157"/>
      <c r="G33" s="158"/>
      <c r="H33" s="158"/>
      <c r="I33" s="158"/>
      <c r="J33" s="158"/>
      <c r="K33" s="158"/>
      <c r="L33" s="158"/>
      <c r="M33" s="158"/>
      <c r="N33" s="158"/>
      <c r="O33" s="158"/>
      <c r="P33" s="158"/>
      <c r="Q33" s="158"/>
      <c r="R33" s="158"/>
    </row>
    <row r="34" spans="1:30">
      <c r="A34" s="298" t="s">
        <v>18</v>
      </c>
      <c r="B34" s="300">
        <v>44429</v>
      </c>
      <c r="C34" s="134" t="s">
        <v>4</v>
      </c>
      <c r="D34" s="135"/>
      <c r="E34" s="135"/>
      <c r="F34" s="135"/>
      <c r="G34" s="135"/>
      <c r="H34" s="135"/>
      <c r="I34" s="135">
        <v>3.24</v>
      </c>
      <c r="J34" s="135"/>
      <c r="K34" s="135"/>
      <c r="L34" s="135">
        <v>1.9</v>
      </c>
      <c r="M34" s="135">
        <v>3.33</v>
      </c>
      <c r="N34" s="135">
        <v>4.1399999999999997</v>
      </c>
      <c r="O34" s="135">
        <v>3.61</v>
      </c>
      <c r="P34" s="135">
        <v>3.27</v>
      </c>
      <c r="Q34" s="135">
        <v>3.2</v>
      </c>
      <c r="R34" s="135">
        <v>3.2</v>
      </c>
      <c r="T34" s="135"/>
      <c r="U34" s="135"/>
      <c r="V34" s="135"/>
      <c r="X34" s="135"/>
      <c r="Y34" s="135"/>
      <c r="Z34" s="135"/>
      <c r="AB34" s="135"/>
      <c r="AC34" s="135"/>
      <c r="AD34" s="135"/>
    </row>
    <row r="35" spans="1:30" ht="15" customHeight="1">
      <c r="A35" s="299"/>
      <c r="B35" s="301"/>
      <c r="C35" s="136" t="s">
        <v>2</v>
      </c>
      <c r="D35" s="159"/>
      <c r="E35" s="159"/>
      <c r="F35" s="159"/>
      <c r="G35" s="159"/>
      <c r="H35" s="159"/>
      <c r="I35" s="159">
        <v>3.24</v>
      </c>
      <c r="J35" s="159"/>
      <c r="K35" s="210"/>
      <c r="L35" s="210">
        <v>1.9</v>
      </c>
      <c r="M35" s="210">
        <v>3.38</v>
      </c>
      <c r="N35" s="210">
        <v>3.97</v>
      </c>
      <c r="O35" s="210">
        <v>3.58</v>
      </c>
      <c r="P35" s="210">
        <v>3.34</v>
      </c>
      <c r="Q35" s="210">
        <v>3.29</v>
      </c>
      <c r="R35" s="210">
        <v>3.29</v>
      </c>
      <c r="T35" s="210"/>
      <c r="U35" s="210"/>
      <c r="V35" s="210"/>
      <c r="X35" s="210"/>
      <c r="Y35" s="210"/>
      <c r="Z35" s="210"/>
      <c r="AB35" s="210"/>
      <c r="AC35" s="210"/>
      <c r="AD35" s="210"/>
    </row>
    <row r="36" spans="1:30">
      <c r="A36" s="299"/>
      <c r="B36" s="301"/>
      <c r="C36" s="139" t="s">
        <v>0</v>
      </c>
      <c r="D36" s="140"/>
      <c r="E36" s="140"/>
      <c r="F36" s="140"/>
      <c r="G36" s="140"/>
      <c r="H36" s="140"/>
      <c r="I36" s="140">
        <v>3.25</v>
      </c>
      <c r="J36" s="140"/>
      <c r="K36" s="140"/>
      <c r="L36" s="140">
        <v>1.9</v>
      </c>
      <c r="M36" s="140">
        <v>3.22</v>
      </c>
      <c r="N36" s="140">
        <v>3.32</v>
      </c>
      <c r="O36" s="140">
        <v>2.9</v>
      </c>
      <c r="P36" s="140">
        <v>2.79</v>
      </c>
      <c r="Q36" s="140">
        <v>2.84</v>
      </c>
      <c r="R36" s="140">
        <v>2.96</v>
      </c>
      <c r="T36" s="140"/>
      <c r="U36" s="140"/>
      <c r="V36" s="140"/>
      <c r="X36" s="140"/>
      <c r="Y36" s="140"/>
      <c r="Z36" s="140"/>
      <c r="AB36" s="140"/>
      <c r="AC36" s="140"/>
      <c r="AD36" s="140"/>
    </row>
    <row r="37" spans="1:30">
      <c r="A37" s="299"/>
      <c r="B37" s="301"/>
      <c r="C37" s="141" t="s">
        <v>3</v>
      </c>
      <c r="D37" s="142"/>
      <c r="E37" s="142"/>
      <c r="F37" s="142"/>
      <c r="G37" s="142"/>
      <c r="H37" s="142"/>
      <c r="I37" s="142">
        <v>3.22</v>
      </c>
      <c r="J37" s="142"/>
      <c r="K37" s="142"/>
      <c r="L37" s="142">
        <v>1.9</v>
      </c>
      <c r="M37" s="142">
        <v>3.33</v>
      </c>
      <c r="N37" s="142">
        <v>3.55</v>
      </c>
      <c r="O37" s="142">
        <v>2.96</v>
      </c>
      <c r="P37" s="142">
        <v>2.69</v>
      </c>
      <c r="Q37" s="142">
        <v>2.61</v>
      </c>
      <c r="R37" s="142">
        <v>2.61</v>
      </c>
      <c r="T37" s="142"/>
      <c r="U37" s="142"/>
      <c r="V37" s="142"/>
      <c r="X37" s="142"/>
      <c r="Y37" s="142"/>
      <c r="Z37" s="142"/>
      <c r="AB37" s="142"/>
      <c r="AC37" s="142"/>
      <c r="AD37" s="142"/>
    </row>
    <row r="38" spans="1:30">
      <c r="A38" s="299"/>
      <c r="B38" s="302"/>
      <c r="C38" s="143" t="s">
        <v>1</v>
      </c>
      <c r="D38" s="144">
        <v>5.01</v>
      </c>
      <c r="E38" s="144">
        <v>4.38</v>
      </c>
      <c r="F38" s="144">
        <v>5.14</v>
      </c>
      <c r="G38" s="144">
        <v>3.78</v>
      </c>
      <c r="H38" s="144">
        <v>2.42</v>
      </c>
      <c r="I38" s="144">
        <f t="shared" ref="I38" si="10">+AVERAGE(I34:I37)</f>
        <v>3.2375000000000003</v>
      </c>
      <c r="J38" s="144" t="e">
        <f t="shared" ref="J38" si="11">AVERAGE(J34:J37)</f>
        <v>#DIV/0!</v>
      </c>
      <c r="K38" s="216" t="e">
        <f>AVERAGE(K34:K37)</f>
        <v>#DIV/0!</v>
      </c>
      <c r="L38" s="216">
        <f>AVERAGE(L34:L37)</f>
        <v>1.9</v>
      </c>
      <c r="M38" s="216">
        <f>AVERAGE(M34:M37)</f>
        <v>3.3149999999999999</v>
      </c>
      <c r="N38" s="216">
        <f>MROUND(AVERAGE(N34:N37),0.05)</f>
        <v>3.75</v>
      </c>
      <c r="O38" s="216">
        <f>MROUND(AVERAGE(O34:O37),0.05)</f>
        <v>3.25</v>
      </c>
      <c r="P38" s="216">
        <f t="shared" ref="P38:R38" si="12">MROUND(AVERAGE(P36:P37),0.05)</f>
        <v>2.75</v>
      </c>
      <c r="Q38" s="216">
        <f t="shared" si="12"/>
        <v>2.7</v>
      </c>
      <c r="R38" s="216">
        <f t="shared" si="12"/>
        <v>2.8000000000000003</v>
      </c>
      <c r="S38" t="s">
        <v>103</v>
      </c>
      <c r="T38" s="216">
        <f>N38*(1+T17)</f>
        <v>2.4797244094488189</v>
      </c>
      <c r="U38" s="216">
        <f>+T38*(1+U17)</f>
        <v>1.7433070866141731</v>
      </c>
      <c r="V38" s="216">
        <f>+U38*(1+V17)</f>
        <v>1.6830708661417322</v>
      </c>
      <c r="X38" s="216">
        <f>N38*(1+X17)</f>
        <v>2.9037401574803154</v>
      </c>
      <c r="Y38" s="216">
        <f>+X38*(1+Y17)</f>
        <v>2.2287401574803152</v>
      </c>
      <c r="Z38" s="216">
        <f>+Y38*(1+Z17)</f>
        <v>2.5942913385826771</v>
      </c>
      <c r="AB38" s="216">
        <v>3.89</v>
      </c>
      <c r="AC38" s="216">
        <v>3.43</v>
      </c>
      <c r="AD38" s="216">
        <v>2.89</v>
      </c>
    </row>
    <row r="39" spans="1:30">
      <c r="A39" s="299"/>
      <c r="B39" s="231">
        <v>44248</v>
      </c>
      <c r="C39" s="133" t="s">
        <v>1</v>
      </c>
      <c r="D39" s="138">
        <f>'Aug18'!D37</f>
        <v>5.01</v>
      </c>
      <c r="E39" s="138">
        <f>'Aug18'!E37</f>
        <v>4.38</v>
      </c>
      <c r="F39" s="138">
        <f>'Aug18'!F37</f>
        <v>5.14</v>
      </c>
      <c r="G39" s="138">
        <f>'Aug18'!G37</f>
        <v>3.78</v>
      </c>
      <c r="H39" s="138">
        <f>'Aug18'!H37</f>
        <v>2.42</v>
      </c>
      <c r="I39" s="138">
        <f>'Dec18'!I37</f>
        <v>3.2375000000000003</v>
      </c>
      <c r="J39" s="138">
        <f>'Dec18'!J37</f>
        <v>3.5142500000000001</v>
      </c>
      <c r="K39" s="138">
        <v>3.08</v>
      </c>
      <c r="L39" s="138">
        <f>'Feb21'!L38</f>
        <v>1.9</v>
      </c>
      <c r="M39" s="138">
        <f>'Feb21'!M38</f>
        <v>2.4500000000000002</v>
      </c>
      <c r="N39" s="138">
        <f>'Feb21'!N38</f>
        <v>2.7</v>
      </c>
      <c r="O39" s="138">
        <f>'Feb21'!O38</f>
        <v>2.6500000000000004</v>
      </c>
      <c r="P39" s="138">
        <f>'Feb21'!P38</f>
        <v>2.7</v>
      </c>
      <c r="Q39" s="138">
        <f>'Feb21'!Q38</f>
        <v>2.8000000000000003</v>
      </c>
      <c r="R39" s="138"/>
      <c r="T39" s="93" t="s">
        <v>99</v>
      </c>
      <c r="X39" s="93" t="s">
        <v>100</v>
      </c>
      <c r="AB39" t="s">
        <v>101</v>
      </c>
    </row>
    <row r="40" spans="1:30">
      <c r="A40" s="230"/>
      <c r="B40" s="232"/>
      <c r="C40" s="233"/>
      <c r="D40" s="234"/>
      <c r="E40" s="234"/>
      <c r="F40" s="234"/>
      <c r="G40" s="234"/>
      <c r="H40" s="234"/>
      <c r="I40" s="234"/>
      <c r="J40" s="234"/>
      <c r="K40" s="234"/>
      <c r="L40" s="138"/>
      <c r="M40" s="138"/>
      <c r="N40" s="138"/>
      <c r="O40" s="138"/>
      <c r="P40" s="138"/>
      <c r="Q40" s="138"/>
      <c r="R40" s="138"/>
    </row>
    <row r="41" spans="1:30">
      <c r="A41" s="65"/>
      <c r="B41" s="65"/>
      <c r="C41" s="65"/>
      <c r="D41" s="76"/>
      <c r="E41" s="76"/>
      <c r="F41" s="76"/>
      <c r="G41" s="130"/>
      <c r="H41" s="130"/>
      <c r="I41" s="130"/>
      <c r="J41" s="130"/>
      <c r="K41" s="130"/>
      <c r="L41" s="130"/>
      <c r="M41" s="130"/>
    </row>
    <row r="42" spans="1:30">
      <c r="A42" s="287" t="s">
        <v>19</v>
      </c>
      <c r="B42" s="273">
        <v>44429</v>
      </c>
      <c r="C42" s="136" t="s">
        <v>2</v>
      </c>
      <c r="D42" s="160"/>
      <c r="E42" s="161"/>
      <c r="F42" s="161"/>
      <c r="G42" s="161"/>
      <c r="H42" s="161"/>
      <c r="I42" s="161">
        <v>1235.7</v>
      </c>
      <c r="J42" s="161"/>
      <c r="K42" s="161"/>
      <c r="L42" s="161">
        <v>1827.65</v>
      </c>
      <c r="M42" s="161">
        <v>2125</v>
      </c>
      <c r="N42" s="161">
        <v>2259</v>
      </c>
      <c r="O42" s="161">
        <v>2372</v>
      </c>
      <c r="P42" s="161">
        <v>2443</v>
      </c>
      <c r="Q42" s="161">
        <v>2492</v>
      </c>
      <c r="R42" s="161">
        <v>2517</v>
      </c>
      <c r="T42" s="161"/>
      <c r="U42" s="161"/>
      <c r="V42" s="161"/>
      <c r="X42" s="161"/>
      <c r="Y42" s="161"/>
      <c r="Z42" s="161"/>
      <c r="AB42" s="161"/>
      <c r="AC42" s="161"/>
      <c r="AD42" s="161"/>
    </row>
    <row r="43" spans="1:30">
      <c r="A43" s="288"/>
      <c r="B43" s="272"/>
      <c r="C43" s="139" t="s">
        <v>0</v>
      </c>
      <c r="D43" s="162"/>
      <c r="E43" s="162"/>
      <c r="F43" s="162"/>
      <c r="G43" s="162"/>
      <c r="H43" s="162"/>
      <c r="I43" s="162"/>
      <c r="J43" s="162"/>
      <c r="K43" s="215"/>
      <c r="L43" s="215">
        <v>1829.34</v>
      </c>
      <c r="M43" s="215">
        <v>2100</v>
      </c>
      <c r="N43" s="215">
        <v>2243.12</v>
      </c>
      <c r="O43" s="215">
        <v>2339.98</v>
      </c>
      <c r="P43" s="215">
        <v>2441.1999999999998</v>
      </c>
      <c r="Q43" s="215">
        <v>2490.02</v>
      </c>
      <c r="R43" s="215">
        <v>2539.8200000000002</v>
      </c>
      <c r="T43" s="215"/>
      <c r="U43" s="215"/>
      <c r="V43" s="215"/>
      <c r="X43" s="215"/>
      <c r="Y43" s="215"/>
      <c r="Z43" s="215"/>
      <c r="AB43" s="215"/>
      <c r="AC43" s="215"/>
      <c r="AD43" s="215"/>
    </row>
    <row r="44" spans="1:30">
      <c r="A44" s="288"/>
      <c r="B44" s="272"/>
      <c r="C44" s="141" t="s">
        <v>3</v>
      </c>
      <c r="D44" s="163"/>
      <c r="E44" s="163"/>
      <c r="F44" s="163"/>
      <c r="G44" s="163"/>
      <c r="H44" s="163"/>
      <c r="I44" s="163">
        <v>1235.5999999999999</v>
      </c>
      <c r="J44" s="163"/>
      <c r="K44" s="163"/>
      <c r="L44" s="163">
        <v>1829.3</v>
      </c>
      <c r="M44" s="163">
        <v>2119.9</v>
      </c>
      <c r="N44" s="163">
        <v>2306</v>
      </c>
      <c r="O44" s="163">
        <v>2363.6999999999998</v>
      </c>
      <c r="P44" s="163">
        <v>2399.1999999999998</v>
      </c>
      <c r="Q44" s="163">
        <v>2435.1999999999998</v>
      </c>
      <c r="R44" s="163">
        <v>2449.5</v>
      </c>
      <c r="T44" s="163"/>
      <c r="U44" s="163"/>
      <c r="V44" s="163"/>
      <c r="X44" s="163"/>
      <c r="Y44" s="163"/>
      <c r="Z44" s="163"/>
      <c r="AB44" s="163"/>
      <c r="AC44" s="163"/>
      <c r="AD44" s="163"/>
    </row>
    <row r="45" spans="1:30">
      <c r="A45" s="288"/>
      <c r="B45" s="272"/>
      <c r="C45" s="143" t="s">
        <v>1</v>
      </c>
      <c r="D45" s="152">
        <v>1227</v>
      </c>
      <c r="E45" s="152">
        <v>1177.5</v>
      </c>
      <c r="F45" s="153">
        <v>1184.7</v>
      </c>
      <c r="G45" s="153">
        <v>1184.8</v>
      </c>
      <c r="H45" s="153">
        <v>1175</v>
      </c>
      <c r="I45" s="153">
        <f>(+AVERAGE(I42:I44))</f>
        <v>1235.6500000000001</v>
      </c>
      <c r="J45" s="206">
        <v>1361</v>
      </c>
      <c r="K45" s="214">
        <v>1562</v>
      </c>
      <c r="L45" s="242">
        <v>1829.192</v>
      </c>
      <c r="M45" s="242">
        <f>MROUND(AVERAGE(M42:M44),5)</f>
        <v>2115</v>
      </c>
      <c r="N45" s="242">
        <f t="shared" ref="N45:R45" si="13">MROUND(AVERAGE(N42:N44),5)</f>
        <v>2270</v>
      </c>
      <c r="O45" s="242">
        <f t="shared" si="13"/>
        <v>2360</v>
      </c>
      <c r="P45" s="242">
        <f t="shared" si="13"/>
        <v>2430</v>
      </c>
      <c r="Q45" s="242">
        <f t="shared" si="13"/>
        <v>2470</v>
      </c>
      <c r="R45" s="242">
        <f t="shared" si="13"/>
        <v>2500</v>
      </c>
      <c r="S45" t="s">
        <v>103</v>
      </c>
      <c r="T45" s="226">
        <f>N45*(1+T46)</f>
        <v>2154.0514606741576</v>
      </c>
      <c r="U45" s="226">
        <f>T45*(1+U46)</f>
        <v>2118.0373850939823</v>
      </c>
      <c r="V45" s="226">
        <f>U45*(1+V46)</f>
        <v>2177.2983358059314</v>
      </c>
      <c r="X45" s="226">
        <f>N45*(1+X46)</f>
        <v>2245.2085393258426</v>
      </c>
      <c r="Y45" s="226">
        <f>+X45*(1+Y46)</f>
        <v>2184.4979518698024</v>
      </c>
      <c r="Z45" s="226">
        <f>+Y45*(1+Z46)</f>
        <v>2298.1954092666301</v>
      </c>
      <c r="AB45" s="226">
        <f>+N45*(1+AB46)</f>
        <v>2271.6323595505614</v>
      </c>
      <c r="AC45" s="226">
        <f>+AB45*(1+AC46)</f>
        <v>2361.6970786516854</v>
      </c>
      <c r="AD45" s="226">
        <f>+AC45*(1+AD46)</f>
        <v>2431.7474157303368</v>
      </c>
    </row>
    <row r="46" spans="1:30">
      <c r="A46" s="288"/>
      <c r="B46" s="273">
        <v>44248</v>
      </c>
      <c r="C46" s="133" t="s">
        <v>1</v>
      </c>
      <c r="D46" s="160">
        <f>'Aug18'!D52</f>
        <v>1227</v>
      </c>
      <c r="E46" s="160">
        <f>'Aug18'!E52</f>
        <v>1177.5</v>
      </c>
      <c r="F46" s="160">
        <f>'Aug18'!F52</f>
        <v>1184.7</v>
      </c>
      <c r="G46" s="160">
        <f>'Aug18'!G52</f>
        <v>1184.8</v>
      </c>
      <c r="H46" s="160">
        <f>'Aug18'!H52</f>
        <v>1175</v>
      </c>
      <c r="I46" s="160">
        <f>'Dec18'!I52</f>
        <v>1235.6500000000001</v>
      </c>
      <c r="J46" s="160">
        <f>'Dec18'!J52</f>
        <v>1361</v>
      </c>
      <c r="K46" s="160">
        <v>1562.1499999999999</v>
      </c>
      <c r="L46" s="160">
        <f>'Feb21'!L45</f>
        <v>1829.192</v>
      </c>
      <c r="M46" s="160">
        <f>'Feb21'!M45</f>
        <v>1830</v>
      </c>
      <c r="N46" s="160">
        <f>'Feb21'!N45</f>
        <v>1830</v>
      </c>
      <c r="O46" s="160">
        <f>'Feb21'!O45</f>
        <v>1830</v>
      </c>
      <c r="P46" s="160">
        <f>'Feb21'!P45</f>
        <v>1830</v>
      </c>
      <c r="Q46" s="160">
        <f>'Feb21'!Q45</f>
        <v>1830</v>
      </c>
      <c r="R46" s="160"/>
      <c r="T46" s="112">
        <f>T23/2</f>
        <v>-5.1078651685393217E-2</v>
      </c>
      <c r="U46" s="112">
        <f>U23/2</f>
        <v>-1.6719227111177848E-2</v>
      </c>
      <c r="V46" s="112">
        <f>V23/2</f>
        <v>2.7979180692941141E-2</v>
      </c>
      <c r="X46" s="112">
        <f>X23/2</f>
        <v>-1.0921348314606782E-2</v>
      </c>
      <c r="Y46" s="112">
        <f>Y23/2</f>
        <v>-2.7040066164307985E-2</v>
      </c>
      <c r="Z46" s="112">
        <f>Z23/2</f>
        <v>5.2047408558799302E-2</v>
      </c>
      <c r="AB46" s="112">
        <f>+AB23/2</f>
        <v>7.1910112359552247E-4</v>
      </c>
      <c r="AC46" s="112">
        <f>+O52</f>
        <v>3.9647577092511099E-2</v>
      </c>
      <c r="AD46" s="112">
        <f>+P52</f>
        <v>2.9661016949152463E-2</v>
      </c>
    </row>
    <row r="47" spans="1:30" ht="14.65" hidden="1" customHeight="1">
      <c r="A47" s="288"/>
      <c r="B47" s="272"/>
      <c r="C47" s="133" t="s">
        <v>1</v>
      </c>
      <c r="D47" s="160">
        <v>1227</v>
      </c>
      <c r="E47" s="160">
        <v>1177.5</v>
      </c>
      <c r="F47" s="160">
        <v>1187.3</v>
      </c>
      <c r="G47" s="160">
        <v>1181</v>
      </c>
      <c r="H47" s="160">
        <v>1150</v>
      </c>
      <c r="I47" s="160">
        <v>1118</v>
      </c>
      <c r="J47" s="160">
        <v>1088</v>
      </c>
      <c r="K47" s="160">
        <v>1052</v>
      </c>
      <c r="L47" s="160"/>
      <c r="M47" s="160"/>
      <c r="N47" s="160"/>
      <c r="O47" s="160"/>
      <c r="P47" s="160"/>
      <c r="Q47" s="160"/>
      <c r="R47" s="160"/>
    </row>
    <row r="48" spans="1:30" ht="14.65" hidden="1" customHeight="1">
      <c r="A48" s="288"/>
      <c r="B48" s="272"/>
      <c r="C48" s="133" t="s">
        <v>1</v>
      </c>
      <c r="D48" s="160">
        <v>1227</v>
      </c>
      <c r="E48" s="160">
        <v>1177.5</v>
      </c>
      <c r="F48" s="160">
        <v>1170</v>
      </c>
      <c r="G48" s="160">
        <v>1158.3</v>
      </c>
      <c r="H48" s="160">
        <v>1123.5509999999999</v>
      </c>
      <c r="I48" s="160">
        <v>1089.84447</v>
      </c>
      <c r="J48" s="160">
        <v>1057.1491358999999</v>
      </c>
      <c r="K48" s="160">
        <v>1025.4346618229999</v>
      </c>
      <c r="L48" s="160"/>
      <c r="M48" s="160"/>
      <c r="N48" s="160"/>
      <c r="O48" s="160"/>
      <c r="P48" s="160"/>
      <c r="Q48" s="160"/>
      <c r="R48" s="160"/>
    </row>
    <row r="49" spans="1:28" ht="14.65" hidden="1" customHeight="1">
      <c r="A49" s="288"/>
      <c r="B49" s="272"/>
      <c r="C49" s="133" t="s">
        <v>1</v>
      </c>
      <c r="D49" s="160">
        <v>1225.8499999999999</v>
      </c>
      <c r="E49" s="160">
        <v>1165</v>
      </c>
      <c r="F49" s="160">
        <v>1110</v>
      </c>
      <c r="G49" s="160">
        <v>1070</v>
      </c>
      <c r="H49" s="160">
        <v>1030</v>
      </c>
      <c r="I49" s="160">
        <v>1000</v>
      </c>
      <c r="J49" s="160">
        <v>960</v>
      </c>
      <c r="K49" s="165"/>
      <c r="L49" s="165"/>
      <c r="M49" s="165"/>
      <c r="N49" s="165"/>
      <c r="O49" s="165"/>
      <c r="P49" s="165"/>
      <c r="Q49" s="165"/>
      <c r="R49" s="165"/>
    </row>
    <row r="50" spans="1:28" hidden="1">
      <c r="A50" s="288"/>
      <c r="B50" s="33">
        <v>41317</v>
      </c>
      <c r="C50" s="133" t="s">
        <v>1</v>
      </c>
      <c r="D50" s="165">
        <v>1226</v>
      </c>
      <c r="E50" s="165">
        <v>1185</v>
      </c>
      <c r="F50" s="165">
        <v>1151</v>
      </c>
      <c r="G50" s="165">
        <v>1121</v>
      </c>
      <c r="H50" s="165">
        <v>1090.1407234210708</v>
      </c>
      <c r="I50" s="165">
        <v>1048</v>
      </c>
      <c r="J50" s="165"/>
      <c r="K50" s="165"/>
      <c r="L50" s="165"/>
      <c r="M50" s="165"/>
      <c r="N50" s="165"/>
      <c r="O50" s="165"/>
      <c r="P50" s="165"/>
      <c r="Q50" s="165"/>
      <c r="R50" s="165"/>
    </row>
    <row r="51" spans="1:28" hidden="1">
      <c r="A51" s="288"/>
      <c r="B51" s="33">
        <v>41244</v>
      </c>
      <c r="C51" s="133" t="s">
        <v>1</v>
      </c>
      <c r="D51" s="165">
        <v>1228.5423506666664</v>
      </c>
      <c r="E51" s="165">
        <v>1184.5870287874238</v>
      </c>
      <c r="F51" s="165">
        <v>1151.3778293463738</v>
      </c>
      <c r="G51" s="165">
        <v>1121.0332793283103</v>
      </c>
      <c r="H51" s="165">
        <v>1090.1407234210708</v>
      </c>
      <c r="I51" s="165">
        <v>1048</v>
      </c>
      <c r="J51" s="165">
        <v>1048</v>
      </c>
      <c r="K51" s="165"/>
      <c r="L51" s="165"/>
      <c r="M51" s="165"/>
      <c r="N51" s="165"/>
      <c r="O51" s="165"/>
      <c r="P51" s="165"/>
      <c r="Q51" s="165"/>
      <c r="R51" s="165"/>
    </row>
    <row r="52" spans="1:28">
      <c r="A52" s="288"/>
      <c r="B52" s="33">
        <v>44429</v>
      </c>
      <c r="C52" s="292" t="s">
        <v>16</v>
      </c>
      <c r="D52" s="293"/>
      <c r="E52" s="167">
        <f t="shared" ref="E52:M54" si="14">(E45-D45)/D45</f>
        <v>-4.0342298288508556E-2</v>
      </c>
      <c r="F52" s="167">
        <f t="shared" si="14"/>
        <v>6.1146496815287013E-3</v>
      </c>
      <c r="G52" s="167">
        <f>(G45-F45)/F45</f>
        <v>8.4409555161567526E-5</v>
      </c>
      <c r="H52" s="167">
        <f t="shared" si="14"/>
        <v>-8.2714382174206239E-3</v>
      </c>
      <c r="I52" s="167">
        <f t="shared" si="14"/>
        <v>5.1617021276595822E-2</v>
      </c>
      <c r="J52" s="167">
        <f t="shared" si="14"/>
        <v>0.10144458382227969</v>
      </c>
      <c r="K52" s="167">
        <f t="shared" si="14"/>
        <v>0.14768552534900808</v>
      </c>
      <c r="L52" s="167">
        <f t="shared" ref="L52" si="15">+L29/2</f>
        <v>0.11347645333333332</v>
      </c>
      <c r="M52" s="167">
        <f>+M45/L45-1</f>
        <v>0.15624822325923149</v>
      </c>
      <c r="N52" s="167">
        <f t="shared" ref="N52:R52" si="16">+N45/M45-1</f>
        <v>7.328605200945626E-2</v>
      </c>
      <c r="O52" s="167">
        <f t="shared" si="16"/>
        <v>3.9647577092511099E-2</v>
      </c>
      <c r="P52" s="167">
        <f t="shared" si="16"/>
        <v>2.9661016949152463E-2</v>
      </c>
      <c r="Q52" s="167">
        <f t="shared" si="16"/>
        <v>1.6460905349794164E-2</v>
      </c>
      <c r="R52" s="167">
        <f t="shared" si="16"/>
        <v>1.2145748987854255E-2</v>
      </c>
      <c r="T52" s="93" t="s">
        <v>99</v>
      </c>
      <c r="X52" s="93" t="s">
        <v>100</v>
      </c>
      <c r="AB52" t="s">
        <v>101</v>
      </c>
    </row>
    <row r="53" spans="1:28" hidden="1">
      <c r="A53" s="288"/>
      <c r="B53" s="33">
        <f>B39</f>
        <v>44248</v>
      </c>
      <c r="C53" s="290" t="s">
        <v>16</v>
      </c>
      <c r="D53" s="291"/>
      <c r="E53" s="168">
        <f>(E46-D46)/D46</f>
        <v>-4.0342298288508556E-2</v>
      </c>
      <c r="F53" s="168">
        <f t="shared" si="14"/>
        <v>6.1146496815287013E-3</v>
      </c>
      <c r="G53" s="168">
        <f>(G46-F46)/F46</f>
        <v>8.4409555161567526E-5</v>
      </c>
      <c r="H53" s="168">
        <f t="shared" si="14"/>
        <v>-8.2714382174206239E-3</v>
      </c>
      <c r="I53" s="168">
        <f t="shared" si="14"/>
        <v>5.1617021276595822E-2</v>
      </c>
      <c r="J53" s="168">
        <f t="shared" si="14"/>
        <v>0.10144458382227969</v>
      </c>
      <c r="K53" s="168">
        <v>0.15723732549595884</v>
      </c>
      <c r="L53" s="168">
        <f>+L46/K46-1</f>
        <v>0.17094517171846513</v>
      </c>
      <c r="M53" s="168">
        <f t="shared" ref="M53:Q53" si="17">+M46/L46-1</f>
        <v>4.41725089547651E-4</v>
      </c>
      <c r="N53" s="168">
        <f t="shared" si="17"/>
        <v>0</v>
      </c>
      <c r="O53" s="168">
        <f t="shared" si="17"/>
        <v>0</v>
      </c>
      <c r="P53" s="168">
        <f t="shared" si="17"/>
        <v>0</v>
      </c>
      <c r="Q53" s="168">
        <f t="shared" si="17"/>
        <v>0</v>
      </c>
      <c r="R53" s="168"/>
    </row>
    <row r="54" spans="1:28" hidden="1">
      <c r="A54" s="288"/>
      <c r="B54" s="33">
        <v>41974</v>
      </c>
      <c r="C54" s="290" t="s">
        <v>16</v>
      </c>
      <c r="D54" s="291"/>
      <c r="E54" s="147">
        <f>(E47-D47)/D47</f>
        <v>-4.0342298288508556E-2</v>
      </c>
      <c r="F54" s="147">
        <f t="shared" si="14"/>
        <v>8.3227176220806408E-3</v>
      </c>
      <c r="G54" s="147">
        <f t="shared" si="14"/>
        <v>-5.3061568264128316E-3</v>
      </c>
      <c r="H54" s="147">
        <f t="shared" si="14"/>
        <v>-2.6248941574936496E-2</v>
      </c>
      <c r="I54" s="147">
        <f t="shared" si="14"/>
        <v>-2.782608695652174E-2</v>
      </c>
      <c r="J54" s="147">
        <f t="shared" si="14"/>
        <v>-2.6833631484794274E-2</v>
      </c>
      <c r="K54" s="147">
        <f t="shared" si="14"/>
        <v>-3.3088235294117647E-2</v>
      </c>
      <c r="L54" s="147">
        <f t="shared" si="14"/>
        <v>-1</v>
      </c>
      <c r="M54" s="147" t="e">
        <f t="shared" si="14"/>
        <v>#DIV/0!</v>
      </c>
    </row>
    <row r="55" spans="1:28" hidden="1">
      <c r="A55" s="289"/>
      <c r="B55" s="33">
        <v>41499</v>
      </c>
      <c r="C55" s="292" t="s">
        <v>16</v>
      </c>
      <c r="D55" s="293"/>
      <c r="E55" s="146">
        <f t="shared" ref="E55:J55" si="18">(E49-D49)/D49</f>
        <v>-4.9639025981971625E-2</v>
      </c>
      <c r="F55" s="146">
        <f t="shared" si="18"/>
        <v>-4.7210300429184553E-2</v>
      </c>
      <c r="G55" s="146">
        <f t="shared" si="18"/>
        <v>-3.6036036036036036E-2</v>
      </c>
      <c r="H55" s="146">
        <f t="shared" si="18"/>
        <v>-3.7383177570093455E-2</v>
      </c>
      <c r="I55" s="146">
        <f t="shared" si="18"/>
        <v>-2.9126213592233011E-2</v>
      </c>
      <c r="J55" s="146">
        <f t="shared" si="18"/>
        <v>-0.04</v>
      </c>
      <c r="K55" s="146"/>
      <c r="L55" s="146"/>
      <c r="M55" s="146"/>
    </row>
    <row r="56" spans="1:28" hidden="1">
      <c r="A56" s="108"/>
      <c r="B56" s="13"/>
      <c r="F56" s="112"/>
      <c r="G56" s="112"/>
      <c r="H56" s="112"/>
      <c r="I56" s="112"/>
      <c r="J56" s="112"/>
      <c r="K56" s="112"/>
      <c r="L56" s="217"/>
      <c r="M56" s="112"/>
    </row>
    <row r="57" spans="1:28" hidden="1">
      <c r="A57" s="9"/>
      <c r="B57" s="13"/>
      <c r="E57" s="94"/>
      <c r="F57" s="94"/>
      <c r="G57" s="112"/>
      <c r="H57" s="112"/>
      <c r="I57" s="112"/>
      <c r="J57" s="112"/>
      <c r="K57" s="112"/>
      <c r="L57" s="112"/>
      <c r="M57" s="112"/>
      <c r="N57" s="112"/>
      <c r="O57" s="112"/>
      <c r="P57" s="112"/>
      <c r="Q57" s="112"/>
      <c r="R57" s="112"/>
    </row>
    <row r="58" spans="1:28" hidden="1">
      <c r="A58" s="9"/>
      <c r="B58" s="13"/>
      <c r="E58" s="94"/>
      <c r="F58" s="94"/>
      <c r="G58" s="94"/>
      <c r="H58" s="112"/>
      <c r="I58" s="112"/>
      <c r="J58" s="112"/>
      <c r="K58" s="112"/>
      <c r="L58" s="112"/>
      <c r="M58" s="112">
        <f t="shared" ref="M58:Q59" si="19">M43/L43-1</f>
        <v>0.14795500016399354</v>
      </c>
      <c r="N58" s="112">
        <f t="shared" si="19"/>
        <v>6.8152380952380964E-2</v>
      </c>
      <c r="O58" s="112">
        <f t="shared" si="19"/>
        <v>4.3180926566568134E-2</v>
      </c>
      <c r="P58" s="112">
        <f t="shared" si="19"/>
        <v>4.3256779972478343E-2</v>
      </c>
      <c r="Q58" s="112">
        <f t="shared" si="19"/>
        <v>1.9998361461576408E-2</v>
      </c>
      <c r="R58" s="112"/>
    </row>
    <row r="59" spans="1:28" hidden="1">
      <c r="A59" s="9"/>
      <c r="B59" s="13"/>
      <c r="L59" s="112"/>
      <c r="M59" s="112">
        <f t="shared" si="19"/>
        <v>0.15885857978461715</v>
      </c>
      <c r="N59" s="112">
        <f t="shared" si="19"/>
        <v>8.7787159771687273E-2</v>
      </c>
      <c r="O59" s="112">
        <f t="shared" si="19"/>
        <v>2.5021682567215819E-2</v>
      </c>
      <c r="P59" s="112">
        <f t="shared" si="19"/>
        <v>1.5018826416211883E-2</v>
      </c>
      <c r="Q59" s="112">
        <f t="shared" si="19"/>
        <v>1.5005001667222517E-2</v>
      </c>
      <c r="R59" s="112"/>
    </row>
    <row r="60" spans="1:28" hidden="1">
      <c r="A60" s="9"/>
      <c r="B60" s="13"/>
      <c r="L60" s="213"/>
      <c r="M60" s="213">
        <f t="shared" ref="M60:Q60" si="20">AVERAGE(M57:M59)</f>
        <v>0.15340678997430535</v>
      </c>
      <c r="N60" s="213">
        <f t="shared" si="20"/>
        <v>7.7969770362034119E-2</v>
      </c>
      <c r="O60" s="213">
        <f t="shared" si="20"/>
        <v>3.4101304566891977E-2</v>
      </c>
      <c r="P60" s="213">
        <f t="shared" si="20"/>
        <v>2.9137803194345113E-2</v>
      </c>
      <c r="Q60" s="213">
        <f t="shared" si="20"/>
        <v>1.7501681564399463E-2</v>
      </c>
      <c r="R60" s="213"/>
    </row>
    <row r="61" spans="1:28" hidden="1">
      <c r="A61" s="9"/>
      <c r="B61" s="13"/>
    </row>
    <row r="62" spans="1:28">
      <c r="A62" s="9"/>
      <c r="B62" s="13"/>
      <c r="M62" s="112"/>
      <c r="N62" s="112"/>
      <c r="O62" s="112"/>
      <c r="P62" s="112"/>
      <c r="Q62" s="112"/>
      <c r="R62" s="112"/>
    </row>
    <row r="63" spans="1:28">
      <c r="A63" s="9"/>
      <c r="B63" s="13"/>
    </row>
    <row r="64" spans="1:28">
      <c r="A64" s="65"/>
      <c r="B64" s="65"/>
      <c r="C64" s="228" t="s">
        <v>4</v>
      </c>
      <c r="D64" s="229"/>
      <c r="E64" s="229"/>
      <c r="F64" s="229"/>
      <c r="G64" s="229"/>
      <c r="H64" s="229"/>
      <c r="I64" s="229"/>
      <c r="J64" s="229"/>
      <c r="K64" s="229"/>
      <c r="L64" s="229"/>
      <c r="M64" s="235"/>
      <c r="N64" s="235"/>
      <c r="O64" s="235"/>
      <c r="P64" s="235"/>
      <c r="Q64" s="235"/>
      <c r="R64" s="235"/>
    </row>
    <row r="65" spans="1:18">
      <c r="A65" s="281" t="s">
        <v>12</v>
      </c>
      <c r="B65" s="273">
        <v>44429</v>
      </c>
      <c r="C65" s="136" t="s">
        <v>2</v>
      </c>
      <c r="D65" s="148"/>
      <c r="E65" s="148"/>
      <c r="F65" s="148"/>
      <c r="G65" s="148"/>
      <c r="H65" s="148"/>
      <c r="I65" s="148">
        <v>155.96</v>
      </c>
      <c r="J65" s="148"/>
      <c r="K65" s="148"/>
      <c r="L65" s="148"/>
      <c r="M65" s="168">
        <f>M19/L22-1</f>
        <v>0.10300348609956966</v>
      </c>
      <c r="N65" s="168">
        <v>6.3711911357340778E-2</v>
      </c>
      <c r="O65" s="168">
        <v>4.9479166666666741E-2</v>
      </c>
      <c r="P65" s="168">
        <v>2.977667493796532E-2</v>
      </c>
      <c r="Q65" s="168">
        <v>1.9277108433734869E-2</v>
      </c>
      <c r="R65" s="168">
        <v>1.0000000000000087E-2</v>
      </c>
    </row>
    <row r="66" spans="1:18">
      <c r="A66" s="281"/>
      <c r="B66" s="272"/>
      <c r="C66" s="139" t="s">
        <v>0</v>
      </c>
      <c r="D66" s="149"/>
      <c r="E66" s="149"/>
      <c r="F66" s="149"/>
      <c r="G66" s="149"/>
      <c r="H66" s="149"/>
      <c r="I66" s="149"/>
      <c r="J66" s="149"/>
      <c r="K66" s="149"/>
      <c r="L66" s="149"/>
      <c r="M66" s="236">
        <f>M20/L22-1</f>
        <v>8.6702941970019376E-2</v>
      </c>
      <c r="N66" s="236">
        <f t="shared" ref="N66:R67" si="21">N20/M20-1</f>
        <v>0.11795</v>
      </c>
      <c r="O66" s="236">
        <f t="shared" si="21"/>
        <v>6.8160472293036456E-2</v>
      </c>
      <c r="P66" s="236">
        <f t="shared" si="21"/>
        <v>4.9281916007201776E-2</v>
      </c>
      <c r="Q66" s="236">
        <f t="shared" si="21"/>
        <v>2.0011971268954598E-2</v>
      </c>
      <c r="R66" s="236">
        <f t="shared" si="21"/>
        <v>1.9991002092991428E-2</v>
      </c>
    </row>
    <row r="67" spans="1:18">
      <c r="A67" s="281"/>
      <c r="B67" s="272"/>
      <c r="C67" s="141" t="s">
        <v>3</v>
      </c>
      <c r="D67" s="151"/>
      <c r="E67" s="151"/>
      <c r="F67" s="151"/>
      <c r="G67" s="151"/>
      <c r="H67" s="151"/>
      <c r="I67" s="151">
        <v>155.9</v>
      </c>
      <c r="J67" s="151"/>
      <c r="K67" s="151"/>
      <c r="L67" s="151"/>
      <c r="M67" s="237">
        <f>M21/L22-1</f>
        <v>9.9417366391068684E-2</v>
      </c>
      <c r="N67" s="237">
        <f t="shared" si="21"/>
        <v>0.12476277552634163</v>
      </c>
      <c r="O67" s="237">
        <f t="shared" si="21"/>
        <v>-1.7114522298311563E-3</v>
      </c>
      <c r="P67" s="237">
        <f t="shared" si="21"/>
        <v>1.2698342833248999E-2</v>
      </c>
      <c r="Q67" s="237">
        <f t="shared" si="21"/>
        <v>3.3271036161335088E-2</v>
      </c>
      <c r="R67" s="237">
        <f t="shared" si="21"/>
        <v>2.1446148021957212E-2</v>
      </c>
    </row>
    <row r="68" spans="1:18">
      <c r="A68" s="281"/>
      <c r="B68" s="272"/>
      <c r="C68" s="143" t="s">
        <v>1</v>
      </c>
      <c r="D68" s="152">
        <v>80.3</v>
      </c>
      <c r="E68" s="152">
        <v>96.4</v>
      </c>
      <c r="F68" s="153">
        <v>113.9</v>
      </c>
      <c r="G68" s="153">
        <v>141.4</v>
      </c>
      <c r="H68" s="153">
        <v>146.69999999999999</v>
      </c>
      <c r="I68" s="153">
        <v>153</v>
      </c>
      <c r="J68" s="206">
        <f>J69</f>
        <v>0</v>
      </c>
      <c r="K68" s="209">
        <v>300</v>
      </c>
      <c r="L68" s="226"/>
      <c r="M68" s="238">
        <f>AVERAGE(M64:M67)</f>
        <v>9.6374598153552579E-2</v>
      </c>
      <c r="N68" s="238">
        <f t="shared" ref="N68:R68" si="22">AVERAGE(N64:N67)</f>
        <v>0.1021415622945608</v>
      </c>
      <c r="O68" s="238">
        <f t="shared" si="22"/>
        <v>3.8642728909957347E-2</v>
      </c>
      <c r="P68" s="238">
        <f t="shared" si="22"/>
        <v>3.0585644592805366E-2</v>
      </c>
      <c r="Q68" s="238">
        <f t="shared" si="22"/>
        <v>2.4186705288008186E-2</v>
      </c>
      <c r="R68" s="238">
        <f t="shared" si="22"/>
        <v>1.7145716704982907E-2</v>
      </c>
    </row>
    <row r="69" spans="1:18">
      <c r="A69" s="281"/>
      <c r="B69" s="33">
        <v>44248</v>
      </c>
      <c r="C69" s="133" t="s">
        <v>1</v>
      </c>
      <c r="D69" s="154">
        <f>'Aug18'!D67</f>
        <v>0</v>
      </c>
      <c r="E69" s="154">
        <f>'Aug18'!E67</f>
        <v>0</v>
      </c>
      <c r="F69" s="154">
        <f>'Aug18'!F67</f>
        <v>0</v>
      </c>
      <c r="G69" s="154">
        <f>'Aug18'!G67</f>
        <v>0</v>
      </c>
      <c r="H69" s="154">
        <f>'Aug18'!H67</f>
        <v>0</v>
      </c>
      <c r="I69" s="154">
        <f>'Dec18'!I67</f>
        <v>0</v>
      </c>
      <c r="J69" s="154">
        <f>'Dec18'!J67</f>
        <v>0</v>
      </c>
      <c r="K69" s="154">
        <v>300.43599999999998</v>
      </c>
      <c r="L69" s="154"/>
      <c r="M69" s="239">
        <f>'Feb21'!M68</f>
        <v>2.4253746238142321E-2</v>
      </c>
      <c r="N69" s="239">
        <f>'Feb21'!N68</f>
        <v>7.0380244973168677E-3</v>
      </c>
      <c r="O69" s="239">
        <f>'Feb21'!O68</f>
        <v>2.7503791128108041E-2</v>
      </c>
      <c r="P69" s="239">
        <f>'Feb21'!P68</f>
        <v>1.5887735688497589E-2</v>
      </c>
      <c r="Q69" s="239">
        <f>'Feb21'!Q68</f>
        <v>1.3364548356393557E-2</v>
      </c>
      <c r="R69" s="239"/>
    </row>
  </sheetData>
  <mergeCells count="25">
    <mergeCell ref="A2:A16"/>
    <mergeCell ref="B2:B6"/>
    <mergeCell ref="B7:B11"/>
    <mergeCell ref="C13:D13"/>
    <mergeCell ref="C14:D14"/>
    <mergeCell ref="C15:D15"/>
    <mergeCell ref="C16:D16"/>
    <mergeCell ref="C52:D52"/>
    <mergeCell ref="C53:D53"/>
    <mergeCell ref="C54:D54"/>
    <mergeCell ref="C55:D55"/>
    <mergeCell ref="A19:A32"/>
    <mergeCell ref="B19:B22"/>
    <mergeCell ref="B23:B26"/>
    <mergeCell ref="C29:D29"/>
    <mergeCell ref="C30:D30"/>
    <mergeCell ref="C31:D31"/>
    <mergeCell ref="C32:D32"/>
    <mergeCell ref="A65:A69"/>
    <mergeCell ref="B65:B68"/>
    <mergeCell ref="A34:A39"/>
    <mergeCell ref="B34:B38"/>
    <mergeCell ref="A42:A55"/>
    <mergeCell ref="B42:B45"/>
    <mergeCell ref="B46:B49"/>
  </mergeCells>
  <pageMargins left="0.5" right="0.17" top="0.63" bottom="0.75" header="0.3" footer="0.3"/>
  <pageSetup orientation="landscape" r:id="rId1"/>
  <legacy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pageSetUpPr fitToPage="1"/>
  </sheetPr>
  <dimension ref="A1:AE76"/>
  <sheetViews>
    <sheetView zoomScale="140" zoomScaleNormal="140" workbookViewId="0">
      <pane xSplit="3" ySplit="1" topLeftCell="M2" activePane="bottomRight" state="frozen"/>
      <selection pane="topRight" activeCell="D1" sqref="D1"/>
      <selection pane="bottomLeft" activeCell="A2" sqref="A2"/>
      <selection pane="bottomRight" activeCell="T36" sqref="T36"/>
    </sheetView>
  </sheetViews>
  <sheetFormatPr defaultColWidth="9.28515625" defaultRowHeight="15"/>
  <cols>
    <col min="1" max="1" width="9.42578125" customWidth="1"/>
    <col min="2" max="2" width="7.5703125" bestFit="1" customWidth="1"/>
    <col min="3" max="3" width="13" customWidth="1"/>
    <col min="4" max="4" width="7.7109375" hidden="1" customWidth="1"/>
    <col min="5" max="5" width="8.28515625" hidden="1" customWidth="1"/>
    <col min="6" max="6" width="9.28515625" hidden="1" customWidth="1"/>
    <col min="7" max="7" width="13.42578125" hidden="1" customWidth="1"/>
    <col min="8" max="9" width="9.28515625" hidden="1" customWidth="1"/>
    <col min="10" max="10" width="7.7109375" hidden="1" customWidth="1"/>
    <col min="11" max="11" width="8.28515625" hidden="1" customWidth="1"/>
    <col min="12" max="12" width="9.28515625" hidden="1" customWidth="1"/>
    <col min="13" max="13" width="9.42578125" hidden="1" customWidth="1"/>
    <col min="14" max="14" width="10.7109375" bestFit="1" customWidth="1"/>
    <col min="15" max="15" width="10" customWidth="1"/>
    <col min="16" max="19" width="9.28515625" customWidth="1"/>
    <col min="20" max="20" width="15.5703125" bestFit="1" customWidth="1"/>
    <col min="21" max="23" width="9.28515625" customWidth="1"/>
    <col min="24" max="24" width="2.28515625" customWidth="1"/>
    <col min="25" max="27" width="9.28515625" customWidth="1"/>
    <col min="28" max="28" width="2.28515625" customWidth="1"/>
    <col min="29" max="31" width="9.28515625" customWidth="1"/>
  </cols>
  <sheetData>
    <row r="1" spans="1:31" ht="34.5" customHeight="1">
      <c r="A1" s="8"/>
      <c r="B1" s="11"/>
      <c r="C1" s="133"/>
      <c r="D1" s="132" t="s">
        <v>17</v>
      </c>
      <c r="E1" s="132" t="s">
        <v>25</v>
      </c>
      <c r="F1" s="132" t="s">
        <v>73</v>
      </c>
      <c r="G1" s="132" t="s">
        <v>74</v>
      </c>
      <c r="H1" s="132" t="s">
        <v>75</v>
      </c>
      <c r="I1" s="132" t="s">
        <v>77</v>
      </c>
      <c r="J1" s="132" t="s">
        <v>81</v>
      </c>
      <c r="K1" s="132" t="s">
        <v>24</v>
      </c>
      <c r="L1" s="132" t="s">
        <v>27</v>
      </c>
      <c r="M1" s="132" t="s">
        <v>57</v>
      </c>
      <c r="N1" s="132" t="s">
        <v>76</v>
      </c>
      <c r="O1" s="132" t="s">
        <v>80</v>
      </c>
      <c r="P1" s="132" t="s">
        <v>82</v>
      </c>
      <c r="Q1" s="132" t="s">
        <v>92</v>
      </c>
      <c r="R1" s="132" t="s">
        <v>102</v>
      </c>
      <c r="S1" s="132" t="s">
        <v>106</v>
      </c>
      <c r="U1" s="132" t="s">
        <v>76</v>
      </c>
      <c r="V1" s="187" t="s">
        <v>80</v>
      </c>
      <c r="W1" s="187" t="s">
        <v>82</v>
      </c>
      <c r="Y1" s="132" t="s">
        <v>76</v>
      </c>
      <c r="Z1" s="187" t="s">
        <v>80</v>
      </c>
      <c r="AA1" s="187" t="s">
        <v>82</v>
      </c>
      <c r="AC1" s="132" t="s">
        <v>76</v>
      </c>
      <c r="AD1" s="187" t="s">
        <v>80</v>
      </c>
      <c r="AE1" s="187" t="s">
        <v>82</v>
      </c>
    </row>
    <row r="2" spans="1:31">
      <c r="A2" s="284" t="s">
        <v>10</v>
      </c>
      <c r="B2" s="300">
        <v>44795</v>
      </c>
      <c r="C2" s="134" t="s">
        <v>4</v>
      </c>
      <c r="D2" s="135"/>
      <c r="E2" s="135"/>
      <c r="F2" s="135"/>
      <c r="G2" s="135"/>
      <c r="H2" s="135"/>
      <c r="I2" s="135">
        <v>44.74</v>
      </c>
      <c r="J2" s="135"/>
      <c r="K2" s="135"/>
      <c r="L2" s="135">
        <v>44.01</v>
      </c>
      <c r="M2" s="135">
        <v>50.58</v>
      </c>
      <c r="N2" s="135"/>
      <c r="O2" s="135">
        <v>91.09</v>
      </c>
      <c r="P2" s="135">
        <v>80.67</v>
      </c>
      <c r="Q2" s="135">
        <v>73.42</v>
      </c>
      <c r="R2" s="135"/>
      <c r="S2" s="135"/>
      <c r="U2" s="135"/>
      <c r="V2" s="135"/>
      <c r="W2" s="135"/>
      <c r="Y2" s="135"/>
      <c r="Z2" s="135"/>
      <c r="AA2" s="135"/>
      <c r="AC2" s="135"/>
      <c r="AD2" s="135"/>
      <c r="AE2" s="135"/>
    </row>
    <row r="3" spans="1:31">
      <c r="A3" s="285"/>
      <c r="B3" s="301"/>
      <c r="C3" s="136" t="s">
        <v>2</v>
      </c>
      <c r="D3" s="137"/>
      <c r="E3" s="138"/>
      <c r="F3" s="138"/>
      <c r="G3" s="138"/>
      <c r="H3" s="138"/>
      <c r="I3" s="138">
        <v>44.76</v>
      </c>
      <c r="J3" s="138"/>
      <c r="K3" s="138"/>
      <c r="L3" s="138">
        <v>44.01</v>
      </c>
      <c r="M3" s="138">
        <v>50.58</v>
      </c>
      <c r="N3" s="138">
        <v>87.05</v>
      </c>
      <c r="O3" s="138">
        <v>90.63</v>
      </c>
      <c r="P3" s="138">
        <v>80.67</v>
      </c>
      <c r="Q3" s="138">
        <v>72.11</v>
      </c>
      <c r="R3" s="138">
        <v>69.73</v>
      </c>
      <c r="S3" s="138">
        <v>68.73</v>
      </c>
      <c r="U3" s="138"/>
      <c r="V3" s="138"/>
      <c r="W3" s="138"/>
      <c r="Y3" s="138"/>
      <c r="Z3" s="138"/>
      <c r="AA3" s="138"/>
      <c r="AC3" s="138"/>
      <c r="AD3" s="138"/>
      <c r="AE3" s="138"/>
    </row>
    <row r="4" spans="1:31">
      <c r="A4" s="285"/>
      <c r="B4" s="301"/>
      <c r="C4" s="139" t="s">
        <v>0</v>
      </c>
      <c r="D4" s="140"/>
      <c r="E4" s="140"/>
      <c r="F4" s="140"/>
      <c r="G4" s="140"/>
      <c r="H4" s="140"/>
      <c r="I4" s="140">
        <v>44.75</v>
      </c>
      <c r="J4" s="140"/>
      <c r="K4" s="140"/>
      <c r="L4" s="140">
        <v>43.75</v>
      </c>
      <c r="M4" s="140">
        <v>50.58</v>
      </c>
      <c r="N4" s="140">
        <v>86.11</v>
      </c>
      <c r="O4" s="140">
        <v>90.37</v>
      </c>
      <c r="P4" s="140">
        <v>74.010000000000005</v>
      </c>
      <c r="Q4" s="140">
        <v>70.34</v>
      </c>
      <c r="R4" s="140">
        <v>68.34</v>
      </c>
      <c r="S4" s="140">
        <v>66.239999999999995</v>
      </c>
      <c r="U4" s="140"/>
      <c r="V4" s="140"/>
      <c r="W4" s="140"/>
      <c r="Y4" s="140"/>
      <c r="Z4" s="140"/>
      <c r="AA4" s="140"/>
      <c r="AC4" s="140"/>
      <c r="AD4" s="140"/>
      <c r="AE4" s="140"/>
    </row>
    <row r="5" spans="1:31">
      <c r="A5" s="285"/>
      <c r="B5" s="301"/>
      <c r="C5" s="141" t="s">
        <v>3</v>
      </c>
      <c r="D5" s="142"/>
      <c r="E5" s="142"/>
      <c r="F5" s="142"/>
      <c r="G5" s="142"/>
      <c r="H5" s="142"/>
      <c r="I5" s="142">
        <v>44.39</v>
      </c>
      <c r="J5" s="142"/>
      <c r="K5" s="142"/>
      <c r="L5" s="142">
        <v>44.15</v>
      </c>
      <c r="M5" s="142">
        <v>50.58</v>
      </c>
      <c r="N5" s="142">
        <v>86.69</v>
      </c>
      <c r="O5" s="142"/>
      <c r="P5" s="142"/>
      <c r="Q5" s="142"/>
      <c r="R5" s="142">
        <v>72.02</v>
      </c>
      <c r="S5" s="142">
        <v>70.16</v>
      </c>
      <c r="U5" s="142"/>
      <c r="V5" s="142"/>
      <c r="W5" s="142"/>
      <c r="Y5" s="142"/>
      <c r="Z5" s="142"/>
      <c r="AA5" s="142"/>
      <c r="AC5" s="142"/>
      <c r="AD5" s="142"/>
      <c r="AE5" s="142"/>
    </row>
    <row r="6" spans="1:31">
      <c r="A6" s="285"/>
      <c r="B6" s="302"/>
      <c r="C6" s="143" t="s">
        <v>1</v>
      </c>
      <c r="D6" s="144">
        <v>89.65</v>
      </c>
      <c r="E6" s="144">
        <v>85.82</v>
      </c>
      <c r="F6" s="144">
        <v>95.13</v>
      </c>
      <c r="G6" s="144">
        <v>60.67</v>
      </c>
      <c r="H6" s="144">
        <v>37.85</v>
      </c>
      <c r="I6" s="144">
        <f t="shared" ref="I6" si="0">+AVERAGE(I2:I5)</f>
        <v>44.66</v>
      </c>
      <c r="J6" s="144">
        <v>55.05</v>
      </c>
      <c r="K6" s="216" t="e">
        <f>AVERAGE(K2:K5)</f>
        <v>#DIV/0!</v>
      </c>
      <c r="L6" s="216">
        <v>44.01</v>
      </c>
      <c r="M6" s="216">
        <f>AVERAGE(M2:M5)</f>
        <v>50.58</v>
      </c>
      <c r="N6" s="216">
        <f t="shared" ref="N6:R6" si="1">MROUND(AVERAGE(N2:N5),0.5)</f>
        <v>86.5</v>
      </c>
      <c r="O6" s="216">
        <f t="shared" si="1"/>
        <v>90.5</v>
      </c>
      <c r="P6" s="216">
        <f t="shared" si="1"/>
        <v>78.5</v>
      </c>
      <c r="Q6" s="216">
        <f t="shared" si="1"/>
        <v>72</v>
      </c>
      <c r="R6" s="216">
        <f t="shared" si="1"/>
        <v>70</v>
      </c>
      <c r="S6" s="216">
        <f t="shared" ref="S6" si="2">MROUND(AVERAGE(S2:S5),0.5)</f>
        <v>68.5</v>
      </c>
      <c r="U6" s="216">
        <v>56.026597219807222</v>
      </c>
      <c r="V6" s="216">
        <v>32.826262252958443</v>
      </c>
      <c r="W6" s="216">
        <v>30.790525058976527</v>
      </c>
      <c r="Y6" s="216">
        <v>61.625547814905303</v>
      </c>
      <c r="Z6" s="216">
        <v>40.01486223464876</v>
      </c>
      <c r="AA6" s="216">
        <v>48.085267595706554</v>
      </c>
      <c r="AC6" s="216">
        <v>80</v>
      </c>
      <c r="AD6" s="216">
        <v>68.722997502262487</v>
      </c>
      <c r="AE6" s="216">
        <v>65.936622629525388</v>
      </c>
    </row>
    <row r="7" spans="1:31">
      <c r="A7" s="285"/>
      <c r="B7" s="300">
        <v>44551</v>
      </c>
      <c r="C7" s="133" t="s">
        <v>1</v>
      </c>
      <c r="D7" s="138">
        <f>'Aug18'!D6</f>
        <v>89.65</v>
      </c>
      <c r="E7" s="138">
        <f>'Aug18'!E6</f>
        <v>85.82</v>
      </c>
      <c r="F7" s="138">
        <f>'Aug18'!F6</f>
        <v>95.13</v>
      </c>
      <c r="G7" s="138">
        <f>'Aug18'!G6</f>
        <v>60.67</v>
      </c>
      <c r="H7" s="138">
        <f>'Aug18'!H6</f>
        <v>37.85</v>
      </c>
      <c r="I7" s="138">
        <f>'Dec18'!I6</f>
        <v>44.66</v>
      </c>
      <c r="J7" s="138">
        <f>'Dec18'!J6</f>
        <v>55.05</v>
      </c>
      <c r="K7" s="138">
        <v>51.464999999999996</v>
      </c>
      <c r="L7" s="138">
        <f>'Feb21'!L6</f>
        <v>44.01</v>
      </c>
      <c r="M7" s="138">
        <f>'Aug21'!M6</f>
        <v>49.917499999999997</v>
      </c>
      <c r="N7" s="138">
        <v>71.5</v>
      </c>
      <c r="O7" s="138">
        <v>64.5</v>
      </c>
      <c r="P7" s="138">
        <v>60.5</v>
      </c>
      <c r="Q7" s="138">
        <v>59.5</v>
      </c>
      <c r="R7" s="138">
        <v>59.5</v>
      </c>
      <c r="S7" s="138"/>
      <c r="U7" s="93" t="s">
        <v>99</v>
      </c>
      <c r="Y7" s="93" t="s">
        <v>100</v>
      </c>
      <c r="AC7" t="s">
        <v>101</v>
      </c>
    </row>
    <row r="8" spans="1:31" ht="14.65" hidden="1" customHeight="1">
      <c r="A8" s="285"/>
      <c r="B8" s="301"/>
      <c r="C8" s="133" t="s">
        <v>1</v>
      </c>
      <c r="D8" s="138">
        <v>89.65</v>
      </c>
      <c r="E8" s="138">
        <v>85.82</v>
      </c>
      <c r="F8" s="138">
        <v>95.14</v>
      </c>
      <c r="G8" s="138">
        <v>71</v>
      </c>
      <c r="H8" s="138">
        <v>66</v>
      </c>
      <c r="I8" s="138">
        <v>72</v>
      </c>
      <c r="J8" s="138">
        <v>76</v>
      </c>
      <c r="K8" s="138">
        <v>80</v>
      </c>
      <c r="L8" s="138"/>
      <c r="M8" s="138"/>
      <c r="R8" s="138">
        <v>59.5</v>
      </c>
    </row>
    <row r="9" spans="1:31" ht="14.65" hidden="1" customHeight="1">
      <c r="A9" s="285"/>
      <c r="B9" s="301"/>
      <c r="C9" s="133" t="s">
        <v>1</v>
      </c>
      <c r="D9" s="138">
        <v>89.65</v>
      </c>
      <c r="E9" s="138">
        <v>85.82</v>
      </c>
      <c r="F9" s="138">
        <v>95.75</v>
      </c>
      <c r="G9" s="138">
        <v>92</v>
      </c>
      <c r="H9" s="138">
        <v>88</v>
      </c>
      <c r="I9" s="138">
        <v>87</v>
      </c>
      <c r="J9" s="138">
        <v>86</v>
      </c>
      <c r="K9" s="138">
        <v>85</v>
      </c>
      <c r="L9" s="138"/>
      <c r="M9" s="138"/>
      <c r="R9" s="138">
        <v>59.5</v>
      </c>
    </row>
    <row r="10" spans="1:31" ht="14.65" hidden="1" customHeight="1">
      <c r="A10" s="285"/>
      <c r="B10" s="301"/>
      <c r="C10" s="133" t="s">
        <v>1</v>
      </c>
      <c r="D10" s="138">
        <v>90</v>
      </c>
      <c r="E10" s="138">
        <v>87</v>
      </c>
      <c r="F10" s="138">
        <v>94</v>
      </c>
      <c r="G10" s="138">
        <v>87.5</v>
      </c>
      <c r="H10" s="138">
        <v>85</v>
      </c>
      <c r="I10" s="138">
        <v>84</v>
      </c>
      <c r="J10" s="138">
        <v>84</v>
      </c>
      <c r="K10" s="138"/>
      <c r="L10" s="138"/>
      <c r="M10" s="138"/>
      <c r="R10" s="138">
        <v>59.5</v>
      </c>
    </row>
    <row r="11" spans="1:31" ht="14.65" hidden="1" customHeight="1">
      <c r="A11" s="285"/>
      <c r="B11" s="302"/>
      <c r="C11" s="133" t="s">
        <v>1</v>
      </c>
      <c r="D11" s="145">
        <v>90</v>
      </c>
      <c r="E11" s="145">
        <v>86.5</v>
      </c>
      <c r="F11" s="145">
        <v>88</v>
      </c>
      <c r="G11" s="145">
        <v>87.5</v>
      </c>
      <c r="H11" s="145">
        <v>87</v>
      </c>
      <c r="I11" s="145">
        <v>86.5</v>
      </c>
      <c r="J11" s="145"/>
      <c r="K11" s="145"/>
      <c r="L11" s="145"/>
      <c r="M11" s="145"/>
      <c r="R11" s="138">
        <v>59.5</v>
      </c>
    </row>
    <row r="12" spans="1:31" hidden="1">
      <c r="A12" s="285"/>
      <c r="B12" s="33">
        <v>41244</v>
      </c>
      <c r="C12" s="133" t="s">
        <v>1</v>
      </c>
      <c r="D12" s="145">
        <v>89.640506965377526</v>
      </c>
      <c r="E12" s="145">
        <v>85</v>
      </c>
      <c r="F12" s="145">
        <v>84.75</v>
      </c>
      <c r="G12" s="145">
        <v>83.5</v>
      </c>
      <c r="H12" s="145">
        <v>82.5</v>
      </c>
      <c r="I12" s="145">
        <v>83</v>
      </c>
      <c r="J12" s="145">
        <v>83</v>
      </c>
      <c r="K12" s="145"/>
      <c r="L12" s="145"/>
      <c r="M12" s="145"/>
      <c r="R12" s="138">
        <v>59.5</v>
      </c>
    </row>
    <row r="13" spans="1:31" hidden="1">
      <c r="A13" s="285"/>
      <c r="B13" s="33">
        <v>42217</v>
      </c>
      <c r="C13" s="292" t="s">
        <v>16</v>
      </c>
      <c r="D13" s="293"/>
      <c r="E13" s="146">
        <f t="shared" ref="E13:M13" si="3">+E6/D6-1</f>
        <v>-4.2721695482431765E-2</v>
      </c>
      <c r="F13" s="146">
        <f>+F6/E6-1</f>
        <v>0.10848287112561183</v>
      </c>
      <c r="G13" s="166">
        <f>+G6/F6-1</f>
        <v>-0.36224114369809735</v>
      </c>
      <c r="H13" s="146">
        <f t="shared" si="3"/>
        <v>-0.37613317949563208</v>
      </c>
      <c r="I13" s="146">
        <f t="shared" si="3"/>
        <v>0.17992073976221912</v>
      </c>
      <c r="J13" s="146">
        <f t="shared" si="3"/>
        <v>0.23264666368114639</v>
      </c>
      <c r="K13" s="146" t="e">
        <f t="shared" si="3"/>
        <v>#DIV/0!</v>
      </c>
      <c r="L13" s="146" t="e">
        <f t="shared" si="3"/>
        <v>#DIV/0!</v>
      </c>
      <c r="M13" s="146">
        <f t="shared" si="3"/>
        <v>0.14928425357873221</v>
      </c>
      <c r="R13" s="138">
        <v>59.5</v>
      </c>
    </row>
    <row r="14" spans="1:31" hidden="1">
      <c r="A14" s="285"/>
      <c r="B14" s="33">
        <v>42031</v>
      </c>
      <c r="C14" s="290" t="s">
        <v>16</v>
      </c>
      <c r="D14" s="291"/>
      <c r="E14" s="147">
        <f t="shared" ref="E14:K15" si="4">(E7-D7)/D7</f>
        <v>-4.2721695482431814E-2</v>
      </c>
      <c r="F14" s="147">
        <f t="shared" si="4"/>
        <v>0.10848287112561178</v>
      </c>
      <c r="G14" s="147">
        <f t="shared" si="4"/>
        <v>-0.36224114369809729</v>
      </c>
      <c r="H14" s="147">
        <f t="shared" si="4"/>
        <v>-0.37613317949563208</v>
      </c>
      <c r="I14" s="147">
        <f t="shared" si="4"/>
        <v>0.17992073976221915</v>
      </c>
      <c r="J14" s="147">
        <f t="shared" si="4"/>
        <v>0.23264666368114648</v>
      </c>
      <c r="K14" s="147">
        <f t="shared" si="4"/>
        <v>-6.5122615803814732E-2</v>
      </c>
      <c r="L14" s="147"/>
      <c r="M14" s="147"/>
      <c r="R14" s="138">
        <v>59.5</v>
      </c>
    </row>
    <row r="15" spans="1:31" hidden="1">
      <c r="A15" s="285"/>
      <c r="B15" s="33">
        <v>41974</v>
      </c>
      <c r="C15" s="290" t="s">
        <v>16</v>
      </c>
      <c r="D15" s="291"/>
      <c r="E15" s="147">
        <f t="shared" si="4"/>
        <v>-4.2721695482431814E-2</v>
      </c>
      <c r="F15" s="147">
        <f t="shared" si="4"/>
        <v>0.10859939408063397</v>
      </c>
      <c r="G15" s="147">
        <f t="shared" si="4"/>
        <v>-0.2537313432835821</v>
      </c>
      <c r="H15" s="147">
        <f t="shared" si="4"/>
        <v>-7.0422535211267609E-2</v>
      </c>
      <c r="I15" s="147">
        <f t="shared" si="4"/>
        <v>9.0909090909090912E-2</v>
      </c>
      <c r="J15" s="147">
        <f t="shared" si="4"/>
        <v>5.5555555555555552E-2</v>
      </c>
      <c r="K15" s="147"/>
      <c r="L15" s="147"/>
      <c r="M15" s="147"/>
      <c r="R15" s="138">
        <v>59.5</v>
      </c>
    </row>
    <row r="16" spans="1:31" hidden="1">
      <c r="A16" s="286"/>
      <c r="B16" s="33">
        <v>41499</v>
      </c>
      <c r="C16" s="292" t="s">
        <v>16</v>
      </c>
      <c r="D16" s="293"/>
      <c r="E16" s="146">
        <f t="shared" ref="E16:J16" si="5">(E10-D10)/D10</f>
        <v>-3.3333333333333333E-2</v>
      </c>
      <c r="F16" s="146">
        <f t="shared" si="5"/>
        <v>8.0459770114942528E-2</v>
      </c>
      <c r="G16" s="146">
        <f t="shared" si="5"/>
        <v>-6.9148936170212769E-2</v>
      </c>
      <c r="H16" s="146">
        <f t="shared" si="5"/>
        <v>-2.8571428571428571E-2</v>
      </c>
      <c r="I16" s="146">
        <f t="shared" si="5"/>
        <v>-1.1764705882352941E-2</v>
      </c>
      <c r="J16" s="146">
        <f t="shared" si="5"/>
        <v>0</v>
      </c>
      <c r="K16" s="146"/>
      <c r="L16" s="146"/>
      <c r="M16" s="146"/>
      <c r="R16" s="138">
        <v>59.5</v>
      </c>
    </row>
    <row r="17" spans="1:31">
      <c r="A17" s="65"/>
      <c r="B17" s="65"/>
      <c r="C17" s="65"/>
      <c r="D17" s="65"/>
      <c r="E17" s="65"/>
      <c r="F17" s="65"/>
      <c r="G17" s="65"/>
      <c r="H17" s="65"/>
      <c r="I17" s="65"/>
      <c r="J17" s="65"/>
      <c r="K17" s="65"/>
      <c r="L17" s="65"/>
      <c r="M17" s="247">
        <v>50.580000000000005</v>
      </c>
      <c r="N17" s="252">
        <v>86.5</v>
      </c>
      <c r="O17" s="252">
        <v>90.5</v>
      </c>
      <c r="P17" s="252">
        <v>78.5</v>
      </c>
      <c r="Q17" s="252">
        <v>72</v>
      </c>
      <c r="R17" s="252">
        <v>70</v>
      </c>
      <c r="S17" s="252">
        <v>68.5</v>
      </c>
      <c r="T17" s="250" t="s">
        <v>107</v>
      </c>
      <c r="U17" s="112">
        <f>+U6/$N$6-1</f>
        <v>-0.35229367375945408</v>
      </c>
      <c r="V17" s="112">
        <f>+V6/U6-1</f>
        <v>-0.41409502125977238</v>
      </c>
      <c r="W17" s="112">
        <f>+W6/V6-1</f>
        <v>-6.201550387596888E-2</v>
      </c>
      <c r="Y17" s="112">
        <f>+Y6/$N$6-1</f>
        <v>-0.2875659212149676</v>
      </c>
      <c r="Z17" s="112">
        <f>+Z6/Y6-1</f>
        <v>-0.35067737888781236</v>
      </c>
      <c r="AA17" s="112">
        <f>+AA6/Z6-1</f>
        <v>0.20168519670847829</v>
      </c>
      <c r="AC17" s="112">
        <f>+AC6/$N$6-1</f>
        <v>-7.5144508670520249E-2</v>
      </c>
      <c r="AD17" s="112">
        <f>+AD6/AC6-1</f>
        <v>-0.14096253122171887</v>
      </c>
      <c r="AE17" s="112">
        <f>+AE6/AD6-1</f>
        <v>-4.054501366366281E-2</v>
      </c>
    </row>
    <row r="18" spans="1:31">
      <c r="A18" s="65"/>
      <c r="B18" s="65"/>
      <c r="C18" s="65"/>
      <c r="D18" s="65"/>
      <c r="E18" s="65"/>
      <c r="F18" s="65"/>
      <c r="G18" s="65"/>
      <c r="H18" s="65"/>
      <c r="I18" s="65"/>
      <c r="J18" s="65"/>
      <c r="K18" s="65"/>
      <c r="L18" s="65"/>
      <c r="M18" s="65"/>
      <c r="N18" s="65"/>
      <c r="O18" s="65"/>
      <c r="P18" s="65"/>
      <c r="Q18" s="65"/>
      <c r="R18" s="65"/>
      <c r="S18" s="65"/>
      <c r="U18" s="112"/>
      <c r="V18" s="112"/>
      <c r="W18" s="112"/>
      <c r="Y18" s="112"/>
      <c r="Z18" s="112"/>
      <c r="AA18" s="112"/>
      <c r="AC18" s="112"/>
      <c r="AD18" s="112"/>
      <c r="AE18" s="112"/>
    </row>
    <row r="19" spans="1:31">
      <c r="A19" s="65"/>
      <c r="B19" s="65"/>
      <c r="C19" s="228" t="s">
        <v>4</v>
      </c>
      <c r="D19" s="229"/>
      <c r="E19" s="229"/>
      <c r="F19" s="229"/>
      <c r="G19" s="229"/>
      <c r="H19" s="229"/>
      <c r="I19" s="229"/>
      <c r="J19" s="229"/>
      <c r="K19" s="229"/>
      <c r="L19" s="229">
        <v>363.84699999999998</v>
      </c>
      <c r="M19" s="229">
        <v>407.68</v>
      </c>
      <c r="N19" s="229"/>
      <c r="O19" s="229">
        <v>580</v>
      </c>
      <c r="P19" s="229">
        <v>620</v>
      </c>
      <c r="Q19" s="229">
        <v>669</v>
      </c>
      <c r="R19" s="229">
        <v>719</v>
      </c>
      <c r="S19" s="229">
        <v>765</v>
      </c>
    </row>
    <row r="20" spans="1:31">
      <c r="A20" s="281" t="s">
        <v>12</v>
      </c>
      <c r="B20" s="303">
        <f>B2</f>
        <v>44795</v>
      </c>
      <c r="C20" s="136" t="s">
        <v>2</v>
      </c>
      <c r="D20" s="148"/>
      <c r="E20" s="148"/>
      <c r="F20" s="148"/>
      <c r="G20" s="148"/>
      <c r="H20" s="148"/>
      <c r="I20" s="148">
        <v>155.96</v>
      </c>
      <c r="J20" s="148"/>
      <c r="K20" s="148"/>
      <c r="L20" s="148">
        <v>369.54</v>
      </c>
      <c r="M20" s="148">
        <v>407.68200000000002</v>
      </c>
      <c r="N20" s="148">
        <v>530.4</v>
      </c>
      <c r="O20" s="148">
        <v>598.5</v>
      </c>
      <c r="P20" s="148">
        <v>626.5</v>
      </c>
      <c r="Q20" s="148">
        <v>657.9</v>
      </c>
      <c r="R20" s="148">
        <v>677.6</v>
      </c>
      <c r="S20" s="148">
        <v>648.4</v>
      </c>
      <c r="T20" s="112"/>
      <c r="U20" s="241"/>
      <c r="V20" s="148"/>
      <c r="W20" s="148"/>
      <c r="Y20" s="241"/>
      <c r="Z20" s="148"/>
      <c r="AA20" s="148"/>
      <c r="AC20" s="148"/>
      <c r="AD20" s="148"/>
      <c r="AE20" s="148"/>
    </row>
    <row r="21" spans="1:31">
      <c r="A21" s="281"/>
      <c r="B21" s="304"/>
      <c r="C21" s="139" t="s">
        <v>0</v>
      </c>
      <c r="D21" s="149"/>
      <c r="E21" s="149"/>
      <c r="F21" s="149"/>
      <c r="G21" s="149"/>
      <c r="H21" s="149"/>
      <c r="I21" s="149"/>
      <c r="J21" s="149"/>
      <c r="K21" s="149"/>
      <c r="L21" s="149">
        <v>368.08587199999999</v>
      </c>
      <c r="M21" s="149">
        <v>407.68</v>
      </c>
      <c r="N21" s="149">
        <v>528.77</v>
      </c>
      <c r="O21" s="149">
        <v>594.6</v>
      </c>
      <c r="P21" s="149">
        <v>663.01</v>
      </c>
      <c r="Q21" s="149">
        <v>683.3</v>
      </c>
      <c r="R21" s="149">
        <v>703.8</v>
      </c>
      <c r="S21" s="149">
        <v>724.21</v>
      </c>
      <c r="T21" s="112"/>
      <c r="U21" s="149"/>
      <c r="V21" s="149"/>
      <c r="W21" s="149"/>
      <c r="Y21" s="149"/>
      <c r="Z21" s="149"/>
      <c r="AA21" s="149"/>
      <c r="AC21" s="149"/>
      <c r="AD21" s="149"/>
      <c r="AE21" s="149"/>
    </row>
    <row r="22" spans="1:31">
      <c r="A22" s="281"/>
      <c r="B22" s="304"/>
      <c r="C22" s="141" t="s">
        <v>3</v>
      </c>
      <c r="D22" s="151"/>
      <c r="E22" s="151"/>
      <c r="F22" s="151"/>
      <c r="G22" s="151"/>
      <c r="H22" s="151"/>
      <c r="I22" s="151">
        <v>155.9</v>
      </c>
      <c r="J22" s="151"/>
      <c r="K22" s="151"/>
      <c r="L22" s="151">
        <v>368.1</v>
      </c>
      <c r="M22" s="151">
        <v>407.68200000000002</v>
      </c>
      <c r="N22" s="151">
        <v>528.9</v>
      </c>
      <c r="O22" s="151">
        <v>584.46299999999997</v>
      </c>
      <c r="P22" s="151">
        <v>647.03</v>
      </c>
      <c r="Q22" s="151">
        <v>695.92499999999995</v>
      </c>
      <c r="R22" s="151">
        <v>741.38699999999994</v>
      </c>
      <c r="S22" s="151">
        <v>767.91899999999998</v>
      </c>
      <c r="T22" s="112"/>
      <c r="U22" s="151"/>
      <c r="V22" s="151"/>
      <c r="W22" s="151"/>
      <c r="Y22" s="151"/>
      <c r="Z22" s="151"/>
      <c r="AA22" s="151"/>
      <c r="AC22" s="151"/>
      <c r="AD22" s="151"/>
      <c r="AE22" s="151"/>
    </row>
    <row r="23" spans="1:31">
      <c r="A23" s="281"/>
      <c r="B23" s="305"/>
      <c r="C23" s="143" t="s">
        <v>1</v>
      </c>
      <c r="D23" s="152">
        <v>80.3</v>
      </c>
      <c r="E23" s="152">
        <v>96.4</v>
      </c>
      <c r="F23" s="153">
        <v>113.9</v>
      </c>
      <c r="G23" s="153">
        <v>141.4</v>
      </c>
      <c r="H23" s="153">
        <v>146.69999999999999</v>
      </c>
      <c r="I23" s="153">
        <v>153</v>
      </c>
      <c r="J23" s="206">
        <f>J24</f>
        <v>204.40600000000003</v>
      </c>
      <c r="K23" s="209">
        <v>300</v>
      </c>
      <c r="L23" s="226">
        <f>L21</f>
        <v>368.08587199999999</v>
      </c>
      <c r="M23" s="226">
        <f>AVERAGE(M19:M22)</f>
        <v>407.68100000000004</v>
      </c>
      <c r="N23" s="226">
        <f t="shared" ref="N23:R23" si="6">AVERAGE(N19:N22)</f>
        <v>529.35666666666668</v>
      </c>
      <c r="O23" s="226">
        <f t="shared" si="6"/>
        <v>589.39075000000003</v>
      </c>
      <c r="P23" s="226">
        <f t="shared" si="6"/>
        <v>639.13499999999999</v>
      </c>
      <c r="Q23" s="226">
        <f t="shared" si="6"/>
        <v>676.53125</v>
      </c>
      <c r="R23" s="226">
        <f t="shared" si="6"/>
        <v>710.44674999999984</v>
      </c>
      <c r="S23" s="226">
        <f t="shared" ref="S23" si="7">AVERAGE(S19:S22)</f>
        <v>726.38225</v>
      </c>
      <c r="U23" s="226">
        <v>466.07949029020506</v>
      </c>
      <c r="V23" s="226">
        <v>433.51418292564165</v>
      </c>
      <c r="W23" s="226">
        <v>460.94875329717581</v>
      </c>
      <c r="Y23" s="226">
        <v>493.59864518861514</v>
      </c>
      <c r="Z23" s="226">
        <v>466.56714933608947</v>
      </c>
      <c r="AA23" s="226">
        <v>514.57410655604167</v>
      </c>
      <c r="AC23" s="226">
        <v>542.02451604008206</v>
      </c>
      <c r="AD23" s="226">
        <v>544.73820835345896</v>
      </c>
      <c r="AE23" s="226">
        <v>572.29112801378938</v>
      </c>
    </row>
    <row r="24" spans="1:31">
      <c r="A24" s="281"/>
      <c r="B24" s="303">
        <f>B7</f>
        <v>44551</v>
      </c>
      <c r="C24" s="133" t="s">
        <v>1</v>
      </c>
      <c r="D24" s="154">
        <f>'Aug18'!D21</f>
        <v>80.3</v>
      </c>
      <c r="E24" s="154">
        <f>'Aug18'!E21</f>
        <v>96.4</v>
      </c>
      <c r="F24" s="154">
        <f>'Aug18'!F21</f>
        <v>113.9</v>
      </c>
      <c r="G24" s="154">
        <f>'Aug18'!G21</f>
        <v>141.4</v>
      </c>
      <c r="H24" s="154">
        <f>'Aug18'!H21</f>
        <v>146.69999999999999</v>
      </c>
      <c r="I24" s="154">
        <f>'Dec18'!I21</f>
        <v>153</v>
      </c>
      <c r="J24" s="154">
        <f>'Dec18'!J21</f>
        <v>204.40600000000003</v>
      </c>
      <c r="K24" s="154">
        <v>300.43599999999998</v>
      </c>
      <c r="L24" s="154">
        <f>'Feb21'!L22</f>
        <v>368.08587199999999</v>
      </c>
      <c r="M24" s="154">
        <f>'Aug21'!M22</f>
        <v>405</v>
      </c>
      <c r="N24" s="248">
        <v>505</v>
      </c>
      <c r="O24" s="248">
        <v>525</v>
      </c>
      <c r="P24" s="248">
        <v>545</v>
      </c>
      <c r="Q24" s="248">
        <v>565</v>
      </c>
      <c r="R24" s="248">
        <v>580</v>
      </c>
      <c r="S24" s="154"/>
      <c r="U24" s="112">
        <f>+U23/$N$23-1</f>
        <v>-0.11953599597586051</v>
      </c>
      <c r="V24" s="112">
        <f>+V23/U23-1</f>
        <v>-6.9870715281392437E-2</v>
      </c>
      <c r="W24" s="112">
        <f>+W23/V23-1</f>
        <v>6.3284135680146569E-2</v>
      </c>
      <c r="Y24" s="112">
        <f>+Y23/$N$23-1</f>
        <v>-6.7549959658046999E-2</v>
      </c>
      <c r="Z24" s="112">
        <f>+Z23/Y23-1</f>
        <v>-5.4764120841936936E-2</v>
      </c>
      <c r="AA24" s="112">
        <f>+AA23/Z23-1</f>
        <v>0.1028939934761044</v>
      </c>
      <c r="AC24" s="112">
        <f>+AC23/$N$23-1</f>
        <v>2.3930650487853811E-2</v>
      </c>
      <c r="AD24" s="112">
        <f>+AD23/AC23-1</f>
        <v>5.0065859256747114E-3</v>
      </c>
      <c r="AE24" s="112">
        <f>+AE23/AD23-1</f>
        <v>5.0580112130582222E-2</v>
      </c>
    </row>
    <row r="25" spans="1:31" ht="14.65" hidden="1" customHeight="1">
      <c r="A25" s="281"/>
      <c r="B25" s="304"/>
      <c r="C25" s="133" t="s">
        <v>1</v>
      </c>
      <c r="D25" s="154">
        <v>80.3</v>
      </c>
      <c r="E25" s="154">
        <v>96.4</v>
      </c>
      <c r="F25" s="154">
        <v>113.4</v>
      </c>
      <c r="G25" s="154">
        <v>122</v>
      </c>
      <c r="H25" s="154">
        <v>127</v>
      </c>
      <c r="I25" s="154">
        <v>131</v>
      </c>
      <c r="J25" s="154">
        <v>133</v>
      </c>
      <c r="K25" s="154">
        <v>135</v>
      </c>
      <c r="L25" s="154"/>
      <c r="M25" s="154"/>
      <c r="N25" s="154"/>
      <c r="O25" s="154"/>
      <c r="P25" s="154"/>
      <c r="Q25" s="154"/>
      <c r="R25" s="154"/>
      <c r="S25" s="154"/>
    </row>
    <row r="26" spans="1:31" ht="14.65" hidden="1" customHeight="1">
      <c r="A26" s="281"/>
      <c r="B26" s="304"/>
      <c r="C26" s="133" t="s">
        <v>1</v>
      </c>
      <c r="D26" s="154">
        <v>80.3</v>
      </c>
      <c r="E26" s="154">
        <v>96.4</v>
      </c>
      <c r="F26" s="154">
        <v>110</v>
      </c>
      <c r="G26" s="154">
        <v>117</v>
      </c>
      <c r="H26" s="154">
        <v>122</v>
      </c>
      <c r="I26" s="154">
        <v>125</v>
      </c>
      <c r="J26" s="154">
        <v>127</v>
      </c>
      <c r="K26" s="154">
        <v>129</v>
      </c>
      <c r="L26" s="154"/>
      <c r="M26" s="154"/>
      <c r="N26" s="154"/>
      <c r="O26" s="154"/>
      <c r="P26" s="154"/>
      <c r="Q26" s="154"/>
      <c r="R26" s="154"/>
      <c r="S26" s="154"/>
    </row>
    <row r="27" spans="1:31" ht="14.65" hidden="1" customHeight="1">
      <c r="A27" s="281"/>
      <c r="B27" s="305"/>
      <c r="C27" s="133" t="s">
        <v>1</v>
      </c>
      <c r="D27" s="154">
        <v>80.069999999999993</v>
      </c>
      <c r="E27" s="154">
        <v>90</v>
      </c>
      <c r="F27" s="154">
        <v>93</v>
      </c>
      <c r="G27" s="154">
        <v>97</v>
      </c>
      <c r="H27" s="154">
        <v>100</v>
      </c>
      <c r="I27" s="154">
        <v>101</v>
      </c>
      <c r="J27" s="154">
        <v>102</v>
      </c>
      <c r="K27" s="154"/>
      <c r="L27" s="154"/>
      <c r="M27" s="154"/>
      <c r="N27" s="154"/>
      <c r="O27" s="154"/>
      <c r="P27" s="154"/>
      <c r="Q27" s="154"/>
      <c r="R27" s="154"/>
      <c r="S27" s="154"/>
    </row>
    <row r="28" spans="1:31" ht="15" hidden="1" customHeight="1">
      <c r="A28" s="281"/>
      <c r="B28" s="33">
        <v>41317</v>
      </c>
      <c r="C28" s="133" t="s">
        <v>1</v>
      </c>
      <c r="D28" s="155">
        <v>80.099999999999994</v>
      </c>
      <c r="E28" s="155">
        <v>87</v>
      </c>
      <c r="F28" s="155">
        <v>91.4</v>
      </c>
      <c r="G28" s="155">
        <v>94.1</v>
      </c>
      <c r="H28" s="155">
        <v>96</v>
      </c>
      <c r="I28" s="155">
        <v>97.9</v>
      </c>
      <c r="J28" s="155"/>
      <c r="K28" s="155"/>
      <c r="L28" s="155"/>
      <c r="M28" s="155"/>
      <c r="N28" s="155"/>
      <c r="O28" s="155"/>
      <c r="P28" s="155"/>
      <c r="Q28" s="155"/>
      <c r="R28" s="155"/>
      <c r="S28" s="155"/>
    </row>
    <row r="29" spans="1:31" ht="15" hidden="1" customHeight="1">
      <c r="A29" s="281"/>
      <c r="B29" s="33">
        <v>41244</v>
      </c>
      <c r="C29" s="133" t="s">
        <v>1</v>
      </c>
      <c r="D29" s="155">
        <v>79.7</v>
      </c>
      <c r="E29" s="155">
        <v>84.119744824999998</v>
      </c>
      <c r="F29" s="155">
        <v>88.406534618000009</v>
      </c>
      <c r="G29" s="155">
        <v>92.434230656539995</v>
      </c>
      <c r="H29" s="155">
        <v>96.132415269670815</v>
      </c>
      <c r="I29" s="155">
        <v>97.6</v>
      </c>
      <c r="J29" s="155">
        <v>97.6</v>
      </c>
      <c r="K29" s="155"/>
      <c r="L29" s="155"/>
      <c r="M29" s="155"/>
      <c r="N29" s="155"/>
      <c r="O29" s="155"/>
      <c r="P29" s="155"/>
      <c r="Q29" s="155"/>
      <c r="R29" s="155"/>
      <c r="S29" s="155"/>
    </row>
    <row r="30" spans="1:31">
      <c r="A30" s="281"/>
      <c r="B30" s="33">
        <f>B20</f>
        <v>44795</v>
      </c>
      <c r="C30" s="292" t="s">
        <v>16</v>
      </c>
      <c r="D30" s="293"/>
      <c r="E30" s="167">
        <f t="shared" ref="E30:S31" si="8">(E23-D23)/D23</f>
        <v>0.20049813200498143</v>
      </c>
      <c r="F30" s="167">
        <f>(F23-E23)/E23</f>
        <v>0.18153526970954356</v>
      </c>
      <c r="G30" s="167">
        <f t="shared" si="8"/>
        <v>0.24143985952589991</v>
      </c>
      <c r="H30" s="167">
        <f t="shared" si="8"/>
        <v>3.7482319660537361E-2</v>
      </c>
      <c r="I30" s="167">
        <f>(I23-H23)/H23</f>
        <v>4.2944785276073698E-2</v>
      </c>
      <c r="J30" s="167">
        <f>(J23-I23)/I23</f>
        <v>0.33598692810457537</v>
      </c>
      <c r="K30" s="167">
        <f t="shared" si="8"/>
        <v>0.46766728960989379</v>
      </c>
      <c r="L30" s="167">
        <f t="shared" si="8"/>
        <v>0.22695290666666665</v>
      </c>
      <c r="M30" s="167">
        <f t="shared" si="8"/>
        <v>0.10757035521319885</v>
      </c>
      <c r="N30" s="167">
        <f t="shared" si="8"/>
        <v>0.29845802641444324</v>
      </c>
      <c r="O30" s="167">
        <f t="shared" si="8"/>
        <v>0.113409515953327</v>
      </c>
      <c r="P30" s="167">
        <f t="shared" si="8"/>
        <v>8.4399441287465002E-2</v>
      </c>
      <c r="Q30" s="167">
        <f t="shared" si="8"/>
        <v>5.851072152205717E-2</v>
      </c>
      <c r="R30" s="167">
        <f t="shared" si="8"/>
        <v>5.0131461037461078E-2</v>
      </c>
      <c r="S30" s="167">
        <f t="shared" si="8"/>
        <v>2.2430252513647456E-2</v>
      </c>
      <c r="U30" s="93" t="s">
        <v>99</v>
      </c>
      <c r="Y30" s="93" t="s">
        <v>100</v>
      </c>
      <c r="AC30" t="s">
        <v>101</v>
      </c>
    </row>
    <row r="31" spans="1:31">
      <c r="A31" s="281"/>
      <c r="B31" s="33">
        <f>B24</f>
        <v>44551</v>
      </c>
      <c r="C31" s="290" t="s">
        <v>16</v>
      </c>
      <c r="D31" s="291"/>
      <c r="E31" s="168">
        <f>(E24-D24)/D24</f>
        <v>0.20049813200498143</v>
      </c>
      <c r="F31" s="168">
        <f t="shared" ref="F31:Q32" si="9">(F24-E24)/E24</f>
        <v>0.18153526970954356</v>
      </c>
      <c r="G31" s="168">
        <f>(G24-F24)/F24</f>
        <v>0.24143985952589991</v>
      </c>
      <c r="H31" s="168">
        <f t="shared" si="8"/>
        <v>3.7482319660537361E-2</v>
      </c>
      <c r="I31" s="168">
        <f>(I24-H24)/H24</f>
        <v>4.2944785276073698E-2</v>
      </c>
      <c r="J31" s="168">
        <f t="shared" si="8"/>
        <v>0.33598692810457537</v>
      </c>
      <c r="K31" s="168">
        <v>0.45837206344236431</v>
      </c>
      <c r="L31" s="168">
        <f>+L24/K24-1</f>
        <v>0.2251723228907323</v>
      </c>
      <c r="M31" s="168">
        <f t="shared" ref="M31:P31" si="10">+M24/L24-1</f>
        <v>0.10028672874464473</v>
      </c>
      <c r="N31" s="168">
        <f t="shared" si="10"/>
        <v>0.24691358024691357</v>
      </c>
      <c r="O31" s="168">
        <f t="shared" si="10"/>
        <v>3.9603960396039639E-2</v>
      </c>
      <c r="P31" s="168">
        <f t="shared" si="10"/>
        <v>3.8095238095238182E-2</v>
      </c>
      <c r="Q31" s="168">
        <f t="shared" ref="Q31" si="11">+Q24/P24-1</f>
        <v>3.669724770642202E-2</v>
      </c>
      <c r="R31" s="168">
        <f t="shared" ref="R31" si="12">+R24/Q24-1</f>
        <v>2.6548672566371723E-2</v>
      </c>
      <c r="S31" s="168"/>
    </row>
    <row r="32" spans="1:31" hidden="1">
      <c r="A32" s="281"/>
      <c r="B32" s="33">
        <v>41974</v>
      </c>
      <c r="C32" s="290" t="s">
        <v>16</v>
      </c>
      <c r="D32" s="291"/>
      <c r="E32" s="147">
        <f>(E25-D25)/D25</f>
        <v>0.20049813200498143</v>
      </c>
      <c r="F32" s="147">
        <f t="shared" si="9"/>
        <v>0.17634854771784231</v>
      </c>
      <c r="G32" s="147">
        <f t="shared" si="9"/>
        <v>7.5837742504409111E-2</v>
      </c>
      <c r="H32" s="147">
        <f t="shared" si="9"/>
        <v>4.0983606557377046E-2</v>
      </c>
      <c r="I32" s="147">
        <f t="shared" si="9"/>
        <v>3.1496062992125984E-2</v>
      </c>
      <c r="J32" s="147">
        <f t="shared" si="9"/>
        <v>1.5267175572519083E-2</v>
      </c>
      <c r="K32" s="147">
        <f t="shared" si="9"/>
        <v>1.5037593984962405E-2</v>
      </c>
      <c r="L32" s="147">
        <f t="shared" si="9"/>
        <v>-1</v>
      </c>
      <c r="M32" s="147" t="e">
        <f t="shared" si="9"/>
        <v>#DIV/0!</v>
      </c>
      <c r="N32" s="147" t="e">
        <f t="shared" si="9"/>
        <v>#DIV/0!</v>
      </c>
      <c r="O32" s="147" t="e">
        <f t="shared" si="9"/>
        <v>#DIV/0!</v>
      </c>
      <c r="P32" s="147" t="e">
        <f t="shared" si="9"/>
        <v>#DIV/0!</v>
      </c>
      <c r="Q32" s="147" t="e">
        <f t="shared" si="9"/>
        <v>#DIV/0!</v>
      </c>
      <c r="R32" s="147"/>
      <c r="S32" s="147"/>
    </row>
    <row r="33" spans="1:31" hidden="1">
      <c r="A33" s="281"/>
      <c r="B33" s="33">
        <v>41499</v>
      </c>
      <c r="C33" s="292" t="s">
        <v>16</v>
      </c>
      <c r="D33" s="293"/>
      <c r="E33" s="146">
        <f t="shared" ref="E33:J33" si="13">(E27-D27)/D27</f>
        <v>0.12401648557512186</v>
      </c>
      <c r="F33" s="146">
        <f t="shared" si="13"/>
        <v>3.3333333333333333E-2</v>
      </c>
      <c r="G33" s="146">
        <f t="shared" si="13"/>
        <v>4.3010752688172046E-2</v>
      </c>
      <c r="H33" s="146">
        <f t="shared" si="13"/>
        <v>3.0927835051546393E-2</v>
      </c>
      <c r="I33" s="146">
        <f t="shared" si="13"/>
        <v>0.01</v>
      </c>
      <c r="J33" s="146">
        <f t="shared" si="13"/>
        <v>9.9009900990099011E-3</v>
      </c>
      <c r="K33" s="146"/>
      <c r="L33" s="146"/>
      <c r="M33" s="146"/>
      <c r="N33" s="146"/>
      <c r="O33" s="146"/>
      <c r="P33" s="146"/>
      <c r="Q33" s="146"/>
      <c r="R33" s="146"/>
      <c r="S33" s="146"/>
    </row>
    <row r="34" spans="1:31">
      <c r="A34" s="106"/>
      <c r="B34" s="107"/>
      <c r="C34" s="156"/>
      <c r="D34" s="156"/>
      <c r="E34" s="157"/>
      <c r="F34" s="157"/>
      <c r="G34" s="158"/>
      <c r="H34" s="158"/>
      <c r="I34" s="158"/>
      <c r="J34" s="158"/>
      <c r="K34" s="158"/>
      <c r="L34" s="158"/>
      <c r="M34" s="248">
        <v>407.68150000000003</v>
      </c>
      <c r="N34" s="251">
        <v>529.4</v>
      </c>
      <c r="O34" s="251">
        <v>590</v>
      </c>
      <c r="P34" s="251">
        <v>640</v>
      </c>
      <c r="Q34" s="251">
        <v>675</v>
      </c>
      <c r="R34" s="251">
        <v>710</v>
      </c>
      <c r="S34" s="251">
        <v>725</v>
      </c>
      <c r="T34" s="250" t="str">
        <f>T17</f>
        <v>Consensus 8/5</v>
      </c>
    </row>
    <row r="35" spans="1:31">
      <c r="A35" s="182"/>
      <c r="B35" s="172"/>
      <c r="C35" s="156"/>
      <c r="D35" s="156"/>
      <c r="E35" s="157"/>
      <c r="F35" s="157"/>
      <c r="G35" s="246"/>
      <c r="H35" s="246"/>
      <c r="I35" s="246"/>
      <c r="J35" s="246"/>
      <c r="K35" s="246"/>
      <c r="L35" s="246"/>
      <c r="M35" s="246"/>
      <c r="N35" s="246"/>
      <c r="O35" s="246"/>
      <c r="P35" s="246"/>
      <c r="Q35" s="246"/>
      <c r="R35" s="246"/>
      <c r="S35" s="246"/>
    </row>
    <row r="36" spans="1:31">
      <c r="A36" s="298" t="s">
        <v>18</v>
      </c>
      <c r="B36" s="300">
        <f>B20</f>
        <v>44795</v>
      </c>
      <c r="C36" s="134" t="s">
        <v>4</v>
      </c>
      <c r="D36" s="135"/>
      <c r="E36" s="135"/>
      <c r="F36" s="135"/>
      <c r="G36" s="135"/>
      <c r="H36" s="135"/>
      <c r="I36" s="135">
        <v>3.24</v>
      </c>
      <c r="J36" s="135"/>
      <c r="K36" s="135"/>
      <c r="L36" s="135">
        <v>1.9</v>
      </c>
      <c r="M36" s="135">
        <v>3.4</v>
      </c>
      <c r="N36" s="135"/>
      <c r="O36" s="135">
        <v>7.41</v>
      </c>
      <c r="P36" s="135"/>
      <c r="Q36" s="135"/>
      <c r="R36" s="135"/>
      <c r="S36" s="135"/>
      <c r="U36" s="135"/>
      <c r="V36" s="135"/>
      <c r="W36" s="135"/>
      <c r="Y36" s="135"/>
      <c r="Z36" s="135"/>
      <c r="AA36" s="135"/>
      <c r="AC36" s="135"/>
      <c r="AD36" s="135"/>
      <c r="AE36" s="135"/>
    </row>
    <row r="37" spans="1:31" ht="15" customHeight="1">
      <c r="A37" s="299"/>
      <c r="B37" s="301"/>
      <c r="C37" s="136" t="s">
        <v>2</v>
      </c>
      <c r="D37" s="159"/>
      <c r="E37" s="159"/>
      <c r="F37" s="159"/>
      <c r="G37" s="159"/>
      <c r="H37" s="159"/>
      <c r="I37" s="159">
        <v>3.24</v>
      </c>
      <c r="J37" s="159"/>
      <c r="K37" s="210"/>
      <c r="L37" s="210">
        <v>1.9</v>
      </c>
      <c r="M37" s="210">
        <v>3.4</v>
      </c>
      <c r="N37" s="210">
        <v>6.95</v>
      </c>
      <c r="O37" s="210">
        <v>7.16</v>
      </c>
      <c r="P37" s="210">
        <v>5.14</v>
      </c>
      <c r="Q37" s="210">
        <v>4.5199999999999996</v>
      </c>
      <c r="R37" s="210">
        <v>4.47</v>
      </c>
      <c r="S37" s="210">
        <v>4.25</v>
      </c>
      <c r="U37" s="210"/>
      <c r="V37" s="210"/>
      <c r="W37" s="210"/>
      <c r="Y37" s="210"/>
      <c r="Z37" s="210"/>
      <c r="AA37" s="210"/>
      <c r="AC37" s="210"/>
      <c r="AD37" s="210"/>
      <c r="AE37" s="210"/>
    </row>
    <row r="38" spans="1:31">
      <c r="A38" s="299"/>
      <c r="B38" s="301"/>
      <c r="C38" s="139" t="s">
        <v>0</v>
      </c>
      <c r="D38" s="140"/>
      <c r="E38" s="140"/>
      <c r="F38" s="140"/>
      <c r="G38" s="140"/>
      <c r="H38" s="140"/>
      <c r="I38" s="140">
        <v>3.25</v>
      </c>
      <c r="J38" s="140"/>
      <c r="K38" s="140"/>
      <c r="L38" s="140">
        <v>1.9</v>
      </c>
      <c r="M38" s="140">
        <v>3.4</v>
      </c>
      <c r="N38" s="140">
        <v>6.9</v>
      </c>
      <c r="O38" s="140">
        <v>6.35</v>
      </c>
      <c r="P38" s="140">
        <v>4.72</v>
      </c>
      <c r="Q38" s="140">
        <v>4.3</v>
      </c>
      <c r="R38" s="140">
        <v>4.29</v>
      </c>
      <c r="S38" s="140">
        <v>4.25</v>
      </c>
      <c r="U38" s="140"/>
      <c r="V38" s="140"/>
      <c r="W38" s="140"/>
      <c r="Y38" s="140"/>
      <c r="Z38" s="140"/>
      <c r="AA38" s="140"/>
      <c r="AC38" s="140"/>
      <c r="AD38" s="140"/>
      <c r="AE38" s="140"/>
    </row>
    <row r="39" spans="1:31">
      <c r="A39" s="299"/>
      <c r="B39" s="301"/>
      <c r="C39" s="141" t="s">
        <v>3</v>
      </c>
      <c r="D39" s="142"/>
      <c r="E39" s="142"/>
      <c r="F39" s="142"/>
      <c r="G39" s="142"/>
      <c r="H39" s="142"/>
      <c r="I39" s="142">
        <v>3.22</v>
      </c>
      <c r="J39" s="142"/>
      <c r="K39" s="142"/>
      <c r="L39" s="142">
        <v>1.9</v>
      </c>
      <c r="M39" s="142">
        <v>3.4</v>
      </c>
      <c r="N39" s="142">
        <v>6.92</v>
      </c>
      <c r="O39" s="142">
        <v>6.8</v>
      </c>
      <c r="P39" s="142">
        <v>4.34</v>
      </c>
      <c r="Q39" s="142">
        <v>4.03</v>
      </c>
      <c r="R39" s="142">
        <v>4.12</v>
      </c>
      <c r="S39" s="142">
        <v>4.01</v>
      </c>
      <c r="U39" s="142"/>
      <c r="V39" s="142"/>
      <c r="W39" s="142"/>
      <c r="Y39" s="142"/>
      <c r="Z39" s="142"/>
      <c r="AA39" s="142"/>
      <c r="AC39" s="142"/>
      <c r="AD39" s="142"/>
      <c r="AE39" s="142"/>
    </row>
    <row r="40" spans="1:31">
      <c r="A40" s="299"/>
      <c r="B40" s="302"/>
      <c r="C40" s="143" t="s">
        <v>1</v>
      </c>
      <c r="D40" s="144">
        <v>5.01</v>
      </c>
      <c r="E40" s="144">
        <v>4.38</v>
      </c>
      <c r="F40" s="144">
        <v>5.14</v>
      </c>
      <c r="G40" s="144">
        <v>3.78</v>
      </c>
      <c r="H40" s="144">
        <v>2.42</v>
      </c>
      <c r="I40" s="144">
        <f t="shared" ref="I40" si="14">+AVERAGE(I36:I39)</f>
        <v>3.2375000000000003</v>
      </c>
      <c r="J40" s="144" t="e">
        <f t="shared" ref="J40" si="15">AVERAGE(J36:J39)</f>
        <v>#DIV/0!</v>
      </c>
      <c r="K40" s="216" t="e">
        <f>AVERAGE(K36:K39)</f>
        <v>#DIV/0!</v>
      </c>
      <c r="L40" s="216">
        <f>AVERAGE(L36:L39)</f>
        <v>1.9</v>
      </c>
      <c r="M40" s="216">
        <f>AVERAGE(M36:M39)</f>
        <v>3.4</v>
      </c>
      <c r="N40" s="216">
        <f t="shared" ref="N40:S40" si="16">MROUND(AVERAGE(N36:N39),0.05)</f>
        <v>6.9</v>
      </c>
      <c r="O40" s="216">
        <f t="shared" si="16"/>
        <v>6.95</v>
      </c>
      <c r="P40" s="216">
        <f t="shared" si="16"/>
        <v>4.75</v>
      </c>
      <c r="Q40" s="216">
        <f t="shared" si="16"/>
        <v>4.3</v>
      </c>
      <c r="R40" s="216">
        <f t="shared" si="16"/>
        <v>4.3</v>
      </c>
      <c r="S40" s="216">
        <f t="shared" si="16"/>
        <v>4.1500000000000004</v>
      </c>
      <c r="U40" s="216">
        <v>4.8082409374131725</v>
      </c>
      <c r="V40" s="216">
        <v>3.2171729315491655</v>
      </c>
      <c r="W40" s="216">
        <v>2.9595670344358753</v>
      </c>
      <c r="Y40" s="216">
        <v>4.2747050162772551</v>
      </c>
      <c r="Z40" s="216">
        <v>2.5495646509862882</v>
      </c>
      <c r="AA40" s="216">
        <v>2.616870480600304</v>
      </c>
      <c r="AC40" s="216">
        <v>5.5940000000000003</v>
      </c>
      <c r="AD40" s="216">
        <v>3.9492524875205386</v>
      </c>
      <c r="AE40" s="216">
        <v>3.512179894445548</v>
      </c>
    </row>
    <row r="41" spans="1:31">
      <c r="A41" s="299"/>
      <c r="B41" s="231">
        <f>B7</f>
        <v>44551</v>
      </c>
      <c r="C41" s="133" t="s">
        <v>1</v>
      </c>
      <c r="D41" s="138">
        <f>'Aug18'!D37</f>
        <v>5.01</v>
      </c>
      <c r="E41" s="138">
        <f>'Aug18'!E37</f>
        <v>4.38</v>
      </c>
      <c r="F41" s="138">
        <f>'Aug18'!F37</f>
        <v>5.14</v>
      </c>
      <c r="G41" s="138">
        <f>'Aug18'!G37</f>
        <v>3.78</v>
      </c>
      <c r="H41" s="138">
        <f>'Aug18'!H37</f>
        <v>2.42</v>
      </c>
      <c r="I41" s="138">
        <f>'Dec18'!I37</f>
        <v>3.2375000000000003</v>
      </c>
      <c r="J41" s="138">
        <f>'Dec18'!J37</f>
        <v>3.5142500000000001</v>
      </c>
      <c r="K41" s="138">
        <v>3.08</v>
      </c>
      <c r="L41" s="138">
        <f>'Feb21'!L38</f>
        <v>1.9</v>
      </c>
      <c r="M41" s="138">
        <f>'Aug21'!M38</f>
        <v>3.3149999999999999</v>
      </c>
      <c r="N41" s="138">
        <v>5</v>
      </c>
      <c r="O41" s="138">
        <v>3.8000000000000003</v>
      </c>
      <c r="P41" s="138">
        <v>3.4000000000000004</v>
      </c>
      <c r="Q41" s="138">
        <v>3.3000000000000003</v>
      </c>
      <c r="R41" s="138">
        <v>3.35</v>
      </c>
      <c r="S41" s="138"/>
      <c r="U41" s="93" t="s">
        <v>99</v>
      </c>
      <c r="Y41" s="93" t="s">
        <v>100</v>
      </c>
      <c r="AC41" t="s">
        <v>101</v>
      </c>
    </row>
    <row r="42" spans="1:31">
      <c r="A42" s="230"/>
      <c r="B42" s="232"/>
      <c r="C42" s="233"/>
      <c r="D42" s="234"/>
      <c r="E42" s="234"/>
      <c r="F42" s="234"/>
      <c r="G42" s="234"/>
      <c r="H42" s="234"/>
      <c r="I42" s="234"/>
      <c r="J42" s="234"/>
      <c r="K42" s="234"/>
      <c r="L42" s="138"/>
      <c r="M42" s="138"/>
      <c r="N42" s="138"/>
      <c r="O42" s="138"/>
      <c r="P42" s="138"/>
      <c r="Q42" s="138"/>
      <c r="R42" s="138"/>
      <c r="S42" s="138"/>
    </row>
    <row r="43" spans="1:31">
      <c r="A43" s="65"/>
      <c r="B43" s="65"/>
      <c r="C43" s="65"/>
      <c r="D43" s="76"/>
      <c r="E43" s="76"/>
      <c r="F43" s="76"/>
      <c r="G43" s="130"/>
      <c r="H43" s="130"/>
      <c r="I43" s="130"/>
      <c r="J43" s="130"/>
      <c r="K43" s="130"/>
      <c r="L43" s="130"/>
      <c r="M43" s="244">
        <v>3.42</v>
      </c>
      <c r="N43" s="254">
        <v>6.9</v>
      </c>
      <c r="O43" s="254">
        <v>6.95</v>
      </c>
      <c r="P43" s="254">
        <v>4.75</v>
      </c>
      <c r="Q43" s="254">
        <v>4.3</v>
      </c>
      <c r="R43" s="254">
        <v>4.3</v>
      </c>
      <c r="S43" s="254">
        <v>4.1500000000000004</v>
      </c>
      <c r="T43" s="250" t="str">
        <f>T34</f>
        <v>Consensus 8/5</v>
      </c>
    </row>
    <row r="44" spans="1:31">
      <c r="A44" s="76"/>
      <c r="B44" s="65"/>
      <c r="C44" s="65"/>
      <c r="D44" s="76"/>
      <c r="E44" s="76"/>
      <c r="F44" s="76"/>
      <c r="G44" s="130"/>
      <c r="H44" s="130"/>
      <c r="I44" s="130"/>
      <c r="J44" s="130"/>
      <c r="K44" s="130"/>
      <c r="L44" s="130"/>
      <c r="M44" s="244"/>
      <c r="N44" s="245"/>
      <c r="O44" s="245"/>
      <c r="P44" s="245"/>
      <c r="Q44" s="245"/>
      <c r="R44" s="245"/>
      <c r="S44" s="245"/>
      <c r="T44" t="s">
        <v>105</v>
      </c>
    </row>
    <row r="45" spans="1:31">
      <c r="A45" s="298" t="s">
        <v>19</v>
      </c>
      <c r="B45" s="300">
        <f>B36</f>
        <v>44795</v>
      </c>
      <c r="C45" s="134" t="s">
        <v>4</v>
      </c>
      <c r="D45" s="135"/>
      <c r="E45" s="135"/>
      <c r="F45" s="135"/>
      <c r="G45" s="135"/>
      <c r="H45" s="135"/>
      <c r="I45" s="135"/>
      <c r="J45" s="135"/>
      <c r="K45" s="135"/>
      <c r="L45" s="135"/>
      <c r="M45" s="135"/>
      <c r="N45" s="253">
        <v>2580.9569999999999</v>
      </c>
      <c r="O45" s="253"/>
      <c r="P45" s="253">
        <v>2989.1</v>
      </c>
      <c r="Q45" s="253">
        <v>3134.96</v>
      </c>
      <c r="R45" s="253">
        <v>3301.5889999999999</v>
      </c>
      <c r="S45" s="253">
        <v>3418.2730000000001</v>
      </c>
    </row>
    <row r="46" spans="1:31" ht="15" customHeight="1">
      <c r="A46" s="299"/>
      <c r="B46" s="301"/>
      <c r="C46" s="136" t="s">
        <v>2</v>
      </c>
      <c r="D46" s="160"/>
      <c r="E46" s="161"/>
      <c r="F46" s="161"/>
      <c r="G46" s="161"/>
      <c r="H46" s="161"/>
      <c r="I46" s="161">
        <v>1235.7</v>
      </c>
      <c r="J46" s="161"/>
      <c r="K46" s="161"/>
      <c r="L46" s="161">
        <v>1827.65</v>
      </c>
      <c r="M46" s="161">
        <v>2135</v>
      </c>
      <c r="N46" s="161">
        <v>2592.1</v>
      </c>
      <c r="O46" s="161">
        <v>2747.6</v>
      </c>
      <c r="P46" s="161">
        <v>2816.3</v>
      </c>
      <c r="Q46" s="161">
        <v>2886.7</v>
      </c>
      <c r="R46" s="161">
        <v>2915.6</v>
      </c>
      <c r="S46" s="161">
        <v>2944.7</v>
      </c>
      <c r="U46" s="161"/>
      <c r="V46" s="161"/>
      <c r="W46" s="161"/>
      <c r="Y46" s="161"/>
      <c r="Z46" s="161"/>
      <c r="AA46" s="161"/>
      <c r="AC46" s="161"/>
      <c r="AD46" s="161"/>
      <c r="AE46" s="161"/>
    </row>
    <row r="47" spans="1:31">
      <c r="A47" s="299"/>
      <c r="B47" s="301"/>
      <c r="C47" s="139" t="s">
        <v>0</v>
      </c>
      <c r="D47" s="162"/>
      <c r="E47" s="162"/>
      <c r="F47" s="162"/>
      <c r="G47" s="162"/>
      <c r="H47" s="162"/>
      <c r="I47" s="162"/>
      <c r="J47" s="162"/>
      <c r="K47" s="215"/>
      <c r="L47" s="215">
        <v>1829.34</v>
      </c>
      <c r="M47" s="215"/>
      <c r="N47" s="215">
        <v>2584.5300000000002</v>
      </c>
      <c r="O47" s="215">
        <v>2734.73</v>
      </c>
      <c r="P47" s="215">
        <v>2853.52</v>
      </c>
      <c r="Q47" s="215">
        <v>2931.28</v>
      </c>
      <c r="R47" s="215">
        <v>2975.25</v>
      </c>
      <c r="S47" s="215">
        <v>3018.39</v>
      </c>
      <c r="U47" s="215"/>
      <c r="V47" s="215"/>
      <c r="W47" s="215"/>
      <c r="Y47" s="215"/>
      <c r="Z47" s="215"/>
      <c r="AA47" s="215"/>
      <c r="AC47" s="215"/>
      <c r="AD47" s="215"/>
      <c r="AE47" s="215"/>
    </row>
    <row r="48" spans="1:31">
      <c r="A48" s="299"/>
      <c r="B48" s="301"/>
      <c r="C48" s="141" t="s">
        <v>3</v>
      </c>
      <c r="D48" s="163"/>
      <c r="E48" s="163"/>
      <c r="F48" s="163"/>
      <c r="G48" s="163"/>
      <c r="H48" s="163"/>
      <c r="I48" s="163">
        <v>1235.5999999999999</v>
      </c>
      <c r="J48" s="163"/>
      <c r="K48" s="163"/>
      <c r="L48" s="163">
        <v>1829.3</v>
      </c>
      <c r="M48" s="163">
        <v>2134.9899999999998</v>
      </c>
      <c r="N48" s="163">
        <v>2589.1</v>
      </c>
      <c r="O48" s="163">
        <v>2760.3</v>
      </c>
      <c r="P48" s="163">
        <v>2915.6</v>
      </c>
      <c r="Q48" s="163">
        <v>3026.4</v>
      </c>
      <c r="R48" s="163">
        <v>3125.1</v>
      </c>
      <c r="S48" s="163">
        <v>3168.7</v>
      </c>
      <c r="U48" s="163"/>
      <c r="V48" s="163"/>
      <c r="W48" s="163"/>
      <c r="Y48" s="163"/>
      <c r="Z48" s="163"/>
      <c r="AA48" s="163"/>
      <c r="AC48" s="163"/>
      <c r="AD48" s="163"/>
      <c r="AE48" s="163"/>
    </row>
    <row r="49" spans="1:31">
      <c r="A49" s="299"/>
      <c r="B49" s="302"/>
      <c r="C49" s="143" t="s">
        <v>1</v>
      </c>
      <c r="D49" s="152">
        <v>1227</v>
      </c>
      <c r="E49" s="152">
        <v>1177.5</v>
      </c>
      <c r="F49" s="153">
        <v>1184.7</v>
      </c>
      <c r="G49" s="153">
        <v>1184.8</v>
      </c>
      <c r="H49" s="153">
        <v>1175</v>
      </c>
      <c r="I49" s="153">
        <f>(+AVERAGE(I46:I48))</f>
        <v>1235.6500000000001</v>
      </c>
      <c r="J49" s="206">
        <v>1361</v>
      </c>
      <c r="K49" s="214">
        <v>1562</v>
      </c>
      <c r="L49" s="242">
        <v>1829.192</v>
      </c>
      <c r="M49" s="242">
        <f>MROUND(AVERAGE(M46:M48),5)</f>
        <v>2135</v>
      </c>
      <c r="N49" s="242">
        <f>MROUND(AVERAGE(N45:N48),5)</f>
        <v>2585</v>
      </c>
      <c r="O49" s="242">
        <f t="shared" ref="O49:S49" si="17">MROUND(AVERAGE(O45:O48),5)</f>
        <v>2750</v>
      </c>
      <c r="P49" s="242">
        <f t="shared" si="17"/>
        <v>2895</v>
      </c>
      <c r="Q49" s="242">
        <f t="shared" si="17"/>
        <v>2995</v>
      </c>
      <c r="R49" s="242">
        <f t="shared" si="17"/>
        <v>3080</v>
      </c>
      <c r="S49" s="242">
        <f t="shared" si="17"/>
        <v>3140</v>
      </c>
      <c r="U49" s="226">
        <f>M49*(1+Y73)</f>
        <v>2287.914627821247</v>
      </c>
      <c r="V49" s="226">
        <f>U49*(1+Z73)</f>
        <v>2207.9855120469315</v>
      </c>
      <c r="W49" s="226">
        <f>V49*(1+AA73)</f>
        <v>2277.8507394090193</v>
      </c>
      <c r="Y49" s="226">
        <f>M49*(1+Y72)</f>
        <v>2359.972677752573</v>
      </c>
      <c r="Z49" s="226">
        <f>Y49*(1+Z72)</f>
        <v>2295.3517632985172</v>
      </c>
      <c r="AA49" s="226">
        <f>Z49*(1+AA72)</f>
        <v>2413.4407179776185</v>
      </c>
      <c r="AC49" s="226">
        <f>M49*(1+Y71)</f>
        <v>2486.7743122019119</v>
      </c>
      <c r="AD49" s="226">
        <f>AC49*(1+Z71)</f>
        <v>2492.999436837812</v>
      </c>
      <c r="AE49" s="226">
        <f>AD49*(1+AA71)</f>
        <v>2556.0475323661794</v>
      </c>
    </row>
    <row r="50" spans="1:31">
      <c r="A50" s="299"/>
      <c r="B50" s="273">
        <f>B41</f>
        <v>44551</v>
      </c>
      <c r="C50" s="133" t="s">
        <v>1</v>
      </c>
      <c r="D50" s="160">
        <f>'Aug18'!D52</f>
        <v>1227</v>
      </c>
      <c r="E50" s="160">
        <f>'Aug18'!E52</f>
        <v>1177.5</v>
      </c>
      <c r="F50" s="160">
        <f>'Aug18'!F52</f>
        <v>1184.7</v>
      </c>
      <c r="G50" s="160">
        <f>'Aug18'!G52</f>
        <v>1184.8</v>
      </c>
      <c r="H50" s="160">
        <f>'Aug18'!H52</f>
        <v>1175</v>
      </c>
      <c r="I50" s="160">
        <f>'Dec18'!I52</f>
        <v>1235.6500000000001</v>
      </c>
      <c r="J50" s="160">
        <f>'Dec18'!J52</f>
        <v>1361</v>
      </c>
      <c r="K50" s="160">
        <v>1562.1499999999999</v>
      </c>
      <c r="L50" s="160">
        <f>'Feb21'!L45</f>
        <v>1829.192</v>
      </c>
      <c r="M50" s="160">
        <f>'Feb21'!M45</f>
        <v>1830</v>
      </c>
      <c r="N50" s="160">
        <v>2460</v>
      </c>
      <c r="O50" s="160">
        <v>2420</v>
      </c>
      <c r="P50" s="160">
        <v>2460</v>
      </c>
      <c r="Q50" s="160">
        <v>2515</v>
      </c>
      <c r="R50" s="160">
        <v>2565</v>
      </c>
      <c r="S50" s="160">
        <v>2565</v>
      </c>
      <c r="U50" s="112">
        <f>U24/2</f>
        <v>-5.9767997987930255E-2</v>
      </c>
      <c r="V50" s="112">
        <f>V24/2</f>
        <v>-3.4935357640696219E-2</v>
      </c>
      <c r="W50" s="112">
        <f>W24/2</f>
        <v>3.1642067840073285E-2</v>
      </c>
      <c r="Y50" s="112">
        <f>Y24/2</f>
        <v>-3.3774979829023499E-2</v>
      </c>
      <c r="Z50" s="112">
        <f>Z24/2</f>
        <v>-2.7382060420968468E-2</v>
      </c>
      <c r="AA50" s="112">
        <f>AA24/2</f>
        <v>5.1446996738052198E-2</v>
      </c>
      <c r="AC50" s="112">
        <f>+AC24/2</f>
        <v>1.1965325243926905E-2</v>
      </c>
      <c r="AD50" s="112">
        <f>+O56</f>
        <v>6.3829787234042534E-2</v>
      </c>
      <c r="AE50" s="112">
        <f>+P56</f>
        <v>5.2727272727272734E-2</v>
      </c>
    </row>
    <row r="51" spans="1:31" ht="14.65" hidden="1" customHeight="1">
      <c r="A51" s="299"/>
      <c r="B51" s="272"/>
      <c r="C51" s="133" t="s">
        <v>1</v>
      </c>
      <c r="D51" s="160">
        <v>1227</v>
      </c>
      <c r="E51" s="160">
        <v>1177.5</v>
      </c>
      <c r="F51" s="160">
        <v>1187.3</v>
      </c>
      <c r="G51" s="160">
        <v>1181</v>
      </c>
      <c r="H51" s="160">
        <v>1150</v>
      </c>
      <c r="I51" s="160">
        <v>1118</v>
      </c>
      <c r="J51" s="160">
        <v>1088</v>
      </c>
      <c r="K51" s="160">
        <v>1052</v>
      </c>
      <c r="L51" s="160"/>
      <c r="M51" s="160"/>
      <c r="N51" s="160"/>
      <c r="O51" s="160"/>
      <c r="P51" s="160"/>
      <c r="Q51" s="160"/>
      <c r="R51" s="160"/>
      <c r="S51" s="160"/>
    </row>
    <row r="52" spans="1:31" ht="14.65" hidden="1" customHeight="1">
      <c r="A52" s="299"/>
      <c r="B52" s="272"/>
      <c r="C52" s="133" t="s">
        <v>1</v>
      </c>
      <c r="D52" s="160">
        <v>1227</v>
      </c>
      <c r="E52" s="160">
        <v>1177.5</v>
      </c>
      <c r="F52" s="160">
        <v>1170</v>
      </c>
      <c r="G52" s="160">
        <v>1158.3</v>
      </c>
      <c r="H52" s="160">
        <v>1123.5509999999999</v>
      </c>
      <c r="I52" s="160">
        <v>1089.84447</v>
      </c>
      <c r="J52" s="160">
        <v>1057.1491358999999</v>
      </c>
      <c r="K52" s="160">
        <v>1025.4346618229999</v>
      </c>
      <c r="L52" s="160"/>
      <c r="M52" s="160"/>
      <c r="N52" s="160"/>
      <c r="O52" s="160"/>
      <c r="P52" s="160"/>
      <c r="Q52" s="160"/>
      <c r="R52" s="160"/>
      <c r="S52" s="160"/>
      <c r="T52" t="s">
        <v>104</v>
      </c>
    </row>
    <row r="53" spans="1:31" ht="14.65" hidden="1" customHeight="1">
      <c r="A53" s="299"/>
      <c r="B53" s="272"/>
      <c r="C53" s="133" t="s">
        <v>1</v>
      </c>
      <c r="D53" s="160">
        <v>1225.8499999999999</v>
      </c>
      <c r="E53" s="160">
        <v>1165</v>
      </c>
      <c r="F53" s="160">
        <v>1110</v>
      </c>
      <c r="G53" s="160">
        <v>1070</v>
      </c>
      <c r="H53" s="160">
        <v>1030</v>
      </c>
      <c r="I53" s="160">
        <v>1000</v>
      </c>
      <c r="J53" s="160">
        <v>960</v>
      </c>
      <c r="K53" s="165"/>
      <c r="L53" s="165"/>
      <c r="M53" s="165"/>
      <c r="N53" s="165"/>
      <c r="O53" s="165"/>
      <c r="P53" s="165"/>
      <c r="Q53" s="165"/>
      <c r="R53" s="165"/>
      <c r="S53" s="165"/>
    </row>
    <row r="54" spans="1:31" ht="15" hidden="1" customHeight="1">
      <c r="A54" s="299"/>
      <c r="B54" s="33">
        <v>41317</v>
      </c>
      <c r="C54" s="133" t="s">
        <v>1</v>
      </c>
      <c r="D54" s="165">
        <v>1226</v>
      </c>
      <c r="E54" s="165">
        <v>1185</v>
      </c>
      <c r="F54" s="165">
        <v>1151</v>
      </c>
      <c r="G54" s="165">
        <v>1121</v>
      </c>
      <c r="H54" s="165">
        <v>1090.1407234210708</v>
      </c>
      <c r="I54" s="165">
        <v>1048</v>
      </c>
      <c r="J54" s="165"/>
      <c r="K54" s="165"/>
      <c r="L54" s="165"/>
      <c r="M54" s="165"/>
      <c r="N54" s="165"/>
      <c r="O54" s="165"/>
      <c r="P54" s="165"/>
      <c r="Q54" s="165"/>
      <c r="R54" s="165"/>
      <c r="S54" s="165"/>
    </row>
    <row r="55" spans="1:31" ht="15" hidden="1" customHeight="1">
      <c r="A55" s="299"/>
      <c r="B55" s="33">
        <v>41244</v>
      </c>
      <c r="C55" s="133" t="s">
        <v>1</v>
      </c>
      <c r="D55" s="165">
        <v>1228.5423506666664</v>
      </c>
      <c r="E55" s="165">
        <v>1184.5870287874238</v>
      </c>
      <c r="F55" s="165">
        <v>1151.3778293463738</v>
      </c>
      <c r="G55" s="165">
        <v>1121.0332793283103</v>
      </c>
      <c r="H55" s="165">
        <v>1090.1407234210708</v>
      </c>
      <c r="I55" s="165">
        <v>1048</v>
      </c>
      <c r="J55" s="165">
        <v>1048</v>
      </c>
      <c r="K55" s="165"/>
      <c r="L55" s="165"/>
      <c r="M55" s="165"/>
      <c r="N55" s="165"/>
      <c r="O55" s="165"/>
      <c r="P55" s="165"/>
      <c r="Q55" s="165"/>
      <c r="R55" s="165"/>
      <c r="S55" s="165"/>
    </row>
    <row r="56" spans="1:31">
      <c r="A56" s="299"/>
      <c r="B56" s="33">
        <f>B45</f>
        <v>44795</v>
      </c>
      <c r="C56" s="292" t="s">
        <v>16</v>
      </c>
      <c r="D56" s="293"/>
      <c r="E56" s="167">
        <f t="shared" ref="E56:M58" si="18">(E49-D49)/D49</f>
        <v>-4.0342298288508556E-2</v>
      </c>
      <c r="F56" s="167">
        <f t="shared" si="18"/>
        <v>6.1146496815287013E-3</v>
      </c>
      <c r="G56" s="167">
        <f>(G49-F49)/F49</f>
        <v>8.4409555161567526E-5</v>
      </c>
      <c r="H56" s="167">
        <f t="shared" si="18"/>
        <v>-8.2714382174206239E-3</v>
      </c>
      <c r="I56" s="167">
        <f t="shared" si="18"/>
        <v>5.1617021276595822E-2</v>
      </c>
      <c r="J56" s="167">
        <f t="shared" si="18"/>
        <v>0.10144458382227969</v>
      </c>
      <c r="K56" s="167">
        <f t="shared" si="18"/>
        <v>0.14768552534900808</v>
      </c>
      <c r="L56" s="167">
        <f>+L30/2</f>
        <v>0.11347645333333332</v>
      </c>
      <c r="M56" s="167">
        <f>+M49/L49-1</f>
        <v>0.1671820126044723</v>
      </c>
      <c r="N56" s="167">
        <f t="shared" ref="N56:S56" si="19">+N49/M49-1</f>
        <v>0.21077283372365341</v>
      </c>
      <c r="O56" s="167">
        <f t="shared" si="19"/>
        <v>6.3829787234042534E-2</v>
      </c>
      <c r="P56" s="167">
        <f t="shared" si="19"/>
        <v>5.2727272727272734E-2</v>
      </c>
      <c r="Q56" s="167">
        <f t="shared" si="19"/>
        <v>3.4542314335060498E-2</v>
      </c>
      <c r="R56" s="167">
        <f t="shared" si="19"/>
        <v>2.8380634390651194E-2</v>
      </c>
      <c r="S56" s="167">
        <f t="shared" si="19"/>
        <v>1.9480519480519431E-2</v>
      </c>
      <c r="U56" s="93" t="s">
        <v>99</v>
      </c>
      <c r="Y56" s="93" t="s">
        <v>100</v>
      </c>
      <c r="AC56" t="s">
        <v>101</v>
      </c>
    </row>
    <row r="57" spans="1:31" ht="15" hidden="1" customHeight="1">
      <c r="A57" s="299"/>
      <c r="B57" s="33">
        <f>B41</f>
        <v>44551</v>
      </c>
      <c r="C57" s="290" t="s">
        <v>16</v>
      </c>
      <c r="D57" s="291"/>
      <c r="E57" s="168">
        <f>(E50-D50)/D50</f>
        <v>-4.0342298288508556E-2</v>
      </c>
      <c r="F57" s="168">
        <f t="shared" si="18"/>
        <v>6.1146496815287013E-3</v>
      </c>
      <c r="G57" s="168">
        <f>(G50-F50)/F50</f>
        <v>8.4409555161567526E-5</v>
      </c>
      <c r="H57" s="168">
        <f t="shared" si="18"/>
        <v>-8.2714382174206239E-3</v>
      </c>
      <c r="I57" s="168">
        <f t="shared" si="18"/>
        <v>5.1617021276595822E-2</v>
      </c>
      <c r="J57" s="168">
        <f t="shared" si="18"/>
        <v>0.10144458382227969</v>
      </c>
      <c r="K57" s="168">
        <v>0.15723732549595884</v>
      </c>
      <c r="L57" s="168">
        <f>+L50/K50-1</f>
        <v>0.17094517171846513</v>
      </c>
      <c r="M57" s="168">
        <f t="shared" ref="M57:Q57" si="20">+M50/L50-1</f>
        <v>4.41725089547651E-4</v>
      </c>
      <c r="N57" s="168">
        <f t="shared" si="20"/>
        <v>0.34426229508196715</v>
      </c>
      <c r="O57" s="168">
        <f t="shared" si="20"/>
        <v>-1.6260162601625994E-2</v>
      </c>
      <c r="P57" s="168">
        <f t="shared" si="20"/>
        <v>1.6528925619834656E-2</v>
      </c>
      <c r="Q57" s="168">
        <f t="shared" si="20"/>
        <v>2.2357723577235866E-2</v>
      </c>
      <c r="R57" s="168"/>
      <c r="S57" s="168"/>
    </row>
    <row r="58" spans="1:31" ht="15" hidden="1" customHeight="1">
      <c r="A58" s="299"/>
      <c r="B58" s="33">
        <v>41974</v>
      </c>
      <c r="C58" s="290" t="s">
        <v>16</v>
      </c>
      <c r="D58" s="291"/>
      <c r="E58" s="147">
        <f>(E51-D51)/D51</f>
        <v>-4.0342298288508556E-2</v>
      </c>
      <c r="F58" s="147">
        <f t="shared" si="18"/>
        <v>8.3227176220806408E-3</v>
      </c>
      <c r="G58" s="147">
        <f t="shared" si="18"/>
        <v>-5.3061568264128316E-3</v>
      </c>
      <c r="H58" s="147">
        <f t="shared" si="18"/>
        <v>-2.6248941574936496E-2</v>
      </c>
      <c r="I58" s="147">
        <f t="shared" si="18"/>
        <v>-2.782608695652174E-2</v>
      </c>
      <c r="J58" s="147">
        <f t="shared" si="18"/>
        <v>-2.6833631484794274E-2</v>
      </c>
      <c r="K58" s="147">
        <f t="shared" si="18"/>
        <v>-3.3088235294117647E-2</v>
      </c>
      <c r="L58" s="147">
        <f t="shared" si="18"/>
        <v>-1</v>
      </c>
      <c r="M58" s="147" t="e">
        <f t="shared" si="18"/>
        <v>#DIV/0!</v>
      </c>
    </row>
    <row r="59" spans="1:31" ht="15" hidden="1" customHeight="1">
      <c r="A59" s="306"/>
      <c r="B59" s="33">
        <v>41499</v>
      </c>
      <c r="C59" s="292" t="s">
        <v>16</v>
      </c>
      <c r="D59" s="293"/>
      <c r="E59" s="146">
        <f t="shared" ref="E59:J59" si="21">(E53-D53)/D53</f>
        <v>-4.9639025981971625E-2</v>
      </c>
      <c r="F59" s="146">
        <f t="shared" si="21"/>
        <v>-4.7210300429184553E-2</v>
      </c>
      <c r="G59" s="146">
        <f t="shared" si="21"/>
        <v>-3.6036036036036036E-2</v>
      </c>
      <c r="H59" s="146">
        <f t="shared" si="21"/>
        <v>-3.7383177570093455E-2</v>
      </c>
      <c r="I59" s="146">
        <f t="shared" si="21"/>
        <v>-2.9126213592233011E-2</v>
      </c>
      <c r="J59" s="146">
        <f t="shared" si="21"/>
        <v>-0.04</v>
      </c>
      <c r="K59" s="146"/>
      <c r="L59" s="146"/>
      <c r="M59" s="146"/>
    </row>
    <row r="60" spans="1:31" hidden="1">
      <c r="A60" s="108"/>
      <c r="B60" s="13"/>
      <c r="F60" s="112"/>
      <c r="G60" s="112"/>
      <c r="H60" s="112"/>
      <c r="I60" s="112"/>
      <c r="J60" s="112"/>
      <c r="K60" s="112"/>
      <c r="L60" s="217"/>
      <c r="M60" s="112"/>
    </row>
    <row r="61" spans="1:31" hidden="1">
      <c r="A61" s="9"/>
      <c r="B61" s="13"/>
      <c r="E61" s="94"/>
      <c r="F61" s="94"/>
      <c r="G61" s="112"/>
      <c r="H61" s="112"/>
      <c r="I61" s="112"/>
      <c r="J61" s="112"/>
      <c r="K61" s="112"/>
      <c r="L61" s="112"/>
      <c r="M61" s="112"/>
      <c r="N61" s="112"/>
      <c r="O61" s="112"/>
      <c r="P61" s="112"/>
      <c r="Q61" s="112"/>
      <c r="R61" s="112"/>
      <c r="S61" s="112"/>
    </row>
    <row r="62" spans="1:31" hidden="1">
      <c r="A62" s="9"/>
      <c r="B62" s="13"/>
      <c r="E62" s="94"/>
      <c r="F62" s="94"/>
      <c r="G62" s="94"/>
      <c r="H62" s="112"/>
      <c r="I62" s="112"/>
      <c r="J62" s="112"/>
      <c r="K62" s="112"/>
      <c r="L62" s="112"/>
      <c r="M62" s="112">
        <f t="shared" ref="M62:Q63" si="22">M47/L47-1</f>
        <v>-1</v>
      </c>
      <c r="N62" s="112" t="e">
        <f t="shared" si="22"/>
        <v>#DIV/0!</v>
      </c>
      <c r="O62" s="112">
        <f t="shared" si="22"/>
        <v>5.8115015109130086E-2</v>
      </c>
      <c r="P62" s="112">
        <f t="shared" si="22"/>
        <v>4.3437560563565736E-2</v>
      </c>
      <c r="Q62" s="112">
        <f t="shared" si="22"/>
        <v>2.7250553702094393E-2</v>
      </c>
      <c r="R62" s="112"/>
      <c r="S62" s="112"/>
    </row>
    <row r="63" spans="1:31" hidden="1">
      <c r="A63" s="9"/>
      <c r="B63" s="13"/>
      <c r="L63" s="112"/>
      <c r="M63" s="112">
        <f t="shared" si="22"/>
        <v>0.16710763680096208</v>
      </c>
      <c r="N63" s="112">
        <f t="shared" si="22"/>
        <v>0.21269888851938434</v>
      </c>
      <c r="O63" s="112">
        <f t="shared" si="22"/>
        <v>6.6123363330887308E-2</v>
      </c>
      <c r="P63" s="112">
        <f t="shared" si="22"/>
        <v>5.6262000507191212E-2</v>
      </c>
      <c r="Q63" s="112">
        <f t="shared" si="22"/>
        <v>3.800246947455066E-2</v>
      </c>
      <c r="R63" s="112"/>
      <c r="S63" s="112"/>
    </row>
    <row r="64" spans="1:31" hidden="1">
      <c r="A64" s="9"/>
      <c r="B64" s="13"/>
      <c r="L64" s="213"/>
      <c r="M64" s="213">
        <f t="shared" ref="M64:Q64" si="23">AVERAGE(M61:M63)</f>
        <v>-0.41644618159951896</v>
      </c>
      <c r="N64" s="213" t="e">
        <f t="shared" si="23"/>
        <v>#DIV/0!</v>
      </c>
      <c r="O64" s="213">
        <f t="shared" si="23"/>
        <v>6.2119189220008697E-2</v>
      </c>
      <c r="P64" s="213">
        <f t="shared" si="23"/>
        <v>4.9849780535378474E-2</v>
      </c>
      <c r="Q64" s="213">
        <f t="shared" si="23"/>
        <v>3.2626511588322527E-2</v>
      </c>
      <c r="R64" s="213"/>
      <c r="S64" s="213"/>
    </row>
    <row r="65" spans="1:27" hidden="1">
      <c r="A65" s="9"/>
      <c r="B65" s="13"/>
    </row>
    <row r="66" spans="1:27">
      <c r="A66" s="9"/>
      <c r="B66" s="13"/>
      <c r="M66" s="131">
        <v>2135</v>
      </c>
      <c r="N66" s="255">
        <v>2585</v>
      </c>
      <c r="O66" s="255">
        <v>2750</v>
      </c>
      <c r="P66" s="255">
        <v>2895</v>
      </c>
      <c r="Q66" s="255">
        <v>2995</v>
      </c>
      <c r="R66" s="255">
        <v>3080</v>
      </c>
      <c r="S66" s="255">
        <v>3140</v>
      </c>
      <c r="T66" s="250" t="s">
        <v>104</v>
      </c>
    </row>
    <row r="67" spans="1:27">
      <c r="A67" s="9"/>
      <c r="B67" s="13"/>
      <c r="Y67" s="249">
        <v>0.32953097161771594</v>
      </c>
      <c r="Z67" s="249">
        <v>5.0065859256747114E-3</v>
      </c>
      <c r="AA67" s="249">
        <v>5.0580112130582222E-2</v>
      </c>
    </row>
    <row r="68" spans="1:27" hidden="1">
      <c r="A68" s="65"/>
      <c r="B68" s="65"/>
      <c r="C68" s="228" t="s">
        <v>4</v>
      </c>
      <c r="D68" s="229"/>
      <c r="E68" s="229"/>
      <c r="F68" s="229"/>
      <c r="G68" s="229"/>
      <c r="H68" s="229"/>
      <c r="I68" s="229"/>
      <c r="J68" s="229"/>
      <c r="K68" s="229"/>
      <c r="L68" s="229"/>
      <c r="M68" s="235"/>
      <c r="N68" s="235"/>
      <c r="O68" s="235"/>
      <c r="P68" s="235"/>
      <c r="Q68" s="235"/>
      <c r="R68" s="235"/>
      <c r="S68" s="235"/>
      <c r="Y68" s="249">
        <v>0.21074723911248028</v>
      </c>
      <c r="Z68" s="249">
        <v>-5.4764120841936936E-2</v>
      </c>
      <c r="AA68" s="249">
        <v>0.1028939934761044</v>
      </c>
    </row>
    <row r="69" spans="1:27" hidden="1">
      <c r="A69" s="281" t="s">
        <v>12</v>
      </c>
      <c r="B69" s="273">
        <f>B45</f>
        <v>44795</v>
      </c>
      <c r="C69" s="136" t="s">
        <v>2</v>
      </c>
      <c r="D69" s="148"/>
      <c r="E69" s="148"/>
      <c r="F69" s="148"/>
      <c r="G69" s="148"/>
      <c r="H69" s="148"/>
      <c r="I69" s="148">
        <v>155.96</v>
      </c>
      <c r="J69" s="148"/>
      <c r="K69" s="148"/>
      <c r="L69" s="148"/>
      <c r="M69" s="168">
        <f>M20/L23-1</f>
        <v>0.10757307197055366</v>
      </c>
      <c r="N69" s="168">
        <v>6.3711911357340778E-2</v>
      </c>
      <c r="O69" s="168">
        <v>4.9479166666666741E-2</v>
      </c>
      <c r="P69" s="168">
        <v>2.977667493796532E-2</v>
      </c>
      <c r="Q69" s="168">
        <v>1.9277108433734869E-2</v>
      </c>
      <c r="R69" s="168">
        <v>1.0000000000000087E-2</v>
      </c>
      <c r="S69" s="168">
        <v>1.0000000000000087E-2</v>
      </c>
      <c r="Y69" s="249">
        <v>0.14324555299414254</v>
      </c>
      <c r="Z69" s="249">
        <v>-6.9870715281392437E-2</v>
      </c>
      <c r="AA69" s="249">
        <v>6.3284135680146569E-2</v>
      </c>
    </row>
    <row r="70" spans="1:27" hidden="1">
      <c r="A70" s="281"/>
      <c r="B70" s="272"/>
      <c r="C70" s="139" t="s">
        <v>0</v>
      </c>
      <c r="D70" s="149"/>
      <c r="E70" s="149"/>
      <c r="F70" s="149"/>
      <c r="G70" s="149"/>
      <c r="H70" s="149"/>
      <c r="I70" s="149"/>
      <c r="J70" s="149"/>
      <c r="K70" s="149"/>
      <c r="L70" s="149"/>
      <c r="M70" s="236">
        <f>M21/L23-1</f>
        <v>0.10756763845584394</v>
      </c>
      <c r="N70" s="236">
        <f t="shared" ref="N70:S71" si="24">N21/M21-1</f>
        <v>0.2970221742543171</v>
      </c>
      <c r="O70" s="236">
        <f t="shared" si="24"/>
        <v>0.12449647294664978</v>
      </c>
      <c r="P70" s="236">
        <f t="shared" si="24"/>
        <v>0.11505213588967367</v>
      </c>
      <c r="Q70" s="236">
        <f t="shared" si="24"/>
        <v>3.060285666882856E-2</v>
      </c>
      <c r="R70" s="236">
        <f t="shared" si="24"/>
        <v>3.0001463486023727E-2</v>
      </c>
      <c r="S70" s="236">
        <f t="shared" si="24"/>
        <v>2.8999715828360362E-2</v>
      </c>
      <c r="Y70" s="184"/>
    </row>
    <row r="71" spans="1:27" hidden="1">
      <c r="A71" s="281"/>
      <c r="B71" s="272"/>
      <c r="C71" s="141" t="s">
        <v>3</v>
      </c>
      <c r="D71" s="151"/>
      <c r="E71" s="151"/>
      <c r="F71" s="151"/>
      <c r="G71" s="151"/>
      <c r="H71" s="151"/>
      <c r="I71" s="151">
        <v>155.9</v>
      </c>
      <c r="J71" s="151"/>
      <c r="K71" s="151"/>
      <c r="L71" s="151"/>
      <c r="M71" s="237">
        <f>M22/L23-1</f>
        <v>0.10757307197055366</v>
      </c>
      <c r="N71" s="237">
        <f t="shared" si="24"/>
        <v>0.29733468732983059</v>
      </c>
      <c r="O71" s="237">
        <f t="shared" si="24"/>
        <v>0.1050538854225751</v>
      </c>
      <c r="P71" s="237">
        <f t="shared" si="24"/>
        <v>0.1070504035328157</v>
      </c>
      <c r="Q71" s="237">
        <f t="shared" si="24"/>
        <v>7.556836622722285E-2</v>
      </c>
      <c r="R71" s="237">
        <f t="shared" si="24"/>
        <v>6.5326004957430683E-2</v>
      </c>
      <c r="S71" s="237">
        <f t="shared" si="24"/>
        <v>3.5786977651348195E-2</v>
      </c>
      <c r="Y71" s="249">
        <f>Y67/2</f>
        <v>0.16476548580885797</v>
      </c>
      <c r="Z71" s="249">
        <f t="shared" ref="Z71:AA71" si="25">Z67/2</f>
        <v>2.5032929628373557E-3</v>
      </c>
      <c r="AA71" s="249">
        <f t="shared" si="25"/>
        <v>2.5290056065291111E-2</v>
      </c>
    </row>
    <row r="72" spans="1:27" hidden="1">
      <c r="A72" s="281"/>
      <c r="B72" s="272"/>
      <c r="C72" s="143" t="s">
        <v>1</v>
      </c>
      <c r="D72" s="152">
        <v>80.3</v>
      </c>
      <c r="E72" s="152">
        <v>96.4</v>
      </c>
      <c r="F72" s="153">
        <v>113.9</v>
      </c>
      <c r="G72" s="153">
        <v>141.4</v>
      </c>
      <c r="H72" s="153">
        <v>146.69999999999999</v>
      </c>
      <c r="I72" s="153">
        <v>153</v>
      </c>
      <c r="J72" s="206">
        <f>J73</f>
        <v>0</v>
      </c>
      <c r="K72" s="209">
        <v>300</v>
      </c>
      <c r="L72" s="226"/>
      <c r="M72" s="238">
        <f>AVERAGE(M68:M71)</f>
        <v>0.10757126079898376</v>
      </c>
      <c r="N72" s="238">
        <f t="shared" ref="N72:R72" si="26">AVERAGE(N68:N71)</f>
        <v>0.21935625764716282</v>
      </c>
      <c r="O72" s="238">
        <f t="shared" si="26"/>
        <v>9.3009841678630537E-2</v>
      </c>
      <c r="P72" s="238">
        <f t="shared" si="26"/>
        <v>8.3959738120151561E-2</v>
      </c>
      <c r="Q72" s="238">
        <f t="shared" si="26"/>
        <v>4.181611044326209E-2</v>
      </c>
      <c r="R72" s="238">
        <f t="shared" si="26"/>
        <v>3.510915614781817E-2</v>
      </c>
      <c r="S72" s="238">
        <f t="shared" ref="S72" si="27">AVERAGE(S68:S71)</f>
        <v>2.4928897826569551E-2</v>
      </c>
      <c r="Y72" s="249">
        <f t="shared" ref="Y72:AA72" si="28">Y68/2</f>
        <v>0.10537361955624014</v>
      </c>
      <c r="Z72" s="249">
        <f t="shared" si="28"/>
        <v>-2.7382060420968468E-2</v>
      </c>
      <c r="AA72" s="249">
        <f t="shared" si="28"/>
        <v>5.1446996738052198E-2</v>
      </c>
    </row>
    <row r="73" spans="1:27" hidden="1">
      <c r="A73" s="281"/>
      <c r="B73" s="33">
        <f>B50</f>
        <v>44551</v>
      </c>
      <c r="C73" s="133" t="s">
        <v>1</v>
      </c>
      <c r="D73" s="154">
        <f>'Aug18'!D67</f>
        <v>0</v>
      </c>
      <c r="E73" s="154">
        <f>'Aug18'!E67</f>
        <v>0</v>
      </c>
      <c r="F73" s="154">
        <f>'Aug18'!F67</f>
        <v>0</v>
      </c>
      <c r="G73" s="154">
        <f>'Aug18'!G67</f>
        <v>0</v>
      </c>
      <c r="H73" s="154">
        <f>'Aug18'!H67</f>
        <v>0</v>
      </c>
      <c r="I73" s="154">
        <f>'Dec18'!I67</f>
        <v>0</v>
      </c>
      <c r="J73" s="154">
        <f>'Dec18'!J67</f>
        <v>0</v>
      </c>
      <c r="K73" s="154">
        <v>300.43599999999998</v>
      </c>
      <c r="L73" s="154"/>
      <c r="M73" s="239">
        <f>'Feb21'!M68</f>
        <v>2.4253746238142321E-2</v>
      </c>
      <c r="N73" s="239">
        <f>'Feb21'!N68</f>
        <v>7.0380244973168677E-3</v>
      </c>
      <c r="O73" s="239">
        <f>'Feb21'!O68</f>
        <v>2.7503791128108041E-2</v>
      </c>
      <c r="P73" s="239">
        <f>'Feb21'!P68</f>
        <v>1.5887735688497589E-2</v>
      </c>
      <c r="Q73" s="239">
        <f>'Feb21'!Q68</f>
        <v>1.3364548356393557E-2</v>
      </c>
      <c r="R73" s="239"/>
      <c r="S73" s="239"/>
      <c r="Y73" s="249">
        <f t="shared" ref="Y73:AA73" si="29">Y69/2</f>
        <v>7.1622776497071272E-2</v>
      </c>
      <c r="Z73" s="249">
        <f t="shared" si="29"/>
        <v>-3.4935357640696219E-2</v>
      </c>
      <c r="AA73" s="249">
        <f t="shared" si="29"/>
        <v>3.1642067840073285E-2</v>
      </c>
    </row>
    <row r="74" spans="1:27" hidden="1">
      <c r="M74">
        <v>0.10757126079898376</v>
      </c>
      <c r="N74">
        <v>0.2494632787508102</v>
      </c>
      <c r="O74">
        <v>9.3376238657061128E-2</v>
      </c>
      <c r="P74">
        <v>-5.4029522253356221E-2</v>
      </c>
      <c r="Q74">
        <v>5.0043656638575795E-2</v>
      </c>
      <c r="R74">
        <v>3.9248232960740086E-2</v>
      </c>
      <c r="S74">
        <v>1.03924823296074</v>
      </c>
    </row>
    <row r="75" spans="1:27" hidden="1"/>
    <row r="76" spans="1:27" hidden="1"/>
  </sheetData>
  <mergeCells count="25">
    <mergeCell ref="A2:A16"/>
    <mergeCell ref="B2:B6"/>
    <mergeCell ref="B7:B11"/>
    <mergeCell ref="C13:D13"/>
    <mergeCell ref="C14:D14"/>
    <mergeCell ref="C15:D15"/>
    <mergeCell ref="C16:D16"/>
    <mergeCell ref="C56:D56"/>
    <mergeCell ref="C57:D57"/>
    <mergeCell ref="C58:D58"/>
    <mergeCell ref="C59:D59"/>
    <mergeCell ref="A20:A33"/>
    <mergeCell ref="B20:B23"/>
    <mergeCell ref="B24:B27"/>
    <mergeCell ref="C30:D30"/>
    <mergeCell ref="C31:D31"/>
    <mergeCell ref="C32:D32"/>
    <mergeCell ref="C33:D33"/>
    <mergeCell ref="A45:A59"/>
    <mergeCell ref="B45:B49"/>
    <mergeCell ref="A69:A73"/>
    <mergeCell ref="B69:B72"/>
    <mergeCell ref="A36:A41"/>
    <mergeCell ref="B36:B40"/>
    <mergeCell ref="B50:B53"/>
  </mergeCells>
  <pageMargins left="0.5" right="0.17" top="0.63" bottom="0.75" header="0.3" footer="0.3"/>
  <pageSetup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J38"/>
  <sheetViews>
    <sheetView workbookViewId="0"/>
  </sheetViews>
  <sheetFormatPr defaultRowHeight="15"/>
  <sheetData>
    <row r="1" spans="1:10">
      <c r="A1" s="9" t="s">
        <v>22</v>
      </c>
      <c r="B1" s="84">
        <v>41487</v>
      </c>
    </row>
    <row r="2" spans="1:10" ht="26.25">
      <c r="A2" s="8"/>
      <c r="B2" s="11"/>
      <c r="C2" s="6"/>
      <c r="D2" s="2" t="s">
        <v>17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21</v>
      </c>
    </row>
    <row r="3" spans="1:10">
      <c r="A3" s="278" t="s">
        <v>10</v>
      </c>
      <c r="B3" s="273">
        <v>41487</v>
      </c>
      <c r="C3" s="46" t="s">
        <v>4</v>
      </c>
      <c r="D3" s="47"/>
      <c r="E3" s="47">
        <v>87.120211643249434</v>
      </c>
      <c r="F3" s="47">
        <v>90.616048162499979</v>
      </c>
      <c r="G3" s="47">
        <v>85.634801909999993</v>
      </c>
      <c r="H3" s="47">
        <v>84.349071056250011</v>
      </c>
      <c r="I3" s="47">
        <v>84.61751129999999</v>
      </c>
      <c r="J3" s="47">
        <v>85.59435465</v>
      </c>
    </row>
    <row r="4" spans="1:10">
      <c r="A4" s="279"/>
      <c r="B4" s="272"/>
      <c r="C4" s="6" t="s">
        <v>2</v>
      </c>
      <c r="D4" s="29"/>
      <c r="E4" s="41">
        <v>86.25</v>
      </c>
      <c r="F4" s="41">
        <v>94.14</v>
      </c>
      <c r="G4" s="41">
        <v>86.42</v>
      </c>
      <c r="H4" s="41">
        <v>82.95</v>
      </c>
      <c r="I4" s="41">
        <v>81.22</v>
      </c>
      <c r="J4" s="41">
        <v>80.69</v>
      </c>
    </row>
    <row r="5" spans="1:10">
      <c r="A5" s="279"/>
      <c r="B5" s="272"/>
      <c r="C5" s="42" t="s">
        <v>0</v>
      </c>
      <c r="D5" s="43"/>
      <c r="E5" s="43">
        <v>87.19</v>
      </c>
      <c r="F5" s="43">
        <v>93.25</v>
      </c>
      <c r="G5" s="43">
        <v>90.5</v>
      </c>
      <c r="H5" s="43">
        <v>87.75</v>
      </c>
      <c r="I5" s="43">
        <v>86.5</v>
      </c>
      <c r="J5" s="43">
        <v>85.75</v>
      </c>
    </row>
    <row r="6" spans="1:10">
      <c r="A6" s="279"/>
      <c r="B6" s="272"/>
      <c r="C6" s="44" t="s">
        <v>3</v>
      </c>
      <c r="D6" s="45"/>
      <c r="E6" s="45">
        <v>87.25</v>
      </c>
      <c r="F6" s="45">
        <v>94</v>
      </c>
      <c r="G6" s="45">
        <v>85.75</v>
      </c>
      <c r="H6" s="45">
        <v>83</v>
      </c>
      <c r="I6" s="45">
        <v>83.5</v>
      </c>
      <c r="J6" s="45">
        <v>85</v>
      </c>
    </row>
    <row r="7" spans="1:10">
      <c r="A7" s="279"/>
      <c r="B7" s="272"/>
      <c r="C7" s="48" t="s">
        <v>1</v>
      </c>
      <c r="D7" s="49">
        <v>90</v>
      </c>
      <c r="E7" s="49">
        <v>87</v>
      </c>
      <c r="F7" s="49">
        <v>94</v>
      </c>
      <c r="G7" s="49">
        <v>87.5</v>
      </c>
      <c r="H7" s="49">
        <v>85</v>
      </c>
      <c r="I7" s="49">
        <v>84</v>
      </c>
      <c r="J7" s="49">
        <v>84</v>
      </c>
    </row>
    <row r="8" spans="1:10">
      <c r="A8" s="279"/>
      <c r="B8" s="33">
        <v>41306</v>
      </c>
      <c r="C8" s="60" t="s">
        <v>1</v>
      </c>
      <c r="D8" s="81">
        <v>90</v>
      </c>
      <c r="E8" s="81">
        <v>86.5</v>
      </c>
      <c r="F8" s="81">
        <v>88</v>
      </c>
      <c r="G8" s="81">
        <v>87.5</v>
      </c>
      <c r="H8" s="81">
        <v>87</v>
      </c>
      <c r="I8" s="81">
        <v>86.5</v>
      </c>
      <c r="J8" s="81"/>
    </row>
    <row r="9" spans="1:10">
      <c r="A9" s="279"/>
      <c r="B9" s="33">
        <v>41244</v>
      </c>
      <c r="C9" s="60" t="s">
        <v>1</v>
      </c>
      <c r="D9" s="81">
        <v>89.640506965377526</v>
      </c>
      <c r="E9" s="81">
        <v>85</v>
      </c>
      <c r="F9" s="81">
        <v>84.75</v>
      </c>
      <c r="G9" s="81">
        <v>83.5</v>
      </c>
      <c r="H9" s="81">
        <v>82.5</v>
      </c>
      <c r="I9" s="81">
        <v>83</v>
      </c>
      <c r="J9" s="81">
        <v>83</v>
      </c>
    </row>
    <row r="10" spans="1:10">
      <c r="A10" s="279"/>
      <c r="B10" s="40">
        <v>41499</v>
      </c>
      <c r="C10" s="276" t="s">
        <v>16</v>
      </c>
      <c r="D10" s="277"/>
      <c r="E10" s="30">
        <v>-3.3333333333333333E-2</v>
      </c>
      <c r="F10" s="30">
        <v>8.0459770114942528E-2</v>
      </c>
      <c r="G10" s="30">
        <v>-6.9148936170212769E-2</v>
      </c>
      <c r="H10" s="30">
        <v>-2.8571428571428571E-2</v>
      </c>
      <c r="I10" s="30">
        <v>-1.1764705882352941E-2</v>
      </c>
      <c r="J10" s="30">
        <v>0</v>
      </c>
    </row>
    <row r="11" spans="1:10">
      <c r="A11" s="280"/>
      <c r="B11" s="40">
        <v>41318</v>
      </c>
      <c r="C11" s="276" t="s">
        <v>16</v>
      </c>
      <c r="D11" s="277"/>
      <c r="E11" s="30">
        <v>-3.888888888888889E-2</v>
      </c>
      <c r="F11" s="30">
        <v>1.7341040462427744E-2</v>
      </c>
      <c r="G11" s="30">
        <v>-5.681818181818182E-3</v>
      </c>
      <c r="H11" s="30">
        <v>-5.7142857142857143E-3</v>
      </c>
      <c r="I11" s="30">
        <v>-5.7471264367816091E-3</v>
      </c>
      <c r="J11" s="30"/>
    </row>
    <row r="12" spans="1:10">
      <c r="A12" s="65"/>
      <c r="B12" s="65"/>
      <c r="C12" s="65"/>
      <c r="D12" s="65"/>
      <c r="E12" s="65"/>
      <c r="F12" s="65"/>
      <c r="G12" s="65"/>
      <c r="H12" s="65"/>
      <c r="I12" s="65"/>
      <c r="J12" s="85"/>
    </row>
    <row r="13" spans="1:10">
      <c r="A13" s="278" t="s">
        <v>12</v>
      </c>
      <c r="B13" s="273">
        <v>41499</v>
      </c>
      <c r="C13" s="6" t="s">
        <v>2</v>
      </c>
      <c r="D13" s="80"/>
      <c r="E13" s="80">
        <v>91.9</v>
      </c>
      <c r="F13" s="80">
        <v>100.7</v>
      </c>
      <c r="G13" s="80">
        <v>108</v>
      </c>
      <c r="H13" s="80">
        <v>115.3</v>
      </c>
      <c r="I13" s="80">
        <v>122.7</v>
      </c>
      <c r="J13" s="80">
        <v>130</v>
      </c>
    </row>
    <row r="14" spans="1:10">
      <c r="A14" s="279"/>
      <c r="B14" s="272"/>
      <c r="C14" s="42" t="s">
        <v>0</v>
      </c>
      <c r="D14" s="51"/>
      <c r="E14" s="51">
        <v>93.5</v>
      </c>
      <c r="F14" s="51">
        <v>99.7</v>
      </c>
      <c r="G14" s="51">
        <v>106.3</v>
      </c>
      <c r="H14" s="51">
        <v>110.2</v>
      </c>
      <c r="I14" s="51">
        <v>114.6</v>
      </c>
      <c r="J14" s="51">
        <v>119.1</v>
      </c>
    </row>
    <row r="15" spans="1:10">
      <c r="A15" s="279"/>
      <c r="B15" s="272"/>
      <c r="C15" s="44" t="s">
        <v>3</v>
      </c>
      <c r="D15" s="52"/>
      <c r="E15" s="52">
        <v>81.099999999999994</v>
      </c>
      <c r="F15" s="52">
        <v>84.5</v>
      </c>
      <c r="G15" s="52">
        <v>88.1</v>
      </c>
      <c r="H15" s="52">
        <v>91.7</v>
      </c>
      <c r="I15" s="52">
        <v>91.7</v>
      </c>
      <c r="J15" s="52">
        <v>91.7</v>
      </c>
    </row>
    <row r="16" spans="1:10">
      <c r="A16" s="279"/>
      <c r="B16" s="272"/>
      <c r="C16" s="48" t="s">
        <v>1</v>
      </c>
      <c r="D16" s="53">
        <v>80.069999999999993</v>
      </c>
      <c r="E16" s="53">
        <v>90</v>
      </c>
      <c r="F16" s="53">
        <v>93</v>
      </c>
      <c r="G16" s="53">
        <v>97</v>
      </c>
      <c r="H16" s="53">
        <v>100</v>
      </c>
      <c r="I16" s="53">
        <v>101</v>
      </c>
      <c r="J16" s="53">
        <v>102</v>
      </c>
    </row>
    <row r="17" spans="1:10">
      <c r="A17" s="279"/>
      <c r="B17" s="33">
        <v>41317</v>
      </c>
      <c r="C17" s="60" t="s">
        <v>1</v>
      </c>
      <c r="D17" s="82">
        <v>80.099999999999994</v>
      </c>
      <c r="E17" s="82">
        <v>87</v>
      </c>
      <c r="F17" s="82">
        <v>91.4</v>
      </c>
      <c r="G17" s="82">
        <v>94.1</v>
      </c>
      <c r="H17" s="82">
        <v>96</v>
      </c>
      <c r="I17" s="82">
        <v>97.9</v>
      </c>
      <c r="J17" s="82"/>
    </row>
    <row r="18" spans="1:10">
      <c r="A18" s="279"/>
      <c r="B18" s="33">
        <v>41244</v>
      </c>
      <c r="C18" s="60" t="s">
        <v>1</v>
      </c>
      <c r="D18" s="82">
        <v>79.7</v>
      </c>
      <c r="E18" s="82">
        <v>84.119744824999998</v>
      </c>
      <c r="F18" s="82">
        <v>88.406534618000009</v>
      </c>
      <c r="G18" s="82">
        <v>92.434230656539995</v>
      </c>
      <c r="H18" s="82">
        <v>96.132415269670815</v>
      </c>
      <c r="I18" s="82">
        <v>97.6</v>
      </c>
      <c r="J18" s="82">
        <v>97.6</v>
      </c>
    </row>
    <row r="19" spans="1:10">
      <c r="A19" s="279"/>
      <c r="B19" s="40">
        <v>41499</v>
      </c>
      <c r="C19" s="276" t="s">
        <v>16</v>
      </c>
      <c r="D19" s="277"/>
      <c r="E19" s="30">
        <v>0.12401648557512186</v>
      </c>
      <c r="F19" s="30">
        <v>3.3333333333333333E-2</v>
      </c>
      <c r="G19" s="30">
        <v>4.3010752688172046E-2</v>
      </c>
      <c r="H19" s="30">
        <v>3.0927835051546393E-2</v>
      </c>
      <c r="I19" s="30">
        <v>0.01</v>
      </c>
      <c r="J19" s="30">
        <v>9.9009900990099011E-3</v>
      </c>
    </row>
    <row r="20" spans="1:10">
      <c r="A20" s="280"/>
      <c r="B20" s="40">
        <v>41318</v>
      </c>
      <c r="C20" s="276" t="s">
        <v>16</v>
      </c>
      <c r="D20" s="277"/>
      <c r="E20" s="30">
        <v>8.6142322097378349E-2</v>
      </c>
      <c r="F20" s="30">
        <v>5.057471264367823E-2</v>
      </c>
      <c r="G20" s="30">
        <v>2.954048140043751E-2</v>
      </c>
      <c r="H20" s="30">
        <v>2.0191285866099955E-2</v>
      </c>
      <c r="I20" s="30">
        <v>1.9791666666666725E-2</v>
      </c>
      <c r="J20" s="30"/>
    </row>
    <row r="21" spans="1:10">
      <c r="A21" s="9"/>
      <c r="B21" s="66"/>
      <c r="C21" s="67"/>
      <c r="D21" s="67"/>
      <c r="E21" s="68"/>
      <c r="F21" s="68"/>
      <c r="G21" s="68"/>
      <c r="H21" s="68"/>
      <c r="I21" s="68"/>
      <c r="J21" s="68"/>
    </row>
    <row r="22" spans="1:10">
      <c r="A22" s="278" t="s">
        <v>18</v>
      </c>
      <c r="B22" s="273">
        <v>41499</v>
      </c>
      <c r="C22" s="6" t="s">
        <v>2</v>
      </c>
      <c r="D22" s="86"/>
      <c r="E22" s="86">
        <v>4.59</v>
      </c>
      <c r="F22" s="86">
        <v>5.46</v>
      </c>
      <c r="G22" s="86">
        <v>5.51</v>
      </c>
      <c r="H22" s="86">
        <v>5.54</v>
      </c>
      <c r="I22" s="86">
        <v>5.59</v>
      </c>
      <c r="J22" s="87">
        <v>5.72</v>
      </c>
    </row>
    <row r="23" spans="1:10">
      <c r="A23" s="279"/>
      <c r="B23" s="272"/>
      <c r="C23" s="42" t="s">
        <v>0</v>
      </c>
      <c r="D23" s="43"/>
      <c r="E23" s="43">
        <v>4.4000000000000004</v>
      </c>
      <c r="F23" s="43">
        <v>5.2</v>
      </c>
      <c r="G23" s="43">
        <v>5.4</v>
      </c>
      <c r="H23" s="43">
        <v>5.5</v>
      </c>
      <c r="I23" s="43">
        <v>6</v>
      </c>
      <c r="J23" s="43">
        <v>6.2</v>
      </c>
    </row>
    <row r="24" spans="1:10">
      <c r="A24" s="279"/>
      <c r="B24" s="272"/>
      <c r="C24" s="44" t="s">
        <v>3</v>
      </c>
      <c r="D24" s="45"/>
      <c r="E24" s="45">
        <v>4.5999999999999996</v>
      </c>
      <c r="F24" s="45">
        <v>5.05</v>
      </c>
      <c r="G24" s="45">
        <v>5.35</v>
      </c>
      <c r="H24" s="45">
        <v>5.6</v>
      </c>
      <c r="I24" s="45">
        <v>5.6</v>
      </c>
      <c r="J24" s="45">
        <v>4.2</v>
      </c>
    </row>
    <row r="25" spans="1:10">
      <c r="A25" s="279"/>
      <c r="B25" s="272"/>
      <c r="C25" s="48" t="s">
        <v>1</v>
      </c>
      <c r="D25" s="49">
        <v>5</v>
      </c>
      <c r="E25" s="49">
        <v>4.5</v>
      </c>
      <c r="F25" s="49">
        <v>5</v>
      </c>
      <c r="G25" s="49">
        <v>5.4</v>
      </c>
      <c r="H25" s="49">
        <v>5.5</v>
      </c>
      <c r="I25" s="49">
        <v>5.5</v>
      </c>
      <c r="J25" s="49">
        <v>5.5</v>
      </c>
    </row>
    <row r="26" spans="1:10">
      <c r="A26" s="279"/>
      <c r="B26" s="40">
        <v>41317</v>
      </c>
      <c r="C26" s="60" t="s">
        <v>1</v>
      </c>
      <c r="D26" s="81">
        <v>5</v>
      </c>
      <c r="E26" s="81">
        <v>4.5</v>
      </c>
      <c r="F26" s="81">
        <v>5.0999999999999996</v>
      </c>
      <c r="G26" s="81">
        <v>5.25</v>
      </c>
      <c r="H26" s="81">
        <v>5.5</v>
      </c>
      <c r="I26" s="81">
        <v>5.5</v>
      </c>
      <c r="J26" s="81"/>
    </row>
    <row r="27" spans="1:10">
      <c r="A27" s="279"/>
      <c r="B27" s="40">
        <v>41244</v>
      </c>
      <c r="C27" s="60" t="s">
        <v>1</v>
      </c>
      <c r="D27" s="81">
        <v>5</v>
      </c>
      <c r="E27" s="81">
        <v>4.5</v>
      </c>
      <c r="F27" s="81">
        <v>5</v>
      </c>
      <c r="G27" s="81">
        <v>5.4</v>
      </c>
      <c r="H27" s="81">
        <v>5.6</v>
      </c>
      <c r="I27" s="81">
        <v>5.5</v>
      </c>
      <c r="J27" s="81">
        <v>5.5</v>
      </c>
    </row>
    <row r="28" spans="1:10">
      <c r="A28" s="279"/>
      <c r="B28" s="40">
        <v>41499</v>
      </c>
      <c r="C28" s="276" t="s">
        <v>16</v>
      </c>
      <c r="D28" s="277"/>
      <c r="E28" s="30">
        <v>-0.1</v>
      </c>
      <c r="F28" s="30">
        <v>0.1111111111111111</v>
      </c>
      <c r="G28" s="30">
        <v>8.0000000000000071E-2</v>
      </c>
      <c r="H28" s="30">
        <v>1.8518518518518452E-2</v>
      </c>
      <c r="I28" s="30">
        <v>0</v>
      </c>
      <c r="J28" s="30">
        <v>0</v>
      </c>
    </row>
    <row r="29" spans="1:10">
      <c r="A29" s="280"/>
      <c r="B29" s="40">
        <v>41318</v>
      </c>
      <c r="C29" s="276" t="s">
        <v>16</v>
      </c>
      <c r="D29" s="277"/>
      <c r="E29" s="30">
        <v>-0.1</v>
      </c>
      <c r="F29" s="30">
        <v>0.13333333333333325</v>
      </c>
      <c r="G29" s="30">
        <v>2.9411764705882425E-2</v>
      </c>
      <c r="H29" s="30">
        <v>4.7619047619047616E-2</v>
      </c>
      <c r="I29" s="30">
        <v>0</v>
      </c>
      <c r="J29" s="30"/>
    </row>
    <row r="30" spans="1:10">
      <c r="A30" s="65"/>
      <c r="B30" s="65"/>
      <c r="C30" s="65"/>
      <c r="D30" s="65"/>
      <c r="E30" s="65"/>
      <c r="F30" s="65"/>
      <c r="G30" s="65"/>
      <c r="H30" s="65"/>
      <c r="I30" s="65"/>
    </row>
    <row r="31" spans="1:10">
      <c r="A31" s="278" t="s">
        <v>19</v>
      </c>
      <c r="B31" s="273">
        <v>41499</v>
      </c>
      <c r="C31" s="6" t="s">
        <v>2</v>
      </c>
      <c r="D31" s="55"/>
      <c r="E31" s="55">
        <v>1169</v>
      </c>
      <c r="F31" s="55">
        <v>1116</v>
      </c>
      <c r="G31" s="55">
        <v>1076</v>
      </c>
      <c r="H31" s="55">
        <v>1039</v>
      </c>
      <c r="I31" s="55">
        <v>1002</v>
      </c>
      <c r="J31" s="55">
        <v>968</v>
      </c>
    </row>
    <row r="32" spans="1:10">
      <c r="A32" s="279"/>
      <c r="B32" s="272"/>
      <c r="C32" s="42" t="s">
        <v>0</v>
      </c>
      <c r="D32" s="56"/>
      <c r="E32" s="56">
        <v>1168</v>
      </c>
      <c r="F32" s="56">
        <v>1113</v>
      </c>
      <c r="G32" s="56">
        <v>1083</v>
      </c>
      <c r="H32" s="56">
        <v>1049</v>
      </c>
      <c r="I32" s="56">
        <v>1014</v>
      </c>
      <c r="J32" s="56">
        <v>980</v>
      </c>
    </row>
    <row r="33" spans="1:10">
      <c r="A33" s="279"/>
      <c r="B33" s="272"/>
      <c r="C33" s="44" t="s">
        <v>3</v>
      </c>
      <c r="D33" s="57"/>
      <c r="E33" s="57">
        <v>1164</v>
      </c>
      <c r="F33" s="57">
        <v>1097</v>
      </c>
      <c r="G33" s="57">
        <v>1045</v>
      </c>
      <c r="H33" s="57">
        <v>995</v>
      </c>
      <c r="I33" s="57">
        <v>951</v>
      </c>
      <c r="J33" s="57">
        <v>909</v>
      </c>
    </row>
    <row r="34" spans="1:10">
      <c r="A34" s="279"/>
      <c r="B34" s="272"/>
      <c r="C34" s="48" t="s">
        <v>1</v>
      </c>
      <c r="D34" s="58">
        <v>1225.8499999999999</v>
      </c>
      <c r="E34" s="58">
        <v>1165</v>
      </c>
      <c r="F34" s="58">
        <v>1110</v>
      </c>
      <c r="G34" s="58">
        <v>1070</v>
      </c>
      <c r="H34" s="58">
        <v>1030</v>
      </c>
      <c r="I34" s="58">
        <v>1000</v>
      </c>
      <c r="J34" s="58">
        <v>960</v>
      </c>
    </row>
    <row r="35" spans="1:10">
      <c r="A35" s="279"/>
      <c r="B35" s="40">
        <v>41317</v>
      </c>
      <c r="C35" s="60" t="s">
        <v>1</v>
      </c>
      <c r="D35" s="83">
        <v>1226</v>
      </c>
      <c r="E35" s="83">
        <v>1185</v>
      </c>
      <c r="F35" s="83">
        <v>1151</v>
      </c>
      <c r="G35" s="83">
        <v>1121</v>
      </c>
      <c r="H35" s="83">
        <v>1090.1407234210708</v>
      </c>
      <c r="I35" s="83">
        <v>1048</v>
      </c>
      <c r="J35" s="83"/>
    </row>
    <row r="36" spans="1:10">
      <c r="A36" s="279"/>
      <c r="B36" s="40">
        <v>41244</v>
      </c>
      <c r="C36" s="60" t="s">
        <v>1</v>
      </c>
      <c r="D36" s="83">
        <v>1228.5423506666664</v>
      </c>
      <c r="E36" s="83">
        <v>1184.5870287874238</v>
      </c>
      <c r="F36" s="83">
        <v>1151.3778293463738</v>
      </c>
      <c r="G36" s="83">
        <v>1121.0332793283103</v>
      </c>
      <c r="H36" s="83">
        <v>1090.1407234210708</v>
      </c>
      <c r="I36" s="83">
        <v>1048</v>
      </c>
      <c r="J36" s="83">
        <v>1048</v>
      </c>
    </row>
    <row r="37" spans="1:10">
      <c r="A37" s="279"/>
      <c r="B37" s="40">
        <v>41499</v>
      </c>
      <c r="C37" s="276" t="s">
        <v>16</v>
      </c>
      <c r="D37" s="277"/>
      <c r="E37" s="30">
        <v>-4.9639025981971625E-2</v>
      </c>
      <c r="F37" s="30">
        <v>-4.7210300429184553E-2</v>
      </c>
      <c r="G37" s="30">
        <v>-3.6036036036036036E-2</v>
      </c>
      <c r="H37" s="30">
        <v>-3.7383177570093455E-2</v>
      </c>
      <c r="I37" s="30">
        <v>-2.9126213592233011E-2</v>
      </c>
      <c r="J37" s="30">
        <v>-0.04</v>
      </c>
    </row>
    <row r="38" spans="1:10">
      <c r="A38" s="280"/>
      <c r="B38" s="40">
        <v>41318</v>
      </c>
      <c r="C38" s="276" t="s">
        <v>16</v>
      </c>
      <c r="D38" s="277"/>
      <c r="E38" s="30">
        <v>-3.3442088091353996E-2</v>
      </c>
      <c r="F38" s="30">
        <v>-2.8691983122362871E-2</v>
      </c>
      <c r="G38" s="30">
        <v>-2.6064291920069503E-2</v>
      </c>
      <c r="H38" s="30">
        <v>-2.7528346635976104E-2</v>
      </c>
      <c r="I38" s="30">
        <v>-3.8656223472530331E-2</v>
      </c>
      <c r="J38" s="30"/>
    </row>
  </sheetData>
  <mergeCells count="16">
    <mergeCell ref="C20:D20"/>
    <mergeCell ref="B22:B25"/>
    <mergeCell ref="C28:D28"/>
    <mergeCell ref="A13:A20"/>
    <mergeCell ref="A3:A11"/>
    <mergeCell ref="B3:B7"/>
    <mergeCell ref="C10:D10"/>
    <mergeCell ref="C11:D11"/>
    <mergeCell ref="B13:B16"/>
    <mergeCell ref="C19:D19"/>
    <mergeCell ref="B31:B34"/>
    <mergeCell ref="C37:D37"/>
    <mergeCell ref="C38:D38"/>
    <mergeCell ref="A31:A38"/>
    <mergeCell ref="A22:A29"/>
    <mergeCell ref="C29:D29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778FF-25DA-4F41-A7D2-A8FE19A26DB3}">
  <dimension ref="A1:AE75"/>
  <sheetViews>
    <sheetView workbookViewId="0">
      <selection activeCell="N34" sqref="N34:S34"/>
    </sheetView>
  </sheetViews>
  <sheetFormatPr defaultColWidth="9.28515625" defaultRowHeight="15"/>
  <cols>
    <col min="1" max="1" width="9.42578125" customWidth="1"/>
    <col min="2" max="2" width="7.5703125" bestFit="1" customWidth="1"/>
    <col min="3" max="3" width="13" customWidth="1"/>
    <col min="4" max="4" width="7.7109375" hidden="1" customWidth="1"/>
    <col min="5" max="5" width="8.28515625" hidden="1" customWidth="1"/>
    <col min="6" max="6" width="9.28515625" hidden="1" customWidth="1"/>
    <col min="7" max="7" width="13.42578125" hidden="1" customWidth="1"/>
    <col min="8" max="9" width="9.28515625" hidden="1" customWidth="1"/>
    <col min="10" max="10" width="7.7109375" hidden="1" customWidth="1"/>
    <col min="11" max="11" width="8.28515625" hidden="1" customWidth="1"/>
    <col min="12" max="12" width="9.28515625" hidden="1" customWidth="1"/>
    <col min="13" max="13" width="9.42578125" hidden="1" customWidth="1"/>
    <col min="14" max="14" width="10.85546875" bestFit="1" customWidth="1"/>
    <col min="15" max="15" width="10" customWidth="1"/>
    <col min="16" max="19" width="9.5703125" bestFit="1" customWidth="1"/>
    <col min="20" max="20" width="15.5703125" bestFit="1" customWidth="1"/>
    <col min="24" max="24" width="2.28515625" customWidth="1"/>
    <col min="28" max="28" width="2.28515625" customWidth="1"/>
  </cols>
  <sheetData>
    <row r="1" spans="1:31" ht="34.5" customHeight="1">
      <c r="A1" s="8"/>
      <c r="B1" s="11"/>
      <c r="C1" s="133"/>
      <c r="D1" s="132" t="s">
        <v>17</v>
      </c>
      <c r="E1" s="132" t="s">
        <v>25</v>
      </c>
      <c r="F1" s="132" t="s">
        <v>73</v>
      </c>
      <c r="G1" s="132" t="s">
        <v>74</v>
      </c>
      <c r="H1" s="132" t="s">
        <v>75</v>
      </c>
      <c r="I1" s="132" t="s">
        <v>77</v>
      </c>
      <c r="J1" s="132" t="s">
        <v>81</v>
      </c>
      <c r="K1" s="132" t="s">
        <v>24</v>
      </c>
      <c r="L1" s="132" t="s">
        <v>27</v>
      </c>
      <c r="M1" s="132" t="s">
        <v>57</v>
      </c>
      <c r="N1" s="132" t="s">
        <v>76</v>
      </c>
      <c r="O1" s="132" t="s">
        <v>80</v>
      </c>
      <c r="P1" s="132" t="s">
        <v>82</v>
      </c>
      <c r="Q1" s="132" t="s">
        <v>92</v>
      </c>
      <c r="R1" s="132" t="s">
        <v>102</v>
      </c>
      <c r="S1" s="132" t="s">
        <v>106</v>
      </c>
      <c r="U1" s="132" t="s">
        <v>76</v>
      </c>
      <c r="V1" s="187" t="s">
        <v>80</v>
      </c>
      <c r="W1" s="187" t="s">
        <v>82</v>
      </c>
      <c r="Y1" s="132" t="s">
        <v>76</v>
      </c>
      <c r="Z1" s="187" t="s">
        <v>80</v>
      </c>
      <c r="AA1" s="187" t="s">
        <v>82</v>
      </c>
      <c r="AC1" s="132" t="s">
        <v>76</v>
      </c>
      <c r="AD1" s="187" t="s">
        <v>80</v>
      </c>
      <c r="AE1" s="187" t="s">
        <v>82</v>
      </c>
    </row>
    <row r="2" spans="1:31">
      <c r="A2" s="284" t="s">
        <v>10</v>
      </c>
      <c r="B2" s="300">
        <v>44917</v>
      </c>
      <c r="C2" s="134" t="s">
        <v>4</v>
      </c>
      <c r="D2" s="135"/>
      <c r="E2" s="135"/>
      <c r="F2" s="135"/>
      <c r="G2" s="135"/>
      <c r="H2" s="135"/>
      <c r="I2" s="135">
        <v>44.74</v>
      </c>
      <c r="J2" s="135"/>
      <c r="K2" s="135"/>
      <c r="L2" s="135">
        <v>44.01</v>
      </c>
      <c r="M2" s="135">
        <v>50.58</v>
      </c>
      <c r="N2" s="135">
        <v>88.11</v>
      </c>
      <c r="O2" s="135">
        <v>84.22</v>
      </c>
      <c r="P2" s="135">
        <v>75.099999999999994</v>
      </c>
      <c r="Q2" s="135">
        <v>73.83</v>
      </c>
      <c r="R2" s="135">
        <v>72.040000000000006</v>
      </c>
      <c r="S2" s="135">
        <v>71.27</v>
      </c>
      <c r="U2" s="135"/>
      <c r="V2" s="135"/>
      <c r="W2" s="135"/>
      <c r="Y2" s="135"/>
      <c r="Z2" s="135"/>
      <c r="AA2" s="135"/>
      <c r="AC2" s="135"/>
      <c r="AD2" s="135"/>
      <c r="AE2" s="135"/>
    </row>
    <row r="3" spans="1:31">
      <c r="A3" s="285"/>
      <c r="B3" s="301"/>
      <c r="C3" s="136" t="s">
        <v>2</v>
      </c>
      <c r="D3" s="137"/>
      <c r="E3" s="138"/>
      <c r="F3" s="138"/>
      <c r="G3" s="138"/>
      <c r="H3" s="138"/>
      <c r="I3" s="138">
        <v>44.76</v>
      </c>
      <c r="J3" s="138"/>
      <c r="K3" s="138"/>
      <c r="L3" s="138">
        <v>44.01</v>
      </c>
      <c r="M3" s="138">
        <v>50.58</v>
      </c>
      <c r="N3" s="138">
        <v>88.11</v>
      </c>
      <c r="O3" s="138">
        <v>84.69</v>
      </c>
      <c r="P3" s="138">
        <v>76.77</v>
      </c>
      <c r="Q3" s="138">
        <v>73.62</v>
      </c>
      <c r="R3" s="138">
        <v>71.989999999999995</v>
      </c>
      <c r="S3" s="138">
        <v>71.39</v>
      </c>
      <c r="U3" s="138"/>
      <c r="V3" s="138"/>
      <c r="W3" s="138"/>
      <c r="Y3" s="138"/>
      <c r="Z3" s="138"/>
      <c r="AA3" s="138"/>
      <c r="AC3" s="138"/>
      <c r="AD3" s="138"/>
      <c r="AE3" s="138"/>
    </row>
    <row r="4" spans="1:31">
      <c r="A4" s="285"/>
      <c r="B4" s="301"/>
      <c r="C4" s="139" t="s">
        <v>0</v>
      </c>
      <c r="D4" s="140"/>
      <c r="E4" s="140"/>
      <c r="F4" s="140"/>
      <c r="G4" s="140"/>
      <c r="H4" s="140"/>
      <c r="I4" s="140">
        <v>44.75</v>
      </c>
      <c r="J4" s="140"/>
      <c r="K4" s="140"/>
      <c r="L4" s="140">
        <v>43.75</v>
      </c>
      <c r="M4" s="140">
        <v>50.58</v>
      </c>
      <c r="N4" s="140">
        <v>88.11</v>
      </c>
      <c r="O4" s="140">
        <v>86.63</v>
      </c>
      <c r="P4" s="140">
        <v>76.36</v>
      </c>
      <c r="Q4" s="140">
        <v>69.569999999999993</v>
      </c>
      <c r="R4" s="140">
        <v>67.34</v>
      </c>
      <c r="S4" s="140">
        <v>65.27</v>
      </c>
      <c r="U4" s="140"/>
      <c r="V4" s="140"/>
      <c r="W4" s="140"/>
      <c r="Y4" s="140"/>
      <c r="Z4" s="140"/>
      <c r="AA4" s="140"/>
      <c r="AC4" s="140"/>
      <c r="AD4" s="140"/>
      <c r="AE4" s="140"/>
    </row>
    <row r="5" spans="1:31">
      <c r="A5" s="285"/>
      <c r="B5" s="301"/>
      <c r="C5" s="141" t="s">
        <v>3</v>
      </c>
      <c r="D5" s="142"/>
      <c r="E5" s="142"/>
      <c r="F5" s="142"/>
      <c r="G5" s="142"/>
      <c r="H5" s="142"/>
      <c r="I5" s="142">
        <v>44.39</v>
      </c>
      <c r="J5" s="142"/>
      <c r="K5" s="142"/>
      <c r="L5" s="142">
        <v>44.15</v>
      </c>
      <c r="M5" s="142">
        <v>50.58</v>
      </c>
      <c r="N5" s="142">
        <v>88.11</v>
      </c>
      <c r="O5" s="142">
        <v>84.61</v>
      </c>
      <c r="P5" s="142">
        <v>77.92</v>
      </c>
      <c r="Q5" s="142">
        <v>72.87</v>
      </c>
      <c r="R5" s="142">
        <v>70.59</v>
      </c>
      <c r="S5" s="142">
        <v>69.03</v>
      </c>
      <c r="U5" s="142"/>
      <c r="V5" s="142"/>
      <c r="W5" s="142"/>
      <c r="Y5" s="142"/>
      <c r="Z5" s="142"/>
      <c r="AA5" s="142"/>
      <c r="AC5" s="142"/>
      <c r="AD5" s="142"/>
      <c r="AE5" s="142"/>
    </row>
    <row r="6" spans="1:31">
      <c r="A6" s="285"/>
      <c r="B6" s="302"/>
      <c r="C6" s="143" t="s">
        <v>1</v>
      </c>
      <c r="D6" s="144">
        <v>89.65</v>
      </c>
      <c r="E6" s="144">
        <v>85.82</v>
      </c>
      <c r="F6" s="144">
        <v>95.13</v>
      </c>
      <c r="G6" s="144">
        <v>60.67</v>
      </c>
      <c r="H6" s="144">
        <v>37.85</v>
      </c>
      <c r="I6" s="144">
        <f t="shared" ref="I6" si="0">+AVERAGE(I2:I5)</f>
        <v>44.66</v>
      </c>
      <c r="J6" s="144">
        <v>55.05</v>
      </c>
      <c r="K6" s="216" t="e">
        <f>AVERAGE(K2:K5)</f>
        <v>#DIV/0!</v>
      </c>
      <c r="L6" s="216">
        <v>44.01</v>
      </c>
      <c r="M6" s="216">
        <f>AVERAGE(M2:M5)</f>
        <v>50.58</v>
      </c>
      <c r="N6" s="216">
        <f t="shared" ref="N6:S6" si="1">MROUND(AVERAGE(N2:N5),0.5)</f>
        <v>88</v>
      </c>
      <c r="O6" s="216">
        <f t="shared" si="1"/>
        <v>85</v>
      </c>
      <c r="P6" s="216">
        <f t="shared" si="1"/>
        <v>76.5</v>
      </c>
      <c r="Q6" s="216">
        <f t="shared" si="1"/>
        <v>72.5</v>
      </c>
      <c r="R6" s="216">
        <f t="shared" si="1"/>
        <v>70.5</v>
      </c>
      <c r="S6" s="216">
        <f t="shared" si="1"/>
        <v>69</v>
      </c>
      <c r="U6" s="216"/>
      <c r="V6" s="216"/>
      <c r="W6" s="216"/>
      <c r="Y6" s="216"/>
      <c r="Z6" s="216"/>
      <c r="AA6" s="216"/>
      <c r="AC6" s="216"/>
      <c r="AD6" s="216"/>
      <c r="AE6" s="216"/>
    </row>
    <row r="7" spans="1:31">
      <c r="A7" s="285"/>
      <c r="B7" s="300">
        <v>44795</v>
      </c>
      <c r="C7" s="133" t="s">
        <v>1</v>
      </c>
      <c r="D7" s="138">
        <f>'Aug18'!D6</f>
        <v>89.65</v>
      </c>
      <c r="E7" s="138">
        <f>'Aug18'!E6</f>
        <v>85.82</v>
      </c>
      <c r="F7" s="138">
        <f>'Aug18'!F6</f>
        <v>95.13</v>
      </c>
      <c r="G7" s="138">
        <f>'Aug18'!G6</f>
        <v>60.67</v>
      </c>
      <c r="H7" s="138">
        <f>'Aug18'!H6</f>
        <v>37.85</v>
      </c>
      <c r="I7" s="138">
        <f>'Dec18'!I6</f>
        <v>44.66</v>
      </c>
      <c r="J7" s="138">
        <f>'Dec18'!J6</f>
        <v>55.05</v>
      </c>
      <c r="K7" s="138">
        <v>51.464999999999996</v>
      </c>
      <c r="L7" s="138">
        <f>'Feb21'!L6</f>
        <v>44.01</v>
      </c>
      <c r="M7" s="138">
        <f>'Aug21'!M6</f>
        <v>49.917499999999997</v>
      </c>
      <c r="N7" s="138">
        <f>'Aug 22'!N17</f>
        <v>86.5</v>
      </c>
      <c r="O7" s="138">
        <f>'Aug 22'!O17</f>
        <v>90.5</v>
      </c>
      <c r="P7" s="138">
        <f>'Aug 22'!P17</f>
        <v>78.5</v>
      </c>
      <c r="Q7" s="138">
        <f>'Aug 22'!Q17</f>
        <v>72</v>
      </c>
      <c r="R7" s="138">
        <f>'Aug 22'!R17</f>
        <v>70</v>
      </c>
      <c r="S7" s="138">
        <f>'Aug 22'!S17</f>
        <v>68.5</v>
      </c>
      <c r="U7" s="93" t="s">
        <v>99</v>
      </c>
      <c r="Y7" s="93" t="s">
        <v>100</v>
      </c>
      <c r="AC7" t="s">
        <v>101</v>
      </c>
    </row>
    <row r="8" spans="1:31" ht="14.65" hidden="1" customHeight="1">
      <c r="A8" s="285"/>
      <c r="B8" s="301"/>
      <c r="C8" s="133" t="s">
        <v>1</v>
      </c>
      <c r="D8" s="138">
        <v>89.65</v>
      </c>
      <c r="E8" s="138">
        <v>85.82</v>
      </c>
      <c r="F8" s="138">
        <v>95.14</v>
      </c>
      <c r="G8" s="138">
        <v>71</v>
      </c>
      <c r="H8" s="138">
        <v>66</v>
      </c>
      <c r="I8" s="138">
        <v>72</v>
      </c>
      <c r="J8" s="138">
        <v>76</v>
      </c>
      <c r="K8" s="138">
        <v>80</v>
      </c>
      <c r="L8" s="138"/>
      <c r="M8" s="138"/>
      <c r="R8" s="138">
        <v>59.5</v>
      </c>
    </row>
    <row r="9" spans="1:31" ht="14.65" hidden="1" customHeight="1">
      <c r="A9" s="285"/>
      <c r="B9" s="301"/>
      <c r="C9" s="133" t="s">
        <v>1</v>
      </c>
      <c r="D9" s="138">
        <v>89.65</v>
      </c>
      <c r="E9" s="138">
        <v>85.82</v>
      </c>
      <c r="F9" s="138">
        <v>95.75</v>
      </c>
      <c r="G9" s="138">
        <v>92</v>
      </c>
      <c r="H9" s="138">
        <v>88</v>
      </c>
      <c r="I9" s="138">
        <v>87</v>
      </c>
      <c r="J9" s="138">
        <v>86</v>
      </c>
      <c r="K9" s="138">
        <v>85</v>
      </c>
      <c r="L9" s="138"/>
      <c r="M9" s="138"/>
      <c r="R9" s="138">
        <v>59.5</v>
      </c>
    </row>
    <row r="10" spans="1:31" ht="14.65" hidden="1" customHeight="1">
      <c r="A10" s="285"/>
      <c r="B10" s="301"/>
      <c r="C10" s="133" t="s">
        <v>1</v>
      </c>
      <c r="D10" s="138">
        <v>90</v>
      </c>
      <c r="E10" s="138">
        <v>87</v>
      </c>
      <c r="F10" s="138">
        <v>94</v>
      </c>
      <c r="G10" s="138">
        <v>87.5</v>
      </c>
      <c r="H10" s="138">
        <v>85</v>
      </c>
      <c r="I10" s="138">
        <v>84</v>
      </c>
      <c r="J10" s="138">
        <v>84</v>
      </c>
      <c r="K10" s="138"/>
      <c r="L10" s="138"/>
      <c r="M10" s="138"/>
      <c r="R10" s="138">
        <v>59.5</v>
      </c>
    </row>
    <row r="11" spans="1:31" ht="14.65" hidden="1" customHeight="1">
      <c r="A11" s="285"/>
      <c r="B11" s="302"/>
      <c r="C11" s="133" t="s">
        <v>1</v>
      </c>
      <c r="D11" s="145">
        <v>90</v>
      </c>
      <c r="E11" s="145">
        <v>86.5</v>
      </c>
      <c r="F11" s="145">
        <v>88</v>
      </c>
      <c r="G11" s="145">
        <v>87.5</v>
      </c>
      <c r="H11" s="145">
        <v>87</v>
      </c>
      <c r="I11" s="145">
        <v>86.5</v>
      </c>
      <c r="J11" s="145"/>
      <c r="K11" s="145"/>
      <c r="L11" s="145"/>
      <c r="M11" s="145"/>
      <c r="R11" s="138">
        <v>59.5</v>
      </c>
    </row>
    <row r="12" spans="1:31" hidden="1">
      <c r="A12" s="285"/>
      <c r="B12" s="33">
        <v>41244</v>
      </c>
      <c r="C12" s="133" t="s">
        <v>1</v>
      </c>
      <c r="D12" s="145">
        <v>89.640506965377526</v>
      </c>
      <c r="E12" s="145">
        <v>85</v>
      </c>
      <c r="F12" s="145">
        <v>84.75</v>
      </c>
      <c r="G12" s="145">
        <v>83.5</v>
      </c>
      <c r="H12" s="145">
        <v>82.5</v>
      </c>
      <c r="I12" s="145">
        <v>83</v>
      </c>
      <c r="J12" s="145">
        <v>83</v>
      </c>
      <c r="K12" s="145"/>
      <c r="L12" s="145"/>
      <c r="M12" s="145"/>
      <c r="R12" s="138">
        <v>59.5</v>
      </c>
    </row>
    <row r="13" spans="1:31" hidden="1">
      <c r="A13" s="285"/>
      <c r="B13" s="33">
        <v>42217</v>
      </c>
      <c r="C13" s="292" t="s">
        <v>16</v>
      </c>
      <c r="D13" s="293"/>
      <c r="E13" s="146">
        <f t="shared" ref="E13:M13" si="2">+E6/D6-1</f>
        <v>-4.2721695482431765E-2</v>
      </c>
      <c r="F13" s="146">
        <f>+F6/E6-1</f>
        <v>0.10848287112561183</v>
      </c>
      <c r="G13" s="166">
        <f>+G6/F6-1</f>
        <v>-0.36224114369809735</v>
      </c>
      <c r="H13" s="146">
        <f t="shared" si="2"/>
        <v>-0.37613317949563208</v>
      </c>
      <c r="I13" s="146">
        <f t="shared" si="2"/>
        <v>0.17992073976221912</v>
      </c>
      <c r="J13" s="146">
        <f t="shared" si="2"/>
        <v>0.23264666368114639</v>
      </c>
      <c r="K13" s="146" t="e">
        <f t="shared" si="2"/>
        <v>#DIV/0!</v>
      </c>
      <c r="L13" s="146" t="e">
        <f t="shared" si="2"/>
        <v>#DIV/0!</v>
      </c>
      <c r="M13" s="146">
        <f t="shared" si="2"/>
        <v>0.14928425357873221</v>
      </c>
      <c r="R13" s="138">
        <v>59.5</v>
      </c>
    </row>
    <row r="14" spans="1:31" hidden="1">
      <c r="A14" s="285"/>
      <c r="B14" s="33">
        <v>42031</v>
      </c>
      <c r="C14" s="290" t="s">
        <v>16</v>
      </c>
      <c r="D14" s="291"/>
      <c r="E14" s="147">
        <f t="shared" ref="E14:K15" si="3">(E7-D7)/D7</f>
        <v>-4.2721695482431814E-2</v>
      </c>
      <c r="F14" s="147">
        <f t="shared" si="3"/>
        <v>0.10848287112561178</v>
      </c>
      <c r="G14" s="147">
        <f t="shared" si="3"/>
        <v>-0.36224114369809729</v>
      </c>
      <c r="H14" s="147">
        <f t="shared" si="3"/>
        <v>-0.37613317949563208</v>
      </c>
      <c r="I14" s="147">
        <f t="shared" si="3"/>
        <v>0.17992073976221915</v>
      </c>
      <c r="J14" s="147">
        <f t="shared" si="3"/>
        <v>0.23264666368114648</v>
      </c>
      <c r="K14" s="147">
        <f t="shared" si="3"/>
        <v>-6.5122615803814732E-2</v>
      </c>
      <c r="L14" s="147"/>
      <c r="M14" s="147"/>
      <c r="R14" s="138">
        <v>59.5</v>
      </c>
    </row>
    <row r="15" spans="1:31" hidden="1">
      <c r="A15" s="285"/>
      <c r="B15" s="33">
        <v>41974</v>
      </c>
      <c r="C15" s="290" t="s">
        <v>16</v>
      </c>
      <c r="D15" s="291"/>
      <c r="E15" s="147">
        <f t="shared" si="3"/>
        <v>-4.2721695482431814E-2</v>
      </c>
      <c r="F15" s="147">
        <f t="shared" si="3"/>
        <v>0.10859939408063397</v>
      </c>
      <c r="G15" s="147">
        <f t="shared" si="3"/>
        <v>-0.2537313432835821</v>
      </c>
      <c r="H15" s="147">
        <f t="shared" si="3"/>
        <v>-7.0422535211267609E-2</v>
      </c>
      <c r="I15" s="147">
        <f t="shared" si="3"/>
        <v>9.0909090909090912E-2</v>
      </c>
      <c r="J15" s="147">
        <f t="shared" si="3"/>
        <v>5.5555555555555552E-2</v>
      </c>
      <c r="K15" s="147"/>
      <c r="L15" s="147"/>
      <c r="M15" s="147"/>
      <c r="R15" s="138">
        <v>59.5</v>
      </c>
    </row>
    <row r="16" spans="1:31" hidden="1">
      <c r="A16" s="286"/>
      <c r="B16" s="33">
        <v>41499</v>
      </c>
      <c r="C16" s="292" t="s">
        <v>16</v>
      </c>
      <c r="D16" s="293"/>
      <c r="E16" s="146">
        <f t="shared" ref="E16:J16" si="4">(E10-D10)/D10</f>
        <v>-3.3333333333333333E-2</v>
      </c>
      <c r="F16" s="146">
        <f t="shared" si="4"/>
        <v>8.0459770114942528E-2</v>
      </c>
      <c r="G16" s="146">
        <f t="shared" si="4"/>
        <v>-6.9148936170212769E-2</v>
      </c>
      <c r="H16" s="146">
        <f t="shared" si="4"/>
        <v>-2.8571428571428571E-2</v>
      </c>
      <c r="I16" s="146">
        <f t="shared" si="4"/>
        <v>-1.1764705882352941E-2</v>
      </c>
      <c r="J16" s="146">
        <f t="shared" si="4"/>
        <v>0</v>
      </c>
      <c r="K16" s="146"/>
      <c r="L16" s="146"/>
      <c r="M16" s="146"/>
      <c r="R16" s="138">
        <v>59.5</v>
      </c>
    </row>
    <row r="17" spans="1:31">
      <c r="A17" s="65"/>
      <c r="B17" s="65"/>
      <c r="C17" s="65"/>
      <c r="D17" s="65"/>
      <c r="E17" s="65"/>
      <c r="F17" s="65"/>
      <c r="G17" s="65"/>
      <c r="H17" s="65"/>
      <c r="I17" s="65"/>
      <c r="J17" s="65"/>
      <c r="K17" s="65"/>
      <c r="L17" s="65"/>
      <c r="M17" s="247">
        <v>50.580000000000005</v>
      </c>
      <c r="N17" s="252">
        <v>88.11</v>
      </c>
      <c r="O17" s="252">
        <v>85</v>
      </c>
      <c r="P17" s="252">
        <v>76.5</v>
      </c>
      <c r="Q17" s="252">
        <v>72.5</v>
      </c>
      <c r="R17" s="252">
        <v>70.5</v>
      </c>
      <c r="S17" s="252">
        <v>69</v>
      </c>
      <c r="T17" s="250" t="str">
        <f>T34</f>
        <v>FINAL 11/22/22</v>
      </c>
      <c r="U17" s="112">
        <f>+U6/$N$6-1</f>
        <v>-1</v>
      </c>
      <c r="V17" s="112" t="e">
        <f>+V6/U6-1</f>
        <v>#DIV/0!</v>
      </c>
      <c r="W17" s="112" t="e">
        <f>+W6/V6-1</f>
        <v>#DIV/0!</v>
      </c>
      <c r="Y17" s="112">
        <f>+Y6/$N$6-1</f>
        <v>-1</v>
      </c>
      <c r="Z17" s="112" t="e">
        <f>+Z6/Y6-1</f>
        <v>#DIV/0!</v>
      </c>
      <c r="AA17" s="112" t="e">
        <f>+AA6/Z6-1</f>
        <v>#DIV/0!</v>
      </c>
      <c r="AC17" s="112">
        <f>+AC6/$N$6-1</f>
        <v>-1</v>
      </c>
      <c r="AD17" s="112" t="e">
        <f>+AD6/AC6-1</f>
        <v>#DIV/0!</v>
      </c>
      <c r="AE17" s="112" t="e">
        <f>+AE6/AD6-1</f>
        <v>#DIV/0!</v>
      </c>
    </row>
    <row r="18" spans="1:31">
      <c r="A18" s="65"/>
      <c r="B18" s="65"/>
      <c r="C18" s="65"/>
      <c r="D18" s="65"/>
      <c r="E18" s="65"/>
      <c r="F18" s="65"/>
      <c r="G18" s="65"/>
      <c r="H18" s="65"/>
      <c r="I18" s="65"/>
      <c r="J18" s="65"/>
      <c r="K18" s="65"/>
      <c r="L18" s="65"/>
      <c r="M18" s="65"/>
      <c r="N18" s="65"/>
      <c r="O18" s="65"/>
      <c r="P18" s="65"/>
      <c r="Q18" s="65"/>
      <c r="R18" s="65"/>
      <c r="S18" s="65"/>
      <c r="U18" s="112"/>
      <c r="V18" s="112"/>
      <c r="W18" s="112"/>
      <c r="Y18" s="112"/>
      <c r="Z18" s="112"/>
      <c r="AA18" s="112"/>
      <c r="AC18" s="112"/>
      <c r="AD18" s="112"/>
      <c r="AE18" s="112"/>
    </row>
    <row r="19" spans="1:31">
      <c r="A19" s="307" t="s">
        <v>12</v>
      </c>
      <c r="B19" s="300">
        <f>B2</f>
        <v>44917</v>
      </c>
      <c r="C19" s="134" t="s">
        <v>4</v>
      </c>
      <c r="D19" s="135"/>
      <c r="E19" s="135"/>
      <c r="F19" s="135"/>
      <c r="G19" s="135"/>
      <c r="H19" s="135"/>
      <c r="I19" s="135"/>
      <c r="J19" s="135"/>
      <c r="K19" s="135"/>
      <c r="L19" s="135">
        <v>363.84699999999998</v>
      </c>
      <c r="M19" s="177">
        <v>407.68</v>
      </c>
      <c r="N19" s="177">
        <v>531.4</v>
      </c>
      <c r="O19" s="177"/>
      <c r="P19" s="177">
        <v>665</v>
      </c>
      <c r="Q19" s="177">
        <v>711</v>
      </c>
      <c r="R19" s="177">
        <v>752</v>
      </c>
      <c r="S19" s="177">
        <v>784</v>
      </c>
    </row>
    <row r="20" spans="1:31" ht="15" customHeight="1">
      <c r="A20" s="308"/>
      <c r="B20" s="301"/>
      <c r="C20" s="136" t="s">
        <v>2</v>
      </c>
      <c r="D20" s="148"/>
      <c r="E20" s="148"/>
      <c r="F20" s="148"/>
      <c r="G20" s="148"/>
      <c r="H20" s="148"/>
      <c r="I20" s="148">
        <v>155.96</v>
      </c>
      <c r="J20" s="148"/>
      <c r="K20" s="148"/>
      <c r="L20" s="148">
        <v>369.54</v>
      </c>
      <c r="M20" s="148">
        <v>407.68200000000002</v>
      </c>
      <c r="N20" s="148">
        <v>531.4</v>
      </c>
      <c r="O20" s="148">
        <v>619.1</v>
      </c>
      <c r="P20" s="148">
        <v>678.8</v>
      </c>
      <c r="Q20" s="148">
        <v>731.6</v>
      </c>
      <c r="R20" s="148">
        <v>775.1</v>
      </c>
      <c r="S20" s="148">
        <v>809.6</v>
      </c>
      <c r="T20" s="112"/>
      <c r="U20" s="241"/>
      <c r="V20" s="148"/>
      <c r="W20" s="148"/>
      <c r="Y20" s="241"/>
      <c r="Z20" s="148"/>
      <c r="AA20" s="148"/>
      <c r="AC20" s="148"/>
      <c r="AD20" s="148"/>
      <c r="AE20" s="148"/>
    </row>
    <row r="21" spans="1:31">
      <c r="A21" s="308"/>
      <c r="B21" s="301"/>
      <c r="C21" s="139" t="s">
        <v>0</v>
      </c>
      <c r="D21" s="149"/>
      <c r="E21" s="149"/>
      <c r="F21" s="149"/>
      <c r="G21" s="149"/>
      <c r="H21" s="149"/>
      <c r="I21" s="149"/>
      <c r="J21" s="149"/>
      <c r="K21" s="149"/>
      <c r="L21" s="149">
        <v>368.08587199999999</v>
      </c>
      <c r="M21" s="149">
        <v>407.68</v>
      </c>
      <c r="N21" s="149">
        <v>531.37199999999996</v>
      </c>
      <c r="O21" s="149">
        <v>620.85</v>
      </c>
      <c r="P21" s="149">
        <v>655.5</v>
      </c>
      <c r="Q21" s="149">
        <v>683.94</v>
      </c>
      <c r="R21" s="149">
        <v>697.62</v>
      </c>
      <c r="S21" s="149">
        <v>711.57</v>
      </c>
      <c r="T21" s="112"/>
      <c r="U21" s="149"/>
      <c r="V21" s="149"/>
      <c r="W21" s="149"/>
      <c r="Y21" s="149"/>
      <c r="Z21" s="149"/>
      <c r="AA21" s="149"/>
      <c r="AC21" s="149"/>
      <c r="AD21" s="149"/>
      <c r="AE21" s="149"/>
    </row>
    <row r="22" spans="1:31">
      <c r="A22" s="308"/>
      <c r="B22" s="301"/>
      <c r="C22" s="141" t="s">
        <v>3</v>
      </c>
      <c r="D22" s="151"/>
      <c r="E22" s="151"/>
      <c r="F22" s="151"/>
      <c r="G22" s="151"/>
      <c r="H22" s="151"/>
      <c r="I22" s="151">
        <v>155.9</v>
      </c>
      <c r="J22" s="151"/>
      <c r="K22" s="151"/>
      <c r="L22" s="151">
        <v>368.1</v>
      </c>
      <c r="M22" s="151">
        <v>407.68200000000002</v>
      </c>
      <c r="N22" s="151">
        <v>531.37199999999996</v>
      </c>
      <c r="O22" s="151">
        <v>619.60799999999995</v>
      </c>
      <c r="P22" s="151">
        <v>650.69399999999996</v>
      </c>
      <c r="Q22" s="151">
        <v>706.36599999999999</v>
      </c>
      <c r="R22" s="151">
        <v>754.86900000000003</v>
      </c>
      <c r="S22" s="151">
        <v>788.01800000000003</v>
      </c>
      <c r="T22" s="112"/>
      <c r="U22" s="151"/>
      <c r="V22" s="151"/>
      <c r="W22" s="151"/>
      <c r="Y22" s="151"/>
      <c r="Z22" s="151"/>
      <c r="AA22" s="151"/>
      <c r="AC22" s="151"/>
      <c r="AD22" s="151"/>
      <c r="AE22" s="151"/>
    </row>
    <row r="23" spans="1:31">
      <c r="A23" s="308"/>
      <c r="B23" s="302"/>
      <c r="C23" s="143" t="s">
        <v>1</v>
      </c>
      <c r="D23" s="152">
        <v>80.3</v>
      </c>
      <c r="E23" s="152">
        <v>96.4</v>
      </c>
      <c r="F23" s="153">
        <v>113.9</v>
      </c>
      <c r="G23" s="153">
        <v>141.4</v>
      </c>
      <c r="H23" s="153">
        <v>146.69999999999999</v>
      </c>
      <c r="I23" s="153">
        <v>153</v>
      </c>
      <c r="J23" s="206">
        <f>J24</f>
        <v>204.40600000000003</v>
      </c>
      <c r="K23" s="209">
        <v>300</v>
      </c>
      <c r="L23" s="226">
        <f>L21</f>
        <v>368.08587199999999</v>
      </c>
      <c r="M23" s="226">
        <f>AVERAGE(M19:M22)</f>
        <v>407.68100000000004</v>
      </c>
      <c r="N23" s="226">
        <f t="shared" ref="N23" si="5">AVERAGE(N19:N22)</f>
        <v>531.38599999999997</v>
      </c>
      <c r="O23" s="226">
        <f>MROUND(AVERAGE(O19:O22),5)</f>
        <v>620</v>
      </c>
      <c r="P23" s="226">
        <f t="shared" ref="P23:S23" si="6">MROUND(AVERAGE(P19:P22),5)</f>
        <v>660</v>
      </c>
      <c r="Q23" s="226">
        <f t="shared" si="6"/>
        <v>710</v>
      </c>
      <c r="R23" s="226">
        <f t="shared" si="6"/>
        <v>745</v>
      </c>
      <c r="S23" s="226">
        <f t="shared" si="6"/>
        <v>775</v>
      </c>
      <c r="U23" s="226"/>
      <c r="V23" s="226"/>
      <c r="W23" s="226"/>
      <c r="Y23" s="226"/>
      <c r="Z23" s="226"/>
      <c r="AA23" s="226"/>
      <c r="AC23" s="226"/>
      <c r="AD23" s="226"/>
      <c r="AE23" s="226"/>
    </row>
    <row r="24" spans="1:31">
      <c r="A24" s="308"/>
      <c r="B24" s="303">
        <f>B7</f>
        <v>44795</v>
      </c>
      <c r="C24" s="133" t="s">
        <v>1</v>
      </c>
      <c r="D24" s="154">
        <f>'Aug18'!D21</f>
        <v>80.3</v>
      </c>
      <c r="E24" s="154">
        <f>'Aug18'!E21</f>
        <v>96.4</v>
      </c>
      <c r="F24" s="154">
        <f>'Aug18'!F21</f>
        <v>113.9</v>
      </c>
      <c r="G24" s="154">
        <f>'Aug18'!G21</f>
        <v>141.4</v>
      </c>
      <c r="H24" s="154">
        <f>'Aug18'!H21</f>
        <v>146.69999999999999</v>
      </c>
      <c r="I24" s="154">
        <f>'Dec18'!I21</f>
        <v>153</v>
      </c>
      <c r="J24" s="154">
        <f>'Dec18'!J21</f>
        <v>204.40600000000003</v>
      </c>
      <c r="K24" s="154">
        <v>300.43599999999998</v>
      </c>
      <c r="L24" s="154">
        <f>'Feb21'!L22</f>
        <v>368.08587199999999</v>
      </c>
      <c r="M24" s="154">
        <f>'Aug21'!M22</f>
        <v>405</v>
      </c>
      <c r="N24" s="248">
        <f>'Aug 22'!N34</f>
        <v>529.4</v>
      </c>
      <c r="O24" s="248">
        <f>'Aug 22'!O34</f>
        <v>590</v>
      </c>
      <c r="P24" s="248">
        <f>'Aug 22'!P34</f>
        <v>640</v>
      </c>
      <c r="Q24" s="248">
        <f>'Aug 22'!Q34</f>
        <v>675</v>
      </c>
      <c r="R24" s="248">
        <f>'Aug 22'!R34</f>
        <v>710</v>
      </c>
      <c r="S24" s="248">
        <f>'Aug 22'!S34</f>
        <v>725</v>
      </c>
      <c r="U24" s="112">
        <f>+U23/$N$23-1</f>
        <v>-1</v>
      </c>
      <c r="V24" s="112" t="e">
        <f>+V23/U23-1</f>
        <v>#DIV/0!</v>
      </c>
      <c r="W24" s="112" t="e">
        <f>+W23/V23-1</f>
        <v>#DIV/0!</v>
      </c>
      <c r="Y24" s="112">
        <f>+Y23/$N$23-1</f>
        <v>-1</v>
      </c>
      <c r="Z24" s="112" t="e">
        <f>+Z23/Y23-1</f>
        <v>#DIV/0!</v>
      </c>
      <c r="AA24" s="112" t="e">
        <f>+AA23/Z23-1</f>
        <v>#DIV/0!</v>
      </c>
      <c r="AC24" s="112">
        <f>+AC23/$N$23-1</f>
        <v>-1</v>
      </c>
      <c r="AD24" s="112" t="e">
        <f>+AD23/AC23-1</f>
        <v>#DIV/0!</v>
      </c>
      <c r="AE24" s="112" t="e">
        <f>+AE23/AD23-1</f>
        <v>#DIV/0!</v>
      </c>
    </row>
    <row r="25" spans="1:31" ht="14.65" hidden="1" customHeight="1">
      <c r="A25" s="308"/>
      <c r="B25" s="304"/>
      <c r="C25" s="133" t="s">
        <v>1</v>
      </c>
      <c r="D25" s="154">
        <v>80.3</v>
      </c>
      <c r="E25" s="154">
        <v>96.4</v>
      </c>
      <c r="F25" s="154">
        <v>113.4</v>
      </c>
      <c r="G25" s="154">
        <v>122</v>
      </c>
      <c r="H25" s="154">
        <v>127</v>
      </c>
      <c r="I25" s="154">
        <v>131</v>
      </c>
      <c r="J25" s="154">
        <v>133</v>
      </c>
      <c r="K25" s="154">
        <v>135</v>
      </c>
      <c r="L25" s="154"/>
      <c r="M25" s="154"/>
      <c r="N25" s="154"/>
      <c r="O25" s="154"/>
      <c r="P25" s="154"/>
      <c r="Q25" s="154"/>
      <c r="R25" s="154"/>
      <c r="S25" s="154"/>
    </row>
    <row r="26" spans="1:31" ht="14.65" hidden="1" customHeight="1">
      <c r="A26" s="308"/>
      <c r="B26" s="304"/>
      <c r="C26" s="133" t="s">
        <v>1</v>
      </c>
      <c r="D26" s="154">
        <v>80.3</v>
      </c>
      <c r="E26" s="154">
        <v>96.4</v>
      </c>
      <c r="F26" s="154">
        <v>110</v>
      </c>
      <c r="G26" s="154">
        <v>117</v>
      </c>
      <c r="H26" s="154">
        <v>122</v>
      </c>
      <c r="I26" s="154">
        <v>125</v>
      </c>
      <c r="J26" s="154">
        <v>127</v>
      </c>
      <c r="K26" s="154">
        <v>129</v>
      </c>
      <c r="L26" s="154"/>
      <c r="M26" s="154"/>
      <c r="N26" s="154"/>
      <c r="O26" s="154"/>
      <c r="P26" s="154"/>
      <c r="Q26" s="154"/>
      <c r="R26" s="154"/>
      <c r="S26" s="154"/>
    </row>
    <row r="27" spans="1:31" ht="14.65" hidden="1" customHeight="1">
      <c r="A27" s="308"/>
      <c r="B27" s="305"/>
      <c r="C27" s="133" t="s">
        <v>1</v>
      </c>
      <c r="D27" s="154">
        <v>80.069999999999993</v>
      </c>
      <c r="E27" s="154">
        <v>90</v>
      </c>
      <c r="F27" s="154">
        <v>93</v>
      </c>
      <c r="G27" s="154">
        <v>97</v>
      </c>
      <c r="H27" s="154">
        <v>100</v>
      </c>
      <c r="I27" s="154">
        <v>101</v>
      </c>
      <c r="J27" s="154">
        <v>102</v>
      </c>
      <c r="K27" s="154"/>
      <c r="L27" s="154"/>
      <c r="M27" s="154"/>
      <c r="N27" s="154"/>
      <c r="O27" s="154"/>
      <c r="P27" s="154"/>
      <c r="Q27" s="154"/>
      <c r="R27" s="154"/>
      <c r="S27" s="154"/>
    </row>
    <row r="28" spans="1:31" ht="15" hidden="1" customHeight="1">
      <c r="A28" s="308"/>
      <c r="B28" s="33">
        <v>41317</v>
      </c>
      <c r="C28" s="133" t="s">
        <v>1</v>
      </c>
      <c r="D28" s="155">
        <v>80.099999999999994</v>
      </c>
      <c r="E28" s="155">
        <v>87</v>
      </c>
      <c r="F28" s="155">
        <v>91.4</v>
      </c>
      <c r="G28" s="155">
        <v>94.1</v>
      </c>
      <c r="H28" s="155">
        <v>96</v>
      </c>
      <c r="I28" s="155">
        <v>97.9</v>
      </c>
      <c r="J28" s="155"/>
      <c r="K28" s="155"/>
      <c r="L28" s="155"/>
      <c r="M28" s="155"/>
      <c r="N28" s="155"/>
      <c r="O28" s="155"/>
      <c r="P28" s="155"/>
      <c r="Q28" s="155"/>
      <c r="R28" s="155"/>
      <c r="S28" s="155"/>
    </row>
    <row r="29" spans="1:31" ht="15" hidden="1" customHeight="1">
      <c r="A29" s="308"/>
      <c r="B29" s="33">
        <v>41244</v>
      </c>
      <c r="C29" s="133" t="s">
        <v>1</v>
      </c>
      <c r="D29" s="155">
        <v>79.7</v>
      </c>
      <c r="E29" s="155">
        <v>84.119744824999998</v>
      </c>
      <c r="F29" s="155">
        <v>88.406534618000009</v>
      </c>
      <c r="G29" s="155">
        <v>92.434230656539995</v>
      </c>
      <c r="H29" s="155">
        <v>96.132415269670815</v>
      </c>
      <c r="I29" s="155">
        <v>97.6</v>
      </c>
      <c r="J29" s="155">
        <v>97.6</v>
      </c>
      <c r="K29" s="155"/>
      <c r="L29" s="155"/>
      <c r="M29" s="155"/>
      <c r="N29" s="155"/>
      <c r="O29" s="155"/>
      <c r="P29" s="155"/>
      <c r="Q29" s="155"/>
      <c r="R29" s="155"/>
      <c r="S29" s="155"/>
    </row>
    <row r="30" spans="1:31">
      <c r="A30" s="308"/>
      <c r="B30" s="33">
        <f>B19</f>
        <v>44917</v>
      </c>
      <c r="C30" s="292" t="s">
        <v>16</v>
      </c>
      <c r="D30" s="293"/>
      <c r="E30" s="167">
        <f t="shared" ref="E30:S31" si="7">(E23-D23)/D23</f>
        <v>0.20049813200498143</v>
      </c>
      <c r="F30" s="167">
        <f>(F23-E23)/E23</f>
        <v>0.18153526970954356</v>
      </c>
      <c r="G30" s="167">
        <f t="shared" si="7"/>
        <v>0.24143985952589991</v>
      </c>
      <c r="H30" s="167">
        <f t="shared" si="7"/>
        <v>3.7482319660537361E-2</v>
      </c>
      <c r="I30" s="167">
        <f>(I23-H23)/H23</f>
        <v>4.2944785276073698E-2</v>
      </c>
      <c r="J30" s="167">
        <f>(J23-I23)/I23</f>
        <v>0.33598692810457537</v>
      </c>
      <c r="K30" s="167">
        <f t="shared" si="7"/>
        <v>0.46766728960989379</v>
      </c>
      <c r="L30" s="167">
        <f t="shared" si="7"/>
        <v>0.22695290666666665</v>
      </c>
      <c r="M30" s="167">
        <f t="shared" si="7"/>
        <v>0.10757035521319885</v>
      </c>
      <c r="N30" s="167">
        <f t="shared" si="7"/>
        <v>0.30343577453940684</v>
      </c>
      <c r="O30" s="167">
        <f t="shared" si="7"/>
        <v>0.16676013293538039</v>
      </c>
      <c r="P30" s="167">
        <f t="shared" si="7"/>
        <v>6.4516129032258063E-2</v>
      </c>
      <c r="Q30" s="167">
        <f t="shared" si="7"/>
        <v>7.575757575757576E-2</v>
      </c>
      <c r="R30" s="167">
        <f t="shared" si="7"/>
        <v>4.9295774647887321E-2</v>
      </c>
      <c r="S30" s="167">
        <f t="shared" si="7"/>
        <v>4.0268456375838924E-2</v>
      </c>
      <c r="U30" s="93" t="s">
        <v>99</v>
      </c>
      <c r="Y30" s="93" t="s">
        <v>100</v>
      </c>
      <c r="AC30" t="s">
        <v>101</v>
      </c>
    </row>
    <row r="31" spans="1:31">
      <c r="A31" s="308"/>
      <c r="B31" s="33">
        <f>B24</f>
        <v>44795</v>
      </c>
      <c r="C31" s="290" t="s">
        <v>16</v>
      </c>
      <c r="D31" s="291"/>
      <c r="E31" s="168">
        <f>(E24-D24)/D24</f>
        <v>0.20049813200498143</v>
      </c>
      <c r="F31" s="168">
        <f t="shared" ref="F31:Q32" si="8">(F24-E24)/E24</f>
        <v>0.18153526970954356</v>
      </c>
      <c r="G31" s="168">
        <f>(G24-F24)/F24</f>
        <v>0.24143985952589991</v>
      </c>
      <c r="H31" s="168">
        <f t="shared" si="7"/>
        <v>3.7482319660537361E-2</v>
      </c>
      <c r="I31" s="168">
        <f>(I24-H24)/H24</f>
        <v>4.2944785276073698E-2</v>
      </c>
      <c r="J31" s="168">
        <f t="shared" si="7"/>
        <v>0.33598692810457537</v>
      </c>
      <c r="K31" s="168">
        <v>0.45837206344236431</v>
      </c>
      <c r="L31" s="168">
        <f>+L24/K24-1</f>
        <v>0.2251723228907323</v>
      </c>
      <c r="M31" s="168">
        <f t="shared" ref="M31:S31" si="9">+M24/L24-1</f>
        <v>0.10028672874464473</v>
      </c>
      <c r="N31" s="168">
        <f t="shared" si="9"/>
        <v>0.30716049382716037</v>
      </c>
      <c r="O31" s="168">
        <f t="shared" si="9"/>
        <v>0.1144692104268985</v>
      </c>
      <c r="P31" s="168">
        <f t="shared" si="9"/>
        <v>8.4745762711864403E-2</v>
      </c>
      <c r="Q31" s="168">
        <f t="shared" si="9"/>
        <v>5.46875E-2</v>
      </c>
      <c r="R31" s="168">
        <f t="shared" si="9"/>
        <v>5.1851851851851816E-2</v>
      </c>
      <c r="S31" s="168">
        <f t="shared" si="9"/>
        <v>2.1126760563380254E-2</v>
      </c>
    </row>
    <row r="32" spans="1:31" ht="15" hidden="1" customHeight="1">
      <c r="A32" s="308"/>
      <c r="B32" s="33">
        <v>41974</v>
      </c>
      <c r="C32" s="290" t="s">
        <v>16</v>
      </c>
      <c r="D32" s="291"/>
      <c r="E32" s="147">
        <f>(E25-D25)/D25</f>
        <v>0.20049813200498143</v>
      </c>
      <c r="F32" s="147">
        <f t="shared" si="8"/>
        <v>0.17634854771784231</v>
      </c>
      <c r="G32" s="147">
        <f t="shared" si="8"/>
        <v>7.5837742504409111E-2</v>
      </c>
      <c r="H32" s="147">
        <f t="shared" si="8"/>
        <v>4.0983606557377046E-2</v>
      </c>
      <c r="I32" s="147">
        <f t="shared" si="8"/>
        <v>3.1496062992125984E-2</v>
      </c>
      <c r="J32" s="147">
        <f t="shared" si="8"/>
        <v>1.5267175572519083E-2</v>
      </c>
      <c r="K32" s="147">
        <f t="shared" si="8"/>
        <v>1.5037593984962405E-2</v>
      </c>
      <c r="L32" s="147">
        <f t="shared" si="8"/>
        <v>-1</v>
      </c>
      <c r="M32" s="147" t="e">
        <f t="shared" si="8"/>
        <v>#DIV/0!</v>
      </c>
      <c r="N32" s="147" t="e">
        <f t="shared" si="8"/>
        <v>#DIV/0!</v>
      </c>
      <c r="O32" s="147" t="e">
        <f t="shared" si="8"/>
        <v>#DIV/0!</v>
      </c>
      <c r="P32" s="147" t="e">
        <f t="shared" si="8"/>
        <v>#DIV/0!</v>
      </c>
      <c r="Q32" s="147" t="e">
        <f t="shared" si="8"/>
        <v>#DIV/0!</v>
      </c>
      <c r="R32" s="147"/>
      <c r="S32" s="147"/>
    </row>
    <row r="33" spans="1:31" ht="15" hidden="1" customHeight="1">
      <c r="A33" s="309"/>
      <c r="B33" s="33">
        <v>41499</v>
      </c>
      <c r="C33" s="292" t="s">
        <v>16</v>
      </c>
      <c r="D33" s="293"/>
      <c r="E33" s="146">
        <f t="shared" ref="E33:J33" si="10">(E27-D27)/D27</f>
        <v>0.12401648557512186</v>
      </c>
      <c r="F33" s="146">
        <f t="shared" si="10"/>
        <v>3.3333333333333333E-2</v>
      </c>
      <c r="G33" s="146">
        <f t="shared" si="10"/>
        <v>4.3010752688172046E-2</v>
      </c>
      <c r="H33" s="146">
        <f t="shared" si="10"/>
        <v>3.0927835051546393E-2</v>
      </c>
      <c r="I33" s="146">
        <f t="shared" si="10"/>
        <v>0.01</v>
      </c>
      <c r="J33" s="146">
        <f t="shared" si="10"/>
        <v>9.9009900990099011E-3</v>
      </c>
      <c r="K33" s="146"/>
      <c r="L33" s="146"/>
      <c r="M33" s="146"/>
      <c r="N33" s="146"/>
      <c r="O33" s="146"/>
      <c r="P33" s="146"/>
      <c r="Q33" s="146"/>
      <c r="R33" s="146"/>
      <c r="S33" s="146"/>
    </row>
    <row r="34" spans="1:31">
      <c r="A34" s="106"/>
      <c r="B34" s="107"/>
      <c r="C34" s="156"/>
      <c r="D34" s="156"/>
      <c r="E34" s="157"/>
      <c r="F34" s="157"/>
      <c r="G34" s="158"/>
      <c r="H34" s="158"/>
      <c r="I34" s="158"/>
      <c r="J34" s="158"/>
      <c r="K34" s="158"/>
      <c r="L34" s="158"/>
      <c r="M34" s="248">
        <v>407.68150000000003</v>
      </c>
      <c r="N34" s="256">
        <v>531.4</v>
      </c>
      <c r="O34" s="256">
        <v>620</v>
      </c>
      <c r="P34" s="256">
        <v>660</v>
      </c>
      <c r="Q34" s="256">
        <v>710</v>
      </c>
      <c r="R34" s="256">
        <v>745</v>
      </c>
      <c r="S34" s="256">
        <v>775</v>
      </c>
      <c r="T34" s="250" t="str">
        <f>T42</f>
        <v>FINAL 11/22/22</v>
      </c>
    </row>
    <row r="35" spans="1:31">
      <c r="A35" s="182"/>
      <c r="B35" s="172"/>
      <c r="C35" s="156"/>
      <c r="D35" s="156"/>
      <c r="E35" s="157"/>
      <c r="F35" s="157"/>
      <c r="G35" s="246"/>
      <c r="H35" s="246"/>
      <c r="I35" s="246"/>
      <c r="J35" s="246"/>
      <c r="K35" s="246"/>
      <c r="L35" s="246"/>
      <c r="M35" s="246"/>
      <c r="N35" s="246"/>
      <c r="O35" s="246"/>
      <c r="P35" s="246"/>
      <c r="Q35" s="246"/>
      <c r="R35" s="246"/>
      <c r="S35" s="246"/>
    </row>
    <row r="36" spans="1:31">
      <c r="A36" s="298" t="s">
        <v>18</v>
      </c>
      <c r="B36" s="300">
        <f>B19</f>
        <v>44917</v>
      </c>
      <c r="C36" s="134" t="s">
        <v>4</v>
      </c>
      <c r="D36" s="135"/>
      <c r="E36" s="135"/>
      <c r="F36" s="135"/>
      <c r="G36" s="135"/>
      <c r="H36" s="135"/>
      <c r="I36" s="135">
        <v>3.24</v>
      </c>
      <c r="J36" s="135"/>
      <c r="K36" s="135"/>
      <c r="L36" s="135">
        <v>1.9</v>
      </c>
      <c r="M36" s="135">
        <v>3.4</v>
      </c>
      <c r="N36" s="135">
        <v>7.03</v>
      </c>
      <c r="O36" s="135">
        <v>6.71</v>
      </c>
      <c r="P36" s="135">
        <v>5.96</v>
      </c>
      <c r="Q36" s="135">
        <v>5.45</v>
      </c>
      <c r="R36" s="135">
        <v>5.15</v>
      </c>
      <c r="S36" s="135">
        <v>4.93</v>
      </c>
      <c r="U36" s="135"/>
      <c r="V36" s="135"/>
      <c r="W36" s="135"/>
      <c r="Y36" s="135"/>
      <c r="Z36" s="135"/>
      <c r="AA36" s="135"/>
      <c r="AC36" s="135"/>
      <c r="AD36" s="135"/>
      <c r="AE36" s="135"/>
    </row>
    <row r="37" spans="1:31" ht="15" customHeight="1">
      <c r="A37" s="299"/>
      <c r="B37" s="301"/>
      <c r="C37" s="136" t="s">
        <v>2</v>
      </c>
      <c r="D37" s="159"/>
      <c r="E37" s="159"/>
      <c r="F37" s="159"/>
      <c r="G37" s="159"/>
      <c r="H37" s="159"/>
      <c r="I37" s="159">
        <v>3.24</v>
      </c>
      <c r="J37" s="159"/>
      <c r="K37" s="210"/>
      <c r="L37" s="210">
        <v>1.9</v>
      </c>
      <c r="M37" s="210">
        <v>3.4</v>
      </c>
      <c r="N37" s="210">
        <v>7.03</v>
      </c>
      <c r="O37" s="210">
        <v>7.58</v>
      </c>
      <c r="P37" s="210">
        <v>5.67</v>
      </c>
      <c r="Q37" s="210">
        <v>5.0599999999999996</v>
      </c>
      <c r="R37" s="210">
        <v>5.09</v>
      </c>
      <c r="S37" s="210">
        <v>5.14</v>
      </c>
      <c r="U37" s="210"/>
      <c r="V37" s="210"/>
      <c r="W37" s="210"/>
      <c r="Y37" s="210"/>
      <c r="Z37" s="210"/>
      <c r="AA37" s="210"/>
      <c r="AC37" s="210"/>
      <c r="AD37" s="210"/>
      <c r="AE37" s="210"/>
    </row>
    <row r="38" spans="1:31">
      <c r="A38" s="299"/>
      <c r="B38" s="301"/>
      <c r="C38" s="139" t="s">
        <v>0</v>
      </c>
      <c r="D38" s="140"/>
      <c r="E38" s="140"/>
      <c r="F38" s="140"/>
      <c r="G38" s="140"/>
      <c r="H38" s="140"/>
      <c r="I38" s="140">
        <v>3.25</v>
      </c>
      <c r="J38" s="140"/>
      <c r="K38" s="140"/>
      <c r="L38" s="140">
        <v>1.9</v>
      </c>
      <c r="M38" s="140">
        <v>3.4</v>
      </c>
      <c r="N38" s="140">
        <v>7.03</v>
      </c>
      <c r="O38" s="140">
        <v>7.18</v>
      </c>
      <c r="P38" s="140">
        <v>5.6</v>
      </c>
      <c r="Q38" s="140">
        <v>5.36</v>
      </c>
      <c r="R38" s="140">
        <v>5.0199999999999996</v>
      </c>
      <c r="S38" s="140">
        <v>4.95</v>
      </c>
      <c r="U38" s="140"/>
      <c r="V38" s="140"/>
      <c r="W38" s="140"/>
      <c r="Y38" s="140"/>
      <c r="Z38" s="140"/>
      <c r="AA38" s="140"/>
      <c r="AC38" s="140"/>
      <c r="AD38" s="140"/>
      <c r="AE38" s="140"/>
    </row>
    <row r="39" spans="1:31">
      <c r="A39" s="299"/>
      <c r="B39" s="301"/>
      <c r="C39" s="141" t="s">
        <v>3</v>
      </c>
      <c r="D39" s="142"/>
      <c r="E39" s="142"/>
      <c r="F39" s="142"/>
      <c r="G39" s="142"/>
      <c r="H39" s="142"/>
      <c r="I39" s="142">
        <v>3.22</v>
      </c>
      <c r="J39" s="142"/>
      <c r="K39" s="142"/>
      <c r="L39" s="142">
        <v>1.9</v>
      </c>
      <c r="M39" s="142">
        <v>3.4</v>
      </c>
      <c r="N39" s="142">
        <v>7.03</v>
      </c>
      <c r="O39" s="142">
        <v>6.76</v>
      </c>
      <c r="P39" s="142">
        <v>5.19</v>
      </c>
      <c r="Q39" s="142">
        <v>4.67</v>
      </c>
      <c r="R39" s="142">
        <v>4.9000000000000004</v>
      </c>
      <c r="S39" s="142">
        <v>4.72</v>
      </c>
      <c r="U39" s="142"/>
      <c r="V39" s="142"/>
      <c r="W39" s="142"/>
      <c r="Y39" s="142"/>
      <c r="Z39" s="142"/>
      <c r="AA39" s="142"/>
      <c r="AC39" s="142"/>
      <c r="AD39" s="142"/>
      <c r="AE39" s="142"/>
    </row>
    <row r="40" spans="1:31">
      <c r="A40" s="299"/>
      <c r="B40" s="302"/>
      <c r="C40" s="143" t="s">
        <v>1</v>
      </c>
      <c r="D40" s="144">
        <v>5.01</v>
      </c>
      <c r="E40" s="144">
        <v>4.38</v>
      </c>
      <c r="F40" s="144">
        <v>5.14</v>
      </c>
      <c r="G40" s="144">
        <v>3.78</v>
      </c>
      <c r="H40" s="144">
        <v>2.42</v>
      </c>
      <c r="I40" s="144">
        <f t="shared" ref="I40" si="11">+AVERAGE(I36:I39)</f>
        <v>3.2375000000000003</v>
      </c>
      <c r="J40" s="144" t="e">
        <f t="shared" ref="J40" si="12">AVERAGE(J36:J39)</f>
        <v>#DIV/0!</v>
      </c>
      <c r="K40" s="216" t="e">
        <f>AVERAGE(K36:K39)</f>
        <v>#DIV/0!</v>
      </c>
      <c r="L40" s="216">
        <f>AVERAGE(L36:L39)</f>
        <v>1.9</v>
      </c>
      <c r="M40" s="216">
        <f>AVERAGE(M36:M39)</f>
        <v>3.4</v>
      </c>
      <c r="N40" s="216">
        <f t="shared" ref="N40:S40" si="13">MROUND(AVERAGE(N36:N39),0.05)</f>
        <v>7.0500000000000007</v>
      </c>
      <c r="O40" s="216">
        <f t="shared" si="13"/>
        <v>7.0500000000000007</v>
      </c>
      <c r="P40" s="216">
        <f t="shared" si="13"/>
        <v>5.6000000000000005</v>
      </c>
      <c r="Q40" s="216">
        <f t="shared" si="13"/>
        <v>5.15</v>
      </c>
      <c r="R40" s="216">
        <f t="shared" si="13"/>
        <v>5.0500000000000007</v>
      </c>
      <c r="S40" s="216">
        <f t="shared" si="13"/>
        <v>4.95</v>
      </c>
      <c r="U40" s="216"/>
      <c r="V40" s="216"/>
      <c r="W40" s="216"/>
      <c r="Y40" s="216"/>
      <c r="Z40" s="216"/>
      <c r="AA40" s="216"/>
      <c r="AC40" s="216"/>
      <c r="AD40" s="216"/>
      <c r="AE40" s="216"/>
    </row>
    <row r="41" spans="1:31">
      <c r="A41" s="299"/>
      <c r="B41" s="231">
        <f>B7</f>
        <v>44795</v>
      </c>
      <c r="C41" s="133" t="s">
        <v>1</v>
      </c>
      <c r="D41" s="138">
        <f>'Aug18'!D37</f>
        <v>5.01</v>
      </c>
      <c r="E41" s="138">
        <f>'Aug18'!E37</f>
        <v>4.38</v>
      </c>
      <c r="F41" s="138">
        <f>'Aug18'!F37</f>
        <v>5.14</v>
      </c>
      <c r="G41" s="138">
        <f>'Aug18'!G37</f>
        <v>3.78</v>
      </c>
      <c r="H41" s="138">
        <f>'Aug18'!H37</f>
        <v>2.42</v>
      </c>
      <c r="I41" s="138">
        <f>'Dec18'!I37</f>
        <v>3.2375000000000003</v>
      </c>
      <c r="J41" s="138">
        <f>'Dec18'!J37</f>
        <v>3.5142500000000001</v>
      </c>
      <c r="K41" s="138">
        <v>3.08</v>
      </c>
      <c r="L41" s="138">
        <f>'Feb21'!L38</f>
        <v>1.9</v>
      </c>
      <c r="M41" s="138">
        <f>'Aug21'!M38</f>
        <v>3.3149999999999999</v>
      </c>
      <c r="N41" s="138">
        <f>'Aug 22'!N43</f>
        <v>6.9</v>
      </c>
      <c r="O41" s="138">
        <f>'Aug 22'!O43</f>
        <v>6.95</v>
      </c>
      <c r="P41" s="138">
        <f>'Aug 22'!P43</f>
        <v>4.75</v>
      </c>
      <c r="Q41" s="138">
        <f>'Aug 22'!Q43</f>
        <v>4.3</v>
      </c>
      <c r="R41" s="138">
        <f>'Aug 22'!R43</f>
        <v>4.3</v>
      </c>
      <c r="S41" s="138">
        <f>'Aug 22'!S43</f>
        <v>4.1500000000000004</v>
      </c>
      <c r="U41" s="93" t="s">
        <v>99</v>
      </c>
      <c r="Y41" s="93" t="s">
        <v>100</v>
      </c>
      <c r="AC41" t="s">
        <v>101</v>
      </c>
    </row>
    <row r="42" spans="1:31">
      <c r="A42" s="65"/>
      <c r="B42" s="65"/>
      <c r="C42" s="65"/>
      <c r="D42" s="76"/>
      <c r="E42" s="76"/>
      <c r="F42" s="76"/>
      <c r="G42" s="130"/>
      <c r="H42" s="130"/>
      <c r="I42" s="130"/>
      <c r="J42" s="130"/>
      <c r="K42" s="130"/>
      <c r="L42" s="130"/>
      <c r="M42" s="244">
        <v>3.42</v>
      </c>
      <c r="N42" s="257">
        <v>7.03</v>
      </c>
      <c r="O42" s="257">
        <v>7.05</v>
      </c>
      <c r="P42" s="257">
        <v>5.6</v>
      </c>
      <c r="Q42" s="257">
        <v>5.15</v>
      </c>
      <c r="R42" s="257">
        <v>5.05</v>
      </c>
      <c r="S42" s="257">
        <v>4.95</v>
      </c>
      <c r="T42" s="250" t="str">
        <f>T65</f>
        <v>FINAL 11/22/22</v>
      </c>
    </row>
    <row r="43" spans="1:31">
      <c r="A43" s="76"/>
      <c r="B43" s="65"/>
      <c r="C43" s="65"/>
      <c r="D43" s="76"/>
      <c r="E43" s="76"/>
      <c r="F43" s="76"/>
      <c r="G43" s="130"/>
      <c r="H43" s="130"/>
      <c r="I43" s="130"/>
      <c r="J43" s="130"/>
      <c r="K43" s="130"/>
      <c r="L43" s="130"/>
      <c r="M43" s="244"/>
      <c r="N43" s="245"/>
      <c r="O43" s="245"/>
      <c r="P43" s="245"/>
      <c r="Q43" s="245"/>
      <c r="R43" s="245"/>
      <c r="S43" s="245"/>
      <c r="T43" t="s">
        <v>105</v>
      </c>
    </row>
    <row r="44" spans="1:31">
      <c r="A44" s="298" t="s">
        <v>19</v>
      </c>
      <c r="B44" s="300">
        <f>B36</f>
        <v>44917</v>
      </c>
      <c r="C44" s="134" t="s">
        <v>4</v>
      </c>
      <c r="D44" s="135"/>
      <c r="E44" s="135"/>
      <c r="F44" s="135"/>
      <c r="G44" s="135"/>
      <c r="H44" s="135"/>
      <c r="I44" s="135"/>
      <c r="J44" s="135"/>
      <c r="K44" s="135"/>
      <c r="L44" s="135"/>
      <c r="M44" s="135"/>
      <c r="N44" s="253">
        <v>2585.7089999999998</v>
      </c>
      <c r="O44" s="253">
        <v>2926.0639999999999</v>
      </c>
      <c r="P44" s="253">
        <v>2809.2170000000001</v>
      </c>
      <c r="Q44" s="253">
        <v>2742.759</v>
      </c>
      <c r="R44" s="253">
        <v>2698.1010000000001</v>
      </c>
      <c r="S44" s="253">
        <v>2656.6709999999998</v>
      </c>
    </row>
    <row r="45" spans="1:31" ht="15" customHeight="1">
      <c r="A45" s="299"/>
      <c r="B45" s="301"/>
      <c r="C45" s="136" t="s">
        <v>2</v>
      </c>
      <c r="D45" s="160"/>
      <c r="E45" s="161"/>
      <c r="F45" s="161"/>
      <c r="G45" s="161"/>
      <c r="H45" s="161"/>
      <c r="I45" s="161">
        <v>1235.7</v>
      </c>
      <c r="J45" s="161"/>
      <c r="K45" s="161"/>
      <c r="L45" s="161">
        <v>1827.65</v>
      </c>
      <c r="M45" s="161">
        <v>2135</v>
      </c>
      <c r="N45" s="161">
        <v>2585.8205640000001</v>
      </c>
      <c r="O45" s="161">
        <v>2802.3</v>
      </c>
      <c r="P45" s="161">
        <v>2942.4</v>
      </c>
      <c r="Q45" s="161">
        <v>3060.1</v>
      </c>
      <c r="R45" s="161">
        <v>3151.9</v>
      </c>
      <c r="S45" s="161">
        <v>3215</v>
      </c>
      <c r="U45" s="161"/>
      <c r="V45" s="161"/>
      <c r="W45" s="161"/>
      <c r="Y45" s="161"/>
      <c r="Z45" s="161"/>
      <c r="AA45" s="161"/>
      <c r="AC45" s="161"/>
      <c r="AD45" s="161"/>
      <c r="AE45" s="161"/>
    </row>
    <row r="46" spans="1:31">
      <c r="A46" s="299"/>
      <c r="B46" s="301"/>
      <c r="C46" s="139" t="s">
        <v>0</v>
      </c>
      <c r="D46" s="162"/>
      <c r="E46" s="162"/>
      <c r="F46" s="162"/>
      <c r="G46" s="162"/>
      <c r="H46" s="162"/>
      <c r="I46" s="162"/>
      <c r="J46" s="162"/>
      <c r="K46" s="215"/>
      <c r="L46" s="215">
        <v>1829.34</v>
      </c>
      <c r="M46" s="215"/>
      <c r="N46" s="215">
        <v>2585.8205640000001</v>
      </c>
      <c r="O46" s="215">
        <v>2888.6</v>
      </c>
      <c r="P46" s="215">
        <v>2969.84</v>
      </c>
      <c r="Q46" s="215">
        <v>3048.01</v>
      </c>
      <c r="R46" s="215">
        <v>3078.49</v>
      </c>
      <c r="S46" s="215">
        <v>3109.28</v>
      </c>
      <c r="U46" s="215"/>
      <c r="V46" s="215"/>
      <c r="W46" s="215"/>
      <c r="Y46" s="215"/>
      <c r="Z46" s="215"/>
      <c r="AA46" s="215"/>
      <c r="AC46" s="215"/>
      <c r="AD46" s="215"/>
      <c r="AE46" s="215"/>
    </row>
    <row r="47" spans="1:31">
      <c r="A47" s="299"/>
      <c r="B47" s="301"/>
      <c r="C47" s="141" t="s">
        <v>3</v>
      </c>
      <c r="D47" s="163"/>
      <c r="E47" s="163"/>
      <c r="F47" s="163"/>
      <c r="G47" s="163"/>
      <c r="H47" s="163"/>
      <c r="I47" s="163">
        <v>1235.5999999999999</v>
      </c>
      <c r="J47" s="163"/>
      <c r="K47" s="163"/>
      <c r="L47" s="163">
        <v>1829.3</v>
      </c>
      <c r="M47" s="163">
        <v>2134.9899999999998</v>
      </c>
      <c r="N47" s="163">
        <v>2585.8130000000001</v>
      </c>
      <c r="O47" s="163">
        <v>2888.6329999999998</v>
      </c>
      <c r="P47" s="163">
        <v>3134.326</v>
      </c>
      <c r="Q47" s="163">
        <v>3258.0709999999999</v>
      </c>
      <c r="R47" s="163">
        <v>3373.4090000000001</v>
      </c>
      <c r="S47" s="163">
        <v>3436.0549999999998</v>
      </c>
      <c r="U47" s="163"/>
      <c r="V47" s="163"/>
      <c r="W47" s="163"/>
      <c r="Y47" s="163"/>
      <c r="Z47" s="163"/>
      <c r="AA47" s="163"/>
      <c r="AC47" s="163"/>
      <c r="AD47" s="163"/>
      <c r="AE47" s="163"/>
    </row>
    <row r="48" spans="1:31">
      <c r="A48" s="299"/>
      <c r="B48" s="302"/>
      <c r="C48" s="143" t="s">
        <v>1</v>
      </c>
      <c r="D48" s="152">
        <v>1227</v>
      </c>
      <c r="E48" s="152">
        <v>1177.5</v>
      </c>
      <c r="F48" s="153">
        <v>1184.7</v>
      </c>
      <c r="G48" s="153">
        <v>1184.8</v>
      </c>
      <c r="H48" s="153">
        <v>1175</v>
      </c>
      <c r="I48" s="153">
        <f>(+AVERAGE(I45:I47))</f>
        <v>1235.6500000000001</v>
      </c>
      <c r="J48" s="206">
        <v>1361</v>
      </c>
      <c r="K48" s="214">
        <v>1562</v>
      </c>
      <c r="L48" s="242">
        <v>1829.192</v>
      </c>
      <c r="M48" s="242">
        <f>MROUND(AVERAGE(M45:M47),5)</f>
        <v>2135</v>
      </c>
      <c r="N48" s="242">
        <f>MROUND(AVERAGE(N44:N47),5)</f>
        <v>2585</v>
      </c>
      <c r="O48" s="242">
        <f t="shared" ref="O48" si="14">MROUND(AVERAGE(O44:O47),5)</f>
        <v>2875</v>
      </c>
      <c r="P48" s="242">
        <f>MROUND(AVERAGE(P45:P47),5)</f>
        <v>3015</v>
      </c>
      <c r="Q48" s="242">
        <f t="shared" ref="Q48:S48" si="15">MROUND(AVERAGE(Q45:Q47),5)</f>
        <v>3120</v>
      </c>
      <c r="R48" s="242">
        <f t="shared" si="15"/>
        <v>3200</v>
      </c>
      <c r="S48" s="242">
        <f t="shared" si="15"/>
        <v>3255</v>
      </c>
      <c r="U48" s="226"/>
      <c r="V48" s="226"/>
      <c r="W48" s="226"/>
      <c r="Y48" s="226"/>
      <c r="Z48" s="226"/>
      <c r="AA48" s="226"/>
      <c r="AC48" s="226"/>
      <c r="AD48" s="226"/>
      <c r="AE48" s="226"/>
    </row>
    <row r="49" spans="1:31">
      <c r="A49" s="299"/>
      <c r="B49" s="273">
        <f>B41</f>
        <v>44795</v>
      </c>
      <c r="C49" s="133" t="s">
        <v>1</v>
      </c>
      <c r="D49" s="160">
        <f>'Aug18'!D52</f>
        <v>1227</v>
      </c>
      <c r="E49" s="160">
        <f>'Aug18'!E52</f>
        <v>1177.5</v>
      </c>
      <c r="F49" s="160">
        <f>'Aug18'!F52</f>
        <v>1184.7</v>
      </c>
      <c r="G49" s="160">
        <f>'Aug18'!G52</f>
        <v>1184.8</v>
      </c>
      <c r="H49" s="160">
        <f>'Aug18'!H52</f>
        <v>1175</v>
      </c>
      <c r="I49" s="160">
        <f>'Dec18'!I52</f>
        <v>1235.6500000000001</v>
      </c>
      <c r="J49" s="160">
        <f>'Dec18'!J52</f>
        <v>1361</v>
      </c>
      <c r="K49" s="160">
        <v>1562.1499999999999</v>
      </c>
      <c r="L49" s="160">
        <f>'Feb21'!L45</f>
        <v>1829.192</v>
      </c>
      <c r="M49" s="160">
        <f>'Feb21'!M45</f>
        <v>1830</v>
      </c>
      <c r="N49" s="160">
        <f>'Aug 22'!N66</f>
        <v>2585</v>
      </c>
      <c r="O49" s="160">
        <f>'Aug 22'!O66</f>
        <v>2750</v>
      </c>
      <c r="P49" s="160">
        <f>'Aug 22'!P66</f>
        <v>2895</v>
      </c>
      <c r="Q49" s="160">
        <f>'Aug 22'!Q66</f>
        <v>2995</v>
      </c>
      <c r="R49" s="160">
        <f>'Aug 22'!R66</f>
        <v>3080</v>
      </c>
      <c r="S49" s="160">
        <f>'Aug 22'!S66</f>
        <v>3140</v>
      </c>
      <c r="U49" s="112">
        <f>U24/2</f>
        <v>-0.5</v>
      </c>
      <c r="V49" s="112" t="e">
        <f>V24/2</f>
        <v>#DIV/0!</v>
      </c>
      <c r="W49" s="112" t="e">
        <f>W24/2</f>
        <v>#DIV/0!</v>
      </c>
      <c r="Y49" s="112">
        <f>Y24/2</f>
        <v>-0.5</v>
      </c>
      <c r="Z49" s="112" t="e">
        <f>Z24/2</f>
        <v>#DIV/0!</v>
      </c>
      <c r="AA49" s="112" t="e">
        <f>AA24/2</f>
        <v>#DIV/0!</v>
      </c>
      <c r="AC49" s="112">
        <f>+AC24/2</f>
        <v>-0.5</v>
      </c>
      <c r="AD49" s="112">
        <f>+O55</f>
        <v>0.11218568665377182</v>
      </c>
      <c r="AE49" s="112">
        <f>+P55</f>
        <v>4.8695652173913029E-2</v>
      </c>
    </row>
    <row r="50" spans="1:31" ht="14.65" hidden="1" customHeight="1">
      <c r="A50" s="299"/>
      <c r="B50" s="272"/>
      <c r="C50" s="133" t="s">
        <v>1</v>
      </c>
      <c r="D50" s="160">
        <v>1227</v>
      </c>
      <c r="E50" s="160">
        <v>1177.5</v>
      </c>
      <c r="F50" s="160">
        <v>1187.3</v>
      </c>
      <c r="G50" s="160">
        <v>1181</v>
      </c>
      <c r="H50" s="160">
        <v>1150</v>
      </c>
      <c r="I50" s="160">
        <v>1118</v>
      </c>
      <c r="J50" s="160">
        <v>1088</v>
      </c>
      <c r="K50" s="160">
        <v>1052</v>
      </c>
      <c r="L50" s="160"/>
      <c r="M50" s="160"/>
      <c r="N50" s="160"/>
      <c r="O50" s="160"/>
      <c r="P50" s="160"/>
      <c r="Q50" s="160"/>
      <c r="R50" s="160"/>
      <c r="S50" s="160"/>
    </row>
    <row r="51" spans="1:31" ht="14.65" hidden="1" customHeight="1">
      <c r="A51" s="299"/>
      <c r="B51" s="272"/>
      <c r="C51" s="133" t="s">
        <v>1</v>
      </c>
      <c r="D51" s="160">
        <v>1227</v>
      </c>
      <c r="E51" s="160">
        <v>1177.5</v>
      </c>
      <c r="F51" s="160">
        <v>1170</v>
      </c>
      <c r="G51" s="160">
        <v>1158.3</v>
      </c>
      <c r="H51" s="160">
        <v>1123.5509999999999</v>
      </c>
      <c r="I51" s="160">
        <v>1089.84447</v>
      </c>
      <c r="J51" s="160">
        <v>1057.1491358999999</v>
      </c>
      <c r="K51" s="160">
        <v>1025.4346618229999</v>
      </c>
      <c r="L51" s="160"/>
      <c r="M51" s="160"/>
      <c r="N51" s="160"/>
      <c r="O51" s="160"/>
      <c r="P51" s="160"/>
      <c r="Q51" s="160"/>
      <c r="R51" s="160"/>
      <c r="S51" s="160"/>
      <c r="T51" t="s">
        <v>104</v>
      </c>
    </row>
    <row r="52" spans="1:31" ht="14.65" hidden="1" customHeight="1">
      <c r="A52" s="299"/>
      <c r="B52" s="272"/>
      <c r="C52" s="133" t="s">
        <v>1</v>
      </c>
      <c r="D52" s="160">
        <v>1225.8499999999999</v>
      </c>
      <c r="E52" s="160">
        <v>1165</v>
      </c>
      <c r="F52" s="160">
        <v>1110</v>
      </c>
      <c r="G52" s="160">
        <v>1070</v>
      </c>
      <c r="H52" s="160">
        <v>1030</v>
      </c>
      <c r="I52" s="160">
        <v>1000</v>
      </c>
      <c r="J52" s="160">
        <v>960</v>
      </c>
      <c r="K52" s="165"/>
      <c r="L52" s="165"/>
      <c r="M52" s="165"/>
      <c r="N52" s="165"/>
      <c r="O52" s="165"/>
      <c r="P52" s="165"/>
      <c r="Q52" s="165"/>
      <c r="R52" s="165"/>
      <c r="S52" s="165"/>
    </row>
    <row r="53" spans="1:31" ht="15" hidden="1" customHeight="1">
      <c r="A53" s="299"/>
      <c r="B53" s="33">
        <v>41317</v>
      </c>
      <c r="C53" s="133" t="s">
        <v>1</v>
      </c>
      <c r="D53" s="165">
        <v>1226</v>
      </c>
      <c r="E53" s="165">
        <v>1185</v>
      </c>
      <c r="F53" s="165">
        <v>1151</v>
      </c>
      <c r="G53" s="165">
        <v>1121</v>
      </c>
      <c r="H53" s="165">
        <v>1090.1407234210708</v>
      </c>
      <c r="I53" s="165">
        <v>1048</v>
      </c>
      <c r="J53" s="165"/>
      <c r="K53" s="165"/>
      <c r="L53" s="165"/>
      <c r="M53" s="165"/>
      <c r="N53" s="165"/>
      <c r="O53" s="165"/>
      <c r="P53" s="165"/>
      <c r="Q53" s="165"/>
      <c r="R53" s="165"/>
      <c r="S53" s="165"/>
    </row>
    <row r="54" spans="1:31" ht="15" hidden="1" customHeight="1">
      <c r="A54" s="299"/>
      <c r="B54" s="33">
        <v>41244</v>
      </c>
      <c r="C54" s="133" t="s">
        <v>1</v>
      </c>
      <c r="D54" s="165">
        <v>1228.5423506666664</v>
      </c>
      <c r="E54" s="165">
        <v>1184.5870287874238</v>
      </c>
      <c r="F54" s="165">
        <v>1151.3778293463738</v>
      </c>
      <c r="G54" s="165">
        <v>1121.0332793283103</v>
      </c>
      <c r="H54" s="165">
        <v>1090.1407234210708</v>
      </c>
      <c r="I54" s="165">
        <v>1048</v>
      </c>
      <c r="J54" s="165">
        <v>1048</v>
      </c>
      <c r="K54" s="165"/>
      <c r="L54" s="165"/>
      <c r="M54" s="165"/>
      <c r="N54" s="165"/>
      <c r="O54" s="165"/>
      <c r="P54" s="165"/>
      <c r="Q54" s="165"/>
      <c r="R54" s="165"/>
      <c r="S54" s="165"/>
    </row>
    <row r="55" spans="1:31">
      <c r="A55" s="299"/>
      <c r="B55" s="33">
        <f>B44</f>
        <v>44917</v>
      </c>
      <c r="C55" s="292" t="s">
        <v>16</v>
      </c>
      <c r="D55" s="293"/>
      <c r="E55" s="167">
        <f t="shared" ref="E55:M57" si="16">(E48-D48)/D48</f>
        <v>-4.0342298288508556E-2</v>
      </c>
      <c r="F55" s="167">
        <f t="shared" si="16"/>
        <v>6.1146496815287013E-3</v>
      </c>
      <c r="G55" s="167">
        <f>(G48-F48)/F48</f>
        <v>8.4409555161567526E-5</v>
      </c>
      <c r="H55" s="167">
        <f t="shared" si="16"/>
        <v>-8.2714382174206239E-3</v>
      </c>
      <c r="I55" s="167">
        <f t="shared" si="16"/>
        <v>5.1617021276595822E-2</v>
      </c>
      <c r="J55" s="167">
        <f t="shared" si="16"/>
        <v>0.10144458382227969</v>
      </c>
      <c r="K55" s="167">
        <f t="shared" si="16"/>
        <v>0.14768552534900808</v>
      </c>
      <c r="L55" s="167">
        <f>+L30/2</f>
        <v>0.11347645333333332</v>
      </c>
      <c r="M55" s="167">
        <f>+M48/L48-1</f>
        <v>0.1671820126044723</v>
      </c>
      <c r="N55" s="167">
        <f t="shared" ref="N55:S55" si="17">+N48/M48-1</f>
        <v>0.21077283372365341</v>
      </c>
      <c r="O55" s="167">
        <f t="shared" si="17"/>
        <v>0.11218568665377182</v>
      </c>
      <c r="P55" s="167">
        <f t="shared" si="17"/>
        <v>4.8695652173913029E-2</v>
      </c>
      <c r="Q55" s="167">
        <f t="shared" si="17"/>
        <v>3.4825870646766122E-2</v>
      </c>
      <c r="R55" s="167">
        <f t="shared" si="17"/>
        <v>2.564102564102555E-2</v>
      </c>
      <c r="S55" s="167">
        <f t="shared" si="17"/>
        <v>1.7187499999999911E-2</v>
      </c>
      <c r="U55" s="93" t="s">
        <v>99</v>
      </c>
      <c r="Y55" s="93" t="s">
        <v>100</v>
      </c>
      <c r="AC55" t="s">
        <v>101</v>
      </c>
    </row>
    <row r="56" spans="1:31" ht="15" hidden="1" customHeight="1">
      <c r="A56" s="299"/>
      <c r="B56" s="33">
        <f>B41</f>
        <v>44795</v>
      </c>
      <c r="C56" s="290" t="s">
        <v>16</v>
      </c>
      <c r="D56" s="291"/>
      <c r="E56" s="168">
        <f>(E49-D49)/D49</f>
        <v>-4.0342298288508556E-2</v>
      </c>
      <c r="F56" s="168">
        <f t="shared" si="16"/>
        <v>6.1146496815287013E-3</v>
      </c>
      <c r="G56" s="168">
        <f>(G49-F49)/F49</f>
        <v>8.4409555161567526E-5</v>
      </c>
      <c r="H56" s="168">
        <f t="shared" si="16"/>
        <v>-8.2714382174206239E-3</v>
      </c>
      <c r="I56" s="168">
        <f t="shared" si="16"/>
        <v>5.1617021276595822E-2</v>
      </c>
      <c r="J56" s="168">
        <f t="shared" si="16"/>
        <v>0.10144458382227969</v>
      </c>
      <c r="K56" s="168">
        <v>0.15723732549595884</v>
      </c>
      <c r="L56" s="168">
        <f>+L49/K49-1</f>
        <v>0.17094517171846513</v>
      </c>
      <c r="M56" s="168">
        <f t="shared" ref="M56:Q56" si="18">+M49/L49-1</f>
        <v>4.41725089547651E-4</v>
      </c>
      <c r="N56" s="168">
        <f t="shared" si="18"/>
        <v>0.41256830601092886</v>
      </c>
      <c r="O56" s="168">
        <f t="shared" si="18"/>
        <v>6.3829787234042534E-2</v>
      </c>
      <c r="P56" s="168">
        <f t="shared" si="18"/>
        <v>5.2727272727272734E-2</v>
      </c>
      <c r="Q56" s="168">
        <f t="shared" si="18"/>
        <v>3.4542314335060498E-2</v>
      </c>
      <c r="R56" s="168"/>
      <c r="S56" s="168"/>
    </row>
    <row r="57" spans="1:31" ht="15" hidden="1" customHeight="1">
      <c r="A57" s="299"/>
      <c r="B57" s="33">
        <v>41974</v>
      </c>
      <c r="C57" s="290" t="s">
        <v>16</v>
      </c>
      <c r="D57" s="291"/>
      <c r="E57" s="147">
        <f>(E50-D50)/D50</f>
        <v>-4.0342298288508556E-2</v>
      </c>
      <c r="F57" s="147">
        <f t="shared" si="16"/>
        <v>8.3227176220806408E-3</v>
      </c>
      <c r="G57" s="147">
        <f t="shared" si="16"/>
        <v>-5.3061568264128316E-3</v>
      </c>
      <c r="H57" s="147">
        <f t="shared" si="16"/>
        <v>-2.6248941574936496E-2</v>
      </c>
      <c r="I57" s="147">
        <f t="shared" si="16"/>
        <v>-2.782608695652174E-2</v>
      </c>
      <c r="J57" s="147">
        <f t="shared" si="16"/>
        <v>-2.6833631484794274E-2</v>
      </c>
      <c r="K57" s="147">
        <f t="shared" si="16"/>
        <v>-3.3088235294117647E-2</v>
      </c>
      <c r="L57" s="147">
        <f t="shared" si="16"/>
        <v>-1</v>
      </c>
      <c r="M57" s="147" t="e">
        <f t="shared" si="16"/>
        <v>#DIV/0!</v>
      </c>
    </row>
    <row r="58" spans="1:31" ht="15" hidden="1" customHeight="1">
      <c r="A58" s="306"/>
      <c r="B58" s="33">
        <v>41499</v>
      </c>
      <c r="C58" s="292" t="s">
        <v>16</v>
      </c>
      <c r="D58" s="293"/>
      <c r="E58" s="146">
        <f t="shared" ref="E58:J58" si="19">(E52-D52)/D52</f>
        <v>-4.9639025981971625E-2</v>
      </c>
      <c r="F58" s="146">
        <f t="shared" si="19"/>
        <v>-4.7210300429184553E-2</v>
      </c>
      <c r="G58" s="146">
        <f t="shared" si="19"/>
        <v>-3.6036036036036036E-2</v>
      </c>
      <c r="H58" s="146">
        <f t="shared" si="19"/>
        <v>-3.7383177570093455E-2</v>
      </c>
      <c r="I58" s="146">
        <f t="shared" si="19"/>
        <v>-2.9126213592233011E-2</v>
      </c>
      <c r="J58" s="146">
        <f t="shared" si="19"/>
        <v>-0.04</v>
      </c>
      <c r="K58" s="146"/>
      <c r="L58" s="146"/>
      <c r="M58" s="146"/>
    </row>
    <row r="59" spans="1:31" hidden="1">
      <c r="A59" s="108"/>
      <c r="B59" s="13"/>
      <c r="F59" s="112"/>
      <c r="G59" s="112"/>
      <c r="H59" s="112"/>
      <c r="I59" s="112"/>
      <c r="J59" s="112"/>
      <c r="K59" s="112"/>
      <c r="L59" s="217"/>
      <c r="M59" s="112"/>
    </row>
    <row r="60" spans="1:31" hidden="1">
      <c r="A60" s="9"/>
      <c r="B60" s="13"/>
      <c r="E60" s="94"/>
      <c r="F60" s="94"/>
      <c r="G60" s="112"/>
      <c r="H60" s="112"/>
      <c r="I60" s="112"/>
      <c r="J60" s="112"/>
      <c r="K60" s="112"/>
      <c r="L60" s="112"/>
      <c r="M60" s="112"/>
      <c r="N60" s="112"/>
      <c r="O60" s="112"/>
      <c r="P60" s="112"/>
      <c r="Q60" s="112"/>
      <c r="R60" s="112"/>
      <c r="S60" s="112"/>
    </row>
    <row r="61" spans="1:31" hidden="1">
      <c r="A61" s="9"/>
      <c r="B61" s="13"/>
      <c r="E61" s="94"/>
      <c r="F61" s="94"/>
      <c r="G61" s="94"/>
      <c r="H61" s="112"/>
      <c r="I61" s="112"/>
      <c r="J61" s="112"/>
      <c r="K61" s="112"/>
      <c r="L61" s="112"/>
      <c r="M61" s="112">
        <f t="shared" ref="M61:Q62" si="20">M46/L46-1</f>
        <v>-1</v>
      </c>
      <c r="N61" s="112" t="e">
        <f t="shared" si="20"/>
        <v>#DIV/0!</v>
      </c>
      <c r="O61" s="112">
        <f t="shared" si="20"/>
        <v>0.11709220671198883</v>
      </c>
      <c r="P61" s="112">
        <f t="shared" si="20"/>
        <v>2.8124350896628236E-2</v>
      </c>
      <c r="Q61" s="112">
        <f t="shared" si="20"/>
        <v>2.6321283301457443E-2</v>
      </c>
      <c r="R61" s="112"/>
      <c r="S61" s="112"/>
    </row>
    <row r="62" spans="1:31" hidden="1">
      <c r="A62" s="9"/>
      <c r="B62" s="13"/>
      <c r="L62" s="112"/>
      <c r="M62" s="112">
        <f t="shared" si="20"/>
        <v>0.16710763680096208</v>
      </c>
      <c r="N62" s="112">
        <f t="shared" si="20"/>
        <v>0.21115930285387763</v>
      </c>
      <c r="O62" s="112">
        <f t="shared" si="20"/>
        <v>0.11710823636511991</v>
      </c>
      <c r="P62" s="112">
        <f t="shared" si="20"/>
        <v>8.5055110843087478E-2</v>
      </c>
      <c r="Q62" s="112">
        <f t="shared" si="20"/>
        <v>3.9480577323481869E-2</v>
      </c>
      <c r="R62" s="112"/>
      <c r="S62" s="112"/>
    </row>
    <row r="63" spans="1:31" hidden="1">
      <c r="A63" s="9"/>
      <c r="B63" s="13"/>
      <c r="L63" s="213"/>
      <c r="M63" s="213">
        <f t="shared" ref="M63:Q63" si="21">AVERAGE(M60:M62)</f>
        <v>-0.41644618159951896</v>
      </c>
      <c r="N63" s="213" t="e">
        <f t="shared" si="21"/>
        <v>#DIV/0!</v>
      </c>
      <c r="O63" s="213">
        <f t="shared" si="21"/>
        <v>0.11710022153855437</v>
      </c>
      <c r="P63" s="213">
        <f t="shared" si="21"/>
        <v>5.6589730869857857E-2</v>
      </c>
      <c r="Q63" s="213">
        <f t="shared" si="21"/>
        <v>3.2900930312469656E-2</v>
      </c>
      <c r="R63" s="213"/>
      <c r="S63" s="213"/>
    </row>
    <row r="64" spans="1:31" hidden="1">
      <c r="A64" s="9"/>
      <c r="B64" s="13"/>
    </row>
    <row r="65" spans="1:27">
      <c r="A65" s="9"/>
      <c r="B65" s="13"/>
      <c r="M65" s="131">
        <v>2135</v>
      </c>
      <c r="N65" s="258">
        <v>2585.8130000000001</v>
      </c>
      <c r="O65" s="258">
        <v>2875</v>
      </c>
      <c r="P65" s="258">
        <v>3015</v>
      </c>
      <c r="Q65" s="258">
        <v>3120</v>
      </c>
      <c r="R65" s="258">
        <v>3200</v>
      </c>
      <c r="S65" s="258">
        <v>3255</v>
      </c>
      <c r="T65" s="250" t="s">
        <v>108</v>
      </c>
    </row>
    <row r="66" spans="1:27">
      <c r="A66" s="9"/>
      <c r="B66" s="13"/>
      <c r="Y66" s="249"/>
      <c r="Z66" s="249"/>
      <c r="AA66" s="249"/>
    </row>
    <row r="67" spans="1:27" hidden="1">
      <c r="A67" s="65"/>
      <c r="B67" s="65"/>
      <c r="C67" s="228" t="s">
        <v>4</v>
      </c>
      <c r="D67" s="229"/>
      <c r="E67" s="229"/>
      <c r="F67" s="229"/>
      <c r="G67" s="229"/>
      <c r="H67" s="229"/>
      <c r="I67" s="229"/>
      <c r="J67" s="229"/>
      <c r="K67" s="229"/>
      <c r="L67" s="229"/>
      <c r="M67" s="235"/>
      <c r="N67" s="235"/>
      <c r="O67" s="235"/>
      <c r="P67" s="235"/>
      <c r="Q67" s="235"/>
      <c r="R67" s="235"/>
      <c r="S67" s="235"/>
      <c r="Y67" s="249">
        <v>0.21074723911248028</v>
      </c>
      <c r="Z67" s="249">
        <v>-5.4764120841936936E-2</v>
      </c>
      <c r="AA67" s="249">
        <v>0.1028939934761044</v>
      </c>
    </row>
    <row r="68" spans="1:27" hidden="1">
      <c r="A68" s="281" t="s">
        <v>12</v>
      </c>
      <c r="B68" s="273">
        <f>B44</f>
        <v>44917</v>
      </c>
      <c r="C68" s="136" t="s">
        <v>2</v>
      </c>
      <c r="D68" s="148"/>
      <c r="E68" s="148"/>
      <c r="F68" s="148"/>
      <c r="G68" s="148"/>
      <c r="H68" s="148"/>
      <c r="I68" s="148">
        <v>155.96</v>
      </c>
      <c r="J68" s="148"/>
      <c r="K68" s="148"/>
      <c r="L68" s="148"/>
      <c r="M68" s="168">
        <f>M20/L23-1</f>
        <v>0.10757307197055366</v>
      </c>
      <c r="N68" s="168">
        <v>6.3711911357340778E-2</v>
      </c>
      <c r="O68" s="168">
        <v>4.9479166666666741E-2</v>
      </c>
      <c r="P68" s="168">
        <v>2.977667493796532E-2</v>
      </c>
      <c r="Q68" s="168">
        <v>1.9277108433734869E-2</v>
      </c>
      <c r="R68" s="168">
        <v>1.0000000000000087E-2</v>
      </c>
      <c r="S68" s="168">
        <v>1.0000000000000087E-2</v>
      </c>
      <c r="Y68" s="249">
        <v>0.14324555299414254</v>
      </c>
      <c r="Z68" s="249">
        <v>-6.9870715281392437E-2</v>
      </c>
      <c r="AA68" s="249">
        <v>6.3284135680146569E-2</v>
      </c>
    </row>
    <row r="69" spans="1:27" hidden="1">
      <c r="A69" s="281"/>
      <c r="B69" s="272"/>
      <c r="C69" s="139" t="s">
        <v>0</v>
      </c>
      <c r="D69" s="149"/>
      <c r="E69" s="149"/>
      <c r="F69" s="149"/>
      <c r="G69" s="149"/>
      <c r="H69" s="149"/>
      <c r="I69" s="149"/>
      <c r="J69" s="149"/>
      <c r="K69" s="149"/>
      <c r="L69" s="149"/>
      <c r="M69" s="236">
        <f>M21/L23-1</f>
        <v>0.10756763845584394</v>
      </c>
      <c r="N69" s="236">
        <f t="shared" ref="N69:S70" si="22">N21/M21-1</f>
        <v>0.30340463108320237</v>
      </c>
      <c r="O69" s="236">
        <f t="shared" si="22"/>
        <v>0.16839050608613193</v>
      </c>
      <c r="P69" s="236">
        <f t="shared" si="22"/>
        <v>5.5810582266247799E-2</v>
      </c>
      <c r="Q69" s="236">
        <f t="shared" si="22"/>
        <v>4.3386727688787374E-2</v>
      </c>
      <c r="R69" s="236">
        <f t="shared" si="22"/>
        <v>2.0001754539871852E-2</v>
      </c>
      <c r="S69" s="236">
        <f t="shared" si="22"/>
        <v>1.9996559731659147E-2</v>
      </c>
      <c r="Y69" s="184"/>
    </row>
    <row r="70" spans="1:27" hidden="1">
      <c r="A70" s="281"/>
      <c r="B70" s="272"/>
      <c r="C70" s="141" t="s">
        <v>3</v>
      </c>
      <c r="D70" s="151"/>
      <c r="E70" s="151"/>
      <c r="F70" s="151"/>
      <c r="G70" s="151"/>
      <c r="H70" s="151"/>
      <c r="I70" s="151">
        <v>155.9</v>
      </c>
      <c r="J70" s="151"/>
      <c r="K70" s="151"/>
      <c r="L70" s="151"/>
      <c r="M70" s="237">
        <f>M22/L23-1</f>
        <v>0.10757307197055366</v>
      </c>
      <c r="N70" s="237">
        <f t="shared" si="22"/>
        <v>0.3033982368610828</v>
      </c>
      <c r="O70" s="237">
        <f t="shared" si="22"/>
        <v>0.16605316049773045</v>
      </c>
      <c r="P70" s="237">
        <f t="shared" si="22"/>
        <v>5.0170430336599958E-2</v>
      </c>
      <c r="Q70" s="237">
        <f t="shared" si="22"/>
        <v>8.5557881277528391E-2</v>
      </c>
      <c r="R70" s="237">
        <f t="shared" si="22"/>
        <v>6.8665535996919491E-2</v>
      </c>
      <c r="S70" s="237">
        <f t="shared" si="22"/>
        <v>4.391357970720744E-2</v>
      </c>
      <c r="Y70" s="249">
        <f>Y66/2</f>
        <v>0</v>
      </c>
      <c r="Z70" s="249">
        <f t="shared" ref="Z70:AA70" si="23">Z66/2</f>
        <v>0</v>
      </c>
      <c r="AA70" s="249">
        <f t="shared" si="23"/>
        <v>0</v>
      </c>
    </row>
    <row r="71" spans="1:27" hidden="1">
      <c r="A71" s="281"/>
      <c r="B71" s="272"/>
      <c r="C71" s="143" t="s">
        <v>1</v>
      </c>
      <c r="D71" s="152">
        <v>80.3</v>
      </c>
      <c r="E71" s="152">
        <v>96.4</v>
      </c>
      <c r="F71" s="153">
        <v>113.9</v>
      </c>
      <c r="G71" s="153">
        <v>141.4</v>
      </c>
      <c r="H71" s="153">
        <v>146.69999999999999</v>
      </c>
      <c r="I71" s="153">
        <v>153</v>
      </c>
      <c r="J71" s="206">
        <f>J72</f>
        <v>0</v>
      </c>
      <c r="K71" s="209">
        <v>300</v>
      </c>
      <c r="L71" s="226"/>
      <c r="M71" s="238">
        <f>AVERAGE(M67:M70)</f>
        <v>0.10757126079898376</v>
      </c>
      <c r="N71" s="238">
        <f t="shared" ref="N71:S71" si="24">AVERAGE(N67:N70)</f>
        <v>0.22350492643387532</v>
      </c>
      <c r="O71" s="238">
        <f t="shared" si="24"/>
        <v>0.12797427775017636</v>
      </c>
      <c r="P71" s="238">
        <f t="shared" si="24"/>
        <v>4.5252562513604357E-2</v>
      </c>
      <c r="Q71" s="238">
        <f t="shared" si="24"/>
        <v>4.9407239133350211E-2</v>
      </c>
      <c r="R71" s="238">
        <f t="shared" si="24"/>
        <v>3.2889096845597147E-2</v>
      </c>
      <c r="S71" s="238">
        <f t="shared" si="24"/>
        <v>2.4636713146288892E-2</v>
      </c>
      <c r="Y71" s="249">
        <f t="shared" ref="Y71:AA72" si="25">Y67/2</f>
        <v>0.10537361955624014</v>
      </c>
      <c r="Z71" s="249">
        <f t="shared" si="25"/>
        <v>-2.7382060420968468E-2</v>
      </c>
      <c r="AA71" s="249">
        <f t="shared" si="25"/>
        <v>5.1446996738052198E-2</v>
      </c>
    </row>
    <row r="72" spans="1:27" hidden="1">
      <c r="A72" s="281"/>
      <c r="B72" s="33">
        <f>B49</f>
        <v>44795</v>
      </c>
      <c r="C72" s="133" t="s">
        <v>1</v>
      </c>
      <c r="D72" s="154">
        <f>'Aug18'!D67</f>
        <v>0</v>
      </c>
      <c r="E72" s="154">
        <f>'Aug18'!E67</f>
        <v>0</v>
      </c>
      <c r="F72" s="154">
        <f>'Aug18'!F67</f>
        <v>0</v>
      </c>
      <c r="G72" s="154">
        <f>'Aug18'!G67</f>
        <v>0</v>
      </c>
      <c r="H72" s="154">
        <f>'Aug18'!H67</f>
        <v>0</v>
      </c>
      <c r="I72" s="154">
        <f>'Dec18'!I67</f>
        <v>0</v>
      </c>
      <c r="J72" s="154">
        <f>'Dec18'!J67</f>
        <v>0</v>
      </c>
      <c r="K72" s="154">
        <v>300.43599999999998</v>
      </c>
      <c r="L72" s="154"/>
      <c r="M72" s="239">
        <f>'Feb21'!M68</f>
        <v>2.4253746238142321E-2</v>
      </c>
      <c r="N72" s="239">
        <f>'Feb21'!N68</f>
        <v>7.0380244973168677E-3</v>
      </c>
      <c r="O72" s="239">
        <f>'Feb21'!O68</f>
        <v>2.7503791128108041E-2</v>
      </c>
      <c r="P72" s="239">
        <f>'Feb21'!P68</f>
        <v>1.5887735688497589E-2</v>
      </c>
      <c r="Q72" s="239">
        <f>'Feb21'!Q68</f>
        <v>1.3364548356393557E-2</v>
      </c>
      <c r="R72" s="239"/>
      <c r="S72" s="239"/>
      <c r="Y72" s="249">
        <f t="shared" si="25"/>
        <v>7.1622776497071272E-2</v>
      </c>
      <c r="Z72" s="249">
        <f t="shared" si="25"/>
        <v>-3.4935357640696219E-2</v>
      </c>
      <c r="AA72" s="249">
        <f t="shared" si="25"/>
        <v>3.1642067840073285E-2</v>
      </c>
    </row>
    <row r="73" spans="1:27" hidden="1">
      <c r="M73">
        <v>0.10757126079898376</v>
      </c>
      <c r="N73">
        <v>0.2494632787508102</v>
      </c>
      <c r="O73">
        <v>9.3376238657061128E-2</v>
      </c>
      <c r="P73">
        <v>-5.4029522253356221E-2</v>
      </c>
      <c r="Q73">
        <v>5.0043656638575795E-2</v>
      </c>
      <c r="R73">
        <v>3.9248232960740086E-2</v>
      </c>
      <c r="S73">
        <v>1.03924823296074</v>
      </c>
    </row>
    <row r="74" spans="1:27" hidden="1"/>
    <row r="75" spans="1:27" hidden="1"/>
  </sheetData>
  <mergeCells count="25">
    <mergeCell ref="A68:A72"/>
    <mergeCell ref="B68:B71"/>
    <mergeCell ref="A19:A33"/>
    <mergeCell ref="B19:B23"/>
    <mergeCell ref="A36:A41"/>
    <mergeCell ref="B36:B40"/>
    <mergeCell ref="A44:A58"/>
    <mergeCell ref="B44:B48"/>
    <mergeCell ref="B49:B52"/>
    <mergeCell ref="C55:D55"/>
    <mergeCell ref="C56:D56"/>
    <mergeCell ref="C57:D57"/>
    <mergeCell ref="C58:D58"/>
    <mergeCell ref="B24:B27"/>
    <mergeCell ref="C30:D30"/>
    <mergeCell ref="C31:D31"/>
    <mergeCell ref="C32:D32"/>
    <mergeCell ref="C33:D33"/>
    <mergeCell ref="A2:A16"/>
    <mergeCell ref="B2:B6"/>
    <mergeCell ref="B7:B11"/>
    <mergeCell ref="C13:D13"/>
    <mergeCell ref="C14:D14"/>
    <mergeCell ref="C15:D15"/>
    <mergeCell ref="C16:D16"/>
  </mergeCells>
  <pageMargins left="0.7" right="0.7" top="0.75" bottom="0.75" header="0.3" footer="0.3"/>
  <legacy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D24B3-0E43-44B4-9222-BC70AFC8A672}">
  <dimension ref="A1:AG84"/>
  <sheetViews>
    <sheetView topLeftCell="A5" zoomScaleNormal="100" workbookViewId="0">
      <selection activeCell="R77" sqref="R77"/>
    </sheetView>
  </sheetViews>
  <sheetFormatPr defaultColWidth="9.28515625" defaultRowHeight="15"/>
  <cols>
    <col min="1" max="1" width="9.42578125" customWidth="1"/>
    <col min="2" max="2" width="7.5703125" bestFit="1" customWidth="1"/>
    <col min="3" max="3" width="13" customWidth="1"/>
    <col min="4" max="4" width="7.7109375" hidden="1" customWidth="1"/>
    <col min="5" max="5" width="8.28515625" hidden="1" customWidth="1"/>
    <col min="6" max="6" width="9.28515625" hidden="1" customWidth="1"/>
    <col min="7" max="7" width="13.42578125" hidden="1" customWidth="1"/>
    <col min="8" max="9" width="9.28515625" hidden="1" customWidth="1"/>
    <col min="10" max="10" width="7.7109375" hidden="1" customWidth="1"/>
    <col min="11" max="11" width="8.28515625" hidden="1" customWidth="1"/>
    <col min="12" max="12" width="9.28515625" hidden="1" customWidth="1"/>
    <col min="13" max="13" width="9.42578125" hidden="1" customWidth="1"/>
    <col min="14" max="14" width="10.85546875" hidden="1" customWidth="1"/>
    <col min="15" max="15" width="10" customWidth="1"/>
    <col min="16" max="19" width="9.5703125" bestFit="1" customWidth="1"/>
    <col min="20" max="20" width="15.5703125" bestFit="1" customWidth="1"/>
    <col min="24" max="24" width="2.28515625" customWidth="1"/>
    <col min="28" max="28" width="2.28515625" customWidth="1"/>
  </cols>
  <sheetData>
    <row r="1" spans="1:31" ht="34.5" customHeight="1">
      <c r="A1" s="8"/>
      <c r="B1" s="11"/>
      <c r="C1" s="133"/>
      <c r="D1" s="132" t="s">
        <v>17</v>
      </c>
      <c r="E1" s="132" t="s">
        <v>25</v>
      </c>
      <c r="F1" s="132" t="s">
        <v>73</v>
      </c>
      <c r="G1" s="132" t="s">
        <v>74</v>
      </c>
      <c r="H1" s="132" t="s">
        <v>75</v>
      </c>
      <c r="I1" s="132" t="s">
        <v>77</v>
      </c>
      <c r="J1" s="132" t="s">
        <v>81</v>
      </c>
      <c r="K1" s="132" t="s">
        <v>24</v>
      </c>
      <c r="L1" s="132" t="s">
        <v>27</v>
      </c>
      <c r="M1" s="132" t="s">
        <v>57</v>
      </c>
      <c r="N1" s="132" t="s">
        <v>76</v>
      </c>
      <c r="O1" s="132" t="s">
        <v>80</v>
      </c>
      <c r="P1" s="132" t="s">
        <v>82</v>
      </c>
      <c r="Q1" s="132" t="s">
        <v>92</v>
      </c>
      <c r="R1" s="132" t="s">
        <v>102</v>
      </c>
      <c r="S1" s="132" t="s">
        <v>106</v>
      </c>
      <c r="U1" s="132" t="s">
        <v>76</v>
      </c>
      <c r="V1" s="187" t="s">
        <v>80</v>
      </c>
      <c r="W1" s="187" t="s">
        <v>82</v>
      </c>
      <c r="Y1" s="132" t="s">
        <v>76</v>
      </c>
      <c r="Z1" s="187" t="s">
        <v>80</v>
      </c>
      <c r="AA1" s="187" t="s">
        <v>82</v>
      </c>
      <c r="AC1" s="132" t="s">
        <v>76</v>
      </c>
      <c r="AD1" s="187" t="s">
        <v>80</v>
      </c>
      <c r="AE1" s="187" t="s">
        <v>82</v>
      </c>
    </row>
    <row r="2" spans="1:31">
      <c r="A2" s="284" t="s">
        <v>10</v>
      </c>
      <c r="B2" s="300">
        <v>44577</v>
      </c>
      <c r="C2" s="134" t="s">
        <v>4</v>
      </c>
      <c r="D2" s="135"/>
      <c r="E2" s="135"/>
      <c r="F2" s="135"/>
      <c r="G2" s="135"/>
      <c r="H2" s="135"/>
      <c r="I2" s="135">
        <v>44.74</v>
      </c>
      <c r="J2" s="135"/>
      <c r="K2" s="135"/>
      <c r="L2" s="135">
        <v>44.01</v>
      </c>
      <c r="M2" s="135">
        <v>50.58</v>
      </c>
      <c r="N2" s="135"/>
      <c r="O2" s="135"/>
      <c r="P2" s="135"/>
      <c r="Q2" s="135"/>
      <c r="R2" s="135"/>
      <c r="S2" s="135"/>
      <c r="U2" s="135"/>
      <c r="V2" s="135"/>
      <c r="W2" s="135"/>
      <c r="Y2" s="135"/>
      <c r="Z2" s="135"/>
      <c r="AA2" s="135"/>
      <c r="AC2" s="135"/>
      <c r="AD2" s="135"/>
      <c r="AE2" s="135"/>
    </row>
    <row r="3" spans="1:31">
      <c r="A3" s="285"/>
      <c r="B3" s="301"/>
      <c r="C3" s="136" t="s">
        <v>2</v>
      </c>
      <c r="D3" s="137"/>
      <c r="E3" s="138"/>
      <c r="F3" s="138"/>
      <c r="G3" s="138"/>
      <c r="H3" s="138"/>
      <c r="I3" s="138">
        <v>44.76</v>
      </c>
      <c r="J3" s="138"/>
      <c r="K3" s="138"/>
      <c r="L3" s="138">
        <v>44.01</v>
      </c>
      <c r="M3" s="138">
        <v>50.58</v>
      </c>
      <c r="N3" s="138"/>
      <c r="O3" s="138"/>
      <c r="P3" s="138"/>
      <c r="Q3" s="138"/>
      <c r="R3" s="138"/>
      <c r="S3" s="138"/>
      <c r="U3" s="138"/>
      <c r="V3" s="138"/>
      <c r="W3" s="138"/>
      <c r="Y3" s="138"/>
      <c r="Z3" s="138"/>
      <c r="AA3" s="138"/>
      <c r="AC3" s="138"/>
      <c r="AD3" s="138"/>
      <c r="AE3" s="138"/>
    </row>
    <row r="4" spans="1:31">
      <c r="A4" s="285"/>
      <c r="B4" s="301"/>
      <c r="C4" s="139" t="s">
        <v>0</v>
      </c>
      <c r="D4" s="140"/>
      <c r="E4" s="140"/>
      <c r="F4" s="140"/>
      <c r="G4" s="140"/>
      <c r="H4" s="140"/>
      <c r="I4" s="140">
        <v>44.75</v>
      </c>
      <c r="J4" s="140"/>
      <c r="K4" s="140"/>
      <c r="L4" s="140">
        <v>43.75</v>
      </c>
      <c r="M4" s="140">
        <v>50.58</v>
      </c>
      <c r="N4" s="140"/>
      <c r="O4" s="140"/>
      <c r="P4" s="140"/>
      <c r="Q4" s="140"/>
      <c r="R4" s="140"/>
      <c r="S4" s="140"/>
      <c r="U4" s="140"/>
      <c r="V4" s="140"/>
      <c r="W4" s="140"/>
      <c r="Y4" s="140"/>
      <c r="Z4" s="140"/>
      <c r="AA4" s="140"/>
      <c r="AC4" s="140"/>
      <c r="AD4" s="140"/>
      <c r="AE4" s="140"/>
    </row>
    <row r="5" spans="1:31">
      <c r="A5" s="285"/>
      <c r="B5" s="301"/>
      <c r="C5" s="141" t="s">
        <v>3</v>
      </c>
      <c r="D5" s="142"/>
      <c r="E5" s="142"/>
      <c r="F5" s="142"/>
      <c r="G5" s="142"/>
      <c r="H5" s="142"/>
      <c r="I5" s="142">
        <v>44.39</v>
      </c>
      <c r="J5" s="142"/>
      <c r="K5" s="142"/>
      <c r="L5" s="142">
        <v>44.15</v>
      </c>
      <c r="M5" s="142">
        <v>50.58</v>
      </c>
      <c r="N5" s="142"/>
      <c r="O5" s="142">
        <v>80.97</v>
      </c>
      <c r="P5" s="142">
        <v>74.319999999999993</v>
      </c>
      <c r="Q5" s="142">
        <v>74.25</v>
      </c>
      <c r="R5" s="142">
        <v>71.790000000000006</v>
      </c>
      <c r="S5" s="142">
        <v>69.77</v>
      </c>
      <c r="U5" s="142"/>
      <c r="V5" s="142"/>
      <c r="W5" s="142"/>
      <c r="Y5" s="142"/>
      <c r="Z5" s="142"/>
      <c r="AA5" s="142"/>
      <c r="AC5" s="142"/>
      <c r="AD5" s="142"/>
      <c r="AE5" s="142"/>
    </row>
    <row r="6" spans="1:31">
      <c r="A6" s="285"/>
      <c r="B6" s="302"/>
      <c r="C6" s="143" t="s">
        <v>1</v>
      </c>
      <c r="D6" s="144">
        <v>89.65</v>
      </c>
      <c r="E6" s="144">
        <v>85.82</v>
      </c>
      <c r="F6" s="144">
        <v>95.13</v>
      </c>
      <c r="G6" s="144">
        <v>60.67</v>
      </c>
      <c r="H6" s="144">
        <v>37.85</v>
      </c>
      <c r="I6" s="144">
        <f t="shared" ref="I6" si="0">+AVERAGE(I2:I5)</f>
        <v>44.66</v>
      </c>
      <c r="J6" s="144">
        <v>55.05</v>
      </c>
      <c r="K6" s="216" t="e">
        <f>AVERAGE(K2:K5)</f>
        <v>#DIV/0!</v>
      </c>
      <c r="L6" s="216">
        <v>44.01</v>
      </c>
      <c r="M6" s="216">
        <f>AVERAGE(M2:M5)</f>
        <v>50.58</v>
      </c>
      <c r="N6" s="216">
        <v>88.11</v>
      </c>
      <c r="O6" s="216">
        <f t="shared" ref="O6:S6" si="1">MROUND(AVERAGE(O2:O5),0.5)</f>
        <v>81</v>
      </c>
      <c r="P6" s="216">
        <f t="shared" si="1"/>
        <v>74.5</v>
      </c>
      <c r="Q6" s="216">
        <f t="shared" si="1"/>
        <v>74.5</v>
      </c>
      <c r="R6" s="216">
        <f t="shared" si="1"/>
        <v>72</v>
      </c>
      <c r="S6" s="216">
        <f t="shared" si="1"/>
        <v>70</v>
      </c>
      <c r="U6" s="216"/>
      <c r="V6" s="216"/>
      <c r="W6" s="216"/>
      <c r="Y6" s="216"/>
      <c r="Z6" s="216"/>
      <c r="AA6" s="216"/>
      <c r="AC6" s="216"/>
      <c r="AD6" s="216"/>
      <c r="AE6" s="216"/>
    </row>
    <row r="7" spans="1:31">
      <c r="A7" s="285"/>
      <c r="B7" s="300">
        <v>44917</v>
      </c>
      <c r="C7" s="133" t="s">
        <v>1</v>
      </c>
      <c r="D7" s="138">
        <f>'Aug18'!D6</f>
        <v>89.65</v>
      </c>
      <c r="E7" s="138">
        <f>'Aug18'!E6</f>
        <v>85.82</v>
      </c>
      <c r="F7" s="138">
        <f>'Aug18'!F6</f>
        <v>95.13</v>
      </c>
      <c r="G7" s="138">
        <f>'Aug18'!G6</f>
        <v>60.67</v>
      </c>
      <c r="H7" s="138">
        <f>'Aug18'!H6</f>
        <v>37.85</v>
      </c>
      <c r="I7" s="138">
        <f>'Dec18'!I6</f>
        <v>44.66</v>
      </c>
      <c r="J7" s="138">
        <f>'Dec18'!J6</f>
        <v>55.05</v>
      </c>
      <c r="K7" s="138">
        <v>51.464999999999996</v>
      </c>
      <c r="L7" s="138">
        <f>'Feb21'!L6</f>
        <v>44.01</v>
      </c>
      <c r="M7" s="138">
        <f>'Aug21'!M6</f>
        <v>49.917499999999997</v>
      </c>
      <c r="N7" s="252">
        <v>88.11</v>
      </c>
      <c r="O7" s="252">
        <v>85</v>
      </c>
      <c r="P7" s="252">
        <v>76.5</v>
      </c>
      <c r="Q7" s="252">
        <v>72.5</v>
      </c>
      <c r="R7" s="252">
        <v>70.5</v>
      </c>
      <c r="S7" s="252">
        <v>69</v>
      </c>
      <c r="U7" s="93" t="s">
        <v>99</v>
      </c>
      <c r="Y7" s="93" t="s">
        <v>100</v>
      </c>
      <c r="AC7" t="s">
        <v>101</v>
      </c>
    </row>
    <row r="8" spans="1:31" ht="14.65" hidden="1" customHeight="1">
      <c r="A8" s="285"/>
      <c r="B8" s="301"/>
      <c r="C8" s="133" t="s">
        <v>1</v>
      </c>
      <c r="D8" s="138">
        <v>89.65</v>
      </c>
      <c r="E8" s="138">
        <v>85.82</v>
      </c>
      <c r="F8" s="138">
        <v>95.14</v>
      </c>
      <c r="G8" s="138">
        <v>71</v>
      </c>
      <c r="H8" s="138">
        <v>66</v>
      </c>
      <c r="I8" s="138">
        <v>72</v>
      </c>
      <c r="J8" s="138">
        <v>76</v>
      </c>
      <c r="K8" s="138">
        <v>80</v>
      </c>
      <c r="L8" s="138"/>
      <c r="M8" s="138"/>
      <c r="N8" s="256">
        <v>531.4</v>
      </c>
      <c r="O8" s="256">
        <v>620</v>
      </c>
      <c r="P8" s="256">
        <v>660</v>
      </c>
      <c r="Q8" s="256">
        <v>710</v>
      </c>
      <c r="R8" s="256">
        <v>745</v>
      </c>
      <c r="S8" s="256">
        <v>775</v>
      </c>
    </row>
    <row r="9" spans="1:31" ht="14.65" hidden="1" customHeight="1">
      <c r="A9" s="285"/>
      <c r="B9" s="301"/>
      <c r="C9" s="133" t="s">
        <v>1</v>
      </c>
      <c r="D9" s="138">
        <v>89.65</v>
      </c>
      <c r="E9" s="138">
        <v>85.82</v>
      </c>
      <c r="F9" s="138">
        <v>95.75</v>
      </c>
      <c r="G9" s="138">
        <v>92</v>
      </c>
      <c r="H9" s="138">
        <v>88</v>
      </c>
      <c r="I9" s="138">
        <v>87</v>
      </c>
      <c r="J9" s="138">
        <v>86</v>
      </c>
      <c r="K9" s="138">
        <v>85</v>
      </c>
      <c r="L9" s="138"/>
      <c r="M9" s="138"/>
      <c r="N9" s="257">
        <v>7.03</v>
      </c>
      <c r="O9" s="257">
        <v>7.05</v>
      </c>
      <c r="P9" s="257">
        <v>5.6</v>
      </c>
      <c r="Q9" s="257">
        <v>5.15</v>
      </c>
      <c r="R9" s="257">
        <v>5.05</v>
      </c>
      <c r="S9" s="257">
        <v>4.95</v>
      </c>
    </row>
    <row r="10" spans="1:31" ht="14.65" hidden="1" customHeight="1">
      <c r="A10" s="285"/>
      <c r="B10" s="301"/>
      <c r="C10" s="133" t="s">
        <v>1</v>
      </c>
      <c r="D10" s="138">
        <v>90</v>
      </c>
      <c r="E10" s="138">
        <v>87</v>
      </c>
      <c r="F10" s="138">
        <v>94</v>
      </c>
      <c r="G10" s="138">
        <v>87.5</v>
      </c>
      <c r="H10" s="138">
        <v>85</v>
      </c>
      <c r="I10" s="138">
        <v>84</v>
      </c>
      <c r="J10" s="138">
        <v>84</v>
      </c>
      <c r="K10" s="138"/>
      <c r="L10" s="138"/>
      <c r="M10" s="138"/>
      <c r="N10" s="258">
        <v>2585.8130000000001</v>
      </c>
      <c r="O10" s="258">
        <v>2875</v>
      </c>
      <c r="P10" s="258">
        <v>3015</v>
      </c>
      <c r="Q10" s="258">
        <v>3120</v>
      </c>
      <c r="R10" s="258">
        <v>3200</v>
      </c>
      <c r="S10" s="258">
        <v>3255</v>
      </c>
    </row>
    <row r="11" spans="1:31" ht="14.65" hidden="1" customHeight="1">
      <c r="A11" s="285"/>
      <c r="B11" s="302"/>
      <c r="C11" s="133" t="s">
        <v>1</v>
      </c>
      <c r="D11" s="145">
        <v>90</v>
      </c>
      <c r="E11" s="145">
        <v>86.5</v>
      </c>
      <c r="F11" s="145">
        <v>88</v>
      </c>
      <c r="G11" s="145">
        <v>87.5</v>
      </c>
      <c r="H11" s="145">
        <v>87</v>
      </c>
      <c r="I11" s="145">
        <v>86.5</v>
      </c>
      <c r="J11" s="145"/>
      <c r="K11" s="145"/>
      <c r="L11" s="145"/>
      <c r="M11" s="145"/>
      <c r="R11" s="138">
        <v>59.5</v>
      </c>
    </row>
    <row r="12" spans="1:31" hidden="1">
      <c r="A12" s="285"/>
      <c r="B12" s="33">
        <v>41244</v>
      </c>
      <c r="C12" s="133" t="s">
        <v>1</v>
      </c>
      <c r="D12" s="145">
        <v>89.640506965377526</v>
      </c>
      <c r="E12" s="145">
        <v>85</v>
      </c>
      <c r="F12" s="145">
        <v>84.75</v>
      </c>
      <c r="G12" s="145">
        <v>83.5</v>
      </c>
      <c r="H12" s="145">
        <v>82.5</v>
      </c>
      <c r="I12" s="145">
        <v>83</v>
      </c>
      <c r="J12" s="145">
        <v>83</v>
      </c>
      <c r="K12" s="145"/>
      <c r="L12" s="145"/>
      <c r="M12" s="145"/>
      <c r="R12" s="138">
        <v>59.5</v>
      </c>
    </row>
    <row r="13" spans="1:31" hidden="1">
      <c r="A13" s="285"/>
      <c r="B13" s="33">
        <v>42217</v>
      </c>
      <c r="C13" s="292" t="s">
        <v>16</v>
      </c>
      <c r="D13" s="293"/>
      <c r="E13" s="146">
        <f t="shared" ref="E13:M13" si="2">+E6/D6-1</f>
        <v>-4.2721695482431765E-2</v>
      </c>
      <c r="F13" s="146">
        <f>+F6/E6-1</f>
        <v>0.10848287112561183</v>
      </c>
      <c r="G13" s="166">
        <f>+G6/F6-1</f>
        <v>-0.36224114369809735</v>
      </c>
      <c r="H13" s="146">
        <f t="shared" si="2"/>
        <v>-0.37613317949563208</v>
      </c>
      <c r="I13" s="146">
        <f t="shared" si="2"/>
        <v>0.17992073976221912</v>
      </c>
      <c r="J13" s="146">
        <f t="shared" si="2"/>
        <v>0.23264666368114639</v>
      </c>
      <c r="K13" s="146" t="e">
        <f t="shared" si="2"/>
        <v>#DIV/0!</v>
      </c>
      <c r="L13" s="146" t="e">
        <f t="shared" si="2"/>
        <v>#DIV/0!</v>
      </c>
      <c r="M13" s="146">
        <f t="shared" si="2"/>
        <v>0.14928425357873221</v>
      </c>
      <c r="R13" s="138">
        <v>59.5</v>
      </c>
    </row>
    <row r="14" spans="1:31" hidden="1">
      <c r="A14" s="285"/>
      <c r="B14" s="33">
        <v>42031</v>
      </c>
      <c r="C14" s="290" t="s">
        <v>16</v>
      </c>
      <c r="D14" s="291"/>
      <c r="E14" s="147">
        <f t="shared" ref="E14:K15" si="3">(E7-D7)/D7</f>
        <v>-4.2721695482431814E-2</v>
      </c>
      <c r="F14" s="147">
        <f t="shared" si="3"/>
        <v>0.10848287112561178</v>
      </c>
      <c r="G14" s="147">
        <f t="shared" si="3"/>
        <v>-0.36224114369809729</v>
      </c>
      <c r="H14" s="147">
        <f t="shared" si="3"/>
        <v>-0.37613317949563208</v>
      </c>
      <c r="I14" s="147">
        <f t="shared" si="3"/>
        <v>0.17992073976221915</v>
      </c>
      <c r="J14" s="147">
        <f t="shared" si="3"/>
        <v>0.23264666368114648</v>
      </c>
      <c r="K14" s="147">
        <f t="shared" si="3"/>
        <v>-6.5122615803814732E-2</v>
      </c>
      <c r="L14" s="147"/>
      <c r="M14" s="147"/>
      <c r="R14" s="138">
        <v>59.5</v>
      </c>
    </row>
    <row r="15" spans="1:31" hidden="1">
      <c r="A15" s="285"/>
      <c r="B15" s="33">
        <v>41974</v>
      </c>
      <c r="C15" s="290" t="s">
        <v>16</v>
      </c>
      <c r="D15" s="291"/>
      <c r="E15" s="147">
        <f t="shared" si="3"/>
        <v>-4.2721695482431814E-2</v>
      </c>
      <c r="F15" s="147">
        <f t="shared" si="3"/>
        <v>0.10859939408063397</v>
      </c>
      <c r="G15" s="147">
        <f t="shared" si="3"/>
        <v>-0.2537313432835821</v>
      </c>
      <c r="H15" s="147">
        <f t="shared" si="3"/>
        <v>-7.0422535211267609E-2</v>
      </c>
      <c r="I15" s="147">
        <f t="shared" si="3"/>
        <v>9.0909090909090912E-2</v>
      </c>
      <c r="J15" s="147">
        <f t="shared" si="3"/>
        <v>5.5555555555555552E-2</v>
      </c>
      <c r="K15" s="147"/>
      <c r="L15" s="147"/>
      <c r="M15" s="147"/>
      <c r="R15" s="138">
        <v>59.5</v>
      </c>
    </row>
    <row r="16" spans="1:31" hidden="1">
      <c r="A16" s="286"/>
      <c r="B16" s="33">
        <v>41499</v>
      </c>
      <c r="C16" s="292" t="s">
        <v>16</v>
      </c>
      <c r="D16" s="293"/>
      <c r="E16" s="146">
        <f t="shared" ref="E16:J16" si="4">(E10-D10)/D10</f>
        <v>-3.3333333333333333E-2</v>
      </c>
      <c r="F16" s="146">
        <f t="shared" si="4"/>
        <v>8.0459770114942528E-2</v>
      </c>
      <c r="G16" s="146">
        <f t="shared" si="4"/>
        <v>-6.9148936170212769E-2</v>
      </c>
      <c r="H16" s="146">
        <f t="shared" si="4"/>
        <v>-2.8571428571428571E-2</v>
      </c>
      <c r="I16" s="146">
        <f t="shared" si="4"/>
        <v>-1.1764705882352941E-2</v>
      </c>
      <c r="J16" s="146">
        <f t="shared" si="4"/>
        <v>0</v>
      </c>
      <c r="K16" s="146"/>
      <c r="L16" s="146"/>
      <c r="M16" s="146"/>
      <c r="R16" s="138">
        <v>59.5</v>
      </c>
    </row>
    <row r="17" spans="1:33">
      <c r="A17" s="65"/>
      <c r="B17" s="65"/>
      <c r="C17" s="65"/>
      <c r="D17" s="65"/>
      <c r="E17" s="65"/>
      <c r="F17" s="65"/>
      <c r="G17" s="65"/>
      <c r="H17" s="65"/>
      <c r="I17" s="65"/>
      <c r="J17" s="65"/>
      <c r="K17" s="65"/>
      <c r="L17" s="65"/>
      <c r="M17" s="247">
        <v>50.580000000000005</v>
      </c>
      <c r="N17" s="252"/>
      <c r="O17" s="252"/>
      <c r="P17" s="252"/>
      <c r="Q17" s="252"/>
      <c r="R17" s="252"/>
      <c r="S17" s="252"/>
      <c r="T17" s="250" t="str">
        <f>T34</f>
        <v>FINAL 11/22/22</v>
      </c>
      <c r="U17" s="112">
        <f>+U6/$N$6-1</f>
        <v>-1</v>
      </c>
      <c r="V17" s="112" t="e">
        <f>+V6/U6-1</f>
        <v>#DIV/0!</v>
      </c>
      <c r="W17" s="112" t="e">
        <f>+W6/V6-1</f>
        <v>#DIV/0!</v>
      </c>
      <c r="Y17" s="112">
        <f>+Y6/$N$6-1</f>
        <v>-1</v>
      </c>
      <c r="Z17" s="112" t="e">
        <f>+Z6/Y6-1</f>
        <v>#DIV/0!</v>
      </c>
      <c r="AA17" s="112" t="e">
        <f>+AA6/Z6-1</f>
        <v>#DIV/0!</v>
      </c>
      <c r="AC17" s="112">
        <f>+AC6/$N$6-1</f>
        <v>-1</v>
      </c>
      <c r="AD17" s="112" t="e">
        <f>+AD6/AC6-1</f>
        <v>#DIV/0!</v>
      </c>
      <c r="AE17" s="112" t="e">
        <f>+AE6/AD6-1</f>
        <v>#DIV/0!</v>
      </c>
    </row>
    <row r="18" spans="1:33">
      <c r="A18" s="65"/>
      <c r="B18" s="65"/>
      <c r="C18" s="65"/>
      <c r="D18" s="65"/>
      <c r="E18" s="65"/>
      <c r="F18" s="65"/>
      <c r="G18" s="65"/>
      <c r="H18" s="65"/>
      <c r="I18" s="65"/>
      <c r="J18" s="65"/>
      <c r="K18" s="65"/>
      <c r="L18" s="65"/>
      <c r="M18" s="65"/>
      <c r="N18" s="65"/>
      <c r="O18" s="65"/>
      <c r="P18" s="65"/>
      <c r="Q18" s="65"/>
      <c r="R18" s="65"/>
      <c r="S18" s="65"/>
      <c r="U18" s="112"/>
      <c r="V18" s="112"/>
      <c r="W18" s="112"/>
      <c r="Y18" s="112"/>
      <c r="Z18" s="112"/>
      <c r="AA18" s="112"/>
      <c r="AC18" s="112"/>
      <c r="AD18" s="112"/>
      <c r="AE18" s="112"/>
    </row>
    <row r="19" spans="1:33">
      <c r="A19" s="307" t="s">
        <v>12</v>
      </c>
      <c r="B19" s="300">
        <f>B2</f>
        <v>44577</v>
      </c>
      <c r="C19" s="134" t="s">
        <v>4</v>
      </c>
      <c r="D19" s="135"/>
      <c r="E19" s="135"/>
      <c r="F19" s="135"/>
      <c r="G19" s="135"/>
      <c r="H19" s="135"/>
      <c r="I19" s="135"/>
      <c r="J19" s="135"/>
      <c r="K19" s="135"/>
      <c r="L19" s="135">
        <v>363.84699999999998</v>
      </c>
      <c r="M19" s="177">
        <v>407.68</v>
      </c>
      <c r="N19" s="177"/>
      <c r="O19" s="177"/>
      <c r="P19" s="177"/>
      <c r="Q19" s="177"/>
      <c r="R19" s="177"/>
      <c r="S19" s="177"/>
    </row>
    <row r="20" spans="1:33" ht="15" customHeight="1">
      <c r="A20" s="308"/>
      <c r="B20" s="301"/>
      <c r="C20" s="136" t="s">
        <v>2</v>
      </c>
      <c r="D20" s="148"/>
      <c r="E20" s="148"/>
      <c r="F20" s="148"/>
      <c r="G20" s="148"/>
      <c r="H20" s="148"/>
      <c r="I20" s="148">
        <v>155.96</v>
      </c>
      <c r="J20" s="148"/>
      <c r="K20" s="148"/>
      <c r="L20" s="148">
        <v>369.54</v>
      </c>
      <c r="M20" s="148">
        <v>407.68200000000002</v>
      </c>
      <c r="N20" s="148"/>
      <c r="O20" s="148"/>
      <c r="P20" s="148"/>
      <c r="Q20" s="148"/>
      <c r="R20" s="148"/>
      <c r="S20" s="148"/>
      <c r="T20" s="112"/>
      <c r="U20" s="241"/>
      <c r="V20" s="148"/>
      <c r="W20" s="148"/>
      <c r="Y20" s="241"/>
      <c r="Z20" s="148"/>
      <c r="AA20" s="148"/>
      <c r="AC20" s="148"/>
      <c r="AD20" s="148"/>
      <c r="AE20" s="148"/>
    </row>
    <row r="21" spans="1:33">
      <c r="A21" s="308"/>
      <c r="B21" s="301"/>
      <c r="C21" s="139" t="s">
        <v>0</v>
      </c>
      <c r="D21" s="149"/>
      <c r="E21" s="149"/>
      <c r="F21" s="149"/>
      <c r="G21" s="149"/>
      <c r="H21" s="149"/>
      <c r="I21" s="149"/>
      <c r="J21" s="149"/>
      <c r="K21" s="149"/>
      <c r="L21" s="149">
        <v>368.08587199999999</v>
      </c>
      <c r="M21" s="149">
        <v>407.68</v>
      </c>
      <c r="N21" s="149"/>
      <c r="O21" s="149"/>
      <c r="P21" s="149"/>
      <c r="Q21" s="149"/>
      <c r="R21" s="149"/>
      <c r="S21" s="149"/>
      <c r="T21" s="112"/>
      <c r="U21" s="149"/>
      <c r="V21" s="149"/>
      <c r="W21" s="149"/>
      <c r="Y21" s="149"/>
      <c r="Z21" s="149"/>
      <c r="AA21" s="149"/>
      <c r="AC21" s="149"/>
      <c r="AD21" s="149"/>
      <c r="AE21" s="149"/>
    </row>
    <row r="22" spans="1:33">
      <c r="A22" s="308"/>
      <c r="B22" s="301"/>
      <c r="C22" s="141" t="s">
        <v>3</v>
      </c>
      <c r="D22" s="151"/>
      <c r="E22" s="151"/>
      <c r="F22" s="151"/>
      <c r="G22" s="151"/>
      <c r="H22" s="151"/>
      <c r="I22" s="151">
        <v>155.9</v>
      </c>
      <c r="J22" s="151"/>
      <c r="K22" s="151"/>
      <c r="L22" s="151">
        <v>368.1</v>
      </c>
      <c r="M22" s="151">
        <v>407.68200000000002</v>
      </c>
      <c r="N22" s="151"/>
      <c r="O22" s="151">
        <v>635.21228074361943</v>
      </c>
      <c r="P22" s="151">
        <v>660.8870690804863</v>
      </c>
      <c r="Q22" s="151">
        <v>709.99477579188942</v>
      </c>
      <c r="R22" s="151">
        <v>755.60967696801856</v>
      </c>
      <c r="S22" s="151">
        <v>789.24079397999617</v>
      </c>
      <c r="T22" s="112"/>
      <c r="U22" s="151"/>
      <c r="V22" s="151"/>
      <c r="W22" s="151"/>
      <c r="Y22" s="151"/>
      <c r="Z22" s="151"/>
      <c r="AA22" s="151"/>
      <c r="AC22" s="151"/>
      <c r="AD22" s="151"/>
      <c r="AE22" s="151"/>
    </row>
    <row r="23" spans="1:33">
      <c r="A23" s="308"/>
      <c r="B23" s="302"/>
      <c r="C23" s="143" t="s">
        <v>1</v>
      </c>
      <c r="D23" s="152">
        <v>80.3</v>
      </c>
      <c r="E23" s="152">
        <v>96.4</v>
      </c>
      <c r="F23" s="153">
        <v>113.9</v>
      </c>
      <c r="G23" s="153">
        <v>141.4</v>
      </c>
      <c r="H23" s="153">
        <v>146.69999999999999</v>
      </c>
      <c r="I23" s="153">
        <v>153</v>
      </c>
      <c r="J23" s="206">
        <f>J24</f>
        <v>204.40600000000003</v>
      </c>
      <c r="K23" s="209">
        <v>300</v>
      </c>
      <c r="L23" s="226">
        <f>L21</f>
        <v>368.08587199999999</v>
      </c>
      <c r="M23" s="226">
        <f>AVERAGE(M19:M22)</f>
        <v>407.68100000000004</v>
      </c>
      <c r="N23" s="226">
        <v>531.38279499999999</v>
      </c>
      <c r="O23" s="226">
        <f>MROUND(AVERAGE(O19:O22),5)</f>
        <v>635</v>
      </c>
      <c r="P23" s="226">
        <f t="shared" ref="P23:S23" si="5">MROUND(AVERAGE(P19:P22),5)</f>
        <v>660</v>
      </c>
      <c r="Q23" s="226">
        <f t="shared" si="5"/>
        <v>710</v>
      </c>
      <c r="R23" s="226">
        <f t="shared" si="5"/>
        <v>755</v>
      </c>
      <c r="S23" s="226">
        <f t="shared" si="5"/>
        <v>790</v>
      </c>
      <c r="U23" s="226"/>
      <c r="V23" s="226"/>
      <c r="W23" s="226"/>
      <c r="Y23" s="226"/>
      <c r="Z23" s="226"/>
      <c r="AA23" s="226"/>
      <c r="AC23" s="226"/>
      <c r="AD23" s="226"/>
      <c r="AE23" s="226"/>
      <c r="AG23">
        <f>1/1000000</f>
        <v>9.9999999999999995E-7</v>
      </c>
    </row>
    <row r="24" spans="1:33">
      <c r="A24" s="308"/>
      <c r="B24" s="303">
        <f>B7</f>
        <v>44917</v>
      </c>
      <c r="C24" s="133" t="s">
        <v>1</v>
      </c>
      <c r="D24" s="154">
        <f>'Aug18'!D21</f>
        <v>80.3</v>
      </c>
      <c r="E24" s="154">
        <f>'Aug18'!E21</f>
        <v>96.4</v>
      </c>
      <c r="F24" s="154">
        <f>'Aug18'!F21</f>
        <v>113.9</v>
      </c>
      <c r="G24" s="154">
        <f>'Aug18'!G21</f>
        <v>141.4</v>
      </c>
      <c r="H24" s="154">
        <f>'Aug18'!H21</f>
        <v>146.69999999999999</v>
      </c>
      <c r="I24" s="154">
        <f>'Dec18'!I21</f>
        <v>153</v>
      </c>
      <c r="J24" s="154">
        <f>'Dec18'!J21</f>
        <v>204.40600000000003</v>
      </c>
      <c r="K24" s="154">
        <v>300.43599999999998</v>
      </c>
      <c r="L24" s="154">
        <f>'Feb21'!L22</f>
        <v>368.08587199999999</v>
      </c>
      <c r="M24" s="154">
        <f>'Aug21'!M22</f>
        <v>405</v>
      </c>
      <c r="N24" s="256">
        <v>531.4</v>
      </c>
      <c r="O24" s="256">
        <v>620</v>
      </c>
      <c r="P24" s="256">
        <v>660</v>
      </c>
      <c r="Q24" s="256">
        <v>710</v>
      </c>
      <c r="R24" s="256">
        <v>745</v>
      </c>
      <c r="S24" s="256">
        <v>775</v>
      </c>
      <c r="U24" s="112">
        <f>+U23/$N$23-1</f>
        <v>-1</v>
      </c>
      <c r="V24" s="112" t="e">
        <f>+V23/U23-1</f>
        <v>#DIV/0!</v>
      </c>
      <c r="W24" s="112" t="e">
        <f>+W23/V23-1</f>
        <v>#DIV/0!</v>
      </c>
      <c r="Y24" s="112">
        <f>+Y23/$N$23-1</f>
        <v>-1</v>
      </c>
      <c r="Z24" s="112" t="e">
        <f>+Z23/Y23-1</f>
        <v>#DIV/0!</v>
      </c>
      <c r="AA24" s="112" t="e">
        <f>+AA23/Z23-1</f>
        <v>#DIV/0!</v>
      </c>
      <c r="AC24" s="112">
        <f>+AC23/$N$23-1</f>
        <v>-1</v>
      </c>
      <c r="AD24" s="112" t="e">
        <f>+AD23/AC23-1</f>
        <v>#DIV/0!</v>
      </c>
      <c r="AE24" s="112" t="e">
        <f>+AE23/AD23-1</f>
        <v>#DIV/0!</v>
      </c>
    </row>
    <row r="25" spans="1:33" ht="14.65" hidden="1" customHeight="1">
      <c r="A25" s="308"/>
      <c r="B25" s="304"/>
      <c r="C25" s="133" t="s">
        <v>1</v>
      </c>
      <c r="D25" s="154">
        <v>80.3</v>
      </c>
      <c r="E25" s="154">
        <v>96.4</v>
      </c>
      <c r="F25" s="154">
        <v>113.4</v>
      </c>
      <c r="G25" s="154">
        <v>122</v>
      </c>
      <c r="H25" s="154">
        <v>127</v>
      </c>
      <c r="I25" s="154">
        <v>131</v>
      </c>
      <c r="J25" s="154">
        <v>133</v>
      </c>
      <c r="K25" s="154">
        <v>135</v>
      </c>
      <c r="L25" s="154"/>
      <c r="M25" s="154"/>
      <c r="N25" s="154"/>
      <c r="O25" s="154"/>
      <c r="P25" s="154"/>
      <c r="Q25" s="154"/>
      <c r="R25" s="154"/>
      <c r="S25" s="154"/>
    </row>
    <row r="26" spans="1:33" ht="14.65" hidden="1" customHeight="1">
      <c r="A26" s="308"/>
      <c r="B26" s="304"/>
      <c r="C26" s="133" t="s">
        <v>1</v>
      </c>
      <c r="D26" s="154">
        <v>80.3</v>
      </c>
      <c r="E26" s="154">
        <v>96.4</v>
      </c>
      <c r="F26" s="154">
        <v>110</v>
      </c>
      <c r="G26" s="154">
        <v>117</v>
      </c>
      <c r="H26" s="154">
        <v>122</v>
      </c>
      <c r="I26" s="154">
        <v>125</v>
      </c>
      <c r="J26" s="154">
        <v>127</v>
      </c>
      <c r="K26" s="154">
        <v>129</v>
      </c>
      <c r="L26" s="154"/>
      <c r="M26" s="154"/>
      <c r="N26" s="154"/>
      <c r="O26" s="154"/>
      <c r="P26" s="154"/>
      <c r="Q26" s="154"/>
      <c r="R26" s="154"/>
      <c r="S26" s="154"/>
    </row>
    <row r="27" spans="1:33" ht="14.65" hidden="1" customHeight="1">
      <c r="A27" s="308"/>
      <c r="B27" s="305"/>
      <c r="C27" s="133" t="s">
        <v>1</v>
      </c>
      <c r="D27" s="154">
        <v>80.069999999999993</v>
      </c>
      <c r="E27" s="154">
        <v>90</v>
      </c>
      <c r="F27" s="154">
        <v>93</v>
      </c>
      <c r="G27" s="154">
        <v>97</v>
      </c>
      <c r="H27" s="154">
        <v>100</v>
      </c>
      <c r="I27" s="154">
        <v>101</v>
      </c>
      <c r="J27" s="154">
        <v>102</v>
      </c>
      <c r="K27" s="154"/>
      <c r="L27" s="154"/>
      <c r="M27" s="154"/>
      <c r="N27" s="154"/>
      <c r="O27" s="154"/>
      <c r="P27" s="154"/>
      <c r="Q27" s="154"/>
      <c r="R27" s="154"/>
      <c r="S27" s="154"/>
    </row>
    <row r="28" spans="1:33" ht="15" hidden="1" customHeight="1">
      <c r="A28" s="308"/>
      <c r="B28" s="33">
        <v>41317</v>
      </c>
      <c r="C28" s="133" t="s">
        <v>1</v>
      </c>
      <c r="D28" s="155">
        <v>80.099999999999994</v>
      </c>
      <c r="E28" s="155">
        <v>87</v>
      </c>
      <c r="F28" s="155">
        <v>91.4</v>
      </c>
      <c r="G28" s="155">
        <v>94.1</v>
      </c>
      <c r="H28" s="155">
        <v>96</v>
      </c>
      <c r="I28" s="155">
        <v>97.9</v>
      </c>
      <c r="J28" s="155"/>
      <c r="K28" s="155"/>
      <c r="L28" s="155"/>
      <c r="M28" s="155"/>
      <c r="N28" s="155"/>
      <c r="O28" s="155"/>
      <c r="P28" s="155"/>
      <c r="Q28" s="155"/>
      <c r="R28" s="155"/>
      <c r="S28" s="155"/>
    </row>
    <row r="29" spans="1:33" ht="15" hidden="1" customHeight="1">
      <c r="A29" s="308"/>
      <c r="B29" s="33">
        <v>41244</v>
      </c>
      <c r="C29" s="133" t="s">
        <v>1</v>
      </c>
      <c r="D29" s="155">
        <v>79.7</v>
      </c>
      <c r="E29" s="155">
        <v>84.119744824999998</v>
      </c>
      <c r="F29" s="155">
        <v>88.406534618000009</v>
      </c>
      <c r="G29" s="155">
        <v>92.434230656539995</v>
      </c>
      <c r="H29" s="155">
        <v>96.132415269670815</v>
      </c>
      <c r="I29" s="155">
        <v>97.6</v>
      </c>
      <c r="J29" s="155">
        <v>97.6</v>
      </c>
      <c r="K29" s="155"/>
      <c r="L29" s="155"/>
      <c r="M29" s="155"/>
      <c r="N29" s="155"/>
      <c r="O29" s="155"/>
      <c r="P29" s="155"/>
      <c r="Q29" s="155"/>
      <c r="R29" s="155"/>
      <c r="S29" s="155"/>
    </row>
    <row r="30" spans="1:33">
      <c r="A30" s="308"/>
      <c r="B30" s="33">
        <f>B19</f>
        <v>44577</v>
      </c>
      <c r="C30" s="292" t="s">
        <v>16</v>
      </c>
      <c r="D30" s="293"/>
      <c r="E30" s="167">
        <f t="shared" ref="E30:S31" si="6">(E23-D23)/D23</f>
        <v>0.20049813200498143</v>
      </c>
      <c r="F30" s="167">
        <f>(F23-E23)/E23</f>
        <v>0.18153526970954356</v>
      </c>
      <c r="G30" s="167">
        <f t="shared" si="6"/>
        <v>0.24143985952589991</v>
      </c>
      <c r="H30" s="167">
        <f t="shared" si="6"/>
        <v>3.7482319660537361E-2</v>
      </c>
      <c r="I30" s="167">
        <f>(I23-H23)/H23</f>
        <v>4.2944785276073698E-2</v>
      </c>
      <c r="J30" s="167">
        <f>(J23-I23)/I23</f>
        <v>0.33598692810457537</v>
      </c>
      <c r="K30" s="167">
        <f t="shared" si="6"/>
        <v>0.46766728960989379</v>
      </c>
      <c r="L30" s="167">
        <f t="shared" si="6"/>
        <v>0.22695290666666665</v>
      </c>
      <c r="M30" s="167">
        <f t="shared" si="6"/>
        <v>0.10757035521319885</v>
      </c>
      <c r="N30" s="167">
        <f t="shared" si="6"/>
        <v>0.30342791300060573</v>
      </c>
      <c r="O30" s="167">
        <f t="shared" si="6"/>
        <v>0.19499540815957359</v>
      </c>
      <c r="P30" s="167">
        <f t="shared" si="6"/>
        <v>3.937007874015748E-2</v>
      </c>
      <c r="Q30" s="167">
        <f t="shared" si="6"/>
        <v>7.575757575757576E-2</v>
      </c>
      <c r="R30" s="167">
        <f t="shared" si="6"/>
        <v>6.3380281690140844E-2</v>
      </c>
      <c r="S30" s="167">
        <f t="shared" si="6"/>
        <v>4.6357615894039736E-2</v>
      </c>
      <c r="U30" s="93" t="s">
        <v>99</v>
      </c>
      <c r="Y30" s="93" t="s">
        <v>100</v>
      </c>
      <c r="AC30" t="s">
        <v>101</v>
      </c>
    </row>
    <row r="31" spans="1:33">
      <c r="A31" s="308"/>
      <c r="B31" s="33">
        <f>B24</f>
        <v>44917</v>
      </c>
      <c r="C31" s="290" t="s">
        <v>16</v>
      </c>
      <c r="D31" s="291"/>
      <c r="E31" s="168">
        <f>(E24-D24)/D24</f>
        <v>0.20049813200498143</v>
      </c>
      <c r="F31" s="168">
        <f t="shared" ref="F31:Q32" si="7">(F24-E24)/E24</f>
        <v>0.18153526970954356</v>
      </c>
      <c r="G31" s="168">
        <f>(G24-F24)/F24</f>
        <v>0.24143985952589991</v>
      </c>
      <c r="H31" s="168">
        <f t="shared" si="6"/>
        <v>3.7482319660537361E-2</v>
      </c>
      <c r="I31" s="168">
        <f>(I24-H24)/H24</f>
        <v>4.2944785276073698E-2</v>
      </c>
      <c r="J31" s="168">
        <f t="shared" si="6"/>
        <v>0.33598692810457537</v>
      </c>
      <c r="K31" s="168">
        <v>0.45837206344236431</v>
      </c>
      <c r="L31" s="168">
        <f>+L24/K24-1</f>
        <v>0.2251723228907323</v>
      </c>
      <c r="M31" s="168">
        <f t="shared" ref="M31:S31" si="8">+M24/L24-1</f>
        <v>0.10028672874464473</v>
      </c>
      <c r="N31" s="168">
        <f t="shared" si="8"/>
        <v>0.3120987654320988</v>
      </c>
      <c r="O31" s="168">
        <f t="shared" si="8"/>
        <v>0.16672939405344378</v>
      </c>
      <c r="P31" s="168">
        <f t="shared" si="8"/>
        <v>6.4516129032258007E-2</v>
      </c>
      <c r="Q31" s="168">
        <f t="shared" si="8"/>
        <v>7.575757575757569E-2</v>
      </c>
      <c r="R31" s="168">
        <f t="shared" si="8"/>
        <v>4.9295774647887258E-2</v>
      </c>
      <c r="S31" s="168">
        <f t="shared" si="8"/>
        <v>4.0268456375838868E-2</v>
      </c>
    </row>
    <row r="32" spans="1:33" ht="15" hidden="1" customHeight="1">
      <c r="A32" s="308"/>
      <c r="B32" s="33">
        <v>41974</v>
      </c>
      <c r="C32" s="290" t="s">
        <v>16</v>
      </c>
      <c r="D32" s="291"/>
      <c r="E32" s="147">
        <f>(E25-D25)/D25</f>
        <v>0.20049813200498143</v>
      </c>
      <c r="F32" s="147">
        <f t="shared" si="7"/>
        <v>0.17634854771784231</v>
      </c>
      <c r="G32" s="147">
        <f t="shared" si="7"/>
        <v>7.5837742504409111E-2</v>
      </c>
      <c r="H32" s="147">
        <f t="shared" si="7"/>
        <v>4.0983606557377046E-2</v>
      </c>
      <c r="I32" s="147">
        <f t="shared" si="7"/>
        <v>3.1496062992125984E-2</v>
      </c>
      <c r="J32" s="147">
        <f t="shared" si="7"/>
        <v>1.5267175572519083E-2</v>
      </c>
      <c r="K32" s="147">
        <f t="shared" si="7"/>
        <v>1.5037593984962405E-2</v>
      </c>
      <c r="L32" s="147">
        <f t="shared" si="7"/>
        <v>-1</v>
      </c>
      <c r="M32" s="147" t="e">
        <f t="shared" si="7"/>
        <v>#DIV/0!</v>
      </c>
      <c r="N32" s="147" t="e">
        <f t="shared" si="7"/>
        <v>#DIV/0!</v>
      </c>
      <c r="O32" s="147" t="e">
        <f t="shared" si="7"/>
        <v>#DIV/0!</v>
      </c>
      <c r="P32" s="147" t="e">
        <f t="shared" si="7"/>
        <v>#DIV/0!</v>
      </c>
      <c r="Q32" s="147" t="e">
        <f t="shared" si="7"/>
        <v>#DIV/0!</v>
      </c>
      <c r="R32" s="147"/>
      <c r="S32" s="147"/>
    </row>
    <row r="33" spans="1:31" ht="15" hidden="1" customHeight="1">
      <c r="A33" s="309"/>
      <c r="B33" s="33">
        <v>41499</v>
      </c>
      <c r="C33" s="292" t="s">
        <v>16</v>
      </c>
      <c r="D33" s="293"/>
      <c r="E33" s="146">
        <f t="shared" ref="E33:J33" si="9">(E27-D27)/D27</f>
        <v>0.12401648557512186</v>
      </c>
      <c r="F33" s="146">
        <f t="shared" si="9"/>
        <v>3.3333333333333333E-2</v>
      </c>
      <c r="G33" s="146">
        <f t="shared" si="9"/>
        <v>4.3010752688172046E-2</v>
      </c>
      <c r="H33" s="146">
        <f t="shared" si="9"/>
        <v>3.0927835051546393E-2</v>
      </c>
      <c r="I33" s="146">
        <f t="shared" si="9"/>
        <v>0.01</v>
      </c>
      <c r="J33" s="146">
        <f t="shared" si="9"/>
        <v>9.9009900990099011E-3</v>
      </c>
      <c r="K33" s="146"/>
      <c r="L33" s="146"/>
      <c r="M33" s="146"/>
      <c r="N33" s="146"/>
      <c r="O33" s="146"/>
      <c r="P33" s="146"/>
      <c r="Q33" s="146"/>
      <c r="R33" s="146"/>
      <c r="S33" s="146"/>
    </row>
    <row r="34" spans="1:31">
      <c r="A34" s="106"/>
      <c r="B34" s="107"/>
      <c r="C34" s="156"/>
      <c r="D34" s="156"/>
      <c r="E34" s="157"/>
      <c r="F34" s="157"/>
      <c r="G34" s="158"/>
      <c r="H34" s="158"/>
      <c r="I34" s="158"/>
      <c r="J34" s="158"/>
      <c r="K34" s="158"/>
      <c r="L34" s="158"/>
      <c r="M34" s="248">
        <v>407.68150000000003</v>
      </c>
      <c r="N34" s="256"/>
      <c r="O34" s="256"/>
      <c r="P34" s="256"/>
      <c r="Q34" s="256"/>
      <c r="R34" s="256"/>
      <c r="S34" s="256"/>
      <c r="T34" s="250" t="str">
        <f>T42</f>
        <v>FINAL 11/22/22</v>
      </c>
    </row>
    <row r="35" spans="1:31">
      <c r="A35" s="182"/>
      <c r="B35" s="172"/>
      <c r="C35" s="156"/>
      <c r="D35" s="156"/>
      <c r="E35" s="157"/>
      <c r="F35" s="157"/>
      <c r="G35" s="246"/>
      <c r="H35" s="246"/>
      <c r="I35" s="246"/>
      <c r="J35" s="246"/>
      <c r="K35" s="246"/>
      <c r="L35" s="246"/>
      <c r="M35" s="246"/>
      <c r="N35" s="246"/>
      <c r="O35" s="246"/>
      <c r="P35" s="246"/>
      <c r="Q35" s="246"/>
      <c r="R35" s="246"/>
      <c r="S35" s="246"/>
    </row>
    <row r="36" spans="1:31">
      <c r="A36" s="298" t="s">
        <v>18</v>
      </c>
      <c r="B36" s="300">
        <f>B19</f>
        <v>44577</v>
      </c>
      <c r="C36" s="134" t="s">
        <v>4</v>
      </c>
      <c r="D36" s="135"/>
      <c r="E36" s="135"/>
      <c r="F36" s="135"/>
      <c r="G36" s="135"/>
      <c r="H36" s="135"/>
      <c r="I36" s="135">
        <v>3.24</v>
      </c>
      <c r="J36" s="135"/>
      <c r="K36" s="135"/>
      <c r="L36" s="135">
        <v>1.9</v>
      </c>
      <c r="M36" s="135">
        <v>3.4</v>
      </c>
      <c r="N36" s="135"/>
      <c r="O36" s="135"/>
      <c r="P36" s="135"/>
      <c r="Q36" s="135"/>
      <c r="R36" s="135"/>
      <c r="S36" s="135"/>
      <c r="U36" s="135"/>
      <c r="V36" s="135"/>
      <c r="W36" s="135"/>
      <c r="Y36" s="135"/>
      <c r="Z36" s="135"/>
      <c r="AA36" s="135"/>
      <c r="AC36" s="135"/>
      <c r="AD36" s="135"/>
      <c r="AE36" s="135"/>
    </row>
    <row r="37" spans="1:31" ht="15" customHeight="1">
      <c r="A37" s="299"/>
      <c r="B37" s="301"/>
      <c r="C37" s="136" t="s">
        <v>2</v>
      </c>
      <c r="D37" s="159"/>
      <c r="E37" s="159"/>
      <c r="F37" s="159"/>
      <c r="G37" s="159"/>
      <c r="H37" s="159"/>
      <c r="I37" s="159">
        <v>3.24</v>
      </c>
      <c r="J37" s="159"/>
      <c r="K37" s="210"/>
      <c r="L37" s="210">
        <v>1.9</v>
      </c>
      <c r="M37" s="210">
        <v>3.4</v>
      </c>
      <c r="N37" s="210"/>
      <c r="O37" s="210"/>
      <c r="P37" s="210"/>
      <c r="Q37" s="210"/>
      <c r="R37" s="210"/>
      <c r="S37" s="210"/>
      <c r="U37" s="210"/>
      <c r="V37" s="210"/>
      <c r="W37" s="210"/>
      <c r="Y37" s="210"/>
      <c r="Z37" s="210"/>
      <c r="AA37" s="210"/>
      <c r="AC37" s="210"/>
      <c r="AD37" s="210"/>
      <c r="AE37" s="210"/>
    </row>
    <row r="38" spans="1:31">
      <c r="A38" s="299"/>
      <c r="B38" s="301"/>
      <c r="C38" s="139" t="s">
        <v>0</v>
      </c>
      <c r="D38" s="140"/>
      <c r="E38" s="140"/>
      <c r="F38" s="140"/>
      <c r="G38" s="140"/>
      <c r="H38" s="140"/>
      <c r="I38" s="140">
        <v>3.25</v>
      </c>
      <c r="J38" s="140"/>
      <c r="K38" s="140"/>
      <c r="L38" s="140">
        <v>1.9</v>
      </c>
      <c r="M38" s="140">
        <v>3.4</v>
      </c>
      <c r="N38" s="140"/>
      <c r="O38" s="140"/>
      <c r="P38" s="140"/>
      <c r="Q38" s="140"/>
      <c r="R38" s="140"/>
      <c r="S38" s="140"/>
      <c r="U38" s="140"/>
      <c r="V38" s="140"/>
      <c r="W38" s="140"/>
      <c r="Y38" s="140"/>
      <c r="Z38" s="140"/>
      <c r="AA38" s="140"/>
      <c r="AC38" s="140"/>
      <c r="AD38" s="140"/>
      <c r="AE38" s="140"/>
    </row>
    <row r="39" spans="1:31">
      <c r="A39" s="299"/>
      <c r="B39" s="301"/>
      <c r="C39" s="141" t="s">
        <v>3</v>
      </c>
      <c r="D39" s="142"/>
      <c r="E39" s="142"/>
      <c r="F39" s="142"/>
      <c r="G39" s="142"/>
      <c r="H39" s="142"/>
      <c r="I39" s="142">
        <v>3.22</v>
      </c>
      <c r="J39" s="142"/>
      <c r="K39" s="142"/>
      <c r="L39" s="142">
        <v>1.9</v>
      </c>
      <c r="M39" s="142">
        <v>3.4</v>
      </c>
      <c r="N39" s="142"/>
      <c r="O39" s="142">
        <v>5.29</v>
      </c>
      <c r="P39" s="142">
        <v>3.87</v>
      </c>
      <c r="Q39" s="142">
        <v>4.45</v>
      </c>
      <c r="R39" s="142">
        <v>4.6399999999999997</v>
      </c>
      <c r="S39" s="142">
        <v>4.4400000000000004</v>
      </c>
      <c r="U39" s="142"/>
      <c r="V39" s="142"/>
      <c r="W39" s="142"/>
      <c r="Y39" s="142"/>
      <c r="Z39" s="142"/>
      <c r="AA39" s="142"/>
      <c r="AC39" s="142"/>
      <c r="AD39" s="142"/>
      <c r="AE39" s="142"/>
    </row>
    <row r="40" spans="1:31">
      <c r="A40" s="299"/>
      <c r="B40" s="302"/>
      <c r="C40" s="143" t="s">
        <v>1</v>
      </c>
      <c r="D40" s="144">
        <v>5.01</v>
      </c>
      <c r="E40" s="144">
        <v>4.38</v>
      </c>
      <c r="F40" s="144">
        <v>5.14</v>
      </c>
      <c r="G40" s="144">
        <v>3.78</v>
      </c>
      <c r="H40" s="144">
        <v>2.42</v>
      </c>
      <c r="I40" s="144">
        <f t="shared" ref="I40" si="10">+AVERAGE(I36:I39)</f>
        <v>3.2375000000000003</v>
      </c>
      <c r="J40" s="144" t="e">
        <f t="shared" ref="J40" si="11">AVERAGE(J36:J39)</f>
        <v>#DIV/0!</v>
      </c>
      <c r="K40" s="216" t="e">
        <f>AVERAGE(K36:K39)</f>
        <v>#DIV/0!</v>
      </c>
      <c r="L40" s="216">
        <f>AVERAGE(L36:L39)</f>
        <v>1.9</v>
      </c>
      <c r="M40" s="216">
        <f>AVERAGE(M36:M39)</f>
        <v>3.4</v>
      </c>
      <c r="N40" s="216">
        <v>7.03</v>
      </c>
      <c r="O40" s="216">
        <f t="shared" ref="O40:S40" si="12">MROUND(AVERAGE(O36:O39),0.05)</f>
        <v>5.3000000000000007</v>
      </c>
      <c r="P40" s="216">
        <f t="shared" si="12"/>
        <v>3.85</v>
      </c>
      <c r="Q40" s="216">
        <f t="shared" si="12"/>
        <v>4.45</v>
      </c>
      <c r="R40" s="216">
        <f t="shared" si="12"/>
        <v>4.6500000000000004</v>
      </c>
      <c r="S40" s="216">
        <f t="shared" si="12"/>
        <v>4.45</v>
      </c>
      <c r="U40" s="216"/>
      <c r="V40" s="216"/>
      <c r="W40" s="216"/>
      <c r="Y40" s="216"/>
      <c r="Z40" s="216"/>
      <c r="AA40" s="216"/>
      <c r="AC40" s="216"/>
      <c r="AD40" s="216"/>
      <c r="AE40" s="216"/>
    </row>
    <row r="41" spans="1:31">
      <c r="A41" s="299"/>
      <c r="B41" s="231">
        <f>B7</f>
        <v>44917</v>
      </c>
      <c r="C41" s="133" t="s">
        <v>1</v>
      </c>
      <c r="D41" s="138">
        <f>'Aug18'!D37</f>
        <v>5.01</v>
      </c>
      <c r="E41" s="138">
        <f>'Aug18'!E37</f>
        <v>4.38</v>
      </c>
      <c r="F41" s="138">
        <f>'Aug18'!F37</f>
        <v>5.14</v>
      </c>
      <c r="G41" s="138">
        <f>'Aug18'!G37</f>
        <v>3.78</v>
      </c>
      <c r="H41" s="138">
        <f>'Aug18'!H37</f>
        <v>2.42</v>
      </c>
      <c r="I41" s="138">
        <f>'Dec18'!I37</f>
        <v>3.2375000000000003</v>
      </c>
      <c r="J41" s="138">
        <f>'Dec18'!J37</f>
        <v>3.5142500000000001</v>
      </c>
      <c r="K41" s="138">
        <v>3.08</v>
      </c>
      <c r="L41" s="138">
        <f>'Feb21'!L38</f>
        <v>1.9</v>
      </c>
      <c r="M41" s="138">
        <f>'Aug21'!M38</f>
        <v>3.3149999999999999</v>
      </c>
      <c r="N41" s="138">
        <v>7.03</v>
      </c>
      <c r="O41" s="138">
        <v>7.05</v>
      </c>
      <c r="P41" s="138">
        <v>5.6</v>
      </c>
      <c r="Q41" s="138">
        <v>5.15</v>
      </c>
      <c r="R41" s="138">
        <v>5.05</v>
      </c>
      <c r="S41" s="138">
        <v>4.95</v>
      </c>
      <c r="U41" s="93" t="s">
        <v>99</v>
      </c>
      <c r="Y41" s="93" t="s">
        <v>100</v>
      </c>
      <c r="AC41" t="s">
        <v>101</v>
      </c>
    </row>
    <row r="42" spans="1:31">
      <c r="A42" s="65"/>
      <c r="B42" s="65"/>
      <c r="C42" s="65"/>
      <c r="D42" s="76"/>
      <c r="E42" s="76"/>
      <c r="F42" s="76"/>
      <c r="G42" s="130"/>
      <c r="H42" s="130"/>
      <c r="I42" s="130"/>
      <c r="J42" s="130"/>
      <c r="K42" s="130"/>
      <c r="L42" s="130"/>
      <c r="M42" s="244">
        <v>3.42</v>
      </c>
      <c r="N42" s="257"/>
      <c r="O42" s="257"/>
      <c r="P42" s="257"/>
      <c r="Q42" s="257"/>
      <c r="R42" s="257"/>
      <c r="S42" s="257"/>
      <c r="T42" s="250" t="str">
        <f>T65</f>
        <v>FINAL 11/22/22</v>
      </c>
    </row>
    <row r="43" spans="1:31">
      <c r="A43" s="76"/>
      <c r="B43" s="65"/>
      <c r="C43" s="65"/>
      <c r="D43" s="76"/>
      <c r="E43" s="76"/>
      <c r="F43" s="76"/>
      <c r="G43" s="130"/>
      <c r="H43" s="130"/>
      <c r="I43" s="130"/>
      <c r="J43" s="130"/>
      <c r="K43" s="130"/>
      <c r="L43" s="130"/>
      <c r="M43" s="244"/>
      <c r="N43" s="245"/>
      <c r="O43" s="245"/>
      <c r="P43" s="245"/>
      <c r="Q43" s="245"/>
      <c r="R43" s="245"/>
      <c r="S43" s="245"/>
      <c r="T43" t="s">
        <v>105</v>
      </c>
    </row>
    <row r="44" spans="1:31">
      <c r="A44" s="298" t="s">
        <v>19</v>
      </c>
      <c r="B44" s="300">
        <f>B36</f>
        <v>44577</v>
      </c>
      <c r="C44" s="134" t="s">
        <v>4</v>
      </c>
      <c r="D44" s="135"/>
      <c r="E44" s="135"/>
      <c r="F44" s="135"/>
      <c r="G44" s="135"/>
      <c r="H44" s="135"/>
      <c r="I44" s="135"/>
      <c r="J44" s="135"/>
      <c r="K44" s="135"/>
      <c r="L44" s="135"/>
      <c r="M44" s="135"/>
      <c r="N44" s="253"/>
      <c r="O44" s="253"/>
      <c r="P44" s="253"/>
      <c r="Q44" s="253"/>
      <c r="R44" s="253"/>
      <c r="S44" s="253"/>
    </row>
    <row r="45" spans="1:31" ht="15" customHeight="1">
      <c r="A45" s="299"/>
      <c r="B45" s="301"/>
      <c r="C45" s="136" t="s">
        <v>2</v>
      </c>
      <c r="D45" s="160"/>
      <c r="E45" s="161"/>
      <c r="F45" s="161"/>
      <c r="G45" s="161"/>
      <c r="H45" s="161"/>
      <c r="I45" s="161">
        <v>1235.7</v>
      </c>
      <c r="J45" s="161"/>
      <c r="K45" s="161"/>
      <c r="L45" s="161">
        <v>1827.65</v>
      </c>
      <c r="M45" s="161">
        <v>2135</v>
      </c>
      <c r="N45" s="161"/>
      <c r="O45" s="161"/>
      <c r="P45" s="161"/>
      <c r="Q45" s="161"/>
      <c r="R45" s="161"/>
      <c r="S45" s="161"/>
      <c r="U45" s="161"/>
      <c r="V45" s="161"/>
      <c r="W45" s="161"/>
      <c r="Y45" s="161"/>
      <c r="Z45" s="161"/>
      <c r="AA45" s="161"/>
      <c r="AC45" s="161"/>
      <c r="AD45" s="161"/>
      <c r="AE45" s="161"/>
    </row>
    <row r="46" spans="1:31">
      <c r="A46" s="299"/>
      <c r="B46" s="301"/>
      <c r="C46" s="139" t="s">
        <v>0</v>
      </c>
      <c r="D46" s="162"/>
      <c r="E46" s="162"/>
      <c r="F46" s="162"/>
      <c r="G46" s="162"/>
      <c r="H46" s="162"/>
      <c r="I46" s="162"/>
      <c r="J46" s="162"/>
      <c r="K46" s="215"/>
      <c r="L46" s="215">
        <v>1829.34</v>
      </c>
      <c r="M46" s="215"/>
      <c r="N46" s="215"/>
      <c r="O46" s="215"/>
      <c r="P46" s="215"/>
      <c r="Q46" s="215"/>
      <c r="R46" s="215"/>
      <c r="S46" s="215"/>
      <c r="U46" s="215"/>
      <c r="V46" s="215"/>
      <c r="W46" s="215"/>
      <c r="Y46" s="215"/>
      <c r="Z46" s="215"/>
      <c r="AA46" s="215"/>
      <c r="AC46" s="215"/>
      <c r="AD46" s="215"/>
      <c r="AE46" s="215"/>
    </row>
    <row r="47" spans="1:31">
      <c r="A47" s="299"/>
      <c r="B47" s="301"/>
      <c r="C47" s="141" t="s">
        <v>3</v>
      </c>
      <c r="D47" s="163"/>
      <c r="E47" s="163"/>
      <c r="F47" s="163"/>
      <c r="G47" s="163"/>
      <c r="H47" s="163"/>
      <c r="I47" s="163">
        <v>1235.5999999999999</v>
      </c>
      <c r="J47" s="163"/>
      <c r="K47" s="163"/>
      <c r="L47" s="163">
        <v>1829.3</v>
      </c>
      <c r="M47" s="163">
        <v>2134.9899999999998</v>
      </c>
      <c r="N47" s="163"/>
      <c r="O47" s="163">
        <v>3078.4866559809225</v>
      </c>
      <c r="P47" s="163">
        <v>3162.4772914336677</v>
      </c>
      <c r="Q47" s="163">
        <v>3278.251786338582</v>
      </c>
      <c r="R47" s="163">
        <v>3398.7885455844353</v>
      </c>
      <c r="S47" s="163">
        <v>3465.9665247569569</v>
      </c>
      <c r="U47" s="163"/>
      <c r="V47" s="163"/>
      <c r="W47" s="163"/>
      <c r="Y47" s="163"/>
      <c r="Z47" s="163"/>
      <c r="AA47" s="163"/>
      <c r="AC47" s="163"/>
      <c r="AD47" s="163"/>
      <c r="AE47" s="163"/>
    </row>
    <row r="48" spans="1:31">
      <c r="A48" s="299"/>
      <c r="B48" s="302"/>
      <c r="C48" s="143" t="s">
        <v>1</v>
      </c>
      <c r="D48" s="152">
        <v>1227</v>
      </c>
      <c r="E48" s="152">
        <v>1177.5</v>
      </c>
      <c r="F48" s="153">
        <v>1184.7</v>
      </c>
      <c r="G48" s="153">
        <v>1184.8</v>
      </c>
      <c r="H48" s="153">
        <v>1175</v>
      </c>
      <c r="I48" s="153">
        <f>(+AVERAGE(I45:I47))</f>
        <v>1235.6500000000001</v>
      </c>
      <c r="J48" s="206">
        <v>1361</v>
      </c>
      <c r="K48" s="214">
        <v>1562</v>
      </c>
      <c r="L48" s="242">
        <v>1829.192</v>
      </c>
      <c r="M48" s="242">
        <f>MROUND(AVERAGE(M45:M47),5)</f>
        <v>2135</v>
      </c>
      <c r="N48" s="242">
        <v>2595.9250710000001</v>
      </c>
      <c r="O48" s="242">
        <f t="shared" ref="O48" si="13">MROUND(AVERAGE(O44:O47),5)</f>
        <v>3080</v>
      </c>
      <c r="P48" s="242">
        <f>MROUND(AVERAGE(P45:P47),5)</f>
        <v>3160</v>
      </c>
      <c r="Q48" s="242">
        <f t="shared" ref="Q48:S48" si="14">MROUND(AVERAGE(Q45:Q47),5)</f>
        <v>3280</v>
      </c>
      <c r="R48" s="242">
        <f t="shared" si="14"/>
        <v>3400</v>
      </c>
      <c r="S48" s="242">
        <f t="shared" si="14"/>
        <v>3465</v>
      </c>
      <c r="U48" s="226"/>
      <c r="V48" s="226"/>
      <c r="W48" s="226"/>
      <c r="Y48" s="226"/>
      <c r="Z48" s="226"/>
      <c r="AA48" s="226"/>
      <c r="AC48" s="226"/>
      <c r="AD48" s="226"/>
      <c r="AE48" s="226"/>
    </row>
    <row r="49" spans="1:31">
      <c r="A49" s="299"/>
      <c r="B49" s="273">
        <f>B41</f>
        <v>44917</v>
      </c>
      <c r="C49" s="133" t="s">
        <v>1</v>
      </c>
      <c r="D49" s="160">
        <f>'Aug18'!D52</f>
        <v>1227</v>
      </c>
      <c r="E49" s="160">
        <f>'Aug18'!E52</f>
        <v>1177.5</v>
      </c>
      <c r="F49" s="160">
        <f>'Aug18'!F52</f>
        <v>1184.7</v>
      </c>
      <c r="G49" s="160">
        <f>'Aug18'!G52</f>
        <v>1184.8</v>
      </c>
      <c r="H49" s="160">
        <f>'Aug18'!H52</f>
        <v>1175</v>
      </c>
      <c r="I49" s="160">
        <f>'Dec18'!I52</f>
        <v>1235.6500000000001</v>
      </c>
      <c r="J49" s="160">
        <f>'Dec18'!J52</f>
        <v>1361</v>
      </c>
      <c r="K49" s="160">
        <v>1562.1499999999999</v>
      </c>
      <c r="L49" s="160">
        <f>'Feb21'!L45</f>
        <v>1829.192</v>
      </c>
      <c r="M49" s="160">
        <f>'Feb21'!M45</f>
        <v>1830</v>
      </c>
      <c r="N49" s="160">
        <v>2585.8130000000001</v>
      </c>
      <c r="O49" s="160">
        <v>2875</v>
      </c>
      <c r="P49" s="160">
        <v>3015</v>
      </c>
      <c r="Q49" s="160">
        <v>3120</v>
      </c>
      <c r="R49" s="160">
        <v>3200</v>
      </c>
      <c r="S49" s="160">
        <v>3255</v>
      </c>
      <c r="U49" s="112">
        <f>U24/2</f>
        <v>-0.5</v>
      </c>
      <c r="V49" s="112" t="e">
        <f>V24/2</f>
        <v>#DIV/0!</v>
      </c>
      <c r="W49" s="112" t="e">
        <f>W24/2</f>
        <v>#DIV/0!</v>
      </c>
      <c r="Y49" s="112">
        <f>Y24/2</f>
        <v>-0.5</v>
      </c>
      <c r="Z49" s="112" t="e">
        <f>Z24/2</f>
        <v>#DIV/0!</v>
      </c>
      <c r="AA49" s="112" t="e">
        <f>AA24/2</f>
        <v>#DIV/0!</v>
      </c>
      <c r="AC49" s="112">
        <f>+AC24/2</f>
        <v>-0.5</v>
      </c>
      <c r="AD49" s="112">
        <f>+O55</f>
        <v>0.18647492348980821</v>
      </c>
      <c r="AE49" s="112">
        <f>+P55</f>
        <v>2.5974025974025983E-2</v>
      </c>
    </row>
    <row r="50" spans="1:31" ht="14.65" hidden="1" customHeight="1">
      <c r="A50" s="299"/>
      <c r="B50" s="272"/>
      <c r="C50" s="133" t="s">
        <v>1</v>
      </c>
      <c r="D50" s="160">
        <v>1227</v>
      </c>
      <c r="E50" s="160">
        <v>1177.5</v>
      </c>
      <c r="F50" s="160">
        <v>1187.3</v>
      </c>
      <c r="G50" s="160">
        <v>1181</v>
      </c>
      <c r="H50" s="160">
        <v>1150</v>
      </c>
      <c r="I50" s="160">
        <v>1118</v>
      </c>
      <c r="J50" s="160">
        <v>1088</v>
      </c>
      <c r="K50" s="160">
        <v>1052</v>
      </c>
      <c r="L50" s="160"/>
      <c r="M50" s="160"/>
      <c r="N50" s="160"/>
      <c r="O50" s="160"/>
      <c r="P50" s="160"/>
      <c r="Q50" s="160"/>
      <c r="R50" s="160"/>
      <c r="S50" s="160"/>
    </row>
    <row r="51" spans="1:31" ht="14.65" hidden="1" customHeight="1">
      <c r="A51" s="299"/>
      <c r="B51" s="272"/>
      <c r="C51" s="133" t="s">
        <v>1</v>
      </c>
      <c r="D51" s="160">
        <v>1227</v>
      </c>
      <c r="E51" s="160">
        <v>1177.5</v>
      </c>
      <c r="F51" s="160">
        <v>1170</v>
      </c>
      <c r="G51" s="160">
        <v>1158.3</v>
      </c>
      <c r="H51" s="160">
        <v>1123.5509999999999</v>
      </c>
      <c r="I51" s="160">
        <v>1089.84447</v>
      </c>
      <c r="J51" s="160">
        <v>1057.1491358999999</v>
      </c>
      <c r="K51" s="160">
        <v>1025.4346618229999</v>
      </c>
      <c r="L51" s="160"/>
      <c r="M51" s="160"/>
      <c r="N51" s="160"/>
      <c r="O51" s="160"/>
      <c r="P51" s="160"/>
      <c r="Q51" s="160"/>
      <c r="R51" s="160"/>
      <c r="S51" s="160"/>
      <c r="T51" t="s">
        <v>104</v>
      </c>
    </row>
    <row r="52" spans="1:31" ht="14.65" hidden="1" customHeight="1">
      <c r="A52" s="299"/>
      <c r="B52" s="272"/>
      <c r="C52" s="133" t="s">
        <v>1</v>
      </c>
      <c r="D52" s="160">
        <v>1225.8499999999999</v>
      </c>
      <c r="E52" s="160">
        <v>1165</v>
      </c>
      <c r="F52" s="160">
        <v>1110</v>
      </c>
      <c r="G52" s="160">
        <v>1070</v>
      </c>
      <c r="H52" s="160">
        <v>1030</v>
      </c>
      <c r="I52" s="160">
        <v>1000</v>
      </c>
      <c r="J52" s="160">
        <v>960</v>
      </c>
      <c r="K52" s="165"/>
      <c r="L52" s="165"/>
      <c r="M52" s="165"/>
      <c r="N52" s="165"/>
      <c r="O52" s="165"/>
      <c r="P52" s="165"/>
      <c r="Q52" s="165"/>
      <c r="R52" s="165"/>
      <c r="S52" s="165"/>
    </row>
    <row r="53" spans="1:31" ht="15" hidden="1" customHeight="1">
      <c r="A53" s="299"/>
      <c r="B53" s="33">
        <v>41317</v>
      </c>
      <c r="C53" s="133" t="s">
        <v>1</v>
      </c>
      <c r="D53" s="165">
        <v>1226</v>
      </c>
      <c r="E53" s="165">
        <v>1185</v>
      </c>
      <c r="F53" s="165">
        <v>1151</v>
      </c>
      <c r="G53" s="165">
        <v>1121</v>
      </c>
      <c r="H53" s="165">
        <v>1090.1407234210708</v>
      </c>
      <c r="I53" s="165">
        <v>1048</v>
      </c>
      <c r="J53" s="165"/>
      <c r="K53" s="165"/>
      <c r="L53" s="165"/>
      <c r="M53" s="165"/>
      <c r="N53" s="165"/>
      <c r="O53" s="165"/>
      <c r="P53" s="165"/>
      <c r="Q53" s="165"/>
      <c r="R53" s="165"/>
      <c r="S53" s="165"/>
    </row>
    <row r="54" spans="1:31" ht="15" hidden="1" customHeight="1">
      <c r="A54" s="299"/>
      <c r="B54" s="33">
        <v>41244</v>
      </c>
      <c r="C54" s="133" t="s">
        <v>1</v>
      </c>
      <c r="D54" s="165">
        <v>1228.5423506666664</v>
      </c>
      <c r="E54" s="165">
        <v>1184.5870287874238</v>
      </c>
      <c r="F54" s="165">
        <v>1151.3778293463738</v>
      </c>
      <c r="G54" s="165">
        <v>1121.0332793283103</v>
      </c>
      <c r="H54" s="165">
        <v>1090.1407234210708</v>
      </c>
      <c r="I54" s="165">
        <v>1048</v>
      </c>
      <c r="J54" s="165">
        <v>1048</v>
      </c>
      <c r="K54" s="165"/>
      <c r="L54" s="165"/>
      <c r="M54" s="165"/>
      <c r="N54" s="165"/>
      <c r="O54" s="165"/>
      <c r="P54" s="165"/>
      <c r="Q54" s="165"/>
      <c r="R54" s="165"/>
      <c r="S54" s="165"/>
    </row>
    <row r="55" spans="1:31">
      <c r="A55" s="299"/>
      <c r="B55" s="33">
        <f>B44</f>
        <v>44577</v>
      </c>
      <c r="C55" s="292" t="s">
        <v>16</v>
      </c>
      <c r="D55" s="293"/>
      <c r="E55" s="167">
        <f t="shared" ref="E55:M57" si="15">(E48-D48)/D48</f>
        <v>-4.0342298288508556E-2</v>
      </c>
      <c r="F55" s="167">
        <f t="shared" si="15"/>
        <v>6.1146496815287013E-3</v>
      </c>
      <c r="G55" s="167">
        <f>(G48-F48)/F48</f>
        <v>8.4409555161567526E-5</v>
      </c>
      <c r="H55" s="167">
        <f t="shared" si="15"/>
        <v>-8.2714382174206239E-3</v>
      </c>
      <c r="I55" s="167">
        <f t="shared" si="15"/>
        <v>5.1617021276595822E-2</v>
      </c>
      <c r="J55" s="167">
        <f t="shared" si="15"/>
        <v>0.10144458382227969</v>
      </c>
      <c r="K55" s="167">
        <f t="shared" si="15"/>
        <v>0.14768552534900808</v>
      </c>
      <c r="L55" s="167">
        <f>+L30/2</f>
        <v>0.11347645333333332</v>
      </c>
      <c r="M55" s="167">
        <f>+M48/L48-1</f>
        <v>0.1671820126044723</v>
      </c>
      <c r="N55" s="167">
        <f t="shared" ref="N55:S55" si="16">+N48/M48-1</f>
        <v>0.21588996299765806</v>
      </c>
      <c r="O55" s="167">
        <f>+O48/N48-1</f>
        <v>0.18647492348980821</v>
      </c>
      <c r="P55" s="167">
        <f t="shared" si="16"/>
        <v>2.5974025974025983E-2</v>
      </c>
      <c r="Q55" s="167">
        <f t="shared" si="16"/>
        <v>3.7974683544303778E-2</v>
      </c>
      <c r="R55" s="167">
        <f t="shared" si="16"/>
        <v>3.6585365853658569E-2</v>
      </c>
      <c r="S55" s="167">
        <f t="shared" si="16"/>
        <v>1.9117647058823461E-2</v>
      </c>
      <c r="U55" s="93" t="s">
        <v>99</v>
      </c>
      <c r="Y55" s="93" t="s">
        <v>100</v>
      </c>
      <c r="AC55" t="s">
        <v>101</v>
      </c>
    </row>
    <row r="56" spans="1:31" ht="15" hidden="1" customHeight="1">
      <c r="A56" s="299"/>
      <c r="B56" s="33">
        <f>B41</f>
        <v>44917</v>
      </c>
      <c r="C56" s="290" t="s">
        <v>16</v>
      </c>
      <c r="D56" s="291"/>
      <c r="E56" s="168">
        <f>(E49-D49)/D49</f>
        <v>-4.0342298288508556E-2</v>
      </c>
      <c r="F56" s="168">
        <f t="shared" si="15"/>
        <v>6.1146496815287013E-3</v>
      </c>
      <c r="G56" s="168">
        <f>(G49-F49)/F49</f>
        <v>8.4409555161567526E-5</v>
      </c>
      <c r="H56" s="168">
        <f t="shared" si="15"/>
        <v>-8.2714382174206239E-3</v>
      </c>
      <c r="I56" s="168">
        <f t="shared" si="15"/>
        <v>5.1617021276595822E-2</v>
      </c>
      <c r="J56" s="168">
        <f t="shared" si="15"/>
        <v>0.10144458382227969</v>
      </c>
      <c r="K56" s="168">
        <v>0.15723732549595884</v>
      </c>
      <c r="L56" s="168">
        <f>+L49/K49-1</f>
        <v>0.17094517171846513</v>
      </c>
      <c r="M56" s="168">
        <f t="shared" ref="M56:Q56" si="17">+M49/L49-1</f>
        <v>4.41725089547651E-4</v>
      </c>
      <c r="N56" s="168">
        <f t="shared" si="17"/>
        <v>0.41301256830601107</v>
      </c>
      <c r="O56" s="168">
        <f t="shared" si="17"/>
        <v>0.11183600670272753</v>
      </c>
      <c r="P56" s="168">
        <f t="shared" si="17"/>
        <v>4.8695652173913029E-2</v>
      </c>
      <c r="Q56" s="168">
        <f t="shared" si="17"/>
        <v>3.4825870646766122E-2</v>
      </c>
      <c r="R56" s="168"/>
      <c r="S56" s="168"/>
    </row>
    <row r="57" spans="1:31" ht="15" hidden="1" customHeight="1">
      <c r="A57" s="299"/>
      <c r="B57" s="33">
        <v>41974</v>
      </c>
      <c r="C57" s="290" t="s">
        <v>16</v>
      </c>
      <c r="D57" s="291"/>
      <c r="E57" s="147">
        <f>(E50-D50)/D50</f>
        <v>-4.0342298288508556E-2</v>
      </c>
      <c r="F57" s="147">
        <f t="shared" si="15"/>
        <v>8.3227176220806408E-3</v>
      </c>
      <c r="G57" s="147">
        <f t="shared" si="15"/>
        <v>-5.3061568264128316E-3</v>
      </c>
      <c r="H57" s="147">
        <f t="shared" si="15"/>
        <v>-2.6248941574936496E-2</v>
      </c>
      <c r="I57" s="147">
        <f t="shared" si="15"/>
        <v>-2.782608695652174E-2</v>
      </c>
      <c r="J57" s="147">
        <f t="shared" si="15"/>
        <v>-2.6833631484794274E-2</v>
      </c>
      <c r="K57" s="147">
        <f t="shared" si="15"/>
        <v>-3.3088235294117647E-2</v>
      </c>
      <c r="L57" s="147">
        <f t="shared" si="15"/>
        <v>-1</v>
      </c>
      <c r="M57" s="147" t="e">
        <f t="shared" si="15"/>
        <v>#DIV/0!</v>
      </c>
    </row>
    <row r="58" spans="1:31" ht="15" hidden="1" customHeight="1">
      <c r="A58" s="306"/>
      <c r="B58" s="33">
        <v>41499</v>
      </c>
      <c r="C58" s="292" t="s">
        <v>16</v>
      </c>
      <c r="D58" s="293"/>
      <c r="E58" s="146">
        <f t="shared" ref="E58:J58" si="18">(E52-D52)/D52</f>
        <v>-4.9639025981971625E-2</v>
      </c>
      <c r="F58" s="146">
        <f t="shared" si="18"/>
        <v>-4.7210300429184553E-2</v>
      </c>
      <c r="G58" s="146">
        <f t="shared" si="18"/>
        <v>-3.6036036036036036E-2</v>
      </c>
      <c r="H58" s="146">
        <f t="shared" si="18"/>
        <v>-3.7383177570093455E-2</v>
      </c>
      <c r="I58" s="146">
        <f t="shared" si="18"/>
        <v>-2.9126213592233011E-2</v>
      </c>
      <c r="J58" s="146">
        <f t="shared" si="18"/>
        <v>-0.04</v>
      </c>
      <c r="K58" s="146"/>
      <c r="L58" s="146"/>
      <c r="M58" s="146"/>
    </row>
    <row r="59" spans="1:31" hidden="1">
      <c r="A59" s="108"/>
      <c r="B59" s="13"/>
      <c r="F59" s="112"/>
      <c r="G59" s="112"/>
      <c r="H59" s="112"/>
      <c r="I59" s="112"/>
      <c r="J59" s="112"/>
      <c r="K59" s="112"/>
      <c r="L59" s="217"/>
      <c r="M59" s="112"/>
    </row>
    <row r="60" spans="1:31" hidden="1">
      <c r="A60" s="9"/>
      <c r="B60" s="13"/>
      <c r="E60" s="94"/>
      <c r="F60" s="94"/>
      <c r="G60" s="112"/>
      <c r="H60" s="112"/>
      <c r="I60" s="112"/>
      <c r="J60" s="112"/>
      <c r="K60" s="112"/>
      <c r="L60" s="112"/>
      <c r="M60" s="112"/>
      <c r="N60" s="112"/>
      <c r="O60" s="112"/>
      <c r="P60" s="112"/>
      <c r="Q60" s="112"/>
      <c r="R60" s="112"/>
      <c r="S60" s="112"/>
    </row>
    <row r="61" spans="1:31" hidden="1">
      <c r="A61" s="9"/>
      <c r="B61" s="13"/>
      <c r="E61" s="94"/>
      <c r="F61" s="94"/>
      <c r="G61" s="94"/>
      <c r="H61" s="112"/>
      <c r="I61" s="112"/>
      <c r="J61" s="112"/>
      <c r="K61" s="112"/>
      <c r="L61" s="112"/>
      <c r="M61" s="112">
        <f t="shared" ref="M61:Q62" si="19">M46/L46-1</f>
        <v>-1</v>
      </c>
      <c r="N61" s="112" t="e">
        <f t="shared" si="19"/>
        <v>#DIV/0!</v>
      </c>
      <c r="O61" s="112" t="e">
        <f t="shared" si="19"/>
        <v>#DIV/0!</v>
      </c>
      <c r="P61" s="112" t="e">
        <f t="shared" si="19"/>
        <v>#DIV/0!</v>
      </c>
      <c r="Q61" s="112" t="e">
        <f t="shared" si="19"/>
        <v>#DIV/0!</v>
      </c>
      <c r="R61" s="112"/>
      <c r="S61" s="112"/>
    </row>
    <row r="62" spans="1:31" hidden="1">
      <c r="A62" s="9"/>
      <c r="B62" s="13"/>
      <c r="L62" s="112"/>
      <c r="M62" s="112">
        <f t="shared" si="19"/>
        <v>0.16710763680096208</v>
      </c>
      <c r="N62" s="112">
        <f t="shared" si="19"/>
        <v>-1</v>
      </c>
      <c r="O62" s="112" t="e">
        <f t="shared" si="19"/>
        <v>#DIV/0!</v>
      </c>
      <c r="P62" s="112">
        <f t="shared" si="19"/>
        <v>2.7283092258843178E-2</v>
      </c>
      <c r="Q62" s="112">
        <f t="shared" si="19"/>
        <v>3.6608798810513932E-2</v>
      </c>
      <c r="R62" s="112"/>
      <c r="S62" s="112"/>
    </row>
    <row r="63" spans="1:31" hidden="1">
      <c r="A63" s="9"/>
      <c r="B63" s="13"/>
      <c r="L63" s="213"/>
      <c r="M63" s="213">
        <f t="shared" ref="M63:Q63" si="20">AVERAGE(M60:M62)</f>
        <v>-0.41644618159951896</v>
      </c>
      <c r="N63" s="213" t="e">
        <f t="shared" si="20"/>
        <v>#DIV/0!</v>
      </c>
      <c r="O63" s="213" t="e">
        <f t="shared" si="20"/>
        <v>#DIV/0!</v>
      </c>
      <c r="P63" s="213" t="e">
        <f t="shared" si="20"/>
        <v>#DIV/0!</v>
      </c>
      <c r="Q63" s="213" t="e">
        <f t="shared" si="20"/>
        <v>#DIV/0!</v>
      </c>
      <c r="R63" s="213"/>
      <c r="S63" s="213"/>
    </row>
    <row r="64" spans="1:31" hidden="1">
      <c r="A64" s="9"/>
      <c r="B64" s="13"/>
    </row>
    <row r="65" spans="1:27">
      <c r="A65" s="9"/>
      <c r="B65" s="13"/>
      <c r="M65" s="131">
        <v>2135</v>
      </c>
      <c r="N65" s="258"/>
      <c r="O65" s="258"/>
      <c r="P65" s="258"/>
      <c r="Q65" s="258"/>
      <c r="R65" s="258"/>
      <c r="S65" s="258"/>
      <c r="T65" s="250" t="s">
        <v>108</v>
      </c>
    </row>
    <row r="66" spans="1:27">
      <c r="A66" s="9"/>
      <c r="B66" s="13"/>
      <c r="Y66" s="249"/>
      <c r="Z66" s="249"/>
      <c r="AA66" s="249"/>
    </row>
    <row r="67" spans="1:27" hidden="1">
      <c r="A67" s="65"/>
      <c r="B67" s="65"/>
      <c r="C67" s="228" t="s">
        <v>4</v>
      </c>
      <c r="D67" s="229"/>
      <c r="E67" s="229"/>
      <c r="F67" s="229"/>
      <c r="G67" s="229"/>
      <c r="H67" s="229"/>
      <c r="I67" s="229"/>
      <c r="J67" s="229"/>
      <c r="K67" s="229"/>
      <c r="L67" s="229"/>
      <c r="M67" s="235"/>
      <c r="N67" s="235"/>
      <c r="O67" s="235"/>
      <c r="P67" s="235"/>
      <c r="Q67" s="235"/>
      <c r="R67" s="235"/>
      <c r="S67" s="235"/>
      <c r="Y67" s="249">
        <v>0.21074723911248028</v>
      </c>
      <c r="Z67" s="249">
        <v>-5.4764120841936936E-2</v>
      </c>
      <c r="AA67" s="249">
        <v>0.1028939934761044</v>
      </c>
    </row>
    <row r="68" spans="1:27" hidden="1">
      <c r="A68" s="281" t="s">
        <v>12</v>
      </c>
      <c r="B68" s="273">
        <f>B44</f>
        <v>44577</v>
      </c>
      <c r="C68" s="136" t="s">
        <v>2</v>
      </c>
      <c r="D68" s="148"/>
      <c r="E68" s="148"/>
      <c r="F68" s="148"/>
      <c r="G68" s="148"/>
      <c r="H68" s="148"/>
      <c r="I68" s="148">
        <v>155.96</v>
      </c>
      <c r="J68" s="148"/>
      <c r="K68" s="148"/>
      <c r="L68" s="148"/>
      <c r="M68" s="168">
        <f>M20/L23-1</f>
        <v>0.10757307197055366</v>
      </c>
      <c r="N68" s="168">
        <v>6.3711911357340778E-2</v>
      </c>
      <c r="O68" s="168">
        <v>4.9479166666666741E-2</v>
      </c>
      <c r="P68" s="168">
        <v>2.977667493796532E-2</v>
      </c>
      <c r="Q68" s="168">
        <v>1.9277108433734869E-2</v>
      </c>
      <c r="R68" s="168">
        <v>1.0000000000000087E-2</v>
      </c>
      <c r="S68" s="168">
        <v>1.0000000000000087E-2</v>
      </c>
      <c r="Y68" s="249">
        <v>0.14324555299414254</v>
      </c>
      <c r="Z68" s="249">
        <v>-6.9870715281392437E-2</v>
      </c>
      <c r="AA68" s="249">
        <v>6.3284135680146569E-2</v>
      </c>
    </row>
    <row r="69" spans="1:27" hidden="1">
      <c r="A69" s="281"/>
      <c r="B69" s="272"/>
      <c r="C69" s="139" t="s">
        <v>0</v>
      </c>
      <c r="D69" s="149"/>
      <c r="E69" s="149"/>
      <c r="F69" s="149"/>
      <c r="G69" s="149"/>
      <c r="H69" s="149"/>
      <c r="I69" s="149"/>
      <c r="J69" s="149"/>
      <c r="K69" s="149"/>
      <c r="L69" s="149"/>
      <c r="M69" s="236">
        <f>M21/L23-1</f>
        <v>0.10756763845584394</v>
      </c>
      <c r="N69" s="236">
        <f t="shared" ref="N69:S70" si="21">N21/M21-1</f>
        <v>-1</v>
      </c>
      <c r="O69" s="236" t="e">
        <f t="shared" si="21"/>
        <v>#DIV/0!</v>
      </c>
      <c r="P69" s="236" t="e">
        <f t="shared" si="21"/>
        <v>#DIV/0!</v>
      </c>
      <c r="Q69" s="236" t="e">
        <f t="shared" si="21"/>
        <v>#DIV/0!</v>
      </c>
      <c r="R69" s="236" t="e">
        <f t="shared" si="21"/>
        <v>#DIV/0!</v>
      </c>
      <c r="S69" s="236" t="e">
        <f t="shared" si="21"/>
        <v>#DIV/0!</v>
      </c>
      <c r="Y69" s="184"/>
    </row>
    <row r="70" spans="1:27" hidden="1">
      <c r="A70" s="281"/>
      <c r="B70" s="272"/>
      <c r="C70" s="141" t="s">
        <v>3</v>
      </c>
      <c r="D70" s="151"/>
      <c r="E70" s="151"/>
      <c r="F70" s="151"/>
      <c r="G70" s="151"/>
      <c r="H70" s="151"/>
      <c r="I70" s="151">
        <v>155.9</v>
      </c>
      <c r="J70" s="151"/>
      <c r="K70" s="151"/>
      <c r="L70" s="151"/>
      <c r="M70" s="237">
        <f>M22/L23-1</f>
        <v>0.10757307197055366</v>
      </c>
      <c r="N70" s="237">
        <f t="shared" si="21"/>
        <v>-1</v>
      </c>
      <c r="O70" s="237" t="e">
        <f t="shared" si="21"/>
        <v>#DIV/0!</v>
      </c>
      <c r="P70" s="237">
        <f t="shared" si="21"/>
        <v>4.0419225375822876E-2</v>
      </c>
      <c r="Q70" s="237">
        <f t="shared" si="21"/>
        <v>7.4305746032719666E-2</v>
      </c>
      <c r="R70" s="237">
        <f t="shared" si="21"/>
        <v>6.4246812415278409E-2</v>
      </c>
      <c r="S70" s="237">
        <f t="shared" si="21"/>
        <v>4.4508584308934118E-2</v>
      </c>
      <c r="Y70" s="249">
        <f>Y66/2</f>
        <v>0</v>
      </c>
      <c r="Z70" s="249">
        <f t="shared" ref="Z70:AA70" si="22">Z66/2</f>
        <v>0</v>
      </c>
      <c r="AA70" s="249">
        <f t="shared" si="22"/>
        <v>0</v>
      </c>
    </row>
    <row r="71" spans="1:27" hidden="1">
      <c r="A71" s="281"/>
      <c r="B71" s="272"/>
      <c r="C71" s="143" t="s">
        <v>1</v>
      </c>
      <c r="D71" s="152">
        <v>80.3</v>
      </c>
      <c r="E71" s="152">
        <v>96.4</v>
      </c>
      <c r="F71" s="153">
        <v>113.9</v>
      </c>
      <c r="G71" s="153">
        <v>141.4</v>
      </c>
      <c r="H71" s="153">
        <v>146.69999999999999</v>
      </c>
      <c r="I71" s="153">
        <v>153</v>
      </c>
      <c r="J71" s="206">
        <f>J72</f>
        <v>0</v>
      </c>
      <c r="K71" s="209">
        <v>300</v>
      </c>
      <c r="L71" s="226"/>
      <c r="M71" s="238">
        <f>AVERAGE(M67:M70)</f>
        <v>0.10757126079898376</v>
      </c>
      <c r="N71" s="238">
        <f t="shared" ref="N71:S71" si="23">AVERAGE(N67:N70)</f>
        <v>-0.64542936288088637</v>
      </c>
      <c r="O71" s="238" t="e">
        <f t="shared" si="23"/>
        <v>#DIV/0!</v>
      </c>
      <c r="P71" s="238" t="e">
        <f t="shared" si="23"/>
        <v>#DIV/0!</v>
      </c>
      <c r="Q71" s="238" t="e">
        <f t="shared" si="23"/>
        <v>#DIV/0!</v>
      </c>
      <c r="R71" s="238" t="e">
        <f t="shared" si="23"/>
        <v>#DIV/0!</v>
      </c>
      <c r="S71" s="238" t="e">
        <f t="shared" si="23"/>
        <v>#DIV/0!</v>
      </c>
      <c r="Y71" s="249">
        <f t="shared" ref="Y71:AA72" si="24">Y67/2</f>
        <v>0.10537361955624014</v>
      </c>
      <c r="Z71" s="249">
        <f t="shared" si="24"/>
        <v>-2.7382060420968468E-2</v>
      </c>
      <c r="AA71" s="249">
        <f t="shared" si="24"/>
        <v>5.1446996738052198E-2</v>
      </c>
    </row>
    <row r="72" spans="1:27" hidden="1">
      <c r="A72" s="281"/>
      <c r="B72" s="33">
        <f>B49</f>
        <v>44917</v>
      </c>
      <c r="C72" s="133" t="s">
        <v>1</v>
      </c>
      <c r="D72" s="154">
        <f>'Aug18'!D67</f>
        <v>0</v>
      </c>
      <c r="E72" s="154">
        <f>'Aug18'!E67</f>
        <v>0</v>
      </c>
      <c r="F72" s="154">
        <f>'Aug18'!F67</f>
        <v>0</v>
      </c>
      <c r="G72" s="154">
        <f>'Aug18'!G67</f>
        <v>0</v>
      </c>
      <c r="H72" s="154">
        <f>'Aug18'!H67</f>
        <v>0</v>
      </c>
      <c r="I72" s="154">
        <f>'Dec18'!I67</f>
        <v>0</v>
      </c>
      <c r="J72" s="154">
        <f>'Dec18'!J67</f>
        <v>0</v>
      </c>
      <c r="K72" s="154">
        <v>300.43599999999998</v>
      </c>
      <c r="L72" s="154"/>
      <c r="M72" s="239">
        <f>'Feb21'!M68</f>
        <v>2.4253746238142321E-2</v>
      </c>
      <c r="N72" s="239">
        <f>'Feb21'!N68</f>
        <v>7.0380244973168677E-3</v>
      </c>
      <c r="O72" s="239">
        <f>'Feb21'!O68</f>
        <v>2.7503791128108041E-2</v>
      </c>
      <c r="P72" s="239">
        <f>'Feb21'!P68</f>
        <v>1.5887735688497589E-2</v>
      </c>
      <c r="Q72" s="239">
        <f>'Feb21'!Q68</f>
        <v>1.3364548356393557E-2</v>
      </c>
      <c r="R72" s="239"/>
      <c r="S72" s="239"/>
      <c r="Y72" s="249">
        <f t="shared" si="24"/>
        <v>7.1622776497071272E-2</v>
      </c>
      <c r="Z72" s="249">
        <f t="shared" si="24"/>
        <v>-3.4935357640696219E-2</v>
      </c>
      <c r="AA72" s="249">
        <f t="shared" si="24"/>
        <v>3.1642067840073285E-2</v>
      </c>
    </row>
    <row r="73" spans="1:27" hidden="1">
      <c r="M73">
        <v>0.10757126079898376</v>
      </c>
      <c r="N73">
        <v>0.2494632787508102</v>
      </c>
      <c r="O73">
        <v>9.3376238657061128E-2</v>
      </c>
      <c r="P73">
        <v>-5.4029522253356221E-2</v>
      </c>
      <c r="Q73">
        <v>5.0043656638575795E-2</v>
      </c>
      <c r="R73">
        <v>3.9248232960740086E-2</v>
      </c>
      <c r="S73">
        <v>1.03924823296074</v>
      </c>
    </row>
    <row r="74" spans="1:27" hidden="1"/>
    <row r="75" spans="1:27" hidden="1"/>
    <row r="79" spans="1:27">
      <c r="A79" t="s">
        <v>109</v>
      </c>
      <c r="B79" t="s">
        <v>110</v>
      </c>
      <c r="O79">
        <f>O6*O23</f>
        <v>51435</v>
      </c>
      <c r="P79">
        <f t="shared" ref="P79:S79" si="25">P6*P23</f>
        <v>49170</v>
      </c>
      <c r="Q79">
        <f t="shared" si="25"/>
        <v>52895</v>
      </c>
      <c r="R79">
        <f t="shared" si="25"/>
        <v>54360</v>
      </c>
      <c r="S79">
        <f t="shared" si="25"/>
        <v>55300</v>
      </c>
    </row>
    <row r="80" spans="1:27">
      <c r="B80" s="259">
        <f>B49</f>
        <v>44917</v>
      </c>
      <c r="O80">
        <f>O7*O24</f>
        <v>52700</v>
      </c>
      <c r="P80">
        <f t="shared" ref="P80:S80" si="26">P7*P24</f>
        <v>50490</v>
      </c>
      <c r="Q80">
        <f t="shared" si="26"/>
        <v>51475</v>
      </c>
      <c r="R80">
        <f t="shared" si="26"/>
        <v>52522.5</v>
      </c>
      <c r="S80">
        <f t="shared" si="26"/>
        <v>53475</v>
      </c>
    </row>
    <row r="83" spans="2:19">
      <c r="B83" t="s">
        <v>111</v>
      </c>
      <c r="O83">
        <f>O48*O40</f>
        <v>16324.000000000002</v>
      </c>
      <c r="P83">
        <f t="shared" ref="P83:S83" si="27">P48*P40</f>
        <v>12166</v>
      </c>
      <c r="Q83">
        <f t="shared" si="27"/>
        <v>14596</v>
      </c>
      <c r="R83">
        <f t="shared" si="27"/>
        <v>15810.000000000002</v>
      </c>
      <c r="S83" s="260">
        <f t="shared" si="27"/>
        <v>15419.25</v>
      </c>
    </row>
    <row r="84" spans="2:19">
      <c r="B84" s="259">
        <f>B80</f>
        <v>44917</v>
      </c>
      <c r="O84" s="260">
        <f>O49*O41</f>
        <v>20268.75</v>
      </c>
      <c r="P84" s="260">
        <f t="shared" ref="P84:S84" si="28">P49*P41</f>
        <v>16884</v>
      </c>
      <c r="Q84" s="260">
        <f t="shared" si="28"/>
        <v>16068.000000000002</v>
      </c>
      <c r="R84" s="260">
        <f t="shared" si="28"/>
        <v>16160</v>
      </c>
      <c r="S84" s="260">
        <f t="shared" si="28"/>
        <v>16112.25</v>
      </c>
    </row>
  </sheetData>
  <mergeCells count="25">
    <mergeCell ref="A68:A72"/>
    <mergeCell ref="B68:B71"/>
    <mergeCell ref="A36:A41"/>
    <mergeCell ref="B36:B40"/>
    <mergeCell ref="A44:A58"/>
    <mergeCell ref="B44:B48"/>
    <mergeCell ref="B49:B52"/>
    <mergeCell ref="C55:D55"/>
    <mergeCell ref="C56:D56"/>
    <mergeCell ref="C57:D57"/>
    <mergeCell ref="C58:D58"/>
    <mergeCell ref="A19:A33"/>
    <mergeCell ref="B19:B23"/>
    <mergeCell ref="B24:B27"/>
    <mergeCell ref="C30:D30"/>
    <mergeCell ref="C31:D31"/>
    <mergeCell ref="C32:D32"/>
    <mergeCell ref="C33:D33"/>
    <mergeCell ref="A2:A16"/>
    <mergeCell ref="B2:B6"/>
    <mergeCell ref="B7:B11"/>
    <mergeCell ref="C13:D13"/>
    <mergeCell ref="C14:D14"/>
    <mergeCell ref="C15:D15"/>
    <mergeCell ref="C16:D16"/>
  </mergeCells>
  <pageMargins left="0.7" right="0.7" top="0.75" bottom="0.75" header="0.3" footer="0.3"/>
  <legacy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5D0A57-3C74-453F-A541-42183BAF8E5B}">
  <dimension ref="A1:AH84"/>
  <sheetViews>
    <sheetView zoomScaleNormal="100" workbookViewId="0">
      <selection activeCell="U37" sqref="U37"/>
    </sheetView>
  </sheetViews>
  <sheetFormatPr defaultColWidth="9.28515625" defaultRowHeight="15"/>
  <cols>
    <col min="1" max="1" width="9.42578125" customWidth="1"/>
    <col min="2" max="2" width="7.5703125" bestFit="1" customWidth="1"/>
    <col min="3" max="3" width="13" customWidth="1"/>
    <col min="4" max="4" width="7.7109375" hidden="1" customWidth="1"/>
    <col min="5" max="5" width="8.28515625" hidden="1" customWidth="1"/>
    <col min="6" max="6" width="9.28515625" hidden="1" customWidth="1"/>
    <col min="7" max="7" width="13.42578125" hidden="1" customWidth="1"/>
    <col min="8" max="9" width="9.28515625" hidden="1" customWidth="1"/>
    <col min="10" max="10" width="7.7109375" hidden="1" customWidth="1"/>
    <col min="11" max="11" width="8.28515625" hidden="1" customWidth="1"/>
    <col min="12" max="12" width="9.28515625" hidden="1" customWidth="1"/>
    <col min="13" max="13" width="9.42578125" hidden="1" customWidth="1"/>
    <col min="14" max="14" width="10.85546875" hidden="1" customWidth="1"/>
    <col min="15" max="15" width="10" customWidth="1"/>
    <col min="16" max="19" width="9.5703125" bestFit="1" customWidth="1"/>
    <col min="20" max="20" width="9.5703125" customWidth="1"/>
    <col min="21" max="21" width="15.5703125" bestFit="1" customWidth="1"/>
    <col min="25" max="25" width="2.28515625" customWidth="1"/>
    <col min="29" max="29" width="2.28515625" customWidth="1"/>
  </cols>
  <sheetData>
    <row r="1" spans="1:32" ht="20.25" customHeight="1">
      <c r="A1" s="8"/>
      <c r="B1" s="11"/>
      <c r="C1" s="133"/>
      <c r="D1" s="132" t="s">
        <v>17</v>
      </c>
      <c r="E1" s="132" t="s">
        <v>25</v>
      </c>
      <c r="F1" s="132" t="s">
        <v>73</v>
      </c>
      <c r="G1" s="132" t="s">
        <v>74</v>
      </c>
      <c r="H1" s="132" t="s">
        <v>75</v>
      </c>
      <c r="I1" s="132" t="s">
        <v>77</v>
      </c>
      <c r="J1" s="132" t="s">
        <v>81</v>
      </c>
      <c r="K1" s="132" t="s">
        <v>24</v>
      </c>
      <c r="L1" s="132" t="s">
        <v>27</v>
      </c>
      <c r="M1" s="132" t="s">
        <v>57</v>
      </c>
      <c r="N1" s="132" t="s">
        <v>76</v>
      </c>
      <c r="O1" s="132" t="s">
        <v>80</v>
      </c>
      <c r="P1" s="132" t="s">
        <v>82</v>
      </c>
      <c r="Q1" s="132" t="s">
        <v>92</v>
      </c>
      <c r="R1" s="132" t="s">
        <v>102</v>
      </c>
      <c r="S1" s="132" t="s">
        <v>106</v>
      </c>
      <c r="T1" s="132" t="s">
        <v>112</v>
      </c>
      <c r="V1" s="132" t="s">
        <v>76</v>
      </c>
      <c r="W1" s="187" t="s">
        <v>80</v>
      </c>
      <c r="X1" s="187" t="s">
        <v>82</v>
      </c>
      <c r="Z1" s="132" t="s">
        <v>76</v>
      </c>
      <c r="AA1" s="187" t="s">
        <v>80</v>
      </c>
      <c r="AB1" s="187" t="s">
        <v>82</v>
      </c>
      <c r="AD1" s="132" t="s">
        <v>76</v>
      </c>
      <c r="AE1" s="187" t="s">
        <v>80</v>
      </c>
      <c r="AF1" s="187" t="s">
        <v>82</v>
      </c>
    </row>
    <row r="2" spans="1:32">
      <c r="A2" s="284" t="s">
        <v>10</v>
      </c>
      <c r="B2" s="300">
        <v>45139</v>
      </c>
      <c r="C2" s="134" t="s">
        <v>4</v>
      </c>
      <c r="D2" s="135"/>
      <c r="E2" s="135"/>
      <c r="F2" s="135"/>
      <c r="G2" s="135"/>
      <c r="H2" s="135"/>
      <c r="I2" s="135">
        <v>44.74</v>
      </c>
      <c r="J2" s="135"/>
      <c r="K2" s="135"/>
      <c r="L2" s="135">
        <v>44.01</v>
      </c>
      <c r="M2" s="135">
        <v>50.58</v>
      </c>
      <c r="N2" s="135"/>
      <c r="O2" s="135">
        <v>81.34</v>
      </c>
      <c r="P2" s="135">
        <v>73.81</v>
      </c>
      <c r="Q2" s="135">
        <v>73.72</v>
      </c>
      <c r="R2" s="135">
        <v>73.53</v>
      </c>
      <c r="S2" s="135">
        <v>73.2</v>
      </c>
      <c r="T2" s="135">
        <v>72.98</v>
      </c>
      <c r="V2" s="135"/>
      <c r="W2" s="135"/>
      <c r="X2" s="135"/>
      <c r="Z2" s="135"/>
      <c r="AA2" s="135"/>
      <c r="AB2" s="135"/>
      <c r="AD2" s="135"/>
      <c r="AE2" s="135"/>
      <c r="AF2" s="135"/>
    </row>
    <row r="3" spans="1:32">
      <c r="A3" s="285"/>
      <c r="B3" s="301"/>
      <c r="C3" s="136" t="s">
        <v>2</v>
      </c>
      <c r="D3" s="137"/>
      <c r="E3" s="138"/>
      <c r="F3" s="138"/>
      <c r="G3" s="138"/>
      <c r="H3" s="138"/>
      <c r="I3" s="138">
        <v>44.76</v>
      </c>
      <c r="J3" s="138"/>
      <c r="K3" s="138"/>
      <c r="L3" s="138">
        <v>44.01</v>
      </c>
      <c r="M3" s="138">
        <v>50.58</v>
      </c>
      <c r="N3" s="138"/>
      <c r="O3" s="138">
        <v>81.53</v>
      </c>
      <c r="P3" s="138">
        <v>71.959999999999994</v>
      </c>
      <c r="Q3" s="138">
        <v>72.069999999999993</v>
      </c>
      <c r="R3" s="138">
        <v>72.61</v>
      </c>
      <c r="S3" s="138">
        <v>72.64</v>
      </c>
      <c r="T3" s="138">
        <v>72.709999999999994</v>
      </c>
      <c r="V3" s="138"/>
      <c r="W3" s="138"/>
      <c r="X3" s="138"/>
      <c r="Z3" s="138"/>
      <c r="AA3" s="138"/>
      <c r="AB3" s="138"/>
      <c r="AD3" s="138"/>
      <c r="AE3" s="138"/>
      <c r="AF3" s="138"/>
    </row>
    <row r="4" spans="1:32">
      <c r="A4" s="285"/>
      <c r="B4" s="301"/>
      <c r="C4" s="139" t="s">
        <v>0</v>
      </c>
      <c r="D4" s="140"/>
      <c r="E4" s="140"/>
      <c r="F4" s="140"/>
      <c r="G4" s="140"/>
      <c r="H4" s="140"/>
      <c r="I4" s="140">
        <v>44.75</v>
      </c>
      <c r="J4" s="140"/>
      <c r="K4" s="140"/>
      <c r="L4" s="140">
        <v>43.75</v>
      </c>
      <c r="M4" s="140">
        <v>50.58</v>
      </c>
      <c r="N4" s="140"/>
      <c r="O4" s="140">
        <v>79.7</v>
      </c>
      <c r="P4" s="140">
        <v>77.95</v>
      </c>
      <c r="Q4" s="140">
        <v>73.959999999999994</v>
      </c>
      <c r="R4" s="140">
        <v>65.86</v>
      </c>
      <c r="S4" s="140">
        <v>64.62</v>
      </c>
      <c r="T4" s="140">
        <v>64.87</v>
      </c>
      <c r="V4" s="140"/>
      <c r="W4" s="140"/>
      <c r="X4" s="140"/>
      <c r="Z4" s="140"/>
      <c r="AA4" s="140"/>
      <c r="AB4" s="140"/>
      <c r="AD4" s="140"/>
      <c r="AE4" s="140"/>
      <c r="AF4" s="140"/>
    </row>
    <row r="5" spans="1:32">
      <c r="A5" s="285"/>
      <c r="B5" s="301"/>
      <c r="C5" s="141" t="s">
        <v>3</v>
      </c>
      <c r="D5" s="142"/>
      <c r="E5" s="142"/>
      <c r="F5" s="142"/>
      <c r="G5" s="142"/>
      <c r="H5" s="142"/>
      <c r="I5" s="142">
        <v>44.39</v>
      </c>
      <c r="J5" s="142"/>
      <c r="K5" s="142"/>
      <c r="L5" s="142">
        <v>44.15</v>
      </c>
      <c r="M5" s="142">
        <v>50.58</v>
      </c>
      <c r="N5" s="142"/>
      <c r="O5" s="142">
        <v>79.319999999999993</v>
      </c>
      <c r="P5" s="142">
        <v>74.180000000000007</v>
      </c>
      <c r="Q5" s="142">
        <v>72.55</v>
      </c>
      <c r="R5" s="142">
        <v>72</v>
      </c>
      <c r="S5" s="142">
        <v>70.19</v>
      </c>
      <c r="T5" s="142">
        <v>68.75</v>
      </c>
      <c r="V5" s="142"/>
      <c r="W5" s="142"/>
      <c r="X5" s="142"/>
      <c r="Z5" s="142"/>
      <c r="AA5" s="142"/>
      <c r="AB5" s="142"/>
      <c r="AD5" s="142"/>
      <c r="AE5" s="142"/>
      <c r="AF5" s="142"/>
    </row>
    <row r="6" spans="1:32">
      <c r="A6" s="285"/>
      <c r="B6" s="302"/>
      <c r="C6" s="143" t="s">
        <v>1</v>
      </c>
      <c r="D6" s="144">
        <v>89.65</v>
      </c>
      <c r="E6" s="144">
        <v>85.82</v>
      </c>
      <c r="F6" s="144">
        <v>95.13</v>
      </c>
      <c r="G6" s="144">
        <v>60.67</v>
      </c>
      <c r="H6" s="144">
        <v>37.85</v>
      </c>
      <c r="I6" s="144">
        <f t="shared" ref="I6" si="0">+AVERAGE(I2:I5)</f>
        <v>44.66</v>
      </c>
      <c r="J6" s="144">
        <v>55.05</v>
      </c>
      <c r="K6" s="216" t="e">
        <f>AVERAGE(K2:K5)</f>
        <v>#DIV/0!</v>
      </c>
      <c r="L6" s="216">
        <v>44.01</v>
      </c>
      <c r="M6" s="216">
        <f>AVERAGE(M2:M5)</f>
        <v>50.58</v>
      </c>
      <c r="N6" s="216">
        <v>88.11</v>
      </c>
      <c r="O6" s="216">
        <f t="shared" ref="O6:S6" si="1">MROUND(AVERAGE(O2:O5),0.5)</f>
        <v>80.5</v>
      </c>
      <c r="P6" s="216">
        <f t="shared" si="1"/>
        <v>74.5</v>
      </c>
      <c r="Q6" s="216">
        <f t="shared" si="1"/>
        <v>73</v>
      </c>
      <c r="R6" s="216">
        <f t="shared" si="1"/>
        <v>71</v>
      </c>
      <c r="S6" s="216">
        <f t="shared" si="1"/>
        <v>70</v>
      </c>
      <c r="T6" s="216">
        <f t="shared" ref="T6" si="2">MROUND(AVERAGE(T2:T5),0.5)</f>
        <v>70</v>
      </c>
      <c r="V6" s="216"/>
      <c r="W6" s="216"/>
      <c r="X6" s="216"/>
      <c r="Z6" s="216"/>
      <c r="AA6" s="216"/>
      <c r="AB6" s="216"/>
      <c r="AD6" s="216"/>
      <c r="AE6" s="216"/>
      <c r="AF6" s="216"/>
    </row>
    <row r="7" spans="1:32">
      <c r="A7" s="285"/>
      <c r="B7" s="300">
        <v>44917</v>
      </c>
      <c r="C7" s="133" t="s">
        <v>1</v>
      </c>
      <c r="D7" s="138">
        <f>'Aug18'!D6</f>
        <v>89.65</v>
      </c>
      <c r="E7" s="138">
        <f>'Aug18'!E6</f>
        <v>85.82</v>
      </c>
      <c r="F7" s="138">
        <f>'Aug18'!F6</f>
        <v>95.13</v>
      </c>
      <c r="G7" s="138">
        <f>'Aug18'!G6</f>
        <v>60.67</v>
      </c>
      <c r="H7" s="138">
        <f>'Aug18'!H6</f>
        <v>37.85</v>
      </c>
      <c r="I7" s="138">
        <f>'Dec18'!I6</f>
        <v>44.66</v>
      </c>
      <c r="J7" s="138">
        <f>'Dec18'!J6</f>
        <v>55.05</v>
      </c>
      <c r="K7" s="138">
        <v>51.464999999999996</v>
      </c>
      <c r="L7" s="138">
        <f>'Feb21'!L6</f>
        <v>44.01</v>
      </c>
      <c r="M7" s="138">
        <f>'Aug21'!M6</f>
        <v>49.917499999999997</v>
      </c>
      <c r="N7" s="252">
        <v>88.11</v>
      </c>
      <c r="O7" s="268">
        <v>85</v>
      </c>
      <c r="P7" s="268">
        <v>76.5</v>
      </c>
      <c r="Q7" s="268">
        <v>72.5</v>
      </c>
      <c r="R7" s="268">
        <v>70.5</v>
      </c>
      <c r="S7" s="268">
        <v>69</v>
      </c>
      <c r="T7" s="268">
        <v>70</v>
      </c>
      <c r="V7" s="93" t="s">
        <v>99</v>
      </c>
      <c r="Z7" s="93" t="s">
        <v>100</v>
      </c>
      <c r="AD7" t="s">
        <v>101</v>
      </c>
    </row>
    <row r="8" spans="1:32" ht="14.65" hidden="1" customHeight="1">
      <c r="A8" s="285"/>
      <c r="B8" s="301"/>
      <c r="C8" s="133" t="s">
        <v>1</v>
      </c>
      <c r="D8" s="138">
        <v>89.65</v>
      </c>
      <c r="E8" s="138">
        <v>85.82</v>
      </c>
      <c r="F8" s="138">
        <v>95.14</v>
      </c>
      <c r="G8" s="138">
        <v>71</v>
      </c>
      <c r="H8" s="138">
        <v>66</v>
      </c>
      <c r="I8" s="138">
        <v>72</v>
      </c>
      <c r="J8" s="138">
        <v>76</v>
      </c>
      <c r="K8" s="138">
        <v>80</v>
      </c>
      <c r="L8" s="138"/>
      <c r="M8" s="138"/>
      <c r="N8" s="256">
        <v>531.4</v>
      </c>
      <c r="O8" s="256">
        <v>620</v>
      </c>
      <c r="P8" s="256">
        <v>660</v>
      </c>
      <c r="Q8" s="256">
        <v>710</v>
      </c>
      <c r="R8" s="256">
        <v>745</v>
      </c>
      <c r="S8" s="256">
        <v>775</v>
      </c>
      <c r="T8" s="256">
        <v>776</v>
      </c>
    </row>
    <row r="9" spans="1:32" ht="14.65" hidden="1" customHeight="1">
      <c r="A9" s="285"/>
      <c r="B9" s="301"/>
      <c r="C9" s="133" t="s">
        <v>1</v>
      </c>
      <c r="D9" s="138">
        <v>89.65</v>
      </c>
      <c r="E9" s="138">
        <v>85.82</v>
      </c>
      <c r="F9" s="138">
        <v>95.75</v>
      </c>
      <c r="G9" s="138">
        <v>92</v>
      </c>
      <c r="H9" s="138">
        <v>88</v>
      </c>
      <c r="I9" s="138">
        <v>87</v>
      </c>
      <c r="J9" s="138">
        <v>86</v>
      </c>
      <c r="K9" s="138">
        <v>85</v>
      </c>
      <c r="L9" s="138"/>
      <c r="M9" s="138"/>
      <c r="N9" s="257">
        <v>7.03</v>
      </c>
      <c r="O9" s="257">
        <v>7.05</v>
      </c>
      <c r="P9" s="257">
        <v>5.6</v>
      </c>
      <c r="Q9" s="257">
        <v>5.15</v>
      </c>
      <c r="R9" s="257">
        <v>5.05</v>
      </c>
      <c r="S9" s="257">
        <v>4.95</v>
      </c>
      <c r="T9" s="257">
        <v>4.95</v>
      </c>
    </row>
    <row r="10" spans="1:32" ht="14.65" hidden="1" customHeight="1">
      <c r="A10" s="285"/>
      <c r="B10" s="301"/>
      <c r="C10" s="133" t="s">
        <v>1</v>
      </c>
      <c r="D10" s="138">
        <v>90</v>
      </c>
      <c r="E10" s="138">
        <v>87</v>
      </c>
      <c r="F10" s="138">
        <v>94</v>
      </c>
      <c r="G10" s="138">
        <v>87.5</v>
      </c>
      <c r="H10" s="138">
        <v>85</v>
      </c>
      <c r="I10" s="138">
        <v>84</v>
      </c>
      <c r="J10" s="138">
        <v>84</v>
      </c>
      <c r="K10" s="138"/>
      <c r="L10" s="138"/>
      <c r="M10" s="138"/>
      <c r="N10" s="258">
        <v>2585.8130000000001</v>
      </c>
      <c r="O10" s="258">
        <v>2875</v>
      </c>
      <c r="P10" s="258">
        <v>3015</v>
      </c>
      <c r="Q10" s="258">
        <v>3120</v>
      </c>
      <c r="R10" s="258">
        <v>3200</v>
      </c>
      <c r="S10" s="258">
        <v>3255</v>
      </c>
      <c r="T10" s="258">
        <v>3255</v>
      </c>
    </row>
    <row r="11" spans="1:32" ht="14.65" hidden="1" customHeight="1">
      <c r="A11" s="285"/>
      <c r="B11" s="302"/>
      <c r="C11" s="133" t="s">
        <v>1</v>
      </c>
      <c r="D11" s="145">
        <v>90</v>
      </c>
      <c r="E11" s="145">
        <v>86.5</v>
      </c>
      <c r="F11" s="145">
        <v>88</v>
      </c>
      <c r="G11" s="145">
        <v>87.5</v>
      </c>
      <c r="H11" s="145">
        <v>87</v>
      </c>
      <c r="I11" s="145">
        <v>86.5</v>
      </c>
      <c r="J11" s="145"/>
      <c r="K11" s="145"/>
      <c r="L11" s="145"/>
      <c r="M11" s="145"/>
      <c r="R11" s="138">
        <v>59.5</v>
      </c>
    </row>
    <row r="12" spans="1:32" hidden="1">
      <c r="A12" s="285"/>
      <c r="B12" s="33">
        <v>41244</v>
      </c>
      <c r="C12" s="133" t="s">
        <v>1</v>
      </c>
      <c r="D12" s="145">
        <v>89.640506965377526</v>
      </c>
      <c r="E12" s="145">
        <v>85</v>
      </c>
      <c r="F12" s="145">
        <v>84.75</v>
      </c>
      <c r="G12" s="145">
        <v>83.5</v>
      </c>
      <c r="H12" s="145">
        <v>82.5</v>
      </c>
      <c r="I12" s="145">
        <v>83</v>
      </c>
      <c r="J12" s="145">
        <v>83</v>
      </c>
      <c r="K12" s="145"/>
      <c r="L12" s="145"/>
      <c r="M12" s="145"/>
      <c r="R12" s="138">
        <v>59.5</v>
      </c>
    </row>
    <row r="13" spans="1:32" hidden="1">
      <c r="A13" s="285"/>
      <c r="B13" s="33">
        <v>42217</v>
      </c>
      <c r="C13" s="292" t="s">
        <v>16</v>
      </c>
      <c r="D13" s="293"/>
      <c r="E13" s="146">
        <f t="shared" ref="E13:M13" si="3">+E6/D6-1</f>
        <v>-4.2721695482431765E-2</v>
      </c>
      <c r="F13" s="146">
        <f>+F6/E6-1</f>
        <v>0.10848287112561183</v>
      </c>
      <c r="G13" s="166">
        <f>+G6/F6-1</f>
        <v>-0.36224114369809735</v>
      </c>
      <c r="H13" s="146">
        <f t="shared" si="3"/>
        <v>-0.37613317949563208</v>
      </c>
      <c r="I13" s="146">
        <f t="shared" si="3"/>
        <v>0.17992073976221912</v>
      </c>
      <c r="J13" s="146">
        <f t="shared" si="3"/>
        <v>0.23264666368114639</v>
      </c>
      <c r="K13" s="146" t="e">
        <f t="shared" si="3"/>
        <v>#DIV/0!</v>
      </c>
      <c r="L13" s="146" t="e">
        <f t="shared" si="3"/>
        <v>#DIV/0!</v>
      </c>
      <c r="M13" s="146">
        <f t="shared" si="3"/>
        <v>0.14928425357873221</v>
      </c>
      <c r="R13" s="138">
        <v>59.5</v>
      </c>
    </row>
    <row r="14" spans="1:32" hidden="1">
      <c r="A14" s="285"/>
      <c r="B14" s="33">
        <v>42031</v>
      </c>
      <c r="C14" s="290" t="s">
        <v>16</v>
      </c>
      <c r="D14" s="291"/>
      <c r="E14" s="147">
        <f t="shared" ref="E14:K15" si="4">(E7-D7)/D7</f>
        <v>-4.2721695482431814E-2</v>
      </c>
      <c r="F14" s="147">
        <f t="shared" si="4"/>
        <v>0.10848287112561178</v>
      </c>
      <c r="G14" s="147">
        <f t="shared" si="4"/>
        <v>-0.36224114369809729</v>
      </c>
      <c r="H14" s="147">
        <f t="shared" si="4"/>
        <v>-0.37613317949563208</v>
      </c>
      <c r="I14" s="147">
        <f t="shared" si="4"/>
        <v>0.17992073976221915</v>
      </c>
      <c r="J14" s="147">
        <f t="shared" si="4"/>
        <v>0.23264666368114648</v>
      </c>
      <c r="K14" s="147">
        <f t="shared" si="4"/>
        <v>-6.5122615803814732E-2</v>
      </c>
      <c r="L14" s="147"/>
      <c r="M14" s="147"/>
      <c r="R14" s="138">
        <v>59.5</v>
      </c>
    </row>
    <row r="15" spans="1:32" hidden="1">
      <c r="A15" s="285"/>
      <c r="B15" s="33">
        <v>41974</v>
      </c>
      <c r="C15" s="290" t="s">
        <v>16</v>
      </c>
      <c r="D15" s="291"/>
      <c r="E15" s="147">
        <f t="shared" si="4"/>
        <v>-4.2721695482431814E-2</v>
      </c>
      <c r="F15" s="147">
        <f t="shared" si="4"/>
        <v>0.10859939408063397</v>
      </c>
      <c r="G15" s="147">
        <f t="shared" si="4"/>
        <v>-0.2537313432835821</v>
      </c>
      <c r="H15" s="147">
        <f t="shared" si="4"/>
        <v>-7.0422535211267609E-2</v>
      </c>
      <c r="I15" s="147">
        <f t="shared" si="4"/>
        <v>9.0909090909090912E-2</v>
      </c>
      <c r="J15" s="147">
        <f t="shared" si="4"/>
        <v>5.5555555555555552E-2</v>
      </c>
      <c r="K15" s="147"/>
      <c r="L15" s="147"/>
      <c r="M15" s="147"/>
      <c r="R15" s="138">
        <v>59.5</v>
      </c>
    </row>
    <row r="16" spans="1:32" hidden="1">
      <c r="A16" s="286"/>
      <c r="B16" s="33">
        <v>41499</v>
      </c>
      <c r="C16" s="292" t="s">
        <v>16</v>
      </c>
      <c r="D16" s="293"/>
      <c r="E16" s="146">
        <f t="shared" ref="E16:J16" si="5">(E10-D10)/D10</f>
        <v>-3.3333333333333333E-2</v>
      </c>
      <c r="F16" s="146">
        <f t="shared" si="5"/>
        <v>8.0459770114942528E-2</v>
      </c>
      <c r="G16" s="146">
        <f t="shared" si="5"/>
        <v>-6.9148936170212769E-2</v>
      </c>
      <c r="H16" s="146">
        <f t="shared" si="5"/>
        <v>-2.8571428571428571E-2</v>
      </c>
      <c r="I16" s="146">
        <f t="shared" si="5"/>
        <v>-1.1764705882352941E-2</v>
      </c>
      <c r="J16" s="146">
        <f t="shared" si="5"/>
        <v>0</v>
      </c>
      <c r="K16" s="146"/>
      <c r="L16" s="146"/>
      <c r="M16" s="146"/>
      <c r="R16" s="138">
        <v>59.5</v>
      </c>
    </row>
    <row r="17" spans="1:34">
      <c r="A17" s="65"/>
      <c r="B17" s="65"/>
      <c r="C17" s="65"/>
      <c r="D17" s="65"/>
      <c r="E17" s="65"/>
      <c r="F17" s="65"/>
      <c r="G17" s="65"/>
      <c r="H17" s="65"/>
      <c r="I17" s="65"/>
      <c r="J17" s="65"/>
      <c r="K17" s="65"/>
      <c r="L17" s="65"/>
      <c r="M17" s="247">
        <v>50.580000000000005</v>
      </c>
      <c r="N17" s="252"/>
      <c r="O17" s="266">
        <v>80.5</v>
      </c>
      <c r="P17" s="266">
        <v>74.5</v>
      </c>
      <c r="Q17" s="266">
        <v>73</v>
      </c>
      <c r="R17" s="266">
        <v>71</v>
      </c>
      <c r="S17" s="266">
        <v>70</v>
      </c>
      <c r="T17" s="266">
        <v>70</v>
      </c>
      <c r="U17" s="267" t="s">
        <v>113</v>
      </c>
      <c r="V17" s="112">
        <f>+V6/$N$6-1</f>
        <v>-1</v>
      </c>
      <c r="W17" s="112" t="e">
        <f>+W6/V6-1</f>
        <v>#DIV/0!</v>
      </c>
      <c r="X17" s="112" t="e">
        <f>+X6/W6-1</f>
        <v>#DIV/0!</v>
      </c>
      <c r="Z17" s="112">
        <f>+Z6/$N$6-1</f>
        <v>-1</v>
      </c>
      <c r="AA17" s="112" t="e">
        <f>+AA6/Z6-1</f>
        <v>#DIV/0!</v>
      </c>
      <c r="AB17" s="112" t="e">
        <f>+AB6/AA6-1</f>
        <v>#DIV/0!</v>
      </c>
      <c r="AD17" s="112">
        <f>+AD6/$N$6-1</f>
        <v>-1</v>
      </c>
      <c r="AE17" s="112" t="e">
        <f>+AE6/AD6-1</f>
        <v>#DIV/0!</v>
      </c>
      <c r="AF17" s="112" t="e">
        <f>+AF6/AE6-1</f>
        <v>#DIV/0!</v>
      </c>
    </row>
    <row r="18" spans="1:34" ht="8.25" customHeight="1">
      <c r="A18" s="65"/>
      <c r="B18" s="65"/>
      <c r="C18" s="65"/>
      <c r="D18" s="65"/>
      <c r="E18" s="65"/>
      <c r="F18" s="65"/>
      <c r="G18" s="65"/>
      <c r="H18" s="65"/>
      <c r="I18" s="65"/>
      <c r="J18" s="65"/>
      <c r="K18" s="65"/>
      <c r="L18" s="65"/>
      <c r="M18" s="65"/>
      <c r="N18" s="65"/>
      <c r="O18" s="65"/>
      <c r="P18" s="65"/>
      <c r="Q18" s="65"/>
      <c r="R18" s="65"/>
      <c r="S18" s="65"/>
      <c r="T18" s="65"/>
      <c r="V18" s="112"/>
      <c r="W18" s="112"/>
      <c r="X18" s="112"/>
      <c r="Z18" s="112"/>
      <c r="AA18" s="112"/>
      <c r="AB18" s="112"/>
      <c r="AD18" s="112"/>
      <c r="AE18" s="112"/>
      <c r="AF18" s="112"/>
    </row>
    <row r="19" spans="1:34">
      <c r="A19" s="307" t="s">
        <v>12</v>
      </c>
      <c r="B19" s="300">
        <f>B2</f>
        <v>45139</v>
      </c>
      <c r="C19" s="134" t="s">
        <v>4</v>
      </c>
      <c r="D19" s="135"/>
      <c r="E19" s="135"/>
      <c r="F19" s="135"/>
      <c r="G19" s="135"/>
      <c r="H19" s="135"/>
      <c r="I19" s="135"/>
      <c r="J19" s="135"/>
      <c r="K19" s="135"/>
      <c r="L19" s="135">
        <v>363.84699999999998</v>
      </c>
      <c r="M19" s="177">
        <v>407.68</v>
      </c>
      <c r="N19" s="177"/>
      <c r="O19" s="177"/>
      <c r="P19" s="177">
        <v>683</v>
      </c>
      <c r="Q19" s="177">
        <v>704</v>
      </c>
      <c r="R19" s="177">
        <v>731</v>
      </c>
      <c r="S19" s="177">
        <v>749</v>
      </c>
      <c r="T19" s="177">
        <v>761</v>
      </c>
    </row>
    <row r="20" spans="1:34" ht="15" customHeight="1">
      <c r="A20" s="308"/>
      <c r="B20" s="301"/>
      <c r="C20" s="136" t="s">
        <v>2</v>
      </c>
      <c r="D20" s="148"/>
      <c r="E20" s="148"/>
      <c r="F20" s="148"/>
      <c r="G20" s="148"/>
      <c r="H20" s="148"/>
      <c r="I20" s="148">
        <v>155.96</v>
      </c>
      <c r="J20" s="148"/>
      <c r="K20" s="148"/>
      <c r="L20" s="148">
        <v>369.54</v>
      </c>
      <c r="M20" s="148">
        <v>407.68200000000002</v>
      </c>
      <c r="N20" s="148"/>
      <c r="O20" s="148"/>
      <c r="P20" s="148"/>
      <c r="Q20" s="148"/>
      <c r="R20" s="148"/>
      <c r="S20" s="148"/>
      <c r="T20" s="148"/>
      <c r="U20" s="112"/>
      <c r="V20" s="241"/>
      <c r="W20" s="148"/>
      <c r="X20" s="148"/>
      <c r="Z20" s="241"/>
      <c r="AA20" s="148"/>
      <c r="AB20" s="148"/>
      <c r="AD20" s="148"/>
      <c r="AE20" s="148"/>
      <c r="AF20" s="148"/>
    </row>
    <row r="21" spans="1:34">
      <c r="A21" s="308"/>
      <c r="B21" s="301"/>
      <c r="C21" s="139" t="s">
        <v>0</v>
      </c>
      <c r="D21" s="149"/>
      <c r="E21" s="149"/>
      <c r="F21" s="149"/>
      <c r="G21" s="149"/>
      <c r="H21" s="149"/>
      <c r="I21" s="149"/>
      <c r="J21" s="149"/>
      <c r="K21" s="149"/>
      <c r="L21" s="149">
        <v>368.08587199999999</v>
      </c>
      <c r="M21" s="149">
        <v>407.68</v>
      </c>
      <c r="N21" s="149"/>
      <c r="O21" s="149">
        <v>658.7</v>
      </c>
      <c r="P21" s="149">
        <v>709.55</v>
      </c>
      <c r="Q21" s="149">
        <v>754.48</v>
      </c>
      <c r="R21" s="149">
        <v>801.19</v>
      </c>
      <c r="S21" s="149">
        <v>809.2</v>
      </c>
      <c r="T21" s="149">
        <v>817.29</v>
      </c>
      <c r="U21" s="112"/>
      <c r="V21" s="149"/>
      <c r="W21" s="149"/>
      <c r="X21" s="149"/>
      <c r="Z21" s="149"/>
      <c r="AA21" s="149"/>
      <c r="AB21" s="149"/>
      <c r="AD21" s="149"/>
      <c r="AE21" s="149"/>
      <c r="AF21" s="149"/>
    </row>
    <row r="22" spans="1:34">
      <c r="A22" s="308"/>
      <c r="B22" s="301"/>
      <c r="C22" s="141" t="s">
        <v>3</v>
      </c>
      <c r="D22" s="151"/>
      <c r="E22" s="151"/>
      <c r="F22" s="151"/>
      <c r="G22" s="151"/>
      <c r="H22" s="151"/>
      <c r="I22" s="151">
        <v>155.9</v>
      </c>
      <c r="J22" s="151"/>
      <c r="K22" s="151"/>
      <c r="L22" s="151">
        <v>368.1</v>
      </c>
      <c r="M22" s="151">
        <v>407.68200000000002</v>
      </c>
      <c r="N22" s="151"/>
      <c r="O22" s="151">
        <v>658.70299999999997</v>
      </c>
      <c r="P22" s="151">
        <v>691.678</v>
      </c>
      <c r="Q22" s="151">
        <v>720.45</v>
      </c>
      <c r="R22" s="151">
        <v>743.97199999999998</v>
      </c>
      <c r="S22" s="151">
        <v>766.91899999999998</v>
      </c>
      <c r="T22" s="151">
        <v>778.41700000000003</v>
      </c>
      <c r="U22" s="112"/>
      <c r="V22" s="151"/>
      <c r="W22" s="151"/>
      <c r="X22" s="151"/>
      <c r="Z22" s="151"/>
      <c r="AA22" s="151"/>
      <c r="AB22" s="151"/>
      <c r="AD22" s="151"/>
      <c r="AE22" s="151"/>
      <c r="AF22" s="151"/>
    </row>
    <row r="23" spans="1:34">
      <c r="A23" s="308"/>
      <c r="B23" s="302"/>
      <c r="C23" s="143" t="s">
        <v>1</v>
      </c>
      <c r="D23" s="152">
        <v>80.3</v>
      </c>
      <c r="E23" s="152">
        <v>96.4</v>
      </c>
      <c r="F23" s="153">
        <v>113.9</v>
      </c>
      <c r="G23" s="153">
        <v>141.4</v>
      </c>
      <c r="H23" s="153">
        <v>146.69999999999999</v>
      </c>
      <c r="I23" s="153">
        <v>153</v>
      </c>
      <c r="J23" s="206">
        <f>J24</f>
        <v>204.40600000000003</v>
      </c>
      <c r="K23" s="209">
        <v>300</v>
      </c>
      <c r="L23" s="226">
        <f>L21</f>
        <v>368.08587199999999</v>
      </c>
      <c r="M23" s="226">
        <f>AVERAGE(M19:M22)</f>
        <v>407.68100000000004</v>
      </c>
      <c r="N23" s="226">
        <v>531.38279499999999</v>
      </c>
      <c r="O23" s="271">
        <f>O22</f>
        <v>658.70299999999997</v>
      </c>
      <c r="P23" s="226">
        <f t="shared" ref="P23:S23" si="6">MROUND(AVERAGE(P19:P22),5)</f>
        <v>695</v>
      </c>
      <c r="Q23" s="226">
        <f t="shared" si="6"/>
        <v>725</v>
      </c>
      <c r="R23" s="226">
        <f t="shared" si="6"/>
        <v>760</v>
      </c>
      <c r="S23" s="226">
        <f t="shared" si="6"/>
        <v>775</v>
      </c>
      <c r="T23" s="226">
        <f t="shared" ref="T23" si="7">MROUND(AVERAGE(T19:T22),5)</f>
        <v>785</v>
      </c>
      <c r="V23" s="226"/>
      <c r="W23" s="226"/>
      <c r="X23" s="226"/>
      <c r="Z23" s="226"/>
      <c r="AA23" s="226"/>
      <c r="AB23" s="226"/>
      <c r="AD23" s="226"/>
      <c r="AE23" s="226"/>
      <c r="AF23" s="226"/>
      <c r="AH23">
        <f>1/1000000</f>
        <v>9.9999999999999995E-7</v>
      </c>
    </row>
    <row r="24" spans="1:34">
      <c r="A24" s="308"/>
      <c r="B24" s="303">
        <f>B7</f>
        <v>44917</v>
      </c>
      <c r="C24" s="133" t="s">
        <v>1</v>
      </c>
      <c r="D24" s="154">
        <f>'Aug18'!D21</f>
        <v>80.3</v>
      </c>
      <c r="E24" s="154">
        <f>'Aug18'!E21</f>
        <v>96.4</v>
      </c>
      <c r="F24" s="154">
        <f>'Aug18'!F21</f>
        <v>113.9</v>
      </c>
      <c r="G24" s="154">
        <f>'Aug18'!G21</f>
        <v>141.4</v>
      </c>
      <c r="H24" s="154">
        <f>'Aug18'!H21</f>
        <v>146.69999999999999</v>
      </c>
      <c r="I24" s="154">
        <f>'Dec18'!I21</f>
        <v>153</v>
      </c>
      <c r="J24" s="154">
        <f>'Dec18'!J21</f>
        <v>204.40600000000003</v>
      </c>
      <c r="K24" s="154">
        <v>300.43599999999998</v>
      </c>
      <c r="L24" s="154">
        <f>'Feb21'!L22</f>
        <v>368.08587199999999</v>
      </c>
      <c r="M24" s="154">
        <f>'Aug21'!M22</f>
        <v>405</v>
      </c>
      <c r="N24" s="256">
        <v>531.4</v>
      </c>
      <c r="O24" s="269">
        <v>620</v>
      </c>
      <c r="P24" s="269">
        <v>660</v>
      </c>
      <c r="Q24" s="269">
        <v>710</v>
      </c>
      <c r="R24" s="269">
        <v>745</v>
      </c>
      <c r="S24" s="269">
        <v>775</v>
      </c>
      <c r="T24" s="269">
        <v>776</v>
      </c>
      <c r="V24" s="112">
        <f>+V23/$N$23-1</f>
        <v>-1</v>
      </c>
      <c r="W24" s="112" t="e">
        <f>+W23/V23-1</f>
        <v>#DIV/0!</v>
      </c>
      <c r="X24" s="112" t="e">
        <f>+X23/W23-1</f>
        <v>#DIV/0!</v>
      </c>
      <c r="Z24" s="112">
        <f>+Z23/$N$23-1</f>
        <v>-1</v>
      </c>
      <c r="AA24" s="112" t="e">
        <f>+AA23/Z23-1</f>
        <v>#DIV/0!</v>
      </c>
      <c r="AB24" s="112" t="e">
        <f>+AB23/AA23-1</f>
        <v>#DIV/0!</v>
      </c>
      <c r="AD24" s="112">
        <f>+AD23/$N$23-1</f>
        <v>-1</v>
      </c>
      <c r="AE24" s="112" t="e">
        <f>+AE23/AD23-1</f>
        <v>#DIV/0!</v>
      </c>
      <c r="AF24" s="112" t="e">
        <f>+AF23/AE23-1</f>
        <v>#DIV/0!</v>
      </c>
    </row>
    <row r="25" spans="1:34" ht="14.65" hidden="1" customHeight="1">
      <c r="A25" s="308"/>
      <c r="B25" s="304"/>
      <c r="C25" s="133" t="s">
        <v>1</v>
      </c>
      <c r="D25" s="154">
        <v>80.3</v>
      </c>
      <c r="E25" s="154">
        <v>96.4</v>
      </c>
      <c r="F25" s="154">
        <v>113.4</v>
      </c>
      <c r="G25" s="154">
        <v>122</v>
      </c>
      <c r="H25" s="154">
        <v>127</v>
      </c>
      <c r="I25" s="154">
        <v>131</v>
      </c>
      <c r="J25" s="154">
        <v>133</v>
      </c>
      <c r="K25" s="154">
        <v>135</v>
      </c>
      <c r="L25" s="154"/>
      <c r="M25" s="154"/>
      <c r="N25" s="154"/>
      <c r="O25" s="154"/>
      <c r="P25" s="154"/>
      <c r="Q25" s="154"/>
      <c r="R25" s="154"/>
      <c r="S25" s="154"/>
      <c r="T25" s="154"/>
    </row>
    <row r="26" spans="1:34" ht="14.65" hidden="1" customHeight="1">
      <c r="A26" s="308"/>
      <c r="B26" s="304"/>
      <c r="C26" s="133" t="s">
        <v>1</v>
      </c>
      <c r="D26" s="154">
        <v>80.3</v>
      </c>
      <c r="E26" s="154">
        <v>96.4</v>
      </c>
      <c r="F26" s="154">
        <v>110</v>
      </c>
      <c r="G26" s="154">
        <v>117</v>
      </c>
      <c r="H26" s="154">
        <v>122</v>
      </c>
      <c r="I26" s="154">
        <v>125</v>
      </c>
      <c r="J26" s="154">
        <v>127</v>
      </c>
      <c r="K26" s="154">
        <v>129</v>
      </c>
      <c r="L26" s="154"/>
      <c r="M26" s="154"/>
      <c r="N26" s="154"/>
      <c r="O26" s="154"/>
      <c r="P26" s="154"/>
      <c r="Q26" s="154"/>
      <c r="R26" s="154"/>
      <c r="S26" s="154"/>
      <c r="T26" s="154"/>
    </row>
    <row r="27" spans="1:34" ht="14.65" hidden="1" customHeight="1">
      <c r="A27" s="308"/>
      <c r="B27" s="305"/>
      <c r="C27" s="133" t="s">
        <v>1</v>
      </c>
      <c r="D27" s="154">
        <v>80.069999999999993</v>
      </c>
      <c r="E27" s="154">
        <v>90</v>
      </c>
      <c r="F27" s="154">
        <v>93</v>
      </c>
      <c r="G27" s="154">
        <v>97</v>
      </c>
      <c r="H27" s="154">
        <v>100</v>
      </c>
      <c r="I27" s="154">
        <v>101</v>
      </c>
      <c r="J27" s="154">
        <v>102</v>
      </c>
      <c r="K27" s="154"/>
      <c r="L27" s="154"/>
      <c r="M27" s="154"/>
      <c r="N27" s="154"/>
      <c r="O27" s="154"/>
      <c r="P27" s="154"/>
      <c r="Q27" s="154"/>
      <c r="R27" s="154"/>
      <c r="S27" s="154"/>
      <c r="T27" s="154"/>
    </row>
    <row r="28" spans="1:34" ht="15" hidden="1" customHeight="1">
      <c r="A28" s="308"/>
      <c r="B28" s="33">
        <v>41317</v>
      </c>
      <c r="C28" s="133" t="s">
        <v>1</v>
      </c>
      <c r="D28" s="155">
        <v>80.099999999999994</v>
      </c>
      <c r="E28" s="155">
        <v>87</v>
      </c>
      <c r="F28" s="155">
        <v>91.4</v>
      </c>
      <c r="G28" s="155">
        <v>94.1</v>
      </c>
      <c r="H28" s="155">
        <v>96</v>
      </c>
      <c r="I28" s="155">
        <v>97.9</v>
      </c>
      <c r="J28" s="155"/>
      <c r="K28" s="155"/>
      <c r="L28" s="155"/>
      <c r="M28" s="155"/>
      <c r="N28" s="155"/>
      <c r="O28" s="155"/>
      <c r="P28" s="155"/>
      <c r="Q28" s="155"/>
      <c r="R28" s="155"/>
      <c r="S28" s="155"/>
      <c r="T28" s="155"/>
    </row>
    <row r="29" spans="1:34" ht="15" hidden="1" customHeight="1">
      <c r="A29" s="308"/>
      <c r="B29" s="33">
        <v>41244</v>
      </c>
      <c r="C29" s="133" t="s">
        <v>1</v>
      </c>
      <c r="D29" s="155">
        <v>79.7</v>
      </c>
      <c r="E29" s="155">
        <v>84.119744824999998</v>
      </c>
      <c r="F29" s="155">
        <v>88.406534618000009</v>
      </c>
      <c r="G29" s="155">
        <v>92.434230656539995</v>
      </c>
      <c r="H29" s="155">
        <v>96.132415269670815</v>
      </c>
      <c r="I29" s="155">
        <v>97.6</v>
      </c>
      <c r="J29" s="155">
        <v>97.6</v>
      </c>
      <c r="K29" s="155"/>
      <c r="L29" s="155"/>
      <c r="M29" s="155"/>
      <c r="N29" s="155"/>
      <c r="O29" s="155"/>
      <c r="P29" s="155"/>
      <c r="Q29" s="155"/>
      <c r="R29" s="155"/>
      <c r="S29" s="155"/>
      <c r="T29" s="155"/>
    </row>
    <row r="30" spans="1:34">
      <c r="A30" s="308"/>
      <c r="B30" s="33">
        <f>B19</f>
        <v>45139</v>
      </c>
      <c r="C30" s="292" t="s">
        <v>16</v>
      </c>
      <c r="D30" s="293"/>
      <c r="E30" s="167">
        <f t="shared" ref="E30:T31" si="8">(E23-D23)/D23</f>
        <v>0.20049813200498143</v>
      </c>
      <c r="F30" s="167">
        <f>(F23-E23)/E23</f>
        <v>0.18153526970954356</v>
      </c>
      <c r="G30" s="167">
        <f t="shared" si="8"/>
        <v>0.24143985952589991</v>
      </c>
      <c r="H30" s="167">
        <f t="shared" si="8"/>
        <v>3.7482319660537361E-2</v>
      </c>
      <c r="I30" s="167">
        <f>(I23-H23)/H23</f>
        <v>4.2944785276073698E-2</v>
      </c>
      <c r="J30" s="167">
        <f>(J23-I23)/I23</f>
        <v>0.33598692810457537</v>
      </c>
      <c r="K30" s="167">
        <f t="shared" si="8"/>
        <v>0.46766728960989379</v>
      </c>
      <c r="L30" s="167">
        <f t="shared" si="8"/>
        <v>0.22695290666666665</v>
      </c>
      <c r="M30" s="167">
        <f t="shared" si="8"/>
        <v>0.10757035521319885</v>
      </c>
      <c r="N30" s="167">
        <f t="shared" si="8"/>
        <v>0.30342791300060573</v>
      </c>
      <c r="O30" s="167">
        <f t="shared" si="8"/>
        <v>0.23960166982824499</v>
      </c>
      <c r="P30" s="167">
        <f t="shared" si="8"/>
        <v>5.5103741747039296E-2</v>
      </c>
      <c r="Q30" s="167">
        <f t="shared" si="8"/>
        <v>4.3165467625899283E-2</v>
      </c>
      <c r="R30" s="167">
        <f t="shared" si="8"/>
        <v>4.8275862068965517E-2</v>
      </c>
      <c r="S30" s="167">
        <f t="shared" si="8"/>
        <v>1.9736842105263157E-2</v>
      </c>
      <c r="T30" s="167">
        <f t="shared" si="8"/>
        <v>1.2903225806451613E-2</v>
      </c>
      <c r="V30" s="93" t="s">
        <v>99</v>
      </c>
      <c r="Z30" s="93" t="s">
        <v>100</v>
      </c>
      <c r="AD30" t="s">
        <v>101</v>
      </c>
    </row>
    <row r="31" spans="1:34">
      <c r="A31" s="308"/>
      <c r="B31" s="33">
        <f>B24</f>
        <v>44917</v>
      </c>
      <c r="C31" s="290" t="s">
        <v>16</v>
      </c>
      <c r="D31" s="291"/>
      <c r="E31" s="168">
        <f>(E24-D24)/D24</f>
        <v>0.20049813200498143</v>
      </c>
      <c r="F31" s="168">
        <f t="shared" ref="F31:Q32" si="9">(F24-E24)/E24</f>
        <v>0.18153526970954356</v>
      </c>
      <c r="G31" s="168">
        <f>(G24-F24)/F24</f>
        <v>0.24143985952589991</v>
      </c>
      <c r="H31" s="168">
        <f t="shared" si="8"/>
        <v>3.7482319660537361E-2</v>
      </c>
      <c r="I31" s="168">
        <f>(I24-H24)/H24</f>
        <v>4.2944785276073698E-2</v>
      </c>
      <c r="J31" s="168">
        <f t="shared" si="8"/>
        <v>0.33598692810457537</v>
      </c>
      <c r="K31" s="168">
        <v>0.45837206344236431</v>
      </c>
      <c r="L31" s="168">
        <f>+L24/K24-1</f>
        <v>0.2251723228907323</v>
      </c>
      <c r="M31" s="168">
        <f t="shared" ref="M31:T31" si="10">+M24/L24-1</f>
        <v>0.10028672874464473</v>
      </c>
      <c r="N31" s="168">
        <f t="shared" si="10"/>
        <v>0.3120987654320988</v>
      </c>
      <c r="O31" s="168">
        <f t="shared" si="10"/>
        <v>0.16672939405344378</v>
      </c>
      <c r="P31" s="168">
        <f t="shared" si="10"/>
        <v>6.4516129032258007E-2</v>
      </c>
      <c r="Q31" s="168">
        <f t="shared" si="10"/>
        <v>7.575757575757569E-2</v>
      </c>
      <c r="R31" s="168">
        <f t="shared" si="10"/>
        <v>4.9295774647887258E-2</v>
      </c>
      <c r="S31" s="168">
        <f t="shared" si="10"/>
        <v>4.0268456375838868E-2</v>
      </c>
      <c r="T31" s="168">
        <f t="shared" si="10"/>
        <v>1.290322580645098E-3</v>
      </c>
    </row>
    <row r="32" spans="1:34" ht="15" hidden="1" customHeight="1">
      <c r="A32" s="308"/>
      <c r="B32" s="33">
        <v>41974</v>
      </c>
      <c r="C32" s="290" t="s">
        <v>16</v>
      </c>
      <c r="D32" s="291"/>
      <c r="E32" s="147">
        <f>(E25-D25)/D25</f>
        <v>0.20049813200498143</v>
      </c>
      <c r="F32" s="147">
        <f t="shared" si="9"/>
        <v>0.17634854771784231</v>
      </c>
      <c r="G32" s="147">
        <f t="shared" si="9"/>
        <v>7.5837742504409111E-2</v>
      </c>
      <c r="H32" s="147">
        <f t="shared" si="9"/>
        <v>4.0983606557377046E-2</v>
      </c>
      <c r="I32" s="147">
        <f t="shared" si="9"/>
        <v>3.1496062992125984E-2</v>
      </c>
      <c r="J32" s="147">
        <f t="shared" si="9"/>
        <v>1.5267175572519083E-2</v>
      </c>
      <c r="K32" s="147">
        <f t="shared" si="9"/>
        <v>1.5037593984962405E-2</v>
      </c>
      <c r="L32" s="147">
        <f t="shared" si="9"/>
        <v>-1</v>
      </c>
      <c r="M32" s="147" t="e">
        <f t="shared" si="9"/>
        <v>#DIV/0!</v>
      </c>
      <c r="N32" s="147" t="e">
        <f t="shared" si="9"/>
        <v>#DIV/0!</v>
      </c>
      <c r="O32" s="147" t="e">
        <f t="shared" si="9"/>
        <v>#DIV/0!</v>
      </c>
      <c r="P32" s="147" t="e">
        <f t="shared" si="9"/>
        <v>#DIV/0!</v>
      </c>
      <c r="Q32" s="147" t="e">
        <f t="shared" si="9"/>
        <v>#DIV/0!</v>
      </c>
      <c r="R32" s="147"/>
      <c r="S32" s="147"/>
      <c r="T32" s="147"/>
    </row>
    <row r="33" spans="1:32" ht="15" hidden="1" customHeight="1">
      <c r="A33" s="309"/>
      <c r="B33" s="33">
        <v>41499</v>
      </c>
      <c r="C33" s="292" t="s">
        <v>16</v>
      </c>
      <c r="D33" s="293"/>
      <c r="E33" s="146">
        <f t="shared" ref="E33:J33" si="11">(E27-D27)/D27</f>
        <v>0.12401648557512186</v>
      </c>
      <c r="F33" s="146">
        <f t="shared" si="11"/>
        <v>3.3333333333333333E-2</v>
      </c>
      <c r="G33" s="146">
        <f t="shared" si="11"/>
        <v>4.3010752688172046E-2</v>
      </c>
      <c r="H33" s="146">
        <f t="shared" si="11"/>
        <v>3.0927835051546393E-2</v>
      </c>
      <c r="I33" s="146">
        <f t="shared" si="11"/>
        <v>0.01</v>
      </c>
      <c r="J33" s="146">
        <f t="shared" si="11"/>
        <v>9.9009900990099011E-3</v>
      </c>
      <c r="K33" s="146"/>
      <c r="L33" s="146"/>
      <c r="M33" s="146"/>
      <c r="N33" s="146"/>
      <c r="O33" s="146"/>
      <c r="P33" s="146"/>
      <c r="Q33" s="146"/>
      <c r="R33" s="146"/>
      <c r="S33" s="146"/>
      <c r="T33" s="146"/>
    </row>
    <row r="34" spans="1:32">
      <c r="A34" s="106"/>
      <c r="B34" s="107"/>
      <c r="C34" s="156"/>
      <c r="D34" s="156"/>
      <c r="E34" s="157"/>
      <c r="F34" s="157"/>
      <c r="G34" s="158"/>
      <c r="H34" s="158"/>
      <c r="I34" s="158"/>
      <c r="J34" s="158"/>
      <c r="K34" s="158"/>
      <c r="L34" s="158"/>
      <c r="M34" s="248">
        <v>407.68150000000003</v>
      </c>
      <c r="N34" s="256"/>
      <c r="O34" s="270">
        <v>658.70299999999997</v>
      </c>
      <c r="P34" s="270">
        <v>695</v>
      </c>
      <c r="Q34" s="270">
        <v>725</v>
      </c>
      <c r="R34" s="270">
        <v>760</v>
      </c>
      <c r="S34" s="270">
        <v>775</v>
      </c>
      <c r="T34" s="270">
        <v>785</v>
      </c>
      <c r="U34" s="267" t="s">
        <v>113</v>
      </c>
    </row>
    <row r="35" spans="1:32" ht="6" customHeight="1">
      <c r="A35" s="182"/>
      <c r="B35" s="172"/>
      <c r="C35" s="156"/>
      <c r="D35" s="156"/>
      <c r="E35" s="157"/>
      <c r="F35" s="157"/>
      <c r="G35" s="246"/>
      <c r="H35" s="246"/>
      <c r="I35" s="246"/>
      <c r="J35" s="246"/>
      <c r="K35" s="246"/>
      <c r="L35" s="246"/>
      <c r="M35" s="246"/>
      <c r="N35" s="246"/>
      <c r="O35" s="246"/>
      <c r="P35" s="246"/>
      <c r="Q35" s="246"/>
      <c r="R35" s="246"/>
      <c r="S35" s="246"/>
      <c r="T35" s="246"/>
    </row>
    <row r="36" spans="1:32">
      <c r="A36" s="298" t="s">
        <v>18</v>
      </c>
      <c r="B36" s="300">
        <f>B19</f>
        <v>45139</v>
      </c>
      <c r="C36" s="134" t="s">
        <v>4</v>
      </c>
      <c r="D36" s="135"/>
      <c r="E36" s="135"/>
      <c r="F36" s="135"/>
      <c r="G36" s="135"/>
      <c r="H36" s="135"/>
      <c r="I36" s="135">
        <v>3.24</v>
      </c>
      <c r="J36" s="135"/>
      <c r="K36" s="135"/>
      <c r="L36" s="135">
        <v>1.9</v>
      </c>
      <c r="M36" s="135">
        <v>3.4</v>
      </c>
      <c r="N36" s="135"/>
      <c r="O36" s="135"/>
      <c r="P36" s="135"/>
      <c r="Q36" s="135"/>
      <c r="R36" s="135"/>
      <c r="S36" s="135"/>
      <c r="T36" s="135"/>
      <c r="V36" s="135"/>
      <c r="W36" s="135"/>
      <c r="X36" s="135"/>
      <c r="Z36" s="135"/>
      <c r="AA36" s="135"/>
      <c r="AB36" s="135"/>
      <c r="AD36" s="135"/>
      <c r="AE36" s="135"/>
      <c r="AF36" s="135"/>
    </row>
    <row r="37" spans="1:32" ht="15" customHeight="1">
      <c r="A37" s="299"/>
      <c r="B37" s="301"/>
      <c r="C37" s="136" t="s">
        <v>2</v>
      </c>
      <c r="D37" s="159"/>
      <c r="E37" s="159"/>
      <c r="F37" s="159"/>
      <c r="G37" s="159"/>
      <c r="H37" s="159"/>
      <c r="I37" s="159">
        <v>3.24</v>
      </c>
      <c r="J37" s="159"/>
      <c r="K37" s="210"/>
      <c r="L37" s="210">
        <v>1.9</v>
      </c>
      <c r="M37" s="210">
        <v>3.4</v>
      </c>
      <c r="N37" s="210"/>
      <c r="O37" s="210">
        <v>5.66</v>
      </c>
      <c r="P37" s="210">
        <v>3.89</v>
      </c>
      <c r="Q37" s="210">
        <v>4.05</v>
      </c>
      <c r="R37" s="210">
        <v>4.2699999999999996</v>
      </c>
      <c r="S37" s="210">
        <v>4.3899999999999997</v>
      </c>
      <c r="T37" s="210">
        <v>4.5199999999999996</v>
      </c>
      <c r="V37" s="210"/>
      <c r="W37" s="210"/>
      <c r="X37" s="210"/>
      <c r="Z37" s="210"/>
      <c r="AA37" s="210"/>
      <c r="AB37" s="210"/>
      <c r="AD37" s="210"/>
      <c r="AE37" s="210"/>
      <c r="AF37" s="210"/>
    </row>
    <row r="38" spans="1:32">
      <c r="A38" s="299"/>
      <c r="B38" s="301"/>
      <c r="C38" s="139" t="s">
        <v>0</v>
      </c>
      <c r="D38" s="140"/>
      <c r="E38" s="140"/>
      <c r="F38" s="140"/>
      <c r="G38" s="140"/>
      <c r="H38" s="140"/>
      <c r="I38" s="140">
        <v>3.25</v>
      </c>
      <c r="J38" s="140"/>
      <c r="K38" s="140"/>
      <c r="L38" s="140">
        <v>1.9</v>
      </c>
      <c r="M38" s="140">
        <v>3.4</v>
      </c>
      <c r="N38" s="140"/>
      <c r="O38" s="140">
        <v>5.63</v>
      </c>
      <c r="P38" s="140">
        <v>3.73</v>
      </c>
      <c r="Q38" s="140">
        <v>4.24</v>
      </c>
      <c r="R38" s="140">
        <v>4.33</v>
      </c>
      <c r="S38" s="140">
        <v>4.5</v>
      </c>
      <c r="T38" s="140">
        <v>4.51</v>
      </c>
      <c r="V38" s="140"/>
      <c r="W38" s="140"/>
      <c r="X38" s="140"/>
      <c r="Z38" s="140"/>
      <c r="AA38" s="140"/>
      <c r="AB38" s="140"/>
      <c r="AD38" s="140"/>
      <c r="AE38" s="140"/>
      <c r="AF38" s="140"/>
    </row>
    <row r="39" spans="1:32">
      <c r="A39" s="299"/>
      <c r="B39" s="301"/>
      <c r="C39" s="141" t="s">
        <v>3</v>
      </c>
      <c r="D39" s="142"/>
      <c r="E39" s="142"/>
      <c r="F39" s="142"/>
      <c r="G39" s="142"/>
      <c r="H39" s="142"/>
      <c r="I39" s="142">
        <v>3.22</v>
      </c>
      <c r="J39" s="142"/>
      <c r="K39" s="142"/>
      <c r="L39" s="142">
        <v>1.9</v>
      </c>
      <c r="M39" s="142">
        <v>3.4</v>
      </c>
      <c r="N39" s="142"/>
      <c r="O39" s="142">
        <v>5.64</v>
      </c>
      <c r="P39" s="142">
        <v>3.15</v>
      </c>
      <c r="Q39" s="142">
        <v>3.63</v>
      </c>
      <c r="R39" s="142">
        <v>4</v>
      </c>
      <c r="S39" s="142">
        <v>3.96</v>
      </c>
      <c r="T39" s="142">
        <v>4.2300000000000004</v>
      </c>
      <c r="V39" s="142"/>
      <c r="W39" s="142"/>
      <c r="X39" s="142"/>
      <c r="Z39" s="142"/>
      <c r="AA39" s="142"/>
      <c r="AB39" s="142"/>
      <c r="AD39" s="142"/>
      <c r="AE39" s="142"/>
      <c r="AF39" s="142"/>
    </row>
    <row r="40" spans="1:32">
      <c r="A40" s="299"/>
      <c r="B40" s="302"/>
      <c r="C40" s="143" t="s">
        <v>1</v>
      </c>
      <c r="D40" s="144">
        <v>5.01</v>
      </c>
      <c r="E40" s="144">
        <v>4.38</v>
      </c>
      <c r="F40" s="144">
        <v>5.14</v>
      </c>
      <c r="G40" s="144">
        <v>3.78</v>
      </c>
      <c r="H40" s="144">
        <v>2.42</v>
      </c>
      <c r="I40" s="144">
        <f t="shared" ref="I40" si="12">+AVERAGE(I36:I39)</f>
        <v>3.2375000000000003</v>
      </c>
      <c r="J40" s="144" t="e">
        <f t="shared" ref="J40" si="13">AVERAGE(J36:J39)</f>
        <v>#DIV/0!</v>
      </c>
      <c r="K40" s="216" t="e">
        <f>AVERAGE(K36:K39)</f>
        <v>#DIV/0!</v>
      </c>
      <c r="L40" s="216">
        <f>AVERAGE(L36:L39)</f>
        <v>1.9</v>
      </c>
      <c r="M40" s="216">
        <f>AVERAGE(M36:M39)</f>
        <v>3.4</v>
      </c>
      <c r="N40" s="216">
        <v>7.03</v>
      </c>
      <c r="O40" s="216">
        <f t="shared" ref="O40:S40" si="14">MROUND(AVERAGE(O36:O39),0.05)</f>
        <v>5.65</v>
      </c>
      <c r="P40" s="216">
        <f t="shared" si="14"/>
        <v>3.6</v>
      </c>
      <c r="Q40" s="216">
        <f t="shared" si="14"/>
        <v>3.95</v>
      </c>
      <c r="R40" s="216">
        <f t="shared" si="14"/>
        <v>4.2</v>
      </c>
      <c r="S40" s="216">
        <f t="shared" si="14"/>
        <v>4.3</v>
      </c>
      <c r="T40" s="216">
        <f t="shared" ref="T40" si="15">MROUND(AVERAGE(T36:T39),0.05)</f>
        <v>4.4000000000000004</v>
      </c>
      <c r="V40" s="216"/>
      <c r="W40" s="216"/>
      <c r="X40" s="216"/>
      <c r="Z40" s="216"/>
      <c r="AA40" s="216"/>
      <c r="AB40" s="216"/>
      <c r="AD40" s="216"/>
      <c r="AE40" s="216"/>
      <c r="AF40" s="216"/>
    </row>
    <row r="41" spans="1:32">
      <c r="A41" s="299"/>
      <c r="B41" s="231">
        <f>B7</f>
        <v>44917</v>
      </c>
      <c r="C41" s="133" t="s">
        <v>1</v>
      </c>
      <c r="D41" s="138">
        <f>'Aug18'!D37</f>
        <v>5.01</v>
      </c>
      <c r="E41" s="138">
        <f>'Aug18'!E37</f>
        <v>4.38</v>
      </c>
      <c r="F41" s="138">
        <f>'Aug18'!F37</f>
        <v>5.14</v>
      </c>
      <c r="G41" s="138">
        <f>'Aug18'!G37</f>
        <v>3.78</v>
      </c>
      <c r="H41" s="138">
        <f>'Aug18'!H37</f>
        <v>2.42</v>
      </c>
      <c r="I41" s="138">
        <f>'Dec18'!I37</f>
        <v>3.2375000000000003</v>
      </c>
      <c r="J41" s="138">
        <f>'Dec18'!J37</f>
        <v>3.5142500000000001</v>
      </c>
      <c r="K41" s="138">
        <v>3.08</v>
      </c>
      <c r="L41" s="138">
        <f>'Feb21'!L38</f>
        <v>1.9</v>
      </c>
      <c r="M41" s="138">
        <f>'Aug21'!M38</f>
        <v>3.3149999999999999</v>
      </c>
      <c r="N41" s="138">
        <v>7.03</v>
      </c>
      <c r="O41" s="138">
        <v>7.05</v>
      </c>
      <c r="P41" s="138">
        <v>5.6</v>
      </c>
      <c r="Q41" s="138">
        <v>5.15</v>
      </c>
      <c r="R41" s="138">
        <v>5.05</v>
      </c>
      <c r="S41" s="138">
        <v>4.95</v>
      </c>
      <c r="T41" s="138">
        <v>5.95</v>
      </c>
      <c r="V41" s="93" t="s">
        <v>99</v>
      </c>
      <c r="Z41" s="93" t="s">
        <v>100</v>
      </c>
      <c r="AD41" t="s">
        <v>101</v>
      </c>
    </row>
    <row r="42" spans="1:32">
      <c r="A42" s="65"/>
      <c r="B42" s="65"/>
      <c r="C42" s="65"/>
      <c r="D42" s="76"/>
      <c r="E42" s="76"/>
      <c r="F42" s="76"/>
      <c r="G42" s="130"/>
      <c r="H42" s="130"/>
      <c r="I42" s="130"/>
      <c r="J42" s="130"/>
      <c r="K42" s="130"/>
      <c r="L42" s="130"/>
      <c r="M42" s="244">
        <v>3.42</v>
      </c>
      <c r="N42" s="257"/>
      <c r="O42" s="266">
        <v>5.65</v>
      </c>
      <c r="P42" s="266">
        <v>3.6</v>
      </c>
      <c r="Q42" s="266">
        <v>3.95</v>
      </c>
      <c r="R42" s="266">
        <v>4.2</v>
      </c>
      <c r="S42" s="266">
        <v>4.3</v>
      </c>
      <c r="T42" s="266">
        <v>4.4000000000000004</v>
      </c>
      <c r="U42" s="267" t="s">
        <v>113</v>
      </c>
    </row>
    <row r="43" spans="1:32" ht="8.25" customHeight="1">
      <c r="A43" s="76"/>
      <c r="B43" s="65"/>
      <c r="C43" s="65"/>
      <c r="D43" s="76"/>
      <c r="E43" s="76"/>
      <c r="F43" s="76"/>
      <c r="G43" s="130"/>
      <c r="H43" s="130"/>
      <c r="I43" s="130"/>
      <c r="J43" s="130"/>
      <c r="K43" s="130"/>
      <c r="L43" s="130"/>
      <c r="M43" s="244"/>
      <c r="N43" s="245"/>
      <c r="O43" s="245"/>
      <c r="P43" s="245"/>
      <c r="Q43" s="245"/>
      <c r="R43" s="245"/>
      <c r="S43" s="245"/>
      <c r="T43" s="245"/>
      <c r="U43" t="s">
        <v>105</v>
      </c>
    </row>
    <row r="44" spans="1:32">
      <c r="A44" s="298" t="s">
        <v>19</v>
      </c>
      <c r="B44" s="300">
        <f>B36</f>
        <v>45139</v>
      </c>
      <c r="C44" s="134" t="s">
        <v>4</v>
      </c>
      <c r="D44" s="135"/>
      <c r="E44" s="135"/>
      <c r="F44" s="135"/>
      <c r="G44" s="135"/>
      <c r="H44" s="135"/>
      <c r="I44" s="135"/>
      <c r="J44" s="135"/>
      <c r="K44" s="135"/>
      <c r="L44" s="135"/>
      <c r="M44" s="135"/>
      <c r="N44" s="253"/>
      <c r="O44" s="253"/>
      <c r="P44" s="253"/>
      <c r="Q44" s="253"/>
      <c r="R44" s="253"/>
      <c r="S44" s="253"/>
      <c r="T44" s="253"/>
    </row>
    <row r="45" spans="1:32" ht="15" customHeight="1">
      <c r="A45" s="299"/>
      <c r="B45" s="301"/>
      <c r="C45" s="136" t="s">
        <v>2</v>
      </c>
      <c r="D45" s="160"/>
      <c r="E45" s="161"/>
      <c r="F45" s="161"/>
      <c r="G45" s="161"/>
      <c r="H45" s="161"/>
      <c r="I45" s="161">
        <v>1235.7</v>
      </c>
      <c r="J45" s="161"/>
      <c r="K45" s="161"/>
      <c r="L45" s="161">
        <v>1827.65</v>
      </c>
      <c r="M45" s="161">
        <v>2135</v>
      </c>
      <c r="N45" s="161"/>
      <c r="O45" s="161"/>
      <c r="P45" s="161"/>
      <c r="Q45" s="161"/>
      <c r="R45" s="161"/>
      <c r="S45" s="161"/>
      <c r="T45" s="161"/>
      <c r="V45" s="161"/>
      <c r="W45" s="161"/>
      <c r="X45" s="161"/>
      <c r="Z45" s="161"/>
      <c r="AA45" s="161"/>
      <c r="AB45" s="161"/>
      <c r="AD45" s="161"/>
      <c r="AE45" s="161"/>
      <c r="AF45" s="161"/>
    </row>
    <row r="46" spans="1:32">
      <c r="A46" s="299"/>
      <c r="B46" s="301"/>
      <c r="C46" s="139" t="s">
        <v>0</v>
      </c>
      <c r="D46" s="162"/>
      <c r="E46" s="162"/>
      <c r="F46" s="162"/>
      <c r="G46" s="162"/>
      <c r="H46" s="162"/>
      <c r="I46" s="162"/>
      <c r="J46" s="162"/>
      <c r="K46" s="215"/>
      <c r="L46" s="215">
        <v>1829.34</v>
      </c>
      <c r="M46" s="215"/>
      <c r="N46" s="215"/>
      <c r="O46" s="215">
        <v>3232.5</v>
      </c>
      <c r="P46" s="215">
        <v>3461.32</v>
      </c>
      <c r="Q46" s="215">
        <v>3695.02</v>
      </c>
      <c r="R46" s="215">
        <v>3731.97</v>
      </c>
      <c r="S46" s="215">
        <v>3769.29</v>
      </c>
      <c r="T46" s="215">
        <v>3806.9859999999999</v>
      </c>
      <c r="V46" s="215"/>
      <c r="W46" s="215"/>
      <c r="X46" s="215"/>
      <c r="Z46" s="215"/>
      <c r="AA46" s="215"/>
      <c r="AB46" s="215"/>
      <c r="AD46" s="215"/>
      <c r="AE46" s="215"/>
      <c r="AF46" s="215"/>
    </row>
    <row r="47" spans="1:32">
      <c r="A47" s="299"/>
      <c r="B47" s="301"/>
      <c r="C47" s="141" t="s">
        <v>3</v>
      </c>
      <c r="D47" s="163"/>
      <c r="E47" s="163"/>
      <c r="F47" s="163"/>
      <c r="G47" s="163"/>
      <c r="H47" s="163"/>
      <c r="I47" s="163">
        <v>1235.5999999999999</v>
      </c>
      <c r="J47" s="163"/>
      <c r="K47" s="163"/>
      <c r="L47" s="163">
        <v>1829.3</v>
      </c>
      <c r="M47" s="163">
        <v>2134.9899999999998</v>
      </c>
      <c r="N47" s="163"/>
      <c r="O47" s="163">
        <v>3225.4727039999998</v>
      </c>
      <c r="P47" s="163">
        <v>3356.2530000000002</v>
      </c>
      <c r="Q47" s="163">
        <v>3411.6729999999998</v>
      </c>
      <c r="R47" s="163">
        <v>3430.0630000000001</v>
      </c>
      <c r="S47" s="163">
        <v>3462.5970000000002</v>
      </c>
      <c r="T47" s="163">
        <v>3462.5970000000002</v>
      </c>
      <c r="V47" s="163"/>
      <c r="W47" s="163"/>
      <c r="X47" s="163"/>
      <c r="Z47" s="163"/>
      <c r="AA47" s="163"/>
      <c r="AB47" s="163"/>
      <c r="AD47" s="163"/>
      <c r="AE47" s="163"/>
      <c r="AF47" s="163"/>
    </row>
    <row r="48" spans="1:32">
      <c r="A48" s="299"/>
      <c r="B48" s="302"/>
      <c r="C48" s="143" t="s">
        <v>1</v>
      </c>
      <c r="D48" s="152">
        <v>1227</v>
      </c>
      <c r="E48" s="152">
        <v>1177.5</v>
      </c>
      <c r="F48" s="153">
        <v>1184.7</v>
      </c>
      <c r="G48" s="153">
        <v>1184.8</v>
      </c>
      <c r="H48" s="153">
        <v>1175</v>
      </c>
      <c r="I48" s="153">
        <f>(+AVERAGE(I45:I47))</f>
        <v>1235.6500000000001</v>
      </c>
      <c r="J48" s="206">
        <v>1361</v>
      </c>
      <c r="K48" s="214">
        <v>1562</v>
      </c>
      <c r="L48" s="242">
        <v>1829.192</v>
      </c>
      <c r="M48" s="242">
        <f>MROUND(AVERAGE(M45:M47),5)</f>
        <v>2135</v>
      </c>
      <c r="N48" s="242">
        <v>2595.9250710000001</v>
      </c>
      <c r="O48" s="242">
        <f t="shared" ref="O48" si="16">MROUND(AVERAGE(O44:O47),5)</f>
        <v>3230</v>
      </c>
      <c r="P48" s="242">
        <f>MROUND(AVERAGE(P45:P47),5)</f>
        <v>3410</v>
      </c>
      <c r="Q48" s="242">
        <f t="shared" ref="Q48:S48" si="17">MROUND(AVERAGE(Q45:Q47),5)</f>
        <v>3555</v>
      </c>
      <c r="R48" s="242">
        <f t="shared" si="17"/>
        <v>3580</v>
      </c>
      <c r="S48" s="242">
        <f t="shared" si="17"/>
        <v>3615</v>
      </c>
      <c r="T48" s="242">
        <f t="shared" ref="T48" si="18">MROUND(AVERAGE(T45:T47),5)</f>
        <v>3635</v>
      </c>
      <c r="V48" s="226"/>
      <c r="W48" s="226"/>
      <c r="X48" s="226"/>
      <c r="Z48" s="226"/>
      <c r="AA48" s="226"/>
      <c r="AB48" s="226"/>
      <c r="AD48" s="226"/>
      <c r="AE48" s="226"/>
      <c r="AF48" s="226"/>
    </row>
    <row r="49" spans="1:32">
      <c r="A49" s="299"/>
      <c r="B49" s="273">
        <f>B41</f>
        <v>44917</v>
      </c>
      <c r="C49" s="133" t="s">
        <v>1</v>
      </c>
      <c r="D49" s="160">
        <f>'Aug18'!D52</f>
        <v>1227</v>
      </c>
      <c r="E49" s="160">
        <f>'Aug18'!E52</f>
        <v>1177.5</v>
      </c>
      <c r="F49" s="160">
        <f>'Aug18'!F52</f>
        <v>1184.7</v>
      </c>
      <c r="G49" s="160">
        <f>'Aug18'!G52</f>
        <v>1184.8</v>
      </c>
      <c r="H49" s="160">
        <f>'Aug18'!H52</f>
        <v>1175</v>
      </c>
      <c r="I49" s="160">
        <f>'Dec18'!I52</f>
        <v>1235.6500000000001</v>
      </c>
      <c r="J49" s="160">
        <f>'Dec18'!J52</f>
        <v>1361</v>
      </c>
      <c r="K49" s="160">
        <v>1562.1499999999999</v>
      </c>
      <c r="L49" s="160">
        <f>'Feb21'!L45</f>
        <v>1829.192</v>
      </c>
      <c r="M49" s="160">
        <f>'Feb21'!M45</f>
        <v>1830</v>
      </c>
      <c r="N49" s="160">
        <v>2585.8130000000001</v>
      </c>
      <c r="O49" s="160">
        <v>2875</v>
      </c>
      <c r="P49" s="160">
        <v>3015</v>
      </c>
      <c r="Q49" s="160">
        <v>3120</v>
      </c>
      <c r="R49" s="160">
        <v>3200</v>
      </c>
      <c r="S49" s="160">
        <v>3255</v>
      </c>
      <c r="T49" s="160">
        <v>3256</v>
      </c>
      <c r="V49" s="112">
        <f>V24/2</f>
        <v>-0.5</v>
      </c>
      <c r="W49" s="112" t="e">
        <f>W24/2</f>
        <v>#DIV/0!</v>
      </c>
      <c r="X49" s="112" t="e">
        <f>X24/2</f>
        <v>#DIV/0!</v>
      </c>
      <c r="Z49" s="112">
        <f>Z24/2</f>
        <v>-0.5</v>
      </c>
      <c r="AA49" s="112" t="e">
        <f>AA24/2</f>
        <v>#DIV/0!</v>
      </c>
      <c r="AB49" s="112" t="e">
        <f>AB24/2</f>
        <v>#DIV/0!</v>
      </c>
      <c r="AD49" s="112">
        <f>+AD24/2</f>
        <v>-0.5</v>
      </c>
      <c r="AE49" s="112">
        <f>+O55</f>
        <v>0.24425779314028584</v>
      </c>
      <c r="AF49" s="112">
        <f>+P55</f>
        <v>5.5727554179566541E-2</v>
      </c>
    </row>
    <row r="50" spans="1:32" ht="14.65" hidden="1" customHeight="1">
      <c r="A50" s="299"/>
      <c r="B50" s="272"/>
      <c r="C50" s="133" t="s">
        <v>1</v>
      </c>
      <c r="D50" s="160">
        <v>1227</v>
      </c>
      <c r="E50" s="160">
        <v>1177.5</v>
      </c>
      <c r="F50" s="160">
        <v>1187.3</v>
      </c>
      <c r="G50" s="160">
        <v>1181</v>
      </c>
      <c r="H50" s="160">
        <v>1150</v>
      </c>
      <c r="I50" s="160">
        <v>1118</v>
      </c>
      <c r="J50" s="160">
        <v>1088</v>
      </c>
      <c r="K50" s="160">
        <v>1052</v>
      </c>
      <c r="L50" s="160"/>
      <c r="M50" s="160"/>
      <c r="N50" s="160"/>
      <c r="O50" s="160"/>
      <c r="P50" s="160"/>
      <c r="Q50" s="160"/>
      <c r="R50" s="160"/>
      <c r="S50" s="160"/>
      <c r="T50" s="160"/>
    </row>
    <row r="51" spans="1:32" ht="14.65" hidden="1" customHeight="1">
      <c r="A51" s="299"/>
      <c r="B51" s="272"/>
      <c r="C51" s="133" t="s">
        <v>1</v>
      </c>
      <c r="D51" s="160">
        <v>1227</v>
      </c>
      <c r="E51" s="160">
        <v>1177.5</v>
      </c>
      <c r="F51" s="160">
        <v>1170</v>
      </c>
      <c r="G51" s="160">
        <v>1158.3</v>
      </c>
      <c r="H51" s="160">
        <v>1123.5509999999999</v>
      </c>
      <c r="I51" s="160">
        <v>1089.84447</v>
      </c>
      <c r="J51" s="160">
        <v>1057.1491358999999</v>
      </c>
      <c r="K51" s="160">
        <v>1025.4346618229999</v>
      </c>
      <c r="L51" s="160"/>
      <c r="M51" s="160"/>
      <c r="N51" s="160"/>
      <c r="O51" s="160"/>
      <c r="P51" s="160"/>
      <c r="Q51" s="160"/>
      <c r="R51" s="160"/>
      <c r="S51" s="160"/>
      <c r="T51" s="160"/>
      <c r="U51" t="s">
        <v>104</v>
      </c>
    </row>
    <row r="52" spans="1:32" ht="14.65" hidden="1" customHeight="1">
      <c r="A52" s="299"/>
      <c r="B52" s="272"/>
      <c r="C52" s="133" t="s">
        <v>1</v>
      </c>
      <c r="D52" s="160">
        <v>1225.8499999999999</v>
      </c>
      <c r="E52" s="160">
        <v>1165</v>
      </c>
      <c r="F52" s="160">
        <v>1110</v>
      </c>
      <c r="G52" s="160">
        <v>1070</v>
      </c>
      <c r="H52" s="160">
        <v>1030</v>
      </c>
      <c r="I52" s="160">
        <v>1000</v>
      </c>
      <c r="J52" s="160">
        <v>960</v>
      </c>
      <c r="K52" s="165"/>
      <c r="L52" s="165"/>
      <c r="M52" s="165"/>
      <c r="N52" s="165"/>
      <c r="O52" s="165"/>
      <c r="P52" s="165"/>
      <c r="Q52" s="165"/>
      <c r="R52" s="165"/>
      <c r="S52" s="165"/>
      <c r="T52" s="165"/>
    </row>
    <row r="53" spans="1:32" ht="15" hidden="1" customHeight="1">
      <c r="A53" s="299"/>
      <c r="B53" s="33">
        <v>41317</v>
      </c>
      <c r="C53" s="133" t="s">
        <v>1</v>
      </c>
      <c r="D53" s="165">
        <v>1226</v>
      </c>
      <c r="E53" s="165">
        <v>1185</v>
      </c>
      <c r="F53" s="165">
        <v>1151</v>
      </c>
      <c r="G53" s="165">
        <v>1121</v>
      </c>
      <c r="H53" s="165">
        <v>1090.1407234210708</v>
      </c>
      <c r="I53" s="165">
        <v>1048</v>
      </c>
      <c r="J53" s="165"/>
      <c r="K53" s="165"/>
      <c r="L53" s="165"/>
      <c r="M53" s="165"/>
      <c r="N53" s="165"/>
      <c r="O53" s="165"/>
      <c r="P53" s="165"/>
      <c r="Q53" s="165"/>
      <c r="R53" s="165"/>
      <c r="S53" s="165"/>
      <c r="T53" s="165"/>
    </row>
    <row r="54" spans="1:32" ht="15" hidden="1" customHeight="1">
      <c r="A54" s="299"/>
      <c r="B54" s="33">
        <v>41244</v>
      </c>
      <c r="C54" s="133" t="s">
        <v>1</v>
      </c>
      <c r="D54" s="165">
        <v>1228.5423506666664</v>
      </c>
      <c r="E54" s="165">
        <v>1184.5870287874238</v>
      </c>
      <c r="F54" s="165">
        <v>1151.3778293463738</v>
      </c>
      <c r="G54" s="165">
        <v>1121.0332793283103</v>
      </c>
      <c r="H54" s="165">
        <v>1090.1407234210708</v>
      </c>
      <c r="I54" s="165">
        <v>1048</v>
      </c>
      <c r="J54" s="165">
        <v>1048</v>
      </c>
      <c r="K54" s="165"/>
      <c r="L54" s="165"/>
      <c r="M54" s="165"/>
      <c r="N54" s="165"/>
      <c r="O54" s="165"/>
      <c r="P54" s="165"/>
      <c r="Q54" s="165"/>
      <c r="R54" s="165"/>
      <c r="S54" s="165"/>
      <c r="T54" s="165"/>
    </row>
    <row r="55" spans="1:32">
      <c r="A55" s="299"/>
      <c r="B55" s="33">
        <f>B44</f>
        <v>45139</v>
      </c>
      <c r="C55" s="292" t="s">
        <v>16</v>
      </c>
      <c r="D55" s="293"/>
      <c r="E55" s="167">
        <f t="shared" ref="E55:M57" si="19">(E48-D48)/D48</f>
        <v>-4.0342298288508556E-2</v>
      </c>
      <c r="F55" s="167">
        <f t="shared" si="19"/>
        <v>6.1146496815287013E-3</v>
      </c>
      <c r="G55" s="167">
        <f>(G48-F48)/F48</f>
        <v>8.4409555161567526E-5</v>
      </c>
      <c r="H55" s="167">
        <f t="shared" si="19"/>
        <v>-8.2714382174206239E-3</v>
      </c>
      <c r="I55" s="167">
        <f t="shared" si="19"/>
        <v>5.1617021276595822E-2</v>
      </c>
      <c r="J55" s="167">
        <f t="shared" si="19"/>
        <v>0.10144458382227969</v>
      </c>
      <c r="K55" s="167">
        <f t="shared" si="19"/>
        <v>0.14768552534900808</v>
      </c>
      <c r="L55" s="167">
        <f>+L30/2</f>
        <v>0.11347645333333332</v>
      </c>
      <c r="M55" s="167">
        <f>+M48/L48-1</f>
        <v>0.1671820126044723</v>
      </c>
      <c r="N55" s="167">
        <f t="shared" ref="N55:T55" si="20">+N48/M48-1</f>
        <v>0.21588996299765806</v>
      </c>
      <c r="O55" s="167">
        <f>+O48/N48-1</f>
        <v>0.24425779314028584</v>
      </c>
      <c r="P55" s="167">
        <f t="shared" si="20"/>
        <v>5.5727554179566541E-2</v>
      </c>
      <c r="Q55" s="167">
        <f t="shared" si="20"/>
        <v>4.2521994134897323E-2</v>
      </c>
      <c r="R55" s="167">
        <f t="shared" si="20"/>
        <v>7.0323488045007654E-3</v>
      </c>
      <c r="S55" s="167">
        <f t="shared" si="20"/>
        <v>9.7765363128492488E-3</v>
      </c>
      <c r="T55" s="167">
        <f t="shared" si="20"/>
        <v>5.5325034578146415E-3</v>
      </c>
      <c r="V55" s="93" t="s">
        <v>99</v>
      </c>
      <c r="Z55" s="93" t="s">
        <v>100</v>
      </c>
      <c r="AD55" t="s">
        <v>101</v>
      </c>
    </row>
    <row r="56" spans="1:32" ht="15" hidden="1" customHeight="1">
      <c r="A56" s="299"/>
      <c r="B56" s="33">
        <f>B41</f>
        <v>44917</v>
      </c>
      <c r="C56" s="290" t="s">
        <v>16</v>
      </c>
      <c r="D56" s="291"/>
      <c r="E56" s="168">
        <f>(E49-D49)/D49</f>
        <v>-4.0342298288508556E-2</v>
      </c>
      <c r="F56" s="168">
        <f t="shared" si="19"/>
        <v>6.1146496815287013E-3</v>
      </c>
      <c r="G56" s="168">
        <f>(G49-F49)/F49</f>
        <v>8.4409555161567526E-5</v>
      </c>
      <c r="H56" s="168">
        <f t="shared" si="19"/>
        <v>-8.2714382174206239E-3</v>
      </c>
      <c r="I56" s="168">
        <f t="shared" si="19"/>
        <v>5.1617021276595822E-2</v>
      </c>
      <c r="J56" s="168">
        <f t="shared" si="19"/>
        <v>0.10144458382227969</v>
      </c>
      <c r="K56" s="168">
        <v>0.15723732549595884</v>
      </c>
      <c r="L56" s="168">
        <f>+L49/K49-1</f>
        <v>0.17094517171846513</v>
      </c>
      <c r="M56" s="168">
        <f t="shared" ref="M56:Q56" si="21">+M49/L49-1</f>
        <v>4.41725089547651E-4</v>
      </c>
      <c r="N56" s="168">
        <f t="shared" si="21"/>
        <v>0.41301256830601107</v>
      </c>
      <c r="O56" s="168">
        <f t="shared" si="21"/>
        <v>0.11183600670272753</v>
      </c>
      <c r="P56" s="168">
        <f t="shared" si="21"/>
        <v>4.8695652173913029E-2</v>
      </c>
      <c r="Q56" s="168">
        <f t="shared" si="21"/>
        <v>3.4825870646766122E-2</v>
      </c>
      <c r="R56" s="168"/>
      <c r="S56" s="168"/>
      <c r="T56" s="194"/>
    </row>
    <row r="57" spans="1:32" ht="15" hidden="1" customHeight="1">
      <c r="A57" s="299"/>
      <c r="B57" s="33">
        <v>41974</v>
      </c>
      <c r="C57" s="290" t="s">
        <v>16</v>
      </c>
      <c r="D57" s="291"/>
      <c r="E57" s="147">
        <f>(E50-D50)/D50</f>
        <v>-4.0342298288508556E-2</v>
      </c>
      <c r="F57" s="147">
        <f t="shared" si="19"/>
        <v>8.3227176220806408E-3</v>
      </c>
      <c r="G57" s="147">
        <f t="shared" si="19"/>
        <v>-5.3061568264128316E-3</v>
      </c>
      <c r="H57" s="147">
        <f t="shared" si="19"/>
        <v>-2.6248941574936496E-2</v>
      </c>
      <c r="I57" s="147">
        <f t="shared" si="19"/>
        <v>-2.782608695652174E-2</v>
      </c>
      <c r="J57" s="147">
        <f t="shared" si="19"/>
        <v>-2.6833631484794274E-2</v>
      </c>
      <c r="K57" s="147">
        <f t="shared" si="19"/>
        <v>-3.3088235294117647E-2</v>
      </c>
      <c r="L57" s="147">
        <f t="shared" si="19"/>
        <v>-1</v>
      </c>
      <c r="M57" s="147" t="e">
        <f t="shared" si="19"/>
        <v>#DIV/0!</v>
      </c>
    </row>
    <row r="58" spans="1:32" ht="15" hidden="1" customHeight="1">
      <c r="A58" s="306"/>
      <c r="B58" s="33">
        <v>41499</v>
      </c>
      <c r="C58" s="292" t="s">
        <v>16</v>
      </c>
      <c r="D58" s="293"/>
      <c r="E58" s="146">
        <f t="shared" ref="E58:J58" si="22">(E52-D52)/D52</f>
        <v>-4.9639025981971625E-2</v>
      </c>
      <c r="F58" s="146">
        <f t="shared" si="22"/>
        <v>-4.7210300429184553E-2</v>
      </c>
      <c r="G58" s="146">
        <f t="shared" si="22"/>
        <v>-3.6036036036036036E-2</v>
      </c>
      <c r="H58" s="146">
        <f t="shared" si="22"/>
        <v>-3.7383177570093455E-2</v>
      </c>
      <c r="I58" s="146">
        <f t="shared" si="22"/>
        <v>-2.9126213592233011E-2</v>
      </c>
      <c r="J58" s="146">
        <f t="shared" si="22"/>
        <v>-0.04</v>
      </c>
      <c r="K58" s="146"/>
      <c r="L58" s="146"/>
      <c r="M58" s="146"/>
    </row>
    <row r="59" spans="1:32" hidden="1">
      <c r="A59" s="108"/>
      <c r="B59" s="13"/>
      <c r="F59" s="112"/>
      <c r="G59" s="112"/>
      <c r="H59" s="112"/>
      <c r="I59" s="112"/>
      <c r="J59" s="112"/>
      <c r="K59" s="112"/>
      <c r="L59" s="217"/>
      <c r="M59" s="112"/>
    </row>
    <row r="60" spans="1:32" hidden="1">
      <c r="A60" s="9"/>
      <c r="B60" s="13"/>
      <c r="E60" s="94"/>
      <c r="F60" s="94"/>
      <c r="G60" s="112"/>
      <c r="H60" s="112"/>
      <c r="I60" s="112"/>
      <c r="J60" s="112"/>
      <c r="K60" s="112"/>
      <c r="L60" s="112"/>
      <c r="M60" s="112"/>
      <c r="N60" s="112"/>
      <c r="O60" s="112"/>
      <c r="P60" s="112"/>
      <c r="Q60" s="112"/>
      <c r="R60" s="112"/>
      <c r="S60" s="112"/>
      <c r="T60" s="112"/>
    </row>
    <row r="61" spans="1:32" hidden="1">
      <c r="A61" s="9"/>
      <c r="B61" s="13"/>
      <c r="E61" s="94"/>
      <c r="F61" s="94"/>
      <c r="G61" s="94"/>
      <c r="H61" s="112"/>
      <c r="I61" s="112"/>
      <c r="J61" s="112"/>
      <c r="K61" s="112"/>
      <c r="L61" s="112"/>
      <c r="M61" s="112">
        <f t="shared" ref="M61:Q62" si="23">M46/L46-1</f>
        <v>-1</v>
      </c>
      <c r="N61" s="112" t="e">
        <f t="shared" si="23"/>
        <v>#DIV/0!</v>
      </c>
      <c r="O61" s="112" t="e">
        <f t="shared" si="23"/>
        <v>#DIV/0!</v>
      </c>
      <c r="P61" s="112">
        <f t="shared" si="23"/>
        <v>7.0787316318638771E-2</v>
      </c>
      <c r="Q61" s="112">
        <f t="shared" si="23"/>
        <v>6.751759444373806E-2</v>
      </c>
      <c r="R61" s="112"/>
      <c r="S61" s="112"/>
      <c r="T61" s="112"/>
    </row>
    <row r="62" spans="1:32" hidden="1">
      <c r="A62" s="9"/>
      <c r="B62" s="13"/>
      <c r="L62" s="112"/>
      <c r="M62" s="112">
        <f t="shared" si="23"/>
        <v>0.16710763680096208</v>
      </c>
      <c r="N62" s="112">
        <f t="shared" si="23"/>
        <v>-1</v>
      </c>
      <c r="O62" s="112" t="e">
        <f t="shared" si="23"/>
        <v>#DIV/0!</v>
      </c>
      <c r="P62" s="112">
        <f t="shared" si="23"/>
        <v>4.0546086729494224E-2</v>
      </c>
      <c r="Q62" s="112">
        <f t="shared" si="23"/>
        <v>1.6512461962789882E-2</v>
      </c>
      <c r="R62" s="112"/>
      <c r="S62" s="112"/>
      <c r="T62" s="112"/>
    </row>
    <row r="63" spans="1:32" hidden="1">
      <c r="A63" s="9"/>
      <c r="B63" s="13"/>
      <c r="L63" s="213"/>
      <c r="M63" s="213">
        <f t="shared" ref="M63:Q63" si="24">AVERAGE(M60:M62)</f>
        <v>-0.41644618159951896</v>
      </c>
      <c r="N63" s="213" t="e">
        <f t="shared" si="24"/>
        <v>#DIV/0!</v>
      </c>
      <c r="O63" s="213" t="e">
        <f t="shared" si="24"/>
        <v>#DIV/0!</v>
      </c>
      <c r="P63" s="213">
        <f t="shared" si="24"/>
        <v>5.5666701524066498E-2</v>
      </c>
      <c r="Q63" s="213">
        <f t="shared" si="24"/>
        <v>4.2015028203263971E-2</v>
      </c>
      <c r="R63" s="213"/>
      <c r="S63" s="213"/>
      <c r="T63" s="213"/>
    </row>
    <row r="64" spans="1:32" hidden="1">
      <c r="A64" s="9"/>
      <c r="B64" s="13"/>
    </row>
    <row r="65" spans="1:28">
      <c r="A65" s="9"/>
      <c r="B65" s="13"/>
      <c r="M65" s="131">
        <v>2135</v>
      </c>
      <c r="N65" s="258"/>
      <c r="O65" s="270">
        <v>3230</v>
      </c>
      <c r="P65" s="270">
        <v>3410</v>
      </c>
      <c r="Q65" s="270">
        <v>3555</v>
      </c>
      <c r="R65" s="270">
        <v>3580</v>
      </c>
      <c r="S65" s="270">
        <v>3615</v>
      </c>
      <c r="T65" s="270">
        <v>3635</v>
      </c>
      <c r="U65" s="267" t="s">
        <v>113</v>
      </c>
    </row>
    <row r="66" spans="1:28">
      <c r="A66" s="9"/>
      <c r="B66" s="13"/>
      <c r="Z66" s="249"/>
      <c r="AA66" s="249"/>
      <c r="AB66" s="249"/>
    </row>
    <row r="67" spans="1:28" hidden="1">
      <c r="A67" s="65"/>
      <c r="B67" s="65"/>
      <c r="C67" s="228" t="s">
        <v>4</v>
      </c>
      <c r="D67" s="229"/>
      <c r="E67" s="229"/>
      <c r="F67" s="229"/>
      <c r="G67" s="229"/>
      <c r="H67" s="229"/>
      <c r="I67" s="229"/>
      <c r="J67" s="229"/>
      <c r="K67" s="229"/>
      <c r="L67" s="229"/>
      <c r="M67" s="235"/>
      <c r="N67" s="235"/>
      <c r="O67" s="235"/>
      <c r="P67" s="235"/>
      <c r="Q67" s="235"/>
      <c r="R67" s="235"/>
      <c r="S67" s="235"/>
      <c r="T67" s="261"/>
      <c r="Z67" s="249">
        <v>0.21074723911248028</v>
      </c>
      <c r="AA67" s="249">
        <v>-5.4764120841936936E-2</v>
      </c>
      <c r="AB67" s="249">
        <v>0.1028939934761044</v>
      </c>
    </row>
    <row r="68" spans="1:28" hidden="1">
      <c r="A68" s="281" t="s">
        <v>12</v>
      </c>
      <c r="B68" s="273">
        <f>B44</f>
        <v>45139</v>
      </c>
      <c r="C68" s="136" t="s">
        <v>2</v>
      </c>
      <c r="D68" s="148"/>
      <c r="E68" s="148"/>
      <c r="F68" s="148"/>
      <c r="G68" s="148"/>
      <c r="H68" s="148"/>
      <c r="I68" s="148">
        <v>155.96</v>
      </c>
      <c r="J68" s="148"/>
      <c r="K68" s="148"/>
      <c r="L68" s="148"/>
      <c r="M68" s="168">
        <f>M20/L23-1</f>
        <v>0.10757307197055366</v>
      </c>
      <c r="N68" s="168">
        <v>6.3711911357340778E-2</v>
      </c>
      <c r="O68" s="168">
        <v>4.9479166666666741E-2</v>
      </c>
      <c r="P68" s="168">
        <v>2.977667493796532E-2</v>
      </c>
      <c r="Q68" s="168">
        <v>1.9277108433734869E-2</v>
      </c>
      <c r="R68" s="168">
        <v>1.0000000000000087E-2</v>
      </c>
      <c r="S68" s="168">
        <v>1.0000000000000087E-2</v>
      </c>
      <c r="T68" s="194"/>
      <c r="Z68" s="249">
        <v>0.14324555299414254</v>
      </c>
      <c r="AA68" s="249">
        <v>-6.9870715281392437E-2</v>
      </c>
      <c r="AB68" s="249">
        <v>6.3284135680146569E-2</v>
      </c>
    </row>
    <row r="69" spans="1:28" hidden="1">
      <c r="A69" s="281"/>
      <c r="B69" s="272"/>
      <c r="C69" s="139" t="s">
        <v>0</v>
      </c>
      <c r="D69" s="149"/>
      <c r="E69" s="149"/>
      <c r="F69" s="149"/>
      <c r="G69" s="149"/>
      <c r="H69" s="149"/>
      <c r="I69" s="149"/>
      <c r="J69" s="149"/>
      <c r="K69" s="149"/>
      <c r="L69" s="149"/>
      <c r="M69" s="236">
        <f>M21/L23-1</f>
        <v>0.10756763845584394</v>
      </c>
      <c r="N69" s="236">
        <f t="shared" ref="N69:S70" si="25">N21/M21-1</f>
        <v>-1</v>
      </c>
      <c r="O69" s="236" t="e">
        <f t="shared" si="25"/>
        <v>#DIV/0!</v>
      </c>
      <c r="P69" s="236">
        <f t="shared" si="25"/>
        <v>7.7197510247456913E-2</v>
      </c>
      <c r="Q69" s="236">
        <f t="shared" si="25"/>
        <v>6.3321823691071977E-2</v>
      </c>
      <c r="R69" s="236">
        <f t="shared" si="25"/>
        <v>6.191018979959706E-2</v>
      </c>
      <c r="S69" s="236">
        <f t="shared" si="25"/>
        <v>9.9976285275651389E-3</v>
      </c>
      <c r="T69" s="262"/>
      <c r="Z69" s="184"/>
    </row>
    <row r="70" spans="1:28" hidden="1">
      <c r="A70" s="281"/>
      <c r="B70" s="272"/>
      <c r="C70" s="141" t="s">
        <v>3</v>
      </c>
      <c r="D70" s="151"/>
      <c r="E70" s="151"/>
      <c r="F70" s="151"/>
      <c r="G70" s="151"/>
      <c r="H70" s="151"/>
      <c r="I70" s="151">
        <v>155.9</v>
      </c>
      <c r="J70" s="151"/>
      <c r="K70" s="151"/>
      <c r="L70" s="151"/>
      <c r="M70" s="237">
        <f>M22/L23-1</f>
        <v>0.10757307197055366</v>
      </c>
      <c r="N70" s="237">
        <f t="shared" si="25"/>
        <v>-1</v>
      </c>
      <c r="O70" s="237" t="e">
        <f t="shared" si="25"/>
        <v>#DIV/0!</v>
      </c>
      <c r="P70" s="237">
        <f t="shared" si="25"/>
        <v>5.0060497674976556E-2</v>
      </c>
      <c r="Q70" s="237">
        <f t="shared" si="25"/>
        <v>4.1597390693357328E-2</v>
      </c>
      <c r="R70" s="237">
        <f t="shared" si="25"/>
        <v>3.2649038795197427E-2</v>
      </c>
      <c r="S70" s="237">
        <f t="shared" si="25"/>
        <v>3.0843902727522021E-2</v>
      </c>
      <c r="T70" s="263"/>
      <c r="Z70" s="249">
        <f>Z66/2</f>
        <v>0</v>
      </c>
      <c r="AA70" s="249">
        <f t="shared" ref="AA70:AB70" si="26">AA66/2</f>
        <v>0</v>
      </c>
      <c r="AB70" s="249">
        <f t="shared" si="26"/>
        <v>0</v>
      </c>
    </row>
    <row r="71" spans="1:28" hidden="1">
      <c r="A71" s="281"/>
      <c r="B71" s="272"/>
      <c r="C71" s="143" t="s">
        <v>1</v>
      </c>
      <c r="D71" s="152">
        <v>80.3</v>
      </c>
      <c r="E71" s="152">
        <v>96.4</v>
      </c>
      <c r="F71" s="153">
        <v>113.9</v>
      </c>
      <c r="G71" s="153">
        <v>141.4</v>
      </c>
      <c r="H71" s="153">
        <v>146.69999999999999</v>
      </c>
      <c r="I71" s="153">
        <v>153</v>
      </c>
      <c r="J71" s="206">
        <f>J72</f>
        <v>0</v>
      </c>
      <c r="K71" s="209">
        <v>300</v>
      </c>
      <c r="L71" s="226"/>
      <c r="M71" s="238">
        <f>AVERAGE(M67:M70)</f>
        <v>0.10757126079898376</v>
      </c>
      <c r="N71" s="238">
        <f t="shared" ref="N71:S71" si="27">AVERAGE(N67:N70)</f>
        <v>-0.64542936288088637</v>
      </c>
      <c r="O71" s="238" t="e">
        <f t="shared" si="27"/>
        <v>#DIV/0!</v>
      </c>
      <c r="P71" s="238">
        <f t="shared" si="27"/>
        <v>5.2344894286799594E-2</v>
      </c>
      <c r="Q71" s="238">
        <f t="shared" si="27"/>
        <v>4.1398774272721393E-2</v>
      </c>
      <c r="R71" s="238">
        <f t="shared" si="27"/>
        <v>3.485307619826486E-2</v>
      </c>
      <c r="S71" s="238">
        <f t="shared" si="27"/>
        <v>1.6947177085029082E-2</v>
      </c>
      <c r="T71" s="264"/>
      <c r="Z71" s="249">
        <f t="shared" ref="Z71:AB72" si="28">Z67/2</f>
        <v>0.10537361955624014</v>
      </c>
      <c r="AA71" s="249">
        <f t="shared" si="28"/>
        <v>-2.7382060420968468E-2</v>
      </c>
      <c r="AB71" s="249">
        <f t="shared" si="28"/>
        <v>5.1446996738052198E-2</v>
      </c>
    </row>
    <row r="72" spans="1:28" hidden="1">
      <c r="A72" s="281"/>
      <c r="B72" s="33">
        <f>B49</f>
        <v>44917</v>
      </c>
      <c r="C72" s="133" t="s">
        <v>1</v>
      </c>
      <c r="D72" s="154">
        <f>'Aug18'!D67</f>
        <v>0</v>
      </c>
      <c r="E72" s="154">
        <f>'Aug18'!E67</f>
        <v>0</v>
      </c>
      <c r="F72" s="154">
        <f>'Aug18'!F67</f>
        <v>0</v>
      </c>
      <c r="G72" s="154">
        <f>'Aug18'!G67</f>
        <v>0</v>
      </c>
      <c r="H72" s="154">
        <f>'Aug18'!H67</f>
        <v>0</v>
      </c>
      <c r="I72" s="154">
        <f>'Dec18'!I67</f>
        <v>0</v>
      </c>
      <c r="J72" s="154">
        <f>'Dec18'!J67</f>
        <v>0</v>
      </c>
      <c r="K72" s="154">
        <v>300.43599999999998</v>
      </c>
      <c r="L72" s="154"/>
      <c r="M72" s="239">
        <f>'Feb21'!M68</f>
        <v>2.4253746238142321E-2</v>
      </c>
      <c r="N72" s="239">
        <f>'Feb21'!N68</f>
        <v>7.0380244973168677E-3</v>
      </c>
      <c r="O72" s="239">
        <f>'Feb21'!O68</f>
        <v>2.7503791128108041E-2</v>
      </c>
      <c r="P72" s="239">
        <f>'Feb21'!P68</f>
        <v>1.5887735688497589E-2</v>
      </c>
      <c r="Q72" s="239">
        <f>'Feb21'!Q68</f>
        <v>1.3364548356393557E-2</v>
      </c>
      <c r="R72" s="239"/>
      <c r="S72" s="239"/>
      <c r="T72" s="265"/>
      <c r="Z72" s="249">
        <f t="shared" si="28"/>
        <v>7.1622776497071272E-2</v>
      </c>
      <c r="AA72" s="249">
        <f t="shared" si="28"/>
        <v>-3.4935357640696219E-2</v>
      </c>
      <c r="AB72" s="249">
        <f t="shared" si="28"/>
        <v>3.1642067840073285E-2</v>
      </c>
    </row>
    <row r="73" spans="1:28" hidden="1">
      <c r="M73">
        <v>0.10757126079898376</v>
      </c>
      <c r="N73">
        <v>0.2494632787508102</v>
      </c>
      <c r="O73">
        <v>9.3376238657061128E-2</v>
      </c>
      <c r="P73">
        <v>-5.4029522253356221E-2</v>
      </c>
      <c r="Q73">
        <v>5.0043656638575795E-2</v>
      </c>
      <c r="R73">
        <v>3.9248232960740086E-2</v>
      </c>
      <c r="S73">
        <v>1.03924823296074</v>
      </c>
    </row>
    <row r="74" spans="1:28" hidden="1"/>
    <row r="75" spans="1:28" hidden="1"/>
    <row r="79" spans="1:28">
      <c r="A79" t="s">
        <v>109</v>
      </c>
      <c r="B79" t="s">
        <v>110</v>
      </c>
      <c r="O79">
        <f>O6*O23</f>
        <v>53025.591499999995</v>
      </c>
      <c r="P79">
        <f t="shared" ref="P79:S80" si="29">P6*P23</f>
        <v>51777.5</v>
      </c>
      <c r="Q79">
        <f t="shared" si="29"/>
        <v>52925</v>
      </c>
      <c r="R79">
        <f t="shared" si="29"/>
        <v>53960</v>
      </c>
      <c r="S79">
        <f t="shared" si="29"/>
        <v>54250</v>
      </c>
    </row>
    <row r="80" spans="1:28">
      <c r="B80" s="259">
        <f>B49</f>
        <v>44917</v>
      </c>
      <c r="O80">
        <f>O7*O24</f>
        <v>52700</v>
      </c>
      <c r="P80">
        <f t="shared" si="29"/>
        <v>50490</v>
      </c>
      <c r="Q80">
        <f t="shared" si="29"/>
        <v>51475</v>
      </c>
      <c r="R80">
        <f t="shared" si="29"/>
        <v>52522.5</v>
      </c>
      <c r="S80">
        <f t="shared" si="29"/>
        <v>53475</v>
      </c>
    </row>
    <row r="83" spans="2:20">
      <c r="B83" t="s">
        <v>111</v>
      </c>
      <c r="O83">
        <f>O48*O40</f>
        <v>18249.5</v>
      </c>
      <c r="P83">
        <f t="shared" ref="P83:S84" si="30">P48*P40</f>
        <v>12276</v>
      </c>
      <c r="Q83">
        <f t="shared" si="30"/>
        <v>14042.25</v>
      </c>
      <c r="R83">
        <f t="shared" si="30"/>
        <v>15036</v>
      </c>
      <c r="S83" s="260">
        <f t="shared" si="30"/>
        <v>15544.5</v>
      </c>
      <c r="T83" s="260"/>
    </row>
    <row r="84" spans="2:20">
      <c r="B84" s="259">
        <f>B80</f>
        <v>44917</v>
      </c>
      <c r="O84" s="260">
        <f>O49*O41</f>
        <v>20268.75</v>
      </c>
      <c r="P84" s="260">
        <f t="shared" si="30"/>
        <v>16884</v>
      </c>
      <c r="Q84" s="260">
        <f t="shared" si="30"/>
        <v>16068.000000000002</v>
      </c>
      <c r="R84" s="260">
        <f t="shared" si="30"/>
        <v>16160</v>
      </c>
      <c r="S84" s="260">
        <f t="shared" si="30"/>
        <v>16112.25</v>
      </c>
      <c r="T84" s="260"/>
    </row>
  </sheetData>
  <mergeCells count="25">
    <mergeCell ref="A2:A16"/>
    <mergeCell ref="B2:B6"/>
    <mergeCell ref="B7:B11"/>
    <mergeCell ref="C13:D13"/>
    <mergeCell ref="C14:D14"/>
    <mergeCell ref="C15:D15"/>
    <mergeCell ref="C16:D16"/>
    <mergeCell ref="C55:D55"/>
    <mergeCell ref="C56:D56"/>
    <mergeCell ref="C57:D57"/>
    <mergeCell ref="C58:D58"/>
    <mergeCell ref="A19:A33"/>
    <mergeCell ref="B19:B23"/>
    <mergeCell ref="B24:B27"/>
    <mergeCell ref="C30:D30"/>
    <mergeCell ref="C31:D31"/>
    <mergeCell ref="C32:D32"/>
    <mergeCell ref="C33:D33"/>
    <mergeCell ref="A68:A72"/>
    <mergeCell ref="B68:B71"/>
    <mergeCell ref="A36:A41"/>
    <mergeCell ref="B36:B40"/>
    <mergeCell ref="A44:A58"/>
    <mergeCell ref="B44:B48"/>
    <mergeCell ref="B49:B52"/>
  </mergeCells>
  <phoneticPr fontId="44" type="noConversion"/>
  <pageMargins left="0.7" right="0.7" top="0.75" bottom="0.75" header="0.3" footer="0.3"/>
  <legacy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C1615-F8F4-4CE6-9BBB-089D5ABC3892}">
  <dimension ref="H11:L16"/>
  <sheetViews>
    <sheetView topLeftCell="A4" workbookViewId="0">
      <selection activeCell="L11" sqref="L11:L16"/>
    </sheetView>
  </sheetViews>
  <sheetFormatPr defaultRowHeight="15"/>
  <sheetData>
    <row r="11" spans="8:12">
      <c r="H11">
        <v>81.34</v>
      </c>
      <c r="K11" s="94">
        <v>657000</v>
      </c>
      <c r="L11">
        <f>K11/1000</f>
        <v>657</v>
      </c>
    </row>
    <row r="12" spans="8:12">
      <c r="H12">
        <v>73.81</v>
      </c>
      <c r="K12" s="94">
        <v>683000</v>
      </c>
      <c r="L12">
        <f t="shared" ref="L12:L16" si="0">K12/1000</f>
        <v>683</v>
      </c>
    </row>
    <row r="13" spans="8:12">
      <c r="H13">
        <v>73.72</v>
      </c>
      <c r="K13" s="94">
        <v>704000</v>
      </c>
      <c r="L13">
        <f t="shared" si="0"/>
        <v>704</v>
      </c>
    </row>
    <row r="14" spans="8:12">
      <c r="H14">
        <v>73.53</v>
      </c>
      <c r="K14" s="94">
        <v>731000</v>
      </c>
      <c r="L14">
        <f t="shared" si="0"/>
        <v>731</v>
      </c>
    </row>
    <row r="15" spans="8:12">
      <c r="H15">
        <v>73.2</v>
      </c>
      <c r="K15" s="94">
        <v>749000</v>
      </c>
      <c r="L15">
        <f t="shared" si="0"/>
        <v>749</v>
      </c>
    </row>
    <row r="16" spans="8:12">
      <c r="H16">
        <v>72.98</v>
      </c>
      <c r="K16" s="94">
        <v>761000</v>
      </c>
      <c r="L16">
        <f t="shared" si="0"/>
        <v>761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45"/>
  <sheetViews>
    <sheetView topLeftCell="B1" workbookViewId="0">
      <pane xSplit="2" ySplit="2" topLeftCell="D3" activePane="bottomRight" state="frozen"/>
      <selection pane="topRight"/>
      <selection pane="bottomLeft"/>
      <selection pane="bottomRight"/>
    </sheetView>
  </sheetViews>
  <sheetFormatPr defaultColWidth="9.28515625" defaultRowHeight="15"/>
  <cols>
    <col min="1" max="2" width="9.5703125" style="9" customWidth="1"/>
    <col min="3" max="3" width="11" style="13" bestFit="1" customWidth="1"/>
    <col min="4" max="4" width="7.5703125" customWidth="1"/>
    <col min="5" max="5" width="7.42578125" bestFit="1" customWidth="1"/>
    <col min="6" max="6" width="8.28515625" bestFit="1" customWidth="1"/>
    <col min="7" max="11" width="9" customWidth="1"/>
  </cols>
  <sheetData>
    <row r="1" spans="2:12">
      <c r="B1" t="s">
        <v>22</v>
      </c>
      <c r="C1" s="89">
        <v>41593</v>
      </c>
    </row>
    <row r="2" spans="2:12" ht="30.75" customHeight="1">
      <c r="B2" s="8"/>
      <c r="C2" s="11"/>
      <c r="D2" s="1"/>
      <c r="E2" s="2" t="s">
        <v>17</v>
      </c>
      <c r="F2" s="2" t="s">
        <v>23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21</v>
      </c>
    </row>
    <row r="3" spans="2:12" ht="15" customHeight="1">
      <c r="B3" s="278" t="s">
        <v>10</v>
      </c>
      <c r="C3" s="273">
        <v>41609</v>
      </c>
      <c r="D3" s="7" t="s">
        <v>4</v>
      </c>
      <c r="E3" s="17"/>
      <c r="F3" s="17"/>
      <c r="G3" s="17"/>
      <c r="H3" s="17"/>
      <c r="I3" s="17"/>
      <c r="J3" s="17"/>
      <c r="K3" s="17"/>
    </row>
    <row r="4" spans="2:12" ht="15" customHeight="1">
      <c r="B4" s="279"/>
      <c r="C4" s="272"/>
      <c r="D4" s="1" t="s">
        <v>2</v>
      </c>
      <c r="E4" s="29">
        <v>89.65</v>
      </c>
      <c r="F4" s="14">
        <v>85.82</v>
      </c>
      <c r="G4" s="14">
        <v>93.94</v>
      </c>
      <c r="H4" s="14">
        <v>86.88</v>
      </c>
      <c r="I4" s="14">
        <v>85.68</v>
      </c>
      <c r="J4" s="14">
        <v>84.13</v>
      </c>
      <c r="K4" s="14">
        <v>85.2</v>
      </c>
    </row>
    <row r="5" spans="2:12">
      <c r="B5" s="279"/>
      <c r="C5" s="272"/>
      <c r="D5" s="3" t="s">
        <v>0</v>
      </c>
      <c r="E5" s="15"/>
      <c r="F5" s="15">
        <v>85.97</v>
      </c>
      <c r="G5" s="15">
        <f>94.45-0.2</f>
        <v>94.25</v>
      </c>
      <c r="H5" s="15">
        <v>89.92</v>
      </c>
      <c r="I5" s="15">
        <v>87.87</v>
      </c>
      <c r="J5" s="15">
        <v>86.65</v>
      </c>
      <c r="K5" s="15">
        <v>86.33</v>
      </c>
    </row>
    <row r="6" spans="2:12">
      <c r="B6" s="279"/>
      <c r="C6" s="272"/>
      <c r="D6" s="4" t="s">
        <v>3</v>
      </c>
      <c r="E6" s="16"/>
      <c r="F6" s="16">
        <v>85.82</v>
      </c>
      <c r="G6" s="16">
        <v>96.36</v>
      </c>
      <c r="H6" s="16">
        <v>88.08</v>
      </c>
      <c r="I6" s="16">
        <v>84.52</v>
      </c>
      <c r="J6" s="16">
        <v>83.82</v>
      </c>
      <c r="K6" s="16">
        <v>84.75</v>
      </c>
    </row>
    <row r="7" spans="2:12">
      <c r="B7" s="279"/>
      <c r="C7" s="272"/>
      <c r="D7" s="5" t="s">
        <v>1</v>
      </c>
      <c r="E7" s="18">
        <v>89.65</v>
      </c>
      <c r="F7" s="18">
        <v>85.82</v>
      </c>
      <c r="G7" s="18">
        <v>93</v>
      </c>
      <c r="H7" s="18">
        <v>86.5</v>
      </c>
      <c r="I7" s="18">
        <v>84.5</v>
      </c>
      <c r="J7" s="18">
        <v>83.5</v>
      </c>
      <c r="K7" s="18">
        <v>83.5</v>
      </c>
    </row>
    <row r="8" spans="2:12">
      <c r="B8" s="279"/>
      <c r="C8" s="33">
        <v>41499</v>
      </c>
      <c r="D8" s="60" t="s">
        <v>1</v>
      </c>
      <c r="E8" s="71">
        <v>90</v>
      </c>
      <c r="F8" s="71">
        <v>87</v>
      </c>
      <c r="G8" s="71">
        <v>94</v>
      </c>
      <c r="H8" s="71">
        <v>87.5</v>
      </c>
      <c r="I8" s="71">
        <v>85</v>
      </c>
      <c r="J8" s="71">
        <v>84</v>
      </c>
      <c r="K8" s="71">
        <v>84</v>
      </c>
    </row>
    <row r="9" spans="2:12">
      <c r="B9" s="279"/>
      <c r="C9" s="33">
        <v>41306</v>
      </c>
      <c r="D9" s="60" t="s">
        <v>1</v>
      </c>
      <c r="E9" s="61">
        <v>90</v>
      </c>
      <c r="F9" s="61">
        <v>86.5</v>
      </c>
      <c r="G9" s="61">
        <v>88</v>
      </c>
      <c r="H9" s="61">
        <v>87.5</v>
      </c>
      <c r="I9" s="61">
        <v>87</v>
      </c>
      <c r="J9" s="61">
        <v>86.5</v>
      </c>
      <c r="K9" s="61"/>
    </row>
    <row r="10" spans="2:12">
      <c r="B10" s="279"/>
      <c r="C10" s="33">
        <v>41244</v>
      </c>
      <c r="D10" s="60" t="s">
        <v>1</v>
      </c>
      <c r="E10" s="61">
        <v>89.640506965377526</v>
      </c>
      <c r="F10" s="61">
        <v>85</v>
      </c>
      <c r="G10" s="61">
        <v>84.75</v>
      </c>
      <c r="H10" s="61">
        <v>83.5</v>
      </c>
      <c r="I10" s="61">
        <v>82.5</v>
      </c>
      <c r="J10" s="61">
        <v>83</v>
      </c>
      <c r="K10" s="61">
        <v>83</v>
      </c>
    </row>
    <row r="11" spans="2:12">
      <c r="B11" s="279"/>
      <c r="C11" s="40">
        <v>41621</v>
      </c>
      <c r="D11" s="276" t="s">
        <v>16</v>
      </c>
      <c r="E11" s="277"/>
      <c r="F11" s="30">
        <f t="shared" ref="F11:K12" si="0">(F7-E7)/E7</f>
        <v>-4.2721695482431814E-2</v>
      </c>
      <c r="G11" s="30">
        <f t="shared" si="0"/>
        <v>8.3663481705896145E-2</v>
      </c>
      <c r="H11" s="30">
        <f t="shared" si="0"/>
        <v>-6.9892473118279563E-2</v>
      </c>
      <c r="I11" s="30">
        <f t="shared" si="0"/>
        <v>-2.3121387283236993E-2</v>
      </c>
      <c r="J11" s="30">
        <f t="shared" si="0"/>
        <v>-1.1834319526627219E-2</v>
      </c>
      <c r="K11" s="30">
        <f t="shared" si="0"/>
        <v>0</v>
      </c>
    </row>
    <row r="12" spans="2:12">
      <c r="B12" s="280"/>
      <c r="C12" s="33">
        <v>41499</v>
      </c>
      <c r="D12" s="276" t="s">
        <v>16</v>
      </c>
      <c r="E12" s="277"/>
      <c r="F12" s="30">
        <f t="shared" si="0"/>
        <v>-3.3333333333333333E-2</v>
      </c>
      <c r="G12" s="30">
        <f t="shared" si="0"/>
        <v>8.0459770114942528E-2</v>
      </c>
      <c r="H12" s="30">
        <f t="shared" si="0"/>
        <v>-6.9148936170212769E-2</v>
      </c>
      <c r="I12" s="30">
        <f t="shared" si="0"/>
        <v>-2.8571428571428571E-2</v>
      </c>
      <c r="J12" s="30">
        <f t="shared" si="0"/>
        <v>-1.1764705882352941E-2</v>
      </c>
      <c r="K12" s="30">
        <f t="shared" si="0"/>
        <v>0</v>
      </c>
    </row>
    <row r="13" spans="2:12">
      <c r="B13" s="65"/>
      <c r="C13" s="65"/>
      <c r="D13" s="65"/>
      <c r="E13" s="65"/>
      <c r="F13" s="65"/>
      <c r="G13" s="65"/>
      <c r="H13" s="65"/>
      <c r="I13" s="65"/>
      <c r="J13" s="65"/>
      <c r="K13" s="74"/>
    </row>
    <row r="14" spans="2:12" ht="15" customHeight="1">
      <c r="B14" s="278" t="s">
        <v>12</v>
      </c>
      <c r="C14" s="273">
        <v>41609</v>
      </c>
      <c r="D14" s="1" t="s">
        <v>2</v>
      </c>
      <c r="E14" s="90">
        <v>80.3</v>
      </c>
      <c r="F14" s="91">
        <v>93.8</v>
      </c>
      <c r="G14" s="91">
        <v>100</v>
      </c>
      <c r="H14" s="91">
        <v>105.3</v>
      </c>
      <c r="I14" s="91">
        <v>110.5</v>
      </c>
      <c r="J14" s="92">
        <v>115.2</v>
      </c>
      <c r="K14" s="91">
        <v>119.7</v>
      </c>
      <c r="L14" s="73"/>
    </row>
    <row r="15" spans="2:12">
      <c r="B15" s="279"/>
      <c r="C15" s="272"/>
      <c r="D15" s="3" t="s">
        <v>0</v>
      </c>
      <c r="E15" s="20"/>
      <c r="F15" s="20">
        <v>94.2</v>
      </c>
      <c r="G15" s="20">
        <v>97.4</v>
      </c>
      <c r="H15" s="20">
        <v>104</v>
      </c>
      <c r="I15" s="20">
        <v>110.5</v>
      </c>
      <c r="J15" s="20">
        <v>116.4</v>
      </c>
      <c r="K15" s="75">
        <v>123.2</v>
      </c>
      <c r="L15" s="73"/>
    </row>
    <row r="16" spans="2:12">
      <c r="B16" s="279"/>
      <c r="C16" s="272"/>
      <c r="D16" s="4" t="s">
        <v>3</v>
      </c>
      <c r="E16" s="21"/>
      <c r="F16" s="21">
        <v>93.7</v>
      </c>
      <c r="G16" s="21">
        <v>100.9</v>
      </c>
      <c r="H16" s="21">
        <v>107.8</v>
      </c>
      <c r="I16" s="21">
        <v>114.6</v>
      </c>
      <c r="J16" s="21">
        <v>121.6</v>
      </c>
      <c r="K16" s="21">
        <v>128.9</v>
      </c>
      <c r="L16" s="73"/>
    </row>
    <row r="17" spans="2:13">
      <c r="B17" s="279"/>
      <c r="C17" s="272"/>
      <c r="D17" s="5" t="s">
        <v>1</v>
      </c>
      <c r="E17" s="22">
        <f>E14</f>
        <v>80.3</v>
      </c>
      <c r="F17" s="22">
        <v>94.2</v>
      </c>
      <c r="G17" s="22">
        <v>99</v>
      </c>
      <c r="H17" s="22">
        <v>103</v>
      </c>
      <c r="I17" s="22">
        <v>106</v>
      </c>
      <c r="J17" s="22">
        <v>108</v>
      </c>
      <c r="K17" s="22">
        <v>109</v>
      </c>
    </row>
    <row r="18" spans="2:13">
      <c r="B18" s="279"/>
      <c r="C18" s="33">
        <v>41499</v>
      </c>
      <c r="D18" s="60" t="s">
        <v>1</v>
      </c>
      <c r="E18" s="88">
        <v>80.069999999999993</v>
      </c>
      <c r="F18" s="88">
        <v>90</v>
      </c>
      <c r="G18" s="88">
        <v>93</v>
      </c>
      <c r="H18" s="88">
        <v>97</v>
      </c>
      <c r="I18" s="88">
        <v>100</v>
      </c>
      <c r="J18" s="88">
        <v>101</v>
      </c>
      <c r="K18" s="88">
        <v>102</v>
      </c>
    </row>
    <row r="19" spans="2:13">
      <c r="B19" s="279"/>
      <c r="C19" s="33">
        <v>41317</v>
      </c>
      <c r="D19" s="60" t="s">
        <v>1</v>
      </c>
      <c r="E19" s="62">
        <v>80.099999999999994</v>
      </c>
      <c r="F19" s="62">
        <v>87</v>
      </c>
      <c r="G19" s="62">
        <v>91.4</v>
      </c>
      <c r="H19" s="62">
        <v>94.1</v>
      </c>
      <c r="I19" s="62">
        <v>96</v>
      </c>
      <c r="J19" s="62">
        <v>97.9</v>
      </c>
      <c r="K19" s="62"/>
    </row>
    <row r="20" spans="2:13" s="37" customFormat="1">
      <c r="B20" s="279"/>
      <c r="C20" s="33">
        <v>41244</v>
      </c>
      <c r="D20" s="60" t="s">
        <v>1</v>
      </c>
      <c r="E20" s="62">
        <v>79.7</v>
      </c>
      <c r="F20" s="62">
        <v>84.119744824999998</v>
      </c>
      <c r="G20" s="62">
        <v>88.406534618000009</v>
      </c>
      <c r="H20" s="62">
        <v>92.434230656539995</v>
      </c>
      <c r="I20" s="62">
        <v>96.132415269670815</v>
      </c>
      <c r="J20" s="62">
        <v>97.6</v>
      </c>
      <c r="K20" s="62">
        <v>97.6</v>
      </c>
    </row>
    <row r="21" spans="2:13">
      <c r="B21" s="279"/>
      <c r="C21" s="40">
        <v>41621</v>
      </c>
      <c r="D21" s="276" t="s">
        <v>16</v>
      </c>
      <c r="E21" s="277"/>
      <c r="F21" s="30">
        <f t="shared" ref="F21:K21" si="1">(F17-E17)/E17</f>
        <v>0.1731008717310088</v>
      </c>
      <c r="G21" s="30">
        <f t="shared" si="1"/>
        <v>5.0955414012738821E-2</v>
      </c>
      <c r="H21" s="30">
        <f t="shared" si="1"/>
        <v>4.0404040404040407E-2</v>
      </c>
      <c r="I21" s="30">
        <f t="shared" si="1"/>
        <v>2.9126213592233011E-2</v>
      </c>
      <c r="J21" s="30">
        <f t="shared" si="1"/>
        <v>1.8867924528301886E-2</v>
      </c>
      <c r="K21" s="30">
        <f t="shared" si="1"/>
        <v>9.2592592592592587E-3</v>
      </c>
    </row>
    <row r="22" spans="2:13">
      <c r="B22" s="280"/>
      <c r="C22" s="33">
        <v>41499</v>
      </c>
      <c r="D22" s="276" t="s">
        <v>16</v>
      </c>
      <c r="E22" s="277"/>
      <c r="F22" s="30">
        <f t="shared" ref="F22:K22" si="2">(F18-E18)/E18</f>
        <v>0.12401648557512186</v>
      </c>
      <c r="G22" s="30">
        <f t="shared" si="2"/>
        <v>3.3333333333333333E-2</v>
      </c>
      <c r="H22" s="30">
        <f t="shared" si="2"/>
        <v>4.3010752688172046E-2</v>
      </c>
      <c r="I22" s="30">
        <f t="shared" si="2"/>
        <v>3.0927835051546393E-2</v>
      </c>
      <c r="J22" s="30">
        <f t="shared" si="2"/>
        <v>0.01</v>
      </c>
      <c r="K22" s="30">
        <f t="shared" si="2"/>
        <v>9.9009900990099011E-3</v>
      </c>
    </row>
    <row r="23" spans="2:13">
      <c r="C23" s="66"/>
      <c r="D23" s="67"/>
      <c r="E23" s="67"/>
      <c r="F23" s="68"/>
      <c r="G23" s="68"/>
      <c r="H23" s="68"/>
      <c r="I23" s="68"/>
      <c r="J23" s="68"/>
      <c r="K23" s="68"/>
    </row>
    <row r="24" spans="2:13" ht="15" customHeight="1">
      <c r="B24" s="278" t="s">
        <v>18</v>
      </c>
      <c r="C24" s="273">
        <v>41609</v>
      </c>
      <c r="D24" s="1" t="s">
        <v>2</v>
      </c>
      <c r="E24" s="69">
        <v>5.01</v>
      </c>
      <c r="F24" s="69">
        <v>4.37</v>
      </c>
      <c r="G24" s="69">
        <v>5.0199999999999996</v>
      </c>
      <c r="H24" s="69">
        <v>5.18</v>
      </c>
      <c r="I24" s="69">
        <v>5.18</v>
      </c>
      <c r="J24" s="69">
        <v>5.2</v>
      </c>
      <c r="K24" s="70">
        <v>5.25</v>
      </c>
    </row>
    <row r="25" spans="2:13">
      <c r="B25" s="279"/>
      <c r="C25" s="272"/>
      <c r="D25" s="3" t="s">
        <v>0</v>
      </c>
      <c r="E25" s="15"/>
      <c r="F25" s="15">
        <v>4.37</v>
      </c>
      <c r="G25" s="15">
        <v>4.72</v>
      </c>
      <c r="H25" s="15">
        <v>5.04</v>
      </c>
      <c r="I25" s="15">
        <v>5.17</v>
      </c>
      <c r="J25" s="15">
        <v>5.58</v>
      </c>
      <c r="K25" s="15">
        <v>5.75</v>
      </c>
    </row>
    <row r="26" spans="2:13">
      <c r="B26" s="279"/>
      <c r="C26" s="272"/>
      <c r="D26" s="4" t="s">
        <v>3</v>
      </c>
      <c r="E26" s="16"/>
      <c r="F26" s="16">
        <v>4.37</v>
      </c>
      <c r="G26" s="16">
        <v>4.82</v>
      </c>
      <c r="H26" s="16">
        <v>5</v>
      </c>
      <c r="I26" s="16">
        <f>5.34-0.15</f>
        <v>5.1899999999999995</v>
      </c>
      <c r="J26" s="16">
        <v>5.24</v>
      </c>
      <c r="K26" s="16">
        <v>5.1100000000000003</v>
      </c>
    </row>
    <row r="27" spans="2:13">
      <c r="B27" s="279"/>
      <c r="C27" s="272"/>
      <c r="D27" s="5" t="s">
        <v>1</v>
      </c>
      <c r="E27" s="18">
        <f>E24</f>
        <v>5.01</v>
      </c>
      <c r="F27" s="18">
        <v>4.4000000000000004</v>
      </c>
      <c r="G27" s="18">
        <v>4.8499999999999996</v>
      </c>
      <c r="H27" s="18">
        <v>5.0999999999999996</v>
      </c>
      <c r="I27" s="18">
        <v>5.2</v>
      </c>
      <c r="J27" s="18">
        <v>5.3</v>
      </c>
      <c r="K27" s="18">
        <v>5.35</v>
      </c>
      <c r="L27" s="93"/>
      <c r="M27" s="93"/>
    </row>
    <row r="28" spans="2:13">
      <c r="B28" s="279"/>
      <c r="C28" s="33">
        <v>41499</v>
      </c>
      <c r="D28" s="60" t="s">
        <v>1</v>
      </c>
      <c r="E28" s="71">
        <v>5</v>
      </c>
      <c r="F28" s="71">
        <v>4.5</v>
      </c>
      <c r="G28" s="71">
        <v>5</v>
      </c>
      <c r="H28" s="71">
        <v>5.4</v>
      </c>
      <c r="I28" s="71">
        <v>5.5</v>
      </c>
      <c r="J28" s="71">
        <v>5.5</v>
      </c>
      <c r="K28" s="71">
        <v>5.5</v>
      </c>
    </row>
    <row r="29" spans="2:13">
      <c r="B29" s="279"/>
      <c r="C29" s="40">
        <v>41317</v>
      </c>
      <c r="D29" s="60" t="s">
        <v>1</v>
      </c>
      <c r="E29" s="61">
        <v>5</v>
      </c>
      <c r="F29" s="61">
        <v>4.5</v>
      </c>
      <c r="G29" s="61">
        <v>5.0999999999999996</v>
      </c>
      <c r="H29" s="61">
        <v>5.25</v>
      </c>
      <c r="I29" s="61">
        <v>5.5</v>
      </c>
      <c r="J29" s="61">
        <v>5.5</v>
      </c>
      <c r="K29" s="61"/>
    </row>
    <row r="30" spans="2:13">
      <c r="B30" s="279"/>
      <c r="C30" s="40">
        <v>41244</v>
      </c>
      <c r="D30" s="60" t="s">
        <v>1</v>
      </c>
      <c r="E30" s="61">
        <v>5</v>
      </c>
      <c r="F30" s="61">
        <v>4.5</v>
      </c>
      <c r="G30" s="61">
        <v>5</v>
      </c>
      <c r="H30" s="61">
        <v>5.4</v>
      </c>
      <c r="I30" s="61">
        <v>5.6</v>
      </c>
      <c r="J30" s="61">
        <v>5.5</v>
      </c>
      <c r="K30" s="61">
        <v>5.5</v>
      </c>
    </row>
    <row r="31" spans="2:13">
      <c r="B31" s="279"/>
      <c r="C31" s="40">
        <v>41621</v>
      </c>
      <c r="D31" s="276" t="s">
        <v>16</v>
      </c>
      <c r="E31" s="277"/>
      <c r="F31" s="30">
        <f t="shared" ref="F31:K31" si="3">(F27-E27)/E27</f>
        <v>-0.12175648702594799</v>
      </c>
      <c r="G31" s="30">
        <f t="shared" si="3"/>
        <v>0.1022727272727271</v>
      </c>
      <c r="H31" s="30">
        <f t="shared" si="3"/>
        <v>5.1546391752577324E-2</v>
      </c>
      <c r="I31" s="30">
        <f t="shared" si="3"/>
        <v>1.9607843137255009E-2</v>
      </c>
      <c r="J31" s="30">
        <f t="shared" si="3"/>
        <v>1.9230769230769162E-2</v>
      </c>
      <c r="K31" s="30">
        <f t="shared" si="3"/>
        <v>9.4339622641509101E-3</v>
      </c>
    </row>
    <row r="32" spans="2:13">
      <c r="B32" s="280"/>
      <c r="C32" s="33">
        <v>41499</v>
      </c>
      <c r="D32" s="276" t="s">
        <v>16</v>
      </c>
      <c r="E32" s="277"/>
      <c r="F32" s="30">
        <f t="shared" ref="F32:K32" si="4">(F28-E28)/E28</f>
        <v>-0.1</v>
      </c>
      <c r="G32" s="30">
        <f t="shared" si="4"/>
        <v>0.1111111111111111</v>
      </c>
      <c r="H32" s="30">
        <f t="shared" si="4"/>
        <v>8.0000000000000071E-2</v>
      </c>
      <c r="I32" s="30">
        <f t="shared" si="4"/>
        <v>1.8518518518518452E-2</v>
      </c>
      <c r="J32" s="30">
        <f t="shared" si="4"/>
        <v>0</v>
      </c>
      <c r="K32" s="30">
        <f t="shared" si="4"/>
        <v>0</v>
      </c>
    </row>
    <row r="33" spans="2:11">
      <c r="B33" s="65"/>
      <c r="C33" s="65"/>
      <c r="D33" s="65"/>
      <c r="E33" s="76"/>
      <c r="F33" s="76"/>
      <c r="G33" s="76"/>
      <c r="H33" s="76"/>
      <c r="I33" s="76"/>
      <c r="J33" s="76"/>
    </row>
    <row r="34" spans="2:11" ht="15" customHeight="1">
      <c r="B34" s="278" t="s">
        <v>19</v>
      </c>
      <c r="C34" s="273">
        <v>41609</v>
      </c>
      <c r="D34" s="1" t="s">
        <v>2</v>
      </c>
      <c r="E34" s="23">
        <v>1227</v>
      </c>
      <c r="F34" s="78">
        <v>1173</v>
      </c>
      <c r="G34" s="78">
        <v>1131</v>
      </c>
      <c r="H34" s="78">
        <v>1086</v>
      </c>
      <c r="I34" s="78">
        <v>1043</v>
      </c>
      <c r="J34" s="78">
        <v>1000</v>
      </c>
      <c r="K34" s="79">
        <v>957</v>
      </c>
    </row>
    <row r="35" spans="2:11">
      <c r="B35" s="279"/>
      <c r="C35" s="272"/>
      <c r="D35" s="3" t="s">
        <v>0</v>
      </c>
      <c r="E35" s="77"/>
      <c r="F35" s="77">
        <v>1170.4000000000001</v>
      </c>
      <c r="G35" s="77">
        <v>1143</v>
      </c>
      <c r="H35" s="77">
        <v>1121.5999999999999</v>
      </c>
      <c r="I35" s="77">
        <v>1097</v>
      </c>
      <c r="J35" s="77">
        <v>1069.8</v>
      </c>
      <c r="K35" s="77">
        <v>1042.4000000000001</v>
      </c>
    </row>
    <row r="36" spans="2:11">
      <c r="B36" s="279"/>
      <c r="C36" s="272"/>
      <c r="D36" s="4" t="s">
        <v>3</v>
      </c>
      <c r="E36" s="25"/>
      <c r="F36" s="25">
        <v>1173</v>
      </c>
      <c r="G36" s="25">
        <v>1131</v>
      </c>
      <c r="H36" s="25">
        <v>1077</v>
      </c>
      <c r="I36" s="25">
        <v>1029</v>
      </c>
      <c r="J36" s="25">
        <v>980</v>
      </c>
      <c r="K36" s="25">
        <v>932</v>
      </c>
    </row>
    <row r="37" spans="2:11">
      <c r="B37" s="279"/>
      <c r="C37" s="272"/>
      <c r="D37" s="5" t="s">
        <v>1</v>
      </c>
      <c r="E37" s="26">
        <v>1227</v>
      </c>
      <c r="F37" s="26">
        <v>1175</v>
      </c>
      <c r="G37" s="26">
        <v>1130</v>
      </c>
      <c r="H37" s="26">
        <v>1090</v>
      </c>
      <c r="I37" s="26">
        <v>1050</v>
      </c>
      <c r="J37" s="26">
        <v>1010</v>
      </c>
      <c r="K37" s="26">
        <v>970</v>
      </c>
    </row>
    <row r="38" spans="2:11">
      <c r="B38" s="279"/>
      <c r="C38" s="40">
        <v>41499</v>
      </c>
      <c r="D38" s="60" t="s">
        <v>1</v>
      </c>
      <c r="E38" s="72">
        <v>1225.8499999999999</v>
      </c>
      <c r="F38" s="72">
        <v>1165</v>
      </c>
      <c r="G38" s="72">
        <v>1110</v>
      </c>
      <c r="H38" s="72">
        <v>1070</v>
      </c>
      <c r="I38" s="72">
        <v>1030</v>
      </c>
      <c r="J38" s="72">
        <v>1000</v>
      </c>
      <c r="K38" s="72">
        <v>960</v>
      </c>
    </row>
    <row r="39" spans="2:11">
      <c r="B39" s="279"/>
      <c r="C39" s="40">
        <v>41317</v>
      </c>
      <c r="D39" s="60" t="s">
        <v>1</v>
      </c>
      <c r="E39" s="63">
        <v>1226</v>
      </c>
      <c r="F39" s="63">
        <v>1185</v>
      </c>
      <c r="G39" s="63">
        <v>1151</v>
      </c>
      <c r="H39" s="63">
        <v>1121</v>
      </c>
      <c r="I39" s="63">
        <v>1090.1407234210708</v>
      </c>
      <c r="J39" s="63">
        <v>1048</v>
      </c>
      <c r="K39" s="63"/>
    </row>
    <row r="40" spans="2:11">
      <c r="B40" s="279"/>
      <c r="C40" s="40">
        <v>41244</v>
      </c>
      <c r="D40" s="60" t="s">
        <v>1</v>
      </c>
      <c r="E40" s="63">
        <v>1228.5423506666664</v>
      </c>
      <c r="F40" s="63">
        <v>1184.5870287874238</v>
      </c>
      <c r="G40" s="63">
        <v>1151.3778293463738</v>
      </c>
      <c r="H40" s="63">
        <v>1121.0332793283103</v>
      </c>
      <c r="I40" s="63">
        <v>1090.1407234210708</v>
      </c>
      <c r="J40" s="63">
        <v>1048</v>
      </c>
      <c r="K40" s="63">
        <v>1048</v>
      </c>
    </row>
    <row r="41" spans="2:11">
      <c r="B41" s="279"/>
      <c r="C41" s="40">
        <v>41621</v>
      </c>
      <c r="D41" s="276" t="s">
        <v>16</v>
      </c>
      <c r="E41" s="277"/>
      <c r="F41" s="30">
        <f t="shared" ref="F41:K41" si="5">(F37-E37)/E37</f>
        <v>-4.2379788101059496E-2</v>
      </c>
      <c r="G41" s="30">
        <f t="shared" si="5"/>
        <v>-3.8297872340425532E-2</v>
      </c>
      <c r="H41" s="30">
        <f t="shared" si="5"/>
        <v>-3.5398230088495575E-2</v>
      </c>
      <c r="I41" s="30">
        <f t="shared" si="5"/>
        <v>-3.669724770642202E-2</v>
      </c>
      <c r="J41" s="30">
        <f t="shared" si="5"/>
        <v>-3.8095238095238099E-2</v>
      </c>
      <c r="K41" s="30">
        <f t="shared" si="5"/>
        <v>-3.9603960396039604E-2</v>
      </c>
    </row>
    <row r="42" spans="2:11">
      <c r="B42" s="280"/>
      <c r="C42" s="40">
        <v>41499</v>
      </c>
      <c r="D42" s="276" t="s">
        <v>16</v>
      </c>
      <c r="E42" s="277"/>
      <c r="F42" s="30">
        <f t="shared" ref="F42:K42" si="6">(F38-E38)/E38</f>
        <v>-4.9639025981971625E-2</v>
      </c>
      <c r="G42" s="30">
        <f t="shared" si="6"/>
        <v>-4.7210300429184553E-2</v>
      </c>
      <c r="H42" s="30">
        <f t="shared" si="6"/>
        <v>-3.6036036036036036E-2</v>
      </c>
      <c r="I42" s="30">
        <f t="shared" si="6"/>
        <v>-3.7383177570093455E-2</v>
      </c>
      <c r="J42" s="30">
        <f t="shared" si="6"/>
        <v>-2.9126213592233011E-2</v>
      </c>
      <c r="K42" s="30">
        <f t="shared" si="6"/>
        <v>-0.04</v>
      </c>
    </row>
    <row r="43" spans="2:11">
      <c r="B43" s="64"/>
    </row>
    <row r="44" spans="2:11">
      <c r="F44" s="94"/>
      <c r="G44" s="94"/>
      <c r="H44" s="94"/>
      <c r="I44" s="94"/>
      <c r="J44" s="94"/>
      <c r="K44" s="94"/>
    </row>
    <row r="45" spans="2:11">
      <c r="F45" s="94"/>
      <c r="G45" s="94"/>
      <c r="H45" s="94"/>
      <c r="I45" s="94"/>
      <c r="J45" s="94"/>
      <c r="K45" s="94"/>
    </row>
  </sheetData>
  <mergeCells count="16">
    <mergeCell ref="C34:C37"/>
    <mergeCell ref="D41:E41"/>
    <mergeCell ref="D42:E42"/>
    <mergeCell ref="B34:B42"/>
    <mergeCell ref="B24:B32"/>
    <mergeCell ref="D32:E32"/>
    <mergeCell ref="D22:E22"/>
    <mergeCell ref="C24:C27"/>
    <mergeCell ref="D31:E31"/>
    <mergeCell ref="B14:B22"/>
    <mergeCell ref="B3:B12"/>
    <mergeCell ref="C3:C7"/>
    <mergeCell ref="D11:E11"/>
    <mergeCell ref="D12:E12"/>
    <mergeCell ref="C14:C17"/>
    <mergeCell ref="D21:E2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K60"/>
  <sheetViews>
    <sheetView topLeftCell="B1" zoomScale="175" zoomScaleNormal="175" workbookViewId="0">
      <pane ySplit="1" topLeftCell="A2" activePane="bottomLeft" state="frozen"/>
      <selection pane="bottomLeft"/>
    </sheetView>
  </sheetViews>
  <sheetFormatPr defaultColWidth="9.28515625" defaultRowHeight="15"/>
  <cols>
    <col min="1" max="1" width="9.5703125" customWidth="1"/>
    <col min="2" max="2" width="7.7109375" bestFit="1" customWidth="1"/>
    <col min="3" max="3" width="6.7109375" bestFit="1" customWidth="1"/>
    <col min="4" max="5" width="8.42578125" customWidth="1"/>
    <col min="6" max="10" width="8.42578125" bestFit="1" customWidth="1"/>
    <col min="11" max="11" width="8.42578125" customWidth="1"/>
  </cols>
  <sheetData>
    <row r="1" spans="1:11" ht="30">
      <c r="A1" s="8"/>
      <c r="B1" s="11"/>
      <c r="C1" s="6"/>
      <c r="D1" s="96" t="s">
        <v>17</v>
      </c>
      <c r="E1" s="96" t="s">
        <v>25</v>
      </c>
      <c r="F1" s="96" t="s">
        <v>6</v>
      </c>
      <c r="G1" s="96" t="s">
        <v>7</v>
      </c>
      <c r="H1" s="96" t="s">
        <v>8</v>
      </c>
      <c r="I1" s="96" t="s">
        <v>9</v>
      </c>
      <c r="J1" s="96" t="s">
        <v>21</v>
      </c>
      <c r="K1" s="96" t="s">
        <v>24</v>
      </c>
    </row>
    <row r="2" spans="1:11">
      <c r="A2" s="284" t="s">
        <v>10</v>
      </c>
      <c r="B2" s="273">
        <v>41852</v>
      </c>
      <c r="C2" s="100" t="s">
        <v>4</v>
      </c>
      <c r="D2" s="47">
        <v>89.655088649328334</v>
      </c>
      <c r="E2" s="47">
        <v>85.82</v>
      </c>
      <c r="F2" s="47">
        <v>95.237370277219171</v>
      </c>
      <c r="G2" s="47">
        <v>92.804323446666658</v>
      </c>
      <c r="H2" s="47">
        <v>87.904473258333326</v>
      </c>
      <c r="I2" s="47">
        <v>88.926712291666661</v>
      </c>
      <c r="J2" s="47">
        <v>89.077492208333325</v>
      </c>
      <c r="K2" s="47">
        <v>90.366841249999993</v>
      </c>
    </row>
    <row r="3" spans="1:11">
      <c r="A3" s="285"/>
      <c r="B3" s="272"/>
      <c r="C3" s="101" t="s">
        <v>2</v>
      </c>
      <c r="D3" s="29">
        <v>89.65</v>
      </c>
      <c r="E3" s="41">
        <v>85.15</v>
      </c>
      <c r="F3" s="41">
        <v>95.7</v>
      </c>
      <c r="G3" s="41">
        <v>93.1</v>
      </c>
      <c r="H3" s="41">
        <v>88.2</v>
      </c>
      <c r="I3" s="41">
        <v>87.1</v>
      </c>
      <c r="J3" s="41">
        <v>86.2</v>
      </c>
      <c r="K3" s="41">
        <v>86.1</v>
      </c>
    </row>
    <row r="4" spans="1:11">
      <c r="A4" s="285"/>
      <c r="B4" s="272"/>
      <c r="C4" s="102" t="s">
        <v>0</v>
      </c>
      <c r="D4" s="43"/>
      <c r="E4" s="43"/>
      <c r="F4" s="43">
        <v>96.28</v>
      </c>
      <c r="G4" s="43">
        <v>95.01</v>
      </c>
      <c r="H4" s="43">
        <v>89.09</v>
      </c>
      <c r="I4" s="43">
        <v>85.55</v>
      </c>
      <c r="J4" s="43">
        <v>83.9</v>
      </c>
      <c r="K4" s="43">
        <v>83.13</v>
      </c>
    </row>
    <row r="5" spans="1:11">
      <c r="A5" s="285"/>
      <c r="B5" s="272"/>
      <c r="C5" s="103" t="s">
        <v>3</v>
      </c>
      <c r="D5" s="45"/>
      <c r="E5" s="45"/>
      <c r="F5" s="45">
        <v>95.39</v>
      </c>
      <c r="G5" s="45">
        <v>93.13</v>
      </c>
      <c r="H5" s="45">
        <v>87.52</v>
      </c>
      <c r="I5" s="45">
        <v>86.61</v>
      </c>
      <c r="J5" s="45">
        <v>86.66</v>
      </c>
      <c r="K5" s="45">
        <v>87.13</v>
      </c>
    </row>
    <row r="6" spans="1:11">
      <c r="A6" s="285"/>
      <c r="B6" s="272"/>
      <c r="C6" s="98" t="s">
        <v>1</v>
      </c>
      <c r="D6" s="113">
        <v>89.65</v>
      </c>
      <c r="E6" s="113">
        <v>85.82</v>
      </c>
      <c r="F6" s="113">
        <v>95.75</v>
      </c>
      <c r="G6" s="113">
        <v>92</v>
      </c>
      <c r="H6" s="113">
        <v>88</v>
      </c>
      <c r="I6" s="113">
        <f>ROUND(100*AVERAGE(I2:I5),-1)*1/100</f>
        <v>87</v>
      </c>
      <c r="J6" s="113">
        <v>86</v>
      </c>
      <c r="K6" s="113">
        <v>85</v>
      </c>
    </row>
    <row r="7" spans="1:11">
      <c r="A7" s="285"/>
      <c r="B7" s="33">
        <v>41609</v>
      </c>
      <c r="C7" s="6" t="s">
        <v>1</v>
      </c>
      <c r="D7" s="41">
        <v>89.65</v>
      </c>
      <c r="E7" s="41">
        <v>85.82</v>
      </c>
      <c r="F7" s="41">
        <v>93</v>
      </c>
      <c r="G7" s="41">
        <v>86.5</v>
      </c>
      <c r="H7" s="41">
        <v>84.5</v>
      </c>
      <c r="I7" s="41">
        <v>83.5</v>
      </c>
      <c r="J7" s="41">
        <v>83.5</v>
      </c>
      <c r="K7" s="41"/>
    </row>
    <row r="8" spans="1:11">
      <c r="A8" s="285"/>
      <c r="B8" s="33">
        <v>41499</v>
      </c>
      <c r="C8" s="6" t="s">
        <v>1</v>
      </c>
      <c r="D8" s="41">
        <v>90</v>
      </c>
      <c r="E8" s="41">
        <v>87</v>
      </c>
      <c r="F8" s="41">
        <v>94</v>
      </c>
      <c r="G8" s="41">
        <v>87.5</v>
      </c>
      <c r="H8" s="41">
        <v>85</v>
      </c>
      <c r="I8" s="41">
        <v>84</v>
      </c>
      <c r="J8" s="41">
        <v>84</v>
      </c>
      <c r="K8" s="41"/>
    </row>
    <row r="9" spans="1:11" hidden="1">
      <c r="A9" s="285"/>
      <c r="B9" s="33">
        <v>41306</v>
      </c>
      <c r="C9" s="6" t="s">
        <v>1</v>
      </c>
      <c r="D9" s="114">
        <v>90</v>
      </c>
      <c r="E9" s="114">
        <v>86.5</v>
      </c>
      <c r="F9" s="114">
        <v>88</v>
      </c>
      <c r="G9" s="114">
        <v>87.5</v>
      </c>
      <c r="H9" s="114">
        <v>87</v>
      </c>
      <c r="I9" s="114">
        <v>86.5</v>
      </c>
      <c r="J9" s="114"/>
      <c r="K9" s="114"/>
    </row>
    <row r="10" spans="1:11" hidden="1">
      <c r="A10" s="285"/>
      <c r="B10" s="33">
        <v>41244</v>
      </c>
      <c r="C10" s="6" t="s">
        <v>1</v>
      </c>
      <c r="D10" s="114">
        <v>89.640506965377526</v>
      </c>
      <c r="E10" s="114">
        <v>85</v>
      </c>
      <c r="F10" s="114">
        <v>84.75</v>
      </c>
      <c r="G10" s="114">
        <v>83.5</v>
      </c>
      <c r="H10" s="114">
        <v>82.5</v>
      </c>
      <c r="I10" s="114">
        <v>83</v>
      </c>
      <c r="J10" s="114">
        <v>83</v>
      </c>
      <c r="K10" s="114"/>
    </row>
    <row r="11" spans="1:11">
      <c r="A11" s="285"/>
      <c r="B11" s="33">
        <v>41852</v>
      </c>
      <c r="C11" s="276" t="s">
        <v>16</v>
      </c>
      <c r="D11" s="277"/>
      <c r="E11" s="30">
        <f>+E6/D6-1</f>
        <v>-4.2721695482431765E-2</v>
      </c>
      <c r="F11" s="30">
        <f t="shared" ref="F11:K11" si="0">+F6/E6-1</f>
        <v>0.11570729433698457</v>
      </c>
      <c r="G11" s="30">
        <f t="shared" si="0"/>
        <v>-3.9164490861618773E-2</v>
      </c>
      <c r="H11" s="30">
        <f t="shared" si="0"/>
        <v>-4.3478260869565188E-2</v>
      </c>
      <c r="I11" s="30">
        <f t="shared" si="0"/>
        <v>-1.1363636363636354E-2</v>
      </c>
      <c r="J11" s="30">
        <f t="shared" si="0"/>
        <v>-1.1494252873563204E-2</v>
      </c>
      <c r="K11" s="30">
        <f t="shared" si="0"/>
        <v>-1.1627906976744207E-2</v>
      </c>
    </row>
    <row r="12" spans="1:11">
      <c r="A12" s="285"/>
      <c r="B12" s="33">
        <v>41621</v>
      </c>
      <c r="C12" s="282" t="s">
        <v>16</v>
      </c>
      <c r="D12" s="283"/>
      <c r="E12" s="105">
        <f t="shared" ref="E12:J13" si="1">(E7-D7)/D7</f>
        <v>-4.2721695482431814E-2</v>
      </c>
      <c r="F12" s="105">
        <f t="shared" si="1"/>
        <v>8.3663481705896145E-2</v>
      </c>
      <c r="G12" s="105">
        <f t="shared" si="1"/>
        <v>-6.9892473118279563E-2</v>
      </c>
      <c r="H12" s="105">
        <f t="shared" si="1"/>
        <v>-2.3121387283236993E-2</v>
      </c>
      <c r="I12" s="105">
        <f t="shared" si="1"/>
        <v>-1.1834319526627219E-2</v>
      </c>
      <c r="J12" s="105">
        <f t="shared" si="1"/>
        <v>0</v>
      </c>
      <c r="K12" s="105"/>
    </row>
    <row r="13" spans="1:11" hidden="1">
      <c r="A13" s="286"/>
      <c r="B13" s="33">
        <v>41499</v>
      </c>
      <c r="C13" s="276" t="s">
        <v>16</v>
      </c>
      <c r="D13" s="277"/>
      <c r="E13" s="30">
        <f t="shared" si="1"/>
        <v>-3.3333333333333333E-2</v>
      </c>
      <c r="F13" s="30">
        <f t="shared" si="1"/>
        <v>8.0459770114942528E-2</v>
      </c>
      <c r="G13" s="30">
        <f t="shared" si="1"/>
        <v>-6.9148936170212769E-2</v>
      </c>
      <c r="H13" s="30">
        <f t="shared" si="1"/>
        <v>-2.8571428571428571E-2</v>
      </c>
      <c r="I13" s="30">
        <f t="shared" si="1"/>
        <v>-1.1764705882352941E-2</v>
      </c>
      <c r="J13" s="30">
        <f t="shared" si="1"/>
        <v>0</v>
      </c>
      <c r="K13" s="30"/>
    </row>
    <row r="14" spans="1:11">
      <c r="A14" s="65"/>
      <c r="B14" s="65"/>
      <c r="C14" s="65"/>
      <c r="D14" s="65"/>
      <c r="E14" s="65"/>
      <c r="F14" s="65"/>
      <c r="G14" s="65"/>
      <c r="H14" s="65"/>
      <c r="I14" s="65"/>
      <c r="J14" s="74"/>
      <c r="K14" s="65"/>
    </row>
    <row r="15" spans="1:11">
      <c r="A15" s="281" t="s">
        <v>12</v>
      </c>
      <c r="B15" s="273">
        <v>41852</v>
      </c>
      <c r="C15" s="101" t="s">
        <v>2</v>
      </c>
      <c r="D15" s="104">
        <v>80.3</v>
      </c>
      <c r="E15" s="104">
        <v>96.4</v>
      </c>
      <c r="F15" s="104">
        <v>110</v>
      </c>
      <c r="G15" s="104">
        <v>122</v>
      </c>
      <c r="H15" s="104">
        <v>130</v>
      </c>
      <c r="I15" s="104">
        <v>133</v>
      </c>
      <c r="J15" s="104">
        <v>135</v>
      </c>
      <c r="K15" s="104">
        <v>138</v>
      </c>
    </row>
    <row r="16" spans="1:11">
      <c r="A16" s="281"/>
      <c r="B16" s="272"/>
      <c r="C16" s="102" t="s">
        <v>0</v>
      </c>
      <c r="D16" s="115"/>
      <c r="E16" s="115"/>
      <c r="F16" s="115">
        <v>110.7</v>
      </c>
      <c r="G16" s="115">
        <v>116</v>
      </c>
      <c r="H16" s="115">
        <v>121</v>
      </c>
      <c r="I16" s="115">
        <v>125</v>
      </c>
      <c r="J16" s="116">
        <v>128</v>
      </c>
      <c r="K16" s="115">
        <v>129</v>
      </c>
    </row>
    <row r="17" spans="1:11">
      <c r="A17" s="281"/>
      <c r="B17" s="272"/>
      <c r="C17" s="103" t="s">
        <v>3</v>
      </c>
      <c r="D17" s="117"/>
      <c r="E17" s="117"/>
      <c r="F17" s="117">
        <v>110</v>
      </c>
      <c r="G17" s="117">
        <v>115.5</v>
      </c>
      <c r="H17" s="117">
        <v>117.8</v>
      </c>
      <c r="I17" s="117">
        <v>119</v>
      </c>
      <c r="J17" s="117">
        <v>120.2</v>
      </c>
      <c r="K17" s="117">
        <v>121.4</v>
      </c>
    </row>
    <row r="18" spans="1:11">
      <c r="A18" s="281"/>
      <c r="B18" s="272"/>
      <c r="C18" s="98" t="s">
        <v>1</v>
      </c>
      <c r="D18" s="118">
        <v>80.3</v>
      </c>
      <c r="E18" s="118">
        <f>AVERAGE(E15:E17)</f>
        <v>96.4</v>
      </c>
      <c r="F18" s="118">
        <v>110</v>
      </c>
      <c r="G18" s="118">
        <v>117</v>
      </c>
      <c r="H18" s="118">
        <v>122</v>
      </c>
      <c r="I18" s="118">
        <v>125</v>
      </c>
      <c r="J18" s="118">
        <v>127</v>
      </c>
      <c r="K18" s="118">
        <v>129</v>
      </c>
    </row>
    <row r="19" spans="1:11">
      <c r="A19" s="281"/>
      <c r="B19" s="33">
        <v>41609</v>
      </c>
      <c r="C19" s="6" t="s">
        <v>1</v>
      </c>
      <c r="D19" s="119">
        <v>80.3</v>
      </c>
      <c r="E19" s="119">
        <v>94.2</v>
      </c>
      <c r="F19" s="119">
        <v>99</v>
      </c>
      <c r="G19" s="119">
        <v>103</v>
      </c>
      <c r="H19" s="119">
        <v>106</v>
      </c>
      <c r="I19" s="119">
        <v>108</v>
      </c>
      <c r="J19" s="119">
        <v>109</v>
      </c>
      <c r="K19" s="119"/>
    </row>
    <row r="20" spans="1:11">
      <c r="A20" s="281"/>
      <c r="B20" s="33">
        <v>41499</v>
      </c>
      <c r="C20" s="6" t="s">
        <v>1</v>
      </c>
      <c r="D20" s="119">
        <v>80.069999999999993</v>
      </c>
      <c r="E20" s="119">
        <v>90</v>
      </c>
      <c r="F20" s="119">
        <v>93</v>
      </c>
      <c r="G20" s="119">
        <v>97</v>
      </c>
      <c r="H20" s="119">
        <v>100</v>
      </c>
      <c r="I20" s="119">
        <v>101</v>
      </c>
      <c r="J20" s="119">
        <v>102</v>
      </c>
      <c r="K20" s="119"/>
    </row>
    <row r="21" spans="1:11" hidden="1">
      <c r="A21" s="281"/>
      <c r="B21" s="33">
        <v>41317</v>
      </c>
      <c r="C21" s="6" t="s">
        <v>1</v>
      </c>
      <c r="D21" s="120">
        <v>80.099999999999994</v>
      </c>
      <c r="E21" s="120">
        <v>87</v>
      </c>
      <c r="F21" s="120">
        <v>91.4</v>
      </c>
      <c r="G21" s="120">
        <v>94.1</v>
      </c>
      <c r="H21" s="120">
        <v>96</v>
      </c>
      <c r="I21" s="120">
        <v>97.9</v>
      </c>
      <c r="J21" s="120"/>
      <c r="K21" s="120"/>
    </row>
    <row r="22" spans="1:11" hidden="1">
      <c r="A22" s="281"/>
      <c r="B22" s="33">
        <v>41244</v>
      </c>
      <c r="C22" s="6" t="s">
        <v>1</v>
      </c>
      <c r="D22" s="120">
        <v>79.7</v>
      </c>
      <c r="E22" s="120">
        <v>84.119744824999998</v>
      </c>
      <c r="F22" s="120">
        <v>88.406534618000009</v>
      </c>
      <c r="G22" s="120">
        <v>92.434230656539995</v>
      </c>
      <c r="H22" s="120">
        <v>96.132415269670815</v>
      </c>
      <c r="I22" s="120">
        <v>97.6</v>
      </c>
      <c r="J22" s="120">
        <v>97.6</v>
      </c>
      <c r="K22" s="120"/>
    </row>
    <row r="23" spans="1:11">
      <c r="A23" s="281"/>
      <c r="B23" s="33">
        <v>41852</v>
      </c>
      <c r="C23" s="276" t="s">
        <v>16</v>
      </c>
      <c r="D23" s="277"/>
      <c r="E23" s="30">
        <f>(E18-D18)/D18</f>
        <v>0.20049813200498143</v>
      </c>
      <c r="F23" s="30">
        <f t="shared" ref="F23:K24" si="2">(F18-E18)/E18</f>
        <v>0.1410788381742738</v>
      </c>
      <c r="G23" s="30">
        <f t="shared" si="2"/>
        <v>6.363636363636363E-2</v>
      </c>
      <c r="H23" s="30">
        <f t="shared" si="2"/>
        <v>4.2735042735042736E-2</v>
      </c>
      <c r="I23" s="30">
        <f t="shared" si="2"/>
        <v>2.4590163934426229E-2</v>
      </c>
      <c r="J23" s="30">
        <f t="shared" si="2"/>
        <v>1.6E-2</v>
      </c>
      <c r="K23" s="30">
        <f t="shared" si="2"/>
        <v>1.5748031496062992E-2</v>
      </c>
    </row>
    <row r="24" spans="1:11">
      <c r="A24" s="281"/>
      <c r="B24" s="33">
        <v>41621</v>
      </c>
      <c r="C24" s="282" t="s">
        <v>16</v>
      </c>
      <c r="D24" s="283"/>
      <c r="E24" s="105">
        <f>(E19-D19)/D19</f>
        <v>0.1731008717310088</v>
      </c>
      <c r="F24" s="105">
        <f t="shared" si="2"/>
        <v>5.0955414012738821E-2</v>
      </c>
      <c r="G24" s="105">
        <f t="shared" si="2"/>
        <v>4.0404040404040407E-2</v>
      </c>
      <c r="H24" s="105">
        <f t="shared" si="2"/>
        <v>2.9126213592233011E-2</v>
      </c>
      <c r="I24" s="105">
        <f t="shared" si="2"/>
        <v>1.8867924528301886E-2</v>
      </c>
      <c r="J24" s="105">
        <f t="shared" si="2"/>
        <v>9.2592592592592587E-3</v>
      </c>
      <c r="K24" s="30"/>
    </row>
    <row r="25" spans="1:11" hidden="1">
      <c r="A25" s="281"/>
      <c r="B25" s="33">
        <v>41499</v>
      </c>
      <c r="C25" s="276" t="s">
        <v>16</v>
      </c>
      <c r="D25" s="277"/>
      <c r="E25" s="30">
        <f>(E20-D20)/D20</f>
        <v>0.12401648557512186</v>
      </c>
      <c r="F25" s="30">
        <f>(F20-E20)/E20</f>
        <v>3.3333333333333333E-2</v>
      </c>
      <c r="G25" s="30">
        <f>(G20-F20)/F20</f>
        <v>4.3010752688172046E-2</v>
      </c>
      <c r="H25" s="30">
        <f>(H20-G20)/G20</f>
        <v>3.0927835051546393E-2</v>
      </c>
      <c r="I25" s="30">
        <f>(I20-H20)/H20</f>
        <v>0.01</v>
      </c>
      <c r="J25" s="30">
        <f>(J20-I20)/I20</f>
        <v>9.9009900990099011E-3</v>
      </c>
      <c r="K25" s="30"/>
    </row>
    <row r="26" spans="1:11">
      <c r="A26" s="106"/>
      <c r="B26" s="107"/>
      <c r="C26" s="67"/>
      <c r="D26" s="67"/>
      <c r="E26" s="68"/>
      <c r="F26" s="68"/>
      <c r="G26" s="110"/>
      <c r="H26" s="110"/>
      <c r="I26" s="110"/>
      <c r="J26" s="110"/>
      <c r="K26" s="110"/>
    </row>
    <row r="27" spans="1:11">
      <c r="A27" s="287" t="s">
        <v>18</v>
      </c>
      <c r="B27" s="273">
        <v>41852</v>
      </c>
      <c r="C27" s="101" t="s">
        <v>2</v>
      </c>
      <c r="D27" s="86"/>
      <c r="E27" s="86">
        <v>4.38</v>
      </c>
      <c r="F27" s="86">
        <v>5.2</v>
      </c>
      <c r="G27" s="86">
        <v>5.4</v>
      </c>
      <c r="H27" s="86">
        <v>5.3</v>
      </c>
      <c r="I27" s="86">
        <v>5.3</v>
      </c>
      <c r="J27" s="87">
        <v>5.4</v>
      </c>
      <c r="K27" s="86">
        <v>5.45</v>
      </c>
    </row>
    <row r="28" spans="1:11">
      <c r="A28" s="288"/>
      <c r="B28" s="272"/>
      <c r="C28" s="102" t="s">
        <v>0</v>
      </c>
      <c r="D28" s="43"/>
      <c r="E28" s="43"/>
      <c r="F28" s="43">
        <v>5.48</v>
      </c>
      <c r="G28" s="43">
        <f>5.42-0.19</f>
        <v>5.2299999999999995</v>
      </c>
      <c r="H28" s="43">
        <v>5.3</v>
      </c>
      <c r="I28" s="43">
        <v>5.51</v>
      </c>
      <c r="J28" s="43">
        <v>5.72</v>
      </c>
      <c r="K28" s="43">
        <v>5.95</v>
      </c>
    </row>
    <row r="29" spans="1:11">
      <c r="A29" s="288"/>
      <c r="B29" s="272"/>
      <c r="C29" s="103" t="s">
        <v>3</v>
      </c>
      <c r="D29" s="45"/>
      <c r="E29" s="45"/>
      <c r="F29" s="45">
        <v>5.31</v>
      </c>
      <c r="G29" s="45">
        <v>5.59</v>
      </c>
      <c r="H29" s="45">
        <v>5.18</v>
      </c>
      <c r="I29" s="45">
        <v>5.38</v>
      </c>
      <c r="J29" s="45">
        <v>5.84</v>
      </c>
      <c r="K29" s="45">
        <v>5.82</v>
      </c>
    </row>
    <row r="30" spans="1:11">
      <c r="A30" s="288"/>
      <c r="B30" s="272"/>
      <c r="C30" s="98" t="s">
        <v>1</v>
      </c>
      <c r="D30" s="113">
        <v>5.01</v>
      </c>
      <c r="E30" s="113">
        <f>AVERAGE(E27:E29)</f>
        <v>4.38</v>
      </c>
      <c r="F30" s="113">
        <f>5.2*0+5.15</f>
        <v>5.15</v>
      </c>
      <c r="G30" s="113">
        <f>5.25*0+5.2</f>
        <v>5.2</v>
      </c>
      <c r="H30" s="113">
        <v>5.25</v>
      </c>
      <c r="I30" s="113">
        <v>5.3</v>
      </c>
      <c r="J30" s="113">
        <v>5.35</v>
      </c>
      <c r="K30" s="113">
        <v>5.4</v>
      </c>
    </row>
    <row r="31" spans="1:11">
      <c r="A31" s="288"/>
      <c r="B31" s="33">
        <v>41609</v>
      </c>
      <c r="C31" s="6" t="s">
        <v>1</v>
      </c>
      <c r="D31" s="41">
        <v>5.01</v>
      </c>
      <c r="E31" s="41">
        <v>4.4000000000000004</v>
      </c>
      <c r="F31" s="41">
        <v>4.8499999999999996</v>
      </c>
      <c r="G31" s="41">
        <v>5.0999999999999996</v>
      </c>
      <c r="H31" s="41">
        <v>5.2</v>
      </c>
      <c r="I31" s="41">
        <v>5.3</v>
      </c>
      <c r="J31" s="41">
        <v>5.35</v>
      </c>
      <c r="K31" s="41"/>
    </row>
    <row r="32" spans="1:11">
      <c r="A32" s="288"/>
      <c r="B32" s="33">
        <v>41499</v>
      </c>
      <c r="C32" s="6" t="s">
        <v>1</v>
      </c>
      <c r="D32" s="41">
        <v>5</v>
      </c>
      <c r="E32" s="41">
        <v>4.5</v>
      </c>
      <c r="F32" s="41">
        <v>5</v>
      </c>
      <c r="G32" s="41">
        <v>5.4</v>
      </c>
      <c r="H32" s="41">
        <v>5.5</v>
      </c>
      <c r="I32" s="41">
        <v>5.5</v>
      </c>
      <c r="J32" s="41">
        <v>5.5</v>
      </c>
      <c r="K32" s="41"/>
    </row>
    <row r="33" spans="1:11" hidden="1">
      <c r="A33" s="288"/>
      <c r="B33" s="33">
        <v>41317</v>
      </c>
      <c r="C33" s="6" t="s">
        <v>1</v>
      </c>
      <c r="D33" s="114">
        <v>5</v>
      </c>
      <c r="E33" s="114">
        <v>4.5</v>
      </c>
      <c r="F33" s="114">
        <v>5.0999999999999996</v>
      </c>
      <c r="G33" s="114">
        <v>5.25</v>
      </c>
      <c r="H33" s="114">
        <v>5.5</v>
      </c>
      <c r="I33" s="114">
        <v>5.5</v>
      </c>
      <c r="J33" s="114"/>
      <c r="K33" s="114"/>
    </row>
    <row r="34" spans="1:11" hidden="1">
      <c r="A34" s="288"/>
      <c r="B34" s="33">
        <v>41244</v>
      </c>
      <c r="C34" s="6" t="s">
        <v>1</v>
      </c>
      <c r="D34" s="114">
        <v>5</v>
      </c>
      <c r="E34" s="114">
        <v>4.5</v>
      </c>
      <c r="F34" s="114">
        <v>5</v>
      </c>
      <c r="G34" s="114">
        <v>5.4</v>
      </c>
      <c r="H34" s="114">
        <v>5.6</v>
      </c>
      <c r="I34" s="114">
        <v>5.5</v>
      </c>
      <c r="J34" s="114">
        <v>5.5</v>
      </c>
      <c r="K34" s="114"/>
    </row>
    <row r="35" spans="1:11">
      <c r="A35" s="288"/>
      <c r="B35" s="33">
        <v>41852</v>
      </c>
      <c r="C35" s="276" t="s">
        <v>16</v>
      </c>
      <c r="D35" s="277"/>
      <c r="E35" s="30">
        <f>(E30-D30)/D30</f>
        <v>-0.12574850299401197</v>
      </c>
      <c r="F35" s="30">
        <f t="shared" ref="F35:K36" si="3">(F30-E30)/E30</f>
        <v>0.17579908675799097</v>
      </c>
      <c r="G35" s="30">
        <f t="shared" si="3"/>
        <v>9.7087378640776344E-3</v>
      </c>
      <c r="H35" s="30">
        <f t="shared" si="3"/>
        <v>9.6153846153845812E-3</v>
      </c>
      <c r="I35" s="30">
        <f t="shared" si="3"/>
        <v>9.52380952380949E-3</v>
      </c>
      <c r="J35" s="30">
        <f t="shared" si="3"/>
        <v>9.4339622641509101E-3</v>
      </c>
      <c r="K35" s="30">
        <f t="shared" si="3"/>
        <v>9.3457943925234974E-3</v>
      </c>
    </row>
    <row r="36" spans="1:11">
      <c r="A36" s="288"/>
      <c r="B36" s="33">
        <v>41621</v>
      </c>
      <c r="C36" s="282" t="s">
        <v>16</v>
      </c>
      <c r="D36" s="283"/>
      <c r="E36" s="105">
        <f>(E31-D31)/D31</f>
        <v>-0.12175648702594799</v>
      </c>
      <c r="F36" s="105">
        <f t="shared" si="3"/>
        <v>0.1022727272727271</v>
      </c>
      <c r="G36" s="105">
        <f t="shared" si="3"/>
        <v>5.1546391752577324E-2</v>
      </c>
      <c r="H36" s="105">
        <f t="shared" si="3"/>
        <v>1.9607843137255009E-2</v>
      </c>
      <c r="I36" s="105">
        <f t="shared" si="3"/>
        <v>1.9230769230769162E-2</v>
      </c>
      <c r="J36" s="105">
        <f t="shared" si="3"/>
        <v>9.4339622641509101E-3</v>
      </c>
      <c r="K36" s="30"/>
    </row>
    <row r="37" spans="1:11" hidden="1">
      <c r="A37" s="289"/>
      <c r="B37" s="33">
        <v>41499</v>
      </c>
      <c r="C37" s="276" t="s">
        <v>16</v>
      </c>
      <c r="D37" s="277"/>
      <c r="E37" s="30">
        <f>(E32-D32)/D32</f>
        <v>-0.1</v>
      </c>
      <c r="F37" s="30">
        <f>(F32-E32)/E32</f>
        <v>0.1111111111111111</v>
      </c>
      <c r="G37" s="30">
        <f>(G32-F32)/F32</f>
        <v>8.0000000000000071E-2</v>
      </c>
      <c r="H37" s="30">
        <f>(H32-G32)/G32</f>
        <v>1.8518518518518452E-2</v>
      </c>
      <c r="I37" s="30">
        <f>(I32-H32)/H32</f>
        <v>0</v>
      </c>
      <c r="J37" s="30">
        <f>(J32-I32)/I32</f>
        <v>0</v>
      </c>
      <c r="K37" s="30"/>
    </row>
    <row r="38" spans="1:11">
      <c r="A38" s="65"/>
      <c r="B38" s="65"/>
      <c r="C38" s="65"/>
      <c r="D38" s="76"/>
      <c r="E38" s="76"/>
      <c r="F38" s="76"/>
      <c r="G38" s="76"/>
      <c r="H38" s="76"/>
      <c r="I38" s="76"/>
      <c r="K38" s="76"/>
    </row>
    <row r="39" spans="1:11">
      <c r="A39" s="287" t="s">
        <v>19</v>
      </c>
      <c r="B39" s="273">
        <v>41852</v>
      </c>
      <c r="C39" s="101" t="s">
        <v>2</v>
      </c>
      <c r="D39" s="55"/>
      <c r="E39" s="111">
        <v>1177.5</v>
      </c>
      <c r="F39" s="111">
        <v>1162</v>
      </c>
      <c r="G39" s="111">
        <v>1149</v>
      </c>
      <c r="H39" s="111">
        <v>1116</v>
      </c>
      <c r="I39" s="111">
        <v>1083</v>
      </c>
      <c r="J39" s="111">
        <v>1050</v>
      </c>
      <c r="K39" s="111">
        <v>1018</v>
      </c>
    </row>
    <row r="40" spans="1:11">
      <c r="A40" s="288"/>
      <c r="B40" s="272"/>
      <c r="C40" s="102" t="s">
        <v>0</v>
      </c>
      <c r="D40" s="121"/>
      <c r="E40" s="121"/>
      <c r="F40" s="121">
        <v>1175.5</v>
      </c>
      <c r="G40" s="121">
        <v>1187.3</v>
      </c>
      <c r="H40" s="121">
        <v>1182</v>
      </c>
      <c r="I40" s="121">
        <v>1174.4000000000001</v>
      </c>
      <c r="J40" s="121">
        <v>1165.8</v>
      </c>
      <c r="K40" s="121">
        <v>1153</v>
      </c>
    </row>
    <row r="41" spans="1:11">
      <c r="A41" s="288"/>
      <c r="B41" s="272"/>
      <c r="C41" s="103" t="s">
        <v>3</v>
      </c>
      <c r="D41" s="57"/>
      <c r="E41" s="57"/>
      <c r="F41" s="57"/>
      <c r="G41" s="57"/>
      <c r="H41" s="57"/>
      <c r="I41" s="57"/>
      <c r="J41" s="57"/>
      <c r="K41" s="57"/>
    </row>
    <row r="42" spans="1:11">
      <c r="A42" s="288"/>
      <c r="B42" s="272"/>
      <c r="C42" s="98" t="s">
        <v>1</v>
      </c>
      <c r="D42" s="122">
        <v>1227</v>
      </c>
      <c r="E42" s="122">
        <f>AVERAGE(E39:E41)</f>
        <v>1177.5</v>
      </c>
      <c r="F42" s="122">
        <v>1170</v>
      </c>
      <c r="G42" s="122">
        <f>F42*0.99</f>
        <v>1158.3</v>
      </c>
      <c r="H42" s="122">
        <f>G42*0.97</f>
        <v>1123.5509999999999</v>
      </c>
      <c r="I42" s="122">
        <f>H42*0.97</f>
        <v>1089.84447</v>
      </c>
      <c r="J42" s="122">
        <f>I42*0.97</f>
        <v>1057.1491358999999</v>
      </c>
      <c r="K42" s="122">
        <f>J42*0.97</f>
        <v>1025.4346618229999</v>
      </c>
    </row>
    <row r="43" spans="1:11">
      <c r="A43" s="288"/>
      <c r="B43" s="33">
        <v>41609</v>
      </c>
      <c r="C43" s="6" t="s">
        <v>1</v>
      </c>
      <c r="D43" s="55">
        <v>1227</v>
      </c>
      <c r="E43" s="55">
        <v>1175</v>
      </c>
      <c r="F43" s="55">
        <v>1130</v>
      </c>
      <c r="G43" s="55">
        <v>1090</v>
      </c>
      <c r="H43" s="55">
        <v>1050</v>
      </c>
      <c r="I43" s="55">
        <v>1010</v>
      </c>
      <c r="J43" s="55">
        <v>970</v>
      </c>
      <c r="K43" s="123"/>
    </row>
    <row r="44" spans="1:11">
      <c r="A44" s="288"/>
      <c r="B44" s="33">
        <v>41499</v>
      </c>
      <c r="C44" s="6" t="s">
        <v>1</v>
      </c>
      <c r="D44" s="55">
        <v>1225.8499999999999</v>
      </c>
      <c r="E44" s="55">
        <v>1165</v>
      </c>
      <c r="F44" s="55">
        <v>1110</v>
      </c>
      <c r="G44" s="55">
        <v>1070</v>
      </c>
      <c r="H44" s="55">
        <v>1030</v>
      </c>
      <c r="I44" s="55">
        <v>1000</v>
      </c>
      <c r="J44" s="55">
        <v>960</v>
      </c>
      <c r="K44" s="123"/>
    </row>
    <row r="45" spans="1:11" hidden="1">
      <c r="A45" s="288"/>
      <c r="B45" s="33">
        <v>41317</v>
      </c>
      <c r="C45" s="6" t="s">
        <v>1</v>
      </c>
      <c r="D45" s="123">
        <v>1226</v>
      </c>
      <c r="E45" s="123">
        <v>1185</v>
      </c>
      <c r="F45" s="123">
        <v>1151</v>
      </c>
      <c r="G45" s="123">
        <v>1121</v>
      </c>
      <c r="H45" s="123">
        <v>1090.1407234210708</v>
      </c>
      <c r="I45" s="123">
        <v>1048</v>
      </c>
      <c r="J45" s="123"/>
      <c r="K45" s="123"/>
    </row>
    <row r="46" spans="1:11" hidden="1">
      <c r="A46" s="288"/>
      <c r="B46" s="33">
        <v>41244</v>
      </c>
      <c r="C46" s="6" t="s">
        <v>1</v>
      </c>
      <c r="D46" s="123">
        <v>1228.5423506666664</v>
      </c>
      <c r="E46" s="123">
        <v>1184.5870287874238</v>
      </c>
      <c r="F46" s="123">
        <v>1151.3778293463738</v>
      </c>
      <c r="G46" s="123">
        <v>1121.0332793283103</v>
      </c>
      <c r="H46" s="123">
        <v>1090.1407234210708</v>
      </c>
      <c r="I46" s="123">
        <v>1048</v>
      </c>
      <c r="J46" s="123">
        <v>1048</v>
      </c>
      <c r="K46" s="123"/>
    </row>
    <row r="47" spans="1:11">
      <c r="A47" s="288"/>
      <c r="B47" s="33">
        <v>41852</v>
      </c>
      <c r="C47" s="276" t="s">
        <v>16</v>
      </c>
      <c r="D47" s="277"/>
      <c r="E47" s="30">
        <f>(E42-D42)/D42</f>
        <v>-4.0342298288508556E-2</v>
      </c>
      <c r="F47" s="30">
        <f t="shared" ref="F47:K48" si="4">(F42-E42)/E42</f>
        <v>-6.369426751592357E-3</v>
      </c>
      <c r="G47" s="30">
        <f t="shared" si="4"/>
        <v>-1.0000000000000038E-2</v>
      </c>
      <c r="H47" s="30">
        <f t="shared" si="4"/>
        <v>-3.0000000000000023E-2</v>
      </c>
      <c r="I47" s="30">
        <f t="shared" si="4"/>
        <v>-2.999999999999994E-2</v>
      </c>
      <c r="J47" s="30">
        <f t="shared" si="4"/>
        <v>-3.0000000000000075E-2</v>
      </c>
      <c r="K47" s="30">
        <f t="shared" si="4"/>
        <v>-2.9999999999999982E-2</v>
      </c>
    </row>
    <row r="48" spans="1:11">
      <c r="A48" s="288"/>
      <c r="B48" s="33">
        <v>41621</v>
      </c>
      <c r="C48" s="282" t="s">
        <v>16</v>
      </c>
      <c r="D48" s="283"/>
      <c r="E48" s="105">
        <f>(E43-D43)/D43</f>
        <v>-4.2379788101059496E-2</v>
      </c>
      <c r="F48" s="105">
        <f t="shared" si="4"/>
        <v>-3.8297872340425532E-2</v>
      </c>
      <c r="G48" s="105">
        <f t="shared" si="4"/>
        <v>-3.5398230088495575E-2</v>
      </c>
      <c r="H48" s="105">
        <f t="shared" si="4"/>
        <v>-3.669724770642202E-2</v>
      </c>
      <c r="I48" s="105">
        <f t="shared" si="4"/>
        <v>-3.8095238095238099E-2</v>
      </c>
      <c r="J48" s="105">
        <f t="shared" si="4"/>
        <v>-3.9603960396039604E-2</v>
      </c>
      <c r="K48" s="105"/>
    </row>
    <row r="49" spans="1:11" hidden="1">
      <c r="A49" s="289"/>
      <c r="B49" s="33">
        <v>41499</v>
      </c>
      <c r="C49" s="276" t="s">
        <v>16</v>
      </c>
      <c r="D49" s="277"/>
      <c r="E49" s="30">
        <f>(E44-D44)/D44</f>
        <v>-4.9639025981971625E-2</v>
      </c>
      <c r="F49" s="30">
        <f>(F44-E44)/E44</f>
        <v>-4.7210300429184553E-2</v>
      </c>
      <c r="G49" s="30">
        <f>(G44-F44)/F44</f>
        <v>-3.6036036036036036E-2</v>
      </c>
      <c r="H49" s="30">
        <f>(H44-G44)/G44</f>
        <v>-3.7383177570093455E-2</v>
      </c>
      <c r="I49" s="30">
        <f>(I44-H44)/H44</f>
        <v>-2.9126213592233011E-2</v>
      </c>
      <c r="J49" s="30">
        <f>(J44-I44)/I44</f>
        <v>-0.04</v>
      </c>
      <c r="K49" s="30"/>
    </row>
    <row r="50" spans="1:11">
      <c r="A50" s="108"/>
      <c r="B50" s="13"/>
      <c r="F50" s="112"/>
      <c r="G50" s="112"/>
      <c r="H50" s="112"/>
      <c r="I50" s="112"/>
      <c r="J50" s="112"/>
      <c r="K50" s="112"/>
    </row>
    <row r="51" spans="1:11">
      <c r="A51" s="9"/>
      <c r="B51" s="13"/>
      <c r="E51" s="94"/>
      <c r="F51" s="94"/>
      <c r="G51" s="112"/>
      <c r="H51" s="112"/>
      <c r="I51" s="112"/>
      <c r="J51" s="112"/>
      <c r="K51" s="112"/>
    </row>
    <row r="52" spans="1:11">
      <c r="A52" s="9"/>
      <c r="B52" s="13"/>
      <c r="E52" s="94"/>
      <c r="F52" s="94"/>
      <c r="G52" s="94"/>
      <c r="H52" s="94"/>
      <c r="I52" s="94"/>
      <c r="J52" s="94"/>
    </row>
    <row r="53" spans="1:11">
      <c r="A53" s="9"/>
      <c r="B53" s="13"/>
    </row>
    <row r="54" spans="1:11">
      <c r="A54" s="9"/>
      <c r="B54" s="13"/>
    </row>
    <row r="55" spans="1:11">
      <c r="A55" s="9"/>
      <c r="B55" s="13"/>
    </row>
    <row r="56" spans="1:11">
      <c r="A56" s="9"/>
      <c r="B56" s="13"/>
    </row>
    <row r="57" spans="1:11">
      <c r="A57" s="9"/>
      <c r="B57" s="13"/>
    </row>
    <row r="58" spans="1:11">
      <c r="A58" s="9"/>
      <c r="B58" s="13"/>
    </row>
    <row r="59" spans="1:11">
      <c r="A59" s="9"/>
      <c r="B59" s="13"/>
    </row>
    <row r="60" spans="1:11">
      <c r="A60" s="9"/>
      <c r="B60" s="13"/>
    </row>
  </sheetData>
  <mergeCells count="20">
    <mergeCell ref="A27:A37"/>
    <mergeCell ref="B27:B30"/>
    <mergeCell ref="C35:D35"/>
    <mergeCell ref="C36:D36"/>
    <mergeCell ref="C37:D37"/>
    <mergeCell ref="A39:A49"/>
    <mergeCell ref="B39:B42"/>
    <mergeCell ref="C47:D47"/>
    <mergeCell ref="C48:D48"/>
    <mergeCell ref="C49:D49"/>
    <mergeCell ref="A2:A13"/>
    <mergeCell ref="B2:B6"/>
    <mergeCell ref="C11:D11"/>
    <mergeCell ref="C12:D12"/>
    <mergeCell ref="C13:D13"/>
    <mergeCell ref="A15:A25"/>
    <mergeCell ref="B15:B18"/>
    <mergeCell ref="C23:D23"/>
    <mergeCell ref="C24:D24"/>
    <mergeCell ref="C25:D25"/>
  </mergeCells>
  <pageMargins left="0.5" right="0.5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N65"/>
  <sheetViews>
    <sheetView zoomScale="120" zoomScaleNormal="120" workbookViewId="0">
      <pane ySplit="1" topLeftCell="A2" activePane="bottomLeft" state="frozen"/>
      <selection pane="bottomLeft"/>
    </sheetView>
  </sheetViews>
  <sheetFormatPr defaultColWidth="9.28515625" defaultRowHeight="15"/>
  <cols>
    <col min="1" max="1" width="9.5703125" customWidth="1"/>
    <col min="2" max="2" width="11.28515625" customWidth="1"/>
    <col min="3" max="3" width="6.7109375" bestFit="1" customWidth="1"/>
    <col min="4" max="5" width="8.42578125" customWidth="1"/>
    <col min="6" max="6" width="9.42578125" bestFit="1" customWidth="1"/>
    <col min="7" max="7" width="8.5703125" customWidth="1"/>
    <col min="8" max="8" width="9.42578125" bestFit="1" customWidth="1"/>
    <col min="9" max="10" width="9.28515625" bestFit="1" customWidth="1"/>
    <col min="11" max="11" width="8.42578125" customWidth="1"/>
  </cols>
  <sheetData>
    <row r="1" spans="1:14" ht="30">
      <c r="A1" s="8"/>
      <c r="B1" s="11"/>
      <c r="C1" s="6"/>
      <c r="D1" s="96" t="s">
        <v>17</v>
      </c>
      <c r="E1" s="96" t="s">
        <v>25</v>
      </c>
      <c r="F1" s="96" t="s">
        <v>6</v>
      </c>
      <c r="G1" s="96" t="s">
        <v>7</v>
      </c>
      <c r="H1" s="96" t="s">
        <v>8</v>
      </c>
      <c r="I1" s="96" t="s">
        <v>9</v>
      </c>
      <c r="J1" s="96" t="s">
        <v>21</v>
      </c>
      <c r="K1" s="96" t="s">
        <v>24</v>
      </c>
    </row>
    <row r="2" spans="1:14">
      <c r="A2" s="284" t="s">
        <v>10</v>
      </c>
      <c r="B2" s="273" t="s">
        <v>26</v>
      </c>
      <c r="C2" s="100" t="s">
        <v>4</v>
      </c>
      <c r="D2" s="17"/>
      <c r="E2" s="17"/>
      <c r="F2" s="17">
        <v>95.21</v>
      </c>
      <c r="G2" s="17">
        <v>72.27</v>
      </c>
      <c r="H2" s="17">
        <v>65.319999999999993</v>
      </c>
      <c r="I2" s="17">
        <v>71.959999999999994</v>
      </c>
      <c r="J2" s="17">
        <v>76.959999999999994</v>
      </c>
      <c r="K2" s="17">
        <v>81.680000000000007</v>
      </c>
    </row>
    <row r="3" spans="1:14">
      <c r="A3" s="285"/>
      <c r="B3" s="272"/>
      <c r="C3" s="101" t="s">
        <v>2</v>
      </c>
      <c r="D3" s="29"/>
      <c r="E3" s="14"/>
      <c r="F3" s="14">
        <v>95.13</v>
      </c>
      <c r="G3" s="14">
        <v>70</v>
      </c>
      <c r="H3" s="14">
        <v>65.5</v>
      </c>
      <c r="I3" s="14">
        <v>69</v>
      </c>
      <c r="J3" s="14">
        <v>73</v>
      </c>
      <c r="K3" s="14">
        <v>76</v>
      </c>
    </row>
    <row r="4" spans="1:14">
      <c r="A4" s="285"/>
      <c r="B4" s="272"/>
      <c r="C4" s="102" t="s">
        <v>0</v>
      </c>
      <c r="D4" s="15"/>
      <c r="E4" s="15"/>
      <c r="F4" s="15">
        <v>95.09</v>
      </c>
      <c r="G4" s="15">
        <v>69.06</v>
      </c>
      <c r="H4" s="15">
        <v>62.33</v>
      </c>
      <c r="I4" s="15">
        <v>73.760000000000005</v>
      </c>
      <c r="J4" s="15">
        <v>77.44</v>
      </c>
      <c r="K4" s="15">
        <v>79.78</v>
      </c>
    </row>
    <row r="5" spans="1:14">
      <c r="A5" s="285"/>
      <c r="B5" s="272"/>
      <c r="C5" s="103" t="s">
        <v>3</v>
      </c>
      <c r="D5" s="16"/>
      <c r="E5" s="16"/>
      <c r="F5" s="16">
        <v>95.13</v>
      </c>
      <c r="G5" s="16">
        <v>72</v>
      </c>
      <c r="H5" s="16">
        <v>67.5</v>
      </c>
      <c r="I5" s="16">
        <v>74</v>
      </c>
      <c r="J5" s="16">
        <v>78</v>
      </c>
      <c r="K5" s="16">
        <v>81.5</v>
      </c>
    </row>
    <row r="6" spans="1:14">
      <c r="A6" s="285"/>
      <c r="B6" s="272"/>
      <c r="C6" s="103"/>
      <c r="D6" s="16"/>
      <c r="E6" s="16"/>
      <c r="F6" s="16"/>
      <c r="G6" s="16">
        <f>AVERAGE(G2:G5)</f>
        <v>70.832499999999996</v>
      </c>
      <c r="H6" s="16">
        <f>AVERAGE(H2:H5)</f>
        <v>65.162499999999994</v>
      </c>
      <c r="I6" s="16">
        <f>AVERAGE(I2:I5)</f>
        <v>72.179999999999993</v>
      </c>
      <c r="J6" s="16">
        <f>AVERAGE(J2:J5)</f>
        <v>76.349999999999994</v>
      </c>
      <c r="K6" s="16">
        <f>AVERAGE(K2:K5)</f>
        <v>79.740000000000009</v>
      </c>
    </row>
    <row r="7" spans="1:14">
      <c r="A7" s="285"/>
      <c r="B7" s="272"/>
      <c r="C7" s="98" t="s">
        <v>1</v>
      </c>
      <c r="D7" s="99">
        <v>89.65</v>
      </c>
      <c r="E7" s="99">
        <v>85.82</v>
      </c>
      <c r="F7" s="99">
        <f>ROUND(AVERAGE(F2:F5),2)</f>
        <v>95.14</v>
      </c>
      <c r="G7" s="99">
        <v>71</v>
      </c>
      <c r="H7" s="99">
        <v>66</v>
      </c>
      <c r="I7" s="99">
        <v>72</v>
      </c>
      <c r="J7" s="99">
        <v>76</v>
      </c>
      <c r="K7" s="99">
        <v>80</v>
      </c>
    </row>
    <row r="8" spans="1:14">
      <c r="A8" s="285"/>
      <c r="B8" s="33">
        <v>41852</v>
      </c>
      <c r="C8" s="6" t="s">
        <v>1</v>
      </c>
      <c r="D8" s="14">
        <v>89.65</v>
      </c>
      <c r="E8" s="14">
        <v>85.82</v>
      </c>
      <c r="F8" s="14">
        <v>95.75</v>
      </c>
      <c r="G8" s="14">
        <v>92</v>
      </c>
      <c r="H8" s="14">
        <v>88</v>
      </c>
      <c r="I8" s="14">
        <v>87</v>
      </c>
      <c r="J8" s="14">
        <v>86</v>
      </c>
      <c r="K8" s="14">
        <v>85</v>
      </c>
      <c r="M8" s="112">
        <f>G7/G8-1</f>
        <v>-0.22826086956521741</v>
      </c>
      <c r="N8" s="112">
        <f>H7/H8-1</f>
        <v>-0.25</v>
      </c>
    </row>
    <row r="9" spans="1:14">
      <c r="A9" s="285"/>
      <c r="B9" s="33">
        <v>41609</v>
      </c>
      <c r="C9" s="6" t="s">
        <v>1</v>
      </c>
      <c r="D9" s="14">
        <v>89.65</v>
      </c>
      <c r="E9" s="14">
        <v>85.82</v>
      </c>
      <c r="F9" s="14">
        <v>93</v>
      </c>
      <c r="G9" s="14">
        <v>86.5</v>
      </c>
      <c r="H9" s="14">
        <v>84.5</v>
      </c>
      <c r="I9" s="14">
        <v>83.5</v>
      </c>
      <c r="J9" s="14">
        <v>83.5</v>
      </c>
      <c r="K9" s="14"/>
    </row>
    <row r="10" spans="1:14" hidden="1">
      <c r="A10" s="285"/>
      <c r="B10" s="33">
        <v>41499</v>
      </c>
      <c r="C10" s="6" t="s">
        <v>1</v>
      </c>
      <c r="D10" s="14">
        <v>90</v>
      </c>
      <c r="E10" s="14">
        <v>87</v>
      </c>
      <c r="F10" s="14">
        <v>94</v>
      </c>
      <c r="G10" s="14">
        <v>87.5</v>
      </c>
      <c r="H10" s="14">
        <v>85</v>
      </c>
      <c r="I10" s="14">
        <v>84</v>
      </c>
      <c r="J10" s="14">
        <v>84</v>
      </c>
      <c r="K10" s="14"/>
    </row>
    <row r="11" spans="1:14" hidden="1">
      <c r="A11" s="285"/>
      <c r="B11" s="33">
        <v>41306</v>
      </c>
      <c r="C11" s="6" t="s">
        <v>1</v>
      </c>
      <c r="D11" s="71">
        <v>90</v>
      </c>
      <c r="E11" s="71">
        <v>86.5</v>
      </c>
      <c r="F11" s="71">
        <v>88</v>
      </c>
      <c r="G11" s="71">
        <v>87.5</v>
      </c>
      <c r="H11" s="71">
        <v>87</v>
      </c>
      <c r="I11" s="71">
        <v>86.5</v>
      </c>
      <c r="J11" s="71"/>
      <c r="K11" s="71"/>
    </row>
    <row r="12" spans="1:14" hidden="1">
      <c r="A12" s="285"/>
      <c r="B12" s="33">
        <v>41244</v>
      </c>
      <c r="C12" s="6" t="s">
        <v>1</v>
      </c>
      <c r="D12" s="71">
        <v>89.640506965377526</v>
      </c>
      <c r="E12" s="71">
        <v>85</v>
      </c>
      <c r="F12" s="71">
        <v>84.75</v>
      </c>
      <c r="G12" s="71">
        <v>83.5</v>
      </c>
      <c r="H12" s="71">
        <v>82.5</v>
      </c>
      <c r="I12" s="71">
        <v>83</v>
      </c>
      <c r="J12" s="71">
        <v>83</v>
      </c>
      <c r="K12" s="71"/>
    </row>
    <row r="13" spans="1:14">
      <c r="A13" s="285"/>
      <c r="B13" s="33">
        <v>41974</v>
      </c>
      <c r="C13" s="276" t="s">
        <v>16</v>
      </c>
      <c r="D13" s="277"/>
      <c r="E13" s="30">
        <f t="shared" ref="E13:K13" si="0">+E7/D7-1</f>
        <v>-4.2721695482431765E-2</v>
      </c>
      <c r="F13" s="30">
        <f t="shared" si="0"/>
        <v>0.10859939408063402</v>
      </c>
      <c r="G13" s="30">
        <f t="shared" si="0"/>
        <v>-0.25373134328358204</v>
      </c>
      <c r="H13" s="30">
        <f t="shared" si="0"/>
        <v>-7.0422535211267623E-2</v>
      </c>
      <c r="I13" s="30">
        <f t="shared" si="0"/>
        <v>9.0909090909090828E-2</v>
      </c>
      <c r="J13" s="30">
        <f t="shared" si="0"/>
        <v>5.555555555555558E-2</v>
      </c>
      <c r="K13" s="30">
        <f t="shared" si="0"/>
        <v>5.2631578947368363E-2</v>
      </c>
    </row>
    <row r="14" spans="1:14">
      <c r="A14" s="285"/>
      <c r="B14" s="33">
        <v>41487</v>
      </c>
      <c r="C14" s="282" t="s">
        <v>16</v>
      </c>
      <c r="D14" s="283"/>
      <c r="E14" s="105">
        <f t="shared" ref="E14:J14" si="1">(E8-D8)/D8</f>
        <v>-4.2721695482431814E-2</v>
      </c>
      <c r="F14" s="105">
        <f t="shared" si="1"/>
        <v>0.11570729433698447</v>
      </c>
      <c r="G14" s="105">
        <f t="shared" si="1"/>
        <v>-3.91644908616188E-2</v>
      </c>
      <c r="H14" s="105">
        <f t="shared" si="1"/>
        <v>-4.3478260869565216E-2</v>
      </c>
      <c r="I14" s="105">
        <f t="shared" si="1"/>
        <v>-1.1363636363636364E-2</v>
      </c>
      <c r="J14" s="105">
        <f t="shared" si="1"/>
        <v>-1.1494252873563218E-2</v>
      </c>
      <c r="K14" s="105"/>
    </row>
    <row r="15" spans="1:14" hidden="1">
      <c r="A15" s="286"/>
      <c r="B15" s="33">
        <v>41499</v>
      </c>
      <c r="C15" s="276" t="s">
        <v>16</v>
      </c>
      <c r="D15" s="277"/>
      <c r="E15" s="30">
        <f t="shared" ref="E15:J15" si="2">(E10-D10)/D10</f>
        <v>-3.3333333333333333E-2</v>
      </c>
      <c r="F15" s="30">
        <f t="shared" si="2"/>
        <v>8.0459770114942528E-2</v>
      </c>
      <c r="G15" s="30">
        <f t="shared" si="2"/>
        <v>-6.9148936170212769E-2</v>
      </c>
      <c r="H15" s="30">
        <f t="shared" si="2"/>
        <v>-2.8571428571428571E-2</v>
      </c>
      <c r="I15" s="30">
        <f t="shared" si="2"/>
        <v>-1.1764705882352941E-2</v>
      </c>
      <c r="J15" s="30">
        <f t="shared" si="2"/>
        <v>0</v>
      </c>
      <c r="K15" s="30"/>
    </row>
    <row r="16" spans="1:14">
      <c r="A16" s="65"/>
      <c r="B16" s="65"/>
      <c r="C16" s="65"/>
      <c r="D16" s="65"/>
      <c r="E16" s="65"/>
      <c r="F16" s="65"/>
      <c r="G16" s="126"/>
      <c r="H16" s="126"/>
      <c r="I16" s="126"/>
      <c r="J16" s="126"/>
      <c r="K16" s="126"/>
    </row>
    <row r="17" spans="1:14">
      <c r="A17" s="281" t="s">
        <v>12</v>
      </c>
      <c r="B17" s="273">
        <v>41974</v>
      </c>
      <c r="C17" s="101" t="s">
        <v>2</v>
      </c>
      <c r="D17" s="104"/>
      <c r="E17" s="104"/>
      <c r="F17" s="104">
        <v>113.4</v>
      </c>
      <c r="G17" s="104">
        <v>123.5</v>
      </c>
      <c r="H17" s="104">
        <v>131.30000000000001</v>
      </c>
      <c r="I17" s="104">
        <v>137.30000000000001</v>
      </c>
      <c r="J17" s="104">
        <v>142.30000000000001</v>
      </c>
      <c r="K17" s="104">
        <v>146.19999999999999</v>
      </c>
    </row>
    <row r="18" spans="1:14">
      <c r="A18" s="281"/>
      <c r="B18" s="272"/>
      <c r="C18" s="102" t="s">
        <v>0</v>
      </c>
      <c r="D18" s="20"/>
      <c r="E18" s="20"/>
      <c r="F18" s="20">
        <v>113.1</v>
      </c>
      <c r="G18" s="20">
        <v>118.8</v>
      </c>
      <c r="H18" s="20">
        <v>123.5</v>
      </c>
      <c r="I18" s="20">
        <v>127.2</v>
      </c>
      <c r="J18" s="75">
        <v>129.80000000000001</v>
      </c>
      <c r="K18" s="20">
        <v>131.1</v>
      </c>
    </row>
    <row r="19" spans="1:14">
      <c r="A19" s="281"/>
      <c r="B19" s="272"/>
      <c r="C19" s="103" t="s">
        <v>3</v>
      </c>
      <c r="D19" s="21"/>
      <c r="E19" s="21"/>
      <c r="F19" s="21">
        <v>113.5</v>
      </c>
      <c r="G19" s="21">
        <v>123.8</v>
      </c>
      <c r="H19" s="21">
        <v>131.80000000000001</v>
      </c>
      <c r="I19" s="21">
        <v>140.9</v>
      </c>
      <c r="J19" s="21">
        <v>150.80000000000001</v>
      </c>
      <c r="K19" s="21">
        <v>161.69999999999999</v>
      </c>
    </row>
    <row r="20" spans="1:14">
      <c r="A20" s="281"/>
      <c r="B20" s="272"/>
      <c r="C20" s="98" t="s">
        <v>1</v>
      </c>
      <c r="D20" s="97">
        <v>80.3</v>
      </c>
      <c r="E20" s="97">
        <v>96.4</v>
      </c>
      <c r="F20" s="124">
        <v>113.4</v>
      </c>
      <c r="G20" s="124">
        <v>122</v>
      </c>
      <c r="H20" s="124">
        <v>127</v>
      </c>
      <c r="I20" s="124">
        <v>131</v>
      </c>
      <c r="J20" s="124">
        <v>133</v>
      </c>
      <c r="K20" s="124">
        <v>135</v>
      </c>
    </row>
    <row r="21" spans="1:14">
      <c r="A21" s="281"/>
      <c r="B21" s="33">
        <v>41852</v>
      </c>
      <c r="C21" s="6" t="s">
        <v>1</v>
      </c>
      <c r="D21" s="109">
        <v>80.3</v>
      </c>
      <c r="E21" s="109">
        <v>96.4</v>
      </c>
      <c r="F21" s="109">
        <v>110</v>
      </c>
      <c r="G21" s="109">
        <v>117</v>
      </c>
      <c r="H21" s="109">
        <v>122</v>
      </c>
      <c r="I21" s="109">
        <v>125</v>
      </c>
      <c r="J21" s="109">
        <v>127</v>
      </c>
      <c r="K21" s="109">
        <v>129</v>
      </c>
      <c r="M21" s="112">
        <f>G20/G21-1</f>
        <v>4.2735042735042805E-2</v>
      </c>
      <c r="N21" s="112">
        <f>H20/H21-1</f>
        <v>4.0983606557376984E-2</v>
      </c>
    </row>
    <row r="22" spans="1:14">
      <c r="A22" s="281"/>
      <c r="B22" s="33">
        <v>41609</v>
      </c>
      <c r="C22" s="6" t="s">
        <v>1</v>
      </c>
      <c r="D22" s="109">
        <v>80.3</v>
      </c>
      <c r="E22" s="109">
        <v>94.2</v>
      </c>
      <c r="F22" s="109">
        <v>99</v>
      </c>
      <c r="G22" s="109">
        <v>103</v>
      </c>
      <c r="H22" s="109">
        <v>106</v>
      </c>
      <c r="I22" s="109">
        <v>108</v>
      </c>
      <c r="J22" s="109">
        <v>109</v>
      </c>
      <c r="K22" s="109"/>
    </row>
    <row r="23" spans="1:14" hidden="1">
      <c r="A23" s="281"/>
      <c r="B23" s="33">
        <v>41499</v>
      </c>
      <c r="C23" s="6" t="s">
        <v>1</v>
      </c>
      <c r="D23" s="109">
        <v>80.069999999999993</v>
      </c>
      <c r="E23" s="109">
        <v>90</v>
      </c>
      <c r="F23" s="109">
        <v>93</v>
      </c>
      <c r="G23" s="109">
        <v>97</v>
      </c>
      <c r="H23" s="109">
        <v>100</v>
      </c>
      <c r="I23" s="109">
        <v>101</v>
      </c>
      <c r="J23" s="109">
        <v>102</v>
      </c>
      <c r="K23" s="109"/>
    </row>
    <row r="24" spans="1:14" hidden="1">
      <c r="A24" s="281"/>
      <c r="B24" s="33">
        <v>41317</v>
      </c>
      <c r="C24" s="6" t="s">
        <v>1</v>
      </c>
      <c r="D24" s="88">
        <v>80.099999999999994</v>
      </c>
      <c r="E24" s="88">
        <v>87</v>
      </c>
      <c r="F24" s="88">
        <v>91.4</v>
      </c>
      <c r="G24" s="88">
        <v>94.1</v>
      </c>
      <c r="H24" s="88">
        <v>96</v>
      </c>
      <c r="I24" s="88">
        <v>97.9</v>
      </c>
      <c r="J24" s="88"/>
      <c r="K24" s="88"/>
    </row>
    <row r="25" spans="1:14" hidden="1">
      <c r="A25" s="281"/>
      <c r="B25" s="33">
        <v>41244</v>
      </c>
      <c r="C25" s="6" t="s">
        <v>1</v>
      </c>
      <c r="D25" s="88">
        <v>79.7</v>
      </c>
      <c r="E25" s="88">
        <v>84.119744824999998</v>
      </c>
      <c r="F25" s="88">
        <v>88.406534618000009</v>
      </c>
      <c r="G25" s="88">
        <v>92.434230656539995</v>
      </c>
      <c r="H25" s="88">
        <v>96.132415269670815</v>
      </c>
      <c r="I25" s="88">
        <v>97.6</v>
      </c>
      <c r="J25" s="88">
        <v>97.6</v>
      </c>
      <c r="K25" s="88"/>
    </row>
    <row r="26" spans="1:14">
      <c r="A26" s="281"/>
      <c r="B26" s="33">
        <v>41974</v>
      </c>
      <c r="C26" s="276" t="s">
        <v>16</v>
      </c>
      <c r="D26" s="277"/>
      <c r="E26" s="30">
        <f>(E20-D20)/D20</f>
        <v>0.20049813200498143</v>
      </c>
      <c r="F26" s="30">
        <f t="shared" ref="F26:K26" si="3">(F20-E20)/E20</f>
        <v>0.17634854771784231</v>
      </c>
      <c r="G26" s="30">
        <f t="shared" si="3"/>
        <v>7.5837742504409111E-2</v>
      </c>
      <c r="H26" s="30">
        <f t="shared" si="3"/>
        <v>4.0983606557377046E-2</v>
      </c>
      <c r="I26" s="30">
        <f t="shared" si="3"/>
        <v>3.1496062992125984E-2</v>
      </c>
      <c r="J26" s="30">
        <f t="shared" si="3"/>
        <v>1.5267175572519083E-2</v>
      </c>
      <c r="K26" s="30">
        <f t="shared" si="3"/>
        <v>1.5037593984962405E-2</v>
      </c>
    </row>
    <row r="27" spans="1:14">
      <c r="A27" s="281"/>
      <c r="B27" s="33">
        <v>41852</v>
      </c>
      <c r="C27" s="282" t="s">
        <v>16</v>
      </c>
      <c r="D27" s="283"/>
      <c r="E27" s="105">
        <f>(E21-D21)/D21</f>
        <v>0.20049813200498143</v>
      </c>
      <c r="F27" s="105">
        <f t="shared" ref="F27:K27" si="4">(F21-E21)/E21</f>
        <v>0.1410788381742738</v>
      </c>
      <c r="G27" s="105">
        <f t="shared" si="4"/>
        <v>6.363636363636363E-2</v>
      </c>
      <c r="H27" s="105">
        <f t="shared" si="4"/>
        <v>4.2735042735042736E-2</v>
      </c>
      <c r="I27" s="105">
        <f t="shared" si="4"/>
        <v>2.4590163934426229E-2</v>
      </c>
      <c r="J27" s="105">
        <f t="shared" si="4"/>
        <v>1.6E-2</v>
      </c>
      <c r="K27" s="105">
        <f t="shared" si="4"/>
        <v>1.5748031496062992E-2</v>
      </c>
    </row>
    <row r="28" spans="1:14" hidden="1">
      <c r="A28" s="281"/>
      <c r="B28" s="33">
        <v>41499</v>
      </c>
      <c r="C28" s="276" t="s">
        <v>16</v>
      </c>
      <c r="D28" s="277"/>
      <c r="E28" s="30">
        <f t="shared" ref="E28:J28" si="5">(E23-D23)/D23</f>
        <v>0.12401648557512186</v>
      </c>
      <c r="F28" s="30">
        <f t="shared" si="5"/>
        <v>3.3333333333333333E-2</v>
      </c>
      <c r="G28" s="30">
        <f t="shared" si="5"/>
        <v>4.3010752688172046E-2</v>
      </c>
      <c r="H28" s="30">
        <f t="shared" si="5"/>
        <v>3.0927835051546393E-2</v>
      </c>
      <c r="I28" s="30">
        <f t="shared" si="5"/>
        <v>0.01</v>
      </c>
      <c r="J28" s="30">
        <f t="shared" si="5"/>
        <v>9.9009900990099011E-3</v>
      </c>
      <c r="K28" s="30"/>
    </row>
    <row r="29" spans="1:14">
      <c r="A29" s="106"/>
      <c r="B29" s="107"/>
      <c r="C29" s="67"/>
      <c r="D29" s="67"/>
      <c r="E29" s="68"/>
      <c r="F29" s="68"/>
      <c r="G29" s="125"/>
      <c r="H29" s="125"/>
      <c r="I29" s="125"/>
      <c r="J29" s="125"/>
      <c r="K29" s="125"/>
    </row>
    <row r="30" spans="1:14">
      <c r="A30" s="287" t="s">
        <v>18</v>
      </c>
      <c r="B30" s="273">
        <v>41974</v>
      </c>
      <c r="C30" s="101" t="s">
        <v>2</v>
      </c>
      <c r="D30" s="86"/>
      <c r="E30" s="86"/>
      <c r="F30" s="86">
        <v>5.13</v>
      </c>
      <c r="G30" s="86">
        <v>4.9000000000000004</v>
      </c>
      <c r="H30" s="86">
        <v>4.8499999999999996</v>
      </c>
      <c r="I30" s="86">
        <v>4.9000000000000004</v>
      </c>
      <c r="J30" s="87">
        <v>5</v>
      </c>
      <c r="K30" s="86">
        <v>5.0999999999999996</v>
      </c>
    </row>
    <row r="31" spans="1:14">
      <c r="A31" s="288"/>
      <c r="B31" s="272"/>
      <c r="C31" s="102" t="s">
        <v>0</v>
      </c>
      <c r="D31" s="15"/>
      <c r="E31" s="15"/>
      <c r="F31" s="15">
        <v>5.13</v>
      </c>
      <c r="G31" s="15">
        <v>4.9000000000000004</v>
      </c>
      <c r="H31" s="15">
        <v>4.95</v>
      </c>
      <c r="I31" s="15">
        <v>5</v>
      </c>
      <c r="J31" s="15">
        <v>5.2</v>
      </c>
      <c r="K31" s="15">
        <v>5.4</v>
      </c>
    </row>
    <row r="32" spans="1:14">
      <c r="A32" s="288"/>
      <c r="B32" s="272"/>
      <c r="C32" s="103" t="s">
        <v>3</v>
      </c>
      <c r="D32" s="16"/>
      <c r="E32" s="16"/>
      <c r="F32" s="16">
        <v>5.13</v>
      </c>
      <c r="G32" s="16">
        <v>4.97</v>
      </c>
      <c r="H32" s="16">
        <v>4.8</v>
      </c>
      <c r="I32" s="16">
        <v>4.97</v>
      </c>
      <c r="J32" s="16">
        <v>5.09</v>
      </c>
      <c r="K32" s="16">
        <v>5.22</v>
      </c>
    </row>
    <row r="33" spans="1:14">
      <c r="A33" s="288"/>
      <c r="B33" s="272"/>
      <c r="C33" s="98" t="s">
        <v>1</v>
      </c>
      <c r="D33" s="99">
        <v>5.01</v>
      </c>
      <c r="E33" s="99">
        <v>4.38</v>
      </c>
      <c r="F33" s="99">
        <v>5.13</v>
      </c>
      <c r="G33" s="99">
        <v>4.9000000000000004</v>
      </c>
      <c r="H33" s="99">
        <v>4.9000000000000004</v>
      </c>
      <c r="I33" s="99">
        <v>4.95</v>
      </c>
      <c r="J33" s="99">
        <v>5.0999999999999996</v>
      </c>
      <c r="K33" s="99">
        <v>5.2</v>
      </c>
    </row>
    <row r="34" spans="1:14">
      <c r="A34" s="288"/>
      <c r="B34" s="33">
        <v>41852</v>
      </c>
      <c r="C34" s="6" t="s">
        <v>1</v>
      </c>
      <c r="D34" s="14">
        <v>5.01</v>
      </c>
      <c r="E34" s="14">
        <v>4.38</v>
      </c>
      <c r="F34" s="14">
        <v>5.15</v>
      </c>
      <c r="G34" s="14">
        <v>5.2</v>
      </c>
      <c r="H34" s="14">
        <v>5.25</v>
      </c>
      <c r="I34" s="14">
        <v>5.3</v>
      </c>
      <c r="J34" s="14">
        <v>5.35</v>
      </c>
      <c r="K34" s="14">
        <v>5.4</v>
      </c>
      <c r="M34" s="112">
        <f>G33/G34-1</f>
        <v>-5.7692307692307709E-2</v>
      </c>
      <c r="N34" s="112">
        <f>H33/H34-1</f>
        <v>-6.6666666666666652E-2</v>
      </c>
    </row>
    <row r="35" spans="1:14">
      <c r="A35" s="288"/>
      <c r="B35" s="33">
        <v>41609</v>
      </c>
      <c r="C35" s="6" t="s">
        <v>1</v>
      </c>
      <c r="D35" s="14">
        <v>5.01</v>
      </c>
      <c r="E35" s="14">
        <v>4.4000000000000004</v>
      </c>
      <c r="F35" s="14">
        <v>4.8499999999999996</v>
      </c>
      <c r="G35" s="14">
        <v>5.0999999999999996</v>
      </c>
      <c r="H35" s="14">
        <v>5.2</v>
      </c>
      <c r="I35" s="14">
        <v>5.3</v>
      </c>
      <c r="J35" s="14">
        <v>5.35</v>
      </c>
      <c r="K35" s="14"/>
    </row>
    <row r="36" spans="1:14" hidden="1">
      <c r="A36" s="288"/>
      <c r="B36" s="33">
        <v>41499</v>
      </c>
      <c r="C36" s="6" t="s">
        <v>1</v>
      </c>
      <c r="D36" s="14">
        <v>5</v>
      </c>
      <c r="E36" s="14">
        <v>4.5</v>
      </c>
      <c r="F36" s="14">
        <v>5</v>
      </c>
      <c r="G36" s="14">
        <v>5.4</v>
      </c>
      <c r="H36" s="14">
        <v>5.5</v>
      </c>
      <c r="I36" s="14">
        <v>5.5</v>
      </c>
      <c r="J36" s="14">
        <v>5.5</v>
      </c>
      <c r="K36" s="14"/>
    </row>
    <row r="37" spans="1:14" hidden="1">
      <c r="A37" s="288"/>
      <c r="B37" s="33">
        <v>41317</v>
      </c>
      <c r="C37" s="6" t="s">
        <v>1</v>
      </c>
      <c r="D37" s="71">
        <v>5</v>
      </c>
      <c r="E37" s="71">
        <v>4.5</v>
      </c>
      <c r="F37" s="71">
        <v>5.0999999999999996</v>
      </c>
      <c r="G37" s="71">
        <v>5.25</v>
      </c>
      <c r="H37" s="71">
        <v>5.5</v>
      </c>
      <c r="I37" s="71">
        <v>5.5</v>
      </c>
      <c r="J37" s="71"/>
      <c r="K37" s="71"/>
    </row>
    <row r="38" spans="1:14" hidden="1">
      <c r="A38" s="288"/>
      <c r="B38" s="33">
        <v>41244</v>
      </c>
      <c r="C38" s="6" t="s">
        <v>1</v>
      </c>
      <c r="D38" s="71">
        <v>5</v>
      </c>
      <c r="E38" s="71">
        <v>4.5</v>
      </c>
      <c r="F38" s="71">
        <v>5</v>
      </c>
      <c r="G38" s="71">
        <v>5.4</v>
      </c>
      <c r="H38" s="71">
        <v>5.6</v>
      </c>
      <c r="I38" s="71">
        <v>5.5</v>
      </c>
      <c r="J38" s="71">
        <v>5.5</v>
      </c>
      <c r="K38" s="71"/>
    </row>
    <row r="39" spans="1:14">
      <c r="A39" s="288"/>
      <c r="B39" s="33">
        <v>41974</v>
      </c>
      <c r="C39" s="276" t="s">
        <v>16</v>
      </c>
      <c r="D39" s="277"/>
      <c r="E39" s="30">
        <f t="shared" ref="E39:K39" si="6">(E33-D33)/D33</f>
        <v>-0.12574850299401197</v>
      </c>
      <c r="F39" s="30">
        <f t="shared" si="6"/>
        <v>0.17123287671232876</v>
      </c>
      <c r="G39" s="30">
        <f t="shared" si="6"/>
        <v>-4.4834307992202643E-2</v>
      </c>
      <c r="H39" s="30">
        <f t="shared" si="6"/>
        <v>0</v>
      </c>
      <c r="I39" s="30">
        <f t="shared" si="6"/>
        <v>1.0204081632653024E-2</v>
      </c>
      <c r="J39" s="30">
        <f t="shared" si="6"/>
        <v>3.0303030303030193E-2</v>
      </c>
      <c r="K39" s="30">
        <f t="shared" si="6"/>
        <v>1.9607843137255009E-2</v>
      </c>
    </row>
    <row r="40" spans="1:14">
      <c r="A40" s="288"/>
      <c r="B40" s="33">
        <v>41852</v>
      </c>
      <c r="C40" s="282" t="s">
        <v>16</v>
      </c>
      <c r="D40" s="283"/>
      <c r="E40" s="105">
        <f t="shared" ref="E40:K40" si="7">(E34-D34)/D34</f>
        <v>-0.12574850299401197</v>
      </c>
      <c r="F40" s="105">
        <f t="shared" si="7"/>
        <v>0.17579908675799097</v>
      </c>
      <c r="G40" s="105">
        <f t="shared" si="7"/>
        <v>9.7087378640776344E-3</v>
      </c>
      <c r="H40" s="105">
        <f t="shared" si="7"/>
        <v>9.6153846153845812E-3</v>
      </c>
      <c r="I40" s="105">
        <f t="shared" si="7"/>
        <v>9.52380952380949E-3</v>
      </c>
      <c r="J40" s="105">
        <f t="shared" si="7"/>
        <v>9.4339622641509101E-3</v>
      </c>
      <c r="K40" s="105">
        <f t="shared" si="7"/>
        <v>9.3457943925234974E-3</v>
      </c>
    </row>
    <row r="41" spans="1:14" hidden="1">
      <c r="A41" s="289"/>
      <c r="B41" s="33">
        <v>41499</v>
      </c>
      <c r="C41" s="276" t="s">
        <v>16</v>
      </c>
      <c r="D41" s="277"/>
      <c r="E41" s="30">
        <f t="shared" ref="E41:J41" si="8">(E36-D36)/D36</f>
        <v>-0.1</v>
      </c>
      <c r="F41" s="30">
        <f t="shared" si="8"/>
        <v>0.1111111111111111</v>
      </c>
      <c r="G41" s="30">
        <f t="shared" si="8"/>
        <v>8.0000000000000071E-2</v>
      </c>
      <c r="H41" s="30">
        <f t="shared" si="8"/>
        <v>1.8518518518518452E-2</v>
      </c>
      <c r="I41" s="30">
        <f t="shared" si="8"/>
        <v>0</v>
      </c>
      <c r="J41" s="30">
        <f t="shared" si="8"/>
        <v>0</v>
      </c>
      <c r="K41" s="30"/>
    </row>
    <row r="42" spans="1:14">
      <c r="A42" s="65"/>
      <c r="B42" s="65"/>
      <c r="C42" s="65"/>
      <c r="D42" s="76"/>
      <c r="E42" s="76"/>
      <c r="F42" s="76"/>
      <c r="G42" s="76"/>
      <c r="H42" s="76"/>
      <c r="I42" s="76"/>
      <c r="K42" s="76"/>
    </row>
    <row r="43" spans="1:14">
      <c r="A43" s="287" t="s">
        <v>19</v>
      </c>
      <c r="B43" s="273">
        <v>41974</v>
      </c>
      <c r="C43" s="101" t="s">
        <v>2</v>
      </c>
      <c r="D43" s="23"/>
      <c r="E43" s="111"/>
      <c r="F43" s="111">
        <v>1186</v>
      </c>
      <c r="G43" s="111">
        <v>1180</v>
      </c>
      <c r="H43" s="111">
        <v>1160</v>
      </c>
      <c r="I43" s="111">
        <v>1130</v>
      </c>
      <c r="J43" s="111">
        <v>1100</v>
      </c>
      <c r="K43" s="111">
        <v>1050</v>
      </c>
    </row>
    <row r="44" spans="1:14">
      <c r="A44" s="288"/>
      <c r="B44" s="272"/>
      <c r="C44" s="102" t="s">
        <v>0</v>
      </c>
      <c r="D44" s="77"/>
      <c r="E44" s="77"/>
      <c r="F44" s="77">
        <v>1188</v>
      </c>
      <c r="G44" s="77">
        <v>1176</v>
      </c>
      <c r="H44" s="77">
        <v>1152</v>
      </c>
      <c r="I44" s="77">
        <v>1118</v>
      </c>
      <c r="J44" s="77">
        <v>1084</v>
      </c>
      <c r="K44" s="77">
        <v>1052</v>
      </c>
    </row>
    <row r="45" spans="1:14">
      <c r="A45" s="288"/>
      <c r="B45" s="272"/>
      <c r="C45" s="103" t="s">
        <v>3</v>
      </c>
      <c r="D45" s="25"/>
      <c r="E45" s="25"/>
      <c r="F45" s="25">
        <v>1188</v>
      </c>
      <c r="G45" s="25">
        <v>1186</v>
      </c>
      <c r="H45" s="25">
        <v>1138.9058319039452</v>
      </c>
      <c r="I45" s="25">
        <v>1107.1706689536879</v>
      </c>
      <c r="J45" s="25">
        <v>1079.6058319039453</v>
      </c>
      <c r="K45" s="25">
        <v>1054.380445969125</v>
      </c>
    </row>
    <row r="46" spans="1:14">
      <c r="A46" s="288"/>
      <c r="B46" s="272"/>
      <c r="C46" s="98" t="s">
        <v>1</v>
      </c>
      <c r="D46" s="95">
        <v>1227</v>
      </c>
      <c r="E46" s="95">
        <v>1177.5</v>
      </c>
      <c r="F46" s="95">
        <f>ROUND(100*AVERAGE(F43:F45),-1)*1/100</f>
        <v>1187.3</v>
      </c>
      <c r="G46" s="95">
        <v>1181</v>
      </c>
      <c r="H46" s="95">
        <v>1150</v>
      </c>
      <c r="I46" s="95">
        <v>1118</v>
      </c>
      <c r="J46" s="95">
        <v>1088</v>
      </c>
      <c r="K46" s="95">
        <v>1052</v>
      </c>
    </row>
    <row r="47" spans="1:14">
      <c r="A47" s="288"/>
      <c r="B47" s="33">
        <v>41852</v>
      </c>
      <c r="C47" s="6" t="s">
        <v>1</v>
      </c>
      <c r="D47" s="23">
        <v>1227</v>
      </c>
      <c r="E47" s="23">
        <v>1177.5</v>
      </c>
      <c r="F47" s="23">
        <v>1170</v>
      </c>
      <c r="G47" s="23">
        <v>1158.3</v>
      </c>
      <c r="H47" s="23">
        <v>1123.5509999999999</v>
      </c>
      <c r="I47" s="23">
        <v>1089.84447</v>
      </c>
      <c r="J47" s="23">
        <v>1057.1491358999999</v>
      </c>
      <c r="K47" s="23">
        <v>1025.4346618229999</v>
      </c>
      <c r="M47" s="112">
        <f>G46/G47-1</f>
        <v>1.9597686264352987E-2</v>
      </c>
      <c r="N47" s="112">
        <f>H46/H47-1</f>
        <v>2.3540542440886103E-2</v>
      </c>
    </row>
    <row r="48" spans="1:14">
      <c r="A48" s="288"/>
      <c r="B48" s="33">
        <v>41609</v>
      </c>
      <c r="C48" s="6" t="s">
        <v>1</v>
      </c>
      <c r="D48" s="23">
        <v>1227</v>
      </c>
      <c r="E48" s="23">
        <v>1175</v>
      </c>
      <c r="F48" s="23">
        <v>1130</v>
      </c>
      <c r="G48" s="23">
        <v>1090</v>
      </c>
      <c r="H48" s="23">
        <v>1050</v>
      </c>
      <c r="I48" s="23">
        <v>1010</v>
      </c>
      <c r="J48" s="23">
        <v>970</v>
      </c>
      <c r="K48" s="72"/>
    </row>
    <row r="49" spans="1:11" hidden="1">
      <c r="A49" s="288"/>
      <c r="B49" s="33">
        <v>41499</v>
      </c>
      <c r="C49" s="6" t="s">
        <v>1</v>
      </c>
      <c r="D49" s="23">
        <v>1225.8499999999999</v>
      </c>
      <c r="E49" s="23">
        <v>1165</v>
      </c>
      <c r="F49" s="23">
        <v>1110</v>
      </c>
      <c r="G49" s="23">
        <v>1070</v>
      </c>
      <c r="H49" s="23">
        <v>1030</v>
      </c>
      <c r="I49" s="23">
        <v>1000</v>
      </c>
      <c r="J49" s="23">
        <v>960</v>
      </c>
      <c r="K49" s="72"/>
    </row>
    <row r="50" spans="1:11" hidden="1">
      <c r="A50" s="288"/>
      <c r="B50" s="33">
        <v>41317</v>
      </c>
      <c r="C50" s="6" t="s">
        <v>1</v>
      </c>
      <c r="D50" s="72">
        <v>1226</v>
      </c>
      <c r="E50" s="72">
        <v>1185</v>
      </c>
      <c r="F50" s="72">
        <v>1151</v>
      </c>
      <c r="G50" s="72">
        <v>1121</v>
      </c>
      <c r="H50" s="72">
        <v>1090.1407234210708</v>
      </c>
      <c r="I50" s="72">
        <v>1048</v>
      </c>
      <c r="J50" s="72"/>
      <c r="K50" s="72"/>
    </row>
    <row r="51" spans="1:11" hidden="1">
      <c r="A51" s="288"/>
      <c r="B51" s="33">
        <v>41244</v>
      </c>
      <c r="C51" s="6" t="s">
        <v>1</v>
      </c>
      <c r="D51" s="72">
        <v>1228.5423506666664</v>
      </c>
      <c r="E51" s="72">
        <v>1184.5870287874238</v>
      </c>
      <c r="F51" s="72">
        <v>1151.3778293463738</v>
      </c>
      <c r="G51" s="72">
        <v>1121.0332793283103</v>
      </c>
      <c r="H51" s="72">
        <v>1090.1407234210708</v>
      </c>
      <c r="I51" s="72">
        <v>1048</v>
      </c>
      <c r="J51" s="72">
        <v>1048</v>
      </c>
      <c r="K51" s="72"/>
    </row>
    <row r="52" spans="1:11">
      <c r="A52" s="288"/>
      <c r="B52" s="33">
        <v>41974</v>
      </c>
      <c r="C52" s="276" t="s">
        <v>16</v>
      </c>
      <c r="D52" s="277"/>
      <c r="E52" s="30">
        <f>(E46-D46)/D46</f>
        <v>-4.0342298288508556E-2</v>
      </c>
      <c r="F52" s="30">
        <f t="shared" ref="F52:K53" si="9">(F46-E46)/E46</f>
        <v>8.3227176220806408E-3</v>
      </c>
      <c r="G52" s="30">
        <f t="shared" si="9"/>
        <v>-5.3061568264128316E-3</v>
      </c>
      <c r="H52" s="30">
        <f t="shared" si="9"/>
        <v>-2.6248941574936496E-2</v>
      </c>
      <c r="I52" s="30">
        <f t="shared" si="9"/>
        <v>-2.782608695652174E-2</v>
      </c>
      <c r="J52" s="30">
        <f t="shared" si="9"/>
        <v>-2.6833631484794274E-2</v>
      </c>
      <c r="K52" s="30">
        <f t="shared" si="9"/>
        <v>-3.3088235294117647E-2</v>
      </c>
    </row>
    <row r="53" spans="1:11">
      <c r="A53" s="288"/>
      <c r="B53" s="33">
        <v>41852</v>
      </c>
      <c r="C53" s="282" t="s">
        <v>16</v>
      </c>
      <c r="D53" s="283"/>
      <c r="E53" s="105">
        <f>(E47-D47)/D47</f>
        <v>-4.0342298288508556E-2</v>
      </c>
      <c r="F53" s="105">
        <f t="shared" si="9"/>
        <v>-6.369426751592357E-3</v>
      </c>
      <c r="G53" s="105">
        <f t="shared" si="9"/>
        <v>-1.0000000000000038E-2</v>
      </c>
      <c r="H53" s="105">
        <f t="shared" si="9"/>
        <v>-3.0000000000000023E-2</v>
      </c>
      <c r="I53" s="105">
        <f t="shared" si="9"/>
        <v>-2.999999999999994E-2</v>
      </c>
      <c r="J53" s="105">
        <f t="shared" si="9"/>
        <v>-3.0000000000000075E-2</v>
      </c>
      <c r="K53" s="105"/>
    </row>
    <row r="54" spans="1:11" hidden="1">
      <c r="A54" s="289"/>
      <c r="B54" s="33">
        <v>41499</v>
      </c>
      <c r="C54" s="276" t="s">
        <v>16</v>
      </c>
      <c r="D54" s="277"/>
      <c r="E54" s="30">
        <f t="shared" ref="E54:J54" si="10">(E49-D49)/D49</f>
        <v>-4.9639025981971625E-2</v>
      </c>
      <c r="F54" s="30">
        <f t="shared" si="10"/>
        <v>-4.7210300429184553E-2</v>
      </c>
      <c r="G54" s="30">
        <f t="shared" si="10"/>
        <v>-3.6036036036036036E-2</v>
      </c>
      <c r="H54" s="30">
        <f t="shared" si="10"/>
        <v>-3.7383177570093455E-2</v>
      </c>
      <c r="I54" s="30">
        <f t="shared" si="10"/>
        <v>-2.9126213592233011E-2</v>
      </c>
      <c r="J54" s="30">
        <f t="shared" si="10"/>
        <v>-0.04</v>
      </c>
      <c r="K54" s="30"/>
    </row>
    <row r="55" spans="1:11">
      <c r="A55" s="108"/>
      <c r="B55" s="13"/>
      <c r="F55" s="112"/>
      <c r="G55" s="112"/>
      <c r="H55" s="112"/>
      <c r="I55" s="112"/>
      <c r="J55" s="112"/>
      <c r="K55" s="112"/>
    </row>
    <row r="56" spans="1:11">
      <c r="A56" s="9"/>
      <c r="B56" s="13"/>
      <c r="E56" s="94"/>
      <c r="F56" s="94"/>
      <c r="G56" s="112"/>
      <c r="H56" s="112"/>
      <c r="I56" s="112"/>
      <c r="J56" s="112"/>
      <c r="K56" s="112"/>
    </row>
    <row r="57" spans="1:11">
      <c r="A57" s="9"/>
      <c r="B57" s="13"/>
      <c r="E57" s="94"/>
      <c r="F57" s="94"/>
      <c r="G57" s="94"/>
      <c r="H57" s="112"/>
      <c r="I57" s="112"/>
      <c r="J57" s="112"/>
      <c r="K57" s="112"/>
    </row>
    <row r="58" spans="1:11">
      <c r="A58" s="9"/>
      <c r="B58" s="13"/>
    </row>
    <row r="59" spans="1:11">
      <c r="A59" s="9"/>
      <c r="B59" s="13"/>
    </row>
    <row r="60" spans="1:11">
      <c r="A60" s="9"/>
      <c r="B60" s="13"/>
    </row>
    <row r="61" spans="1:11">
      <c r="A61" s="9"/>
      <c r="B61" s="13"/>
    </row>
    <row r="62" spans="1:11">
      <c r="A62" s="9"/>
      <c r="B62" s="13"/>
    </row>
    <row r="63" spans="1:11">
      <c r="A63" s="9"/>
      <c r="B63" s="13"/>
    </row>
    <row r="64" spans="1:11">
      <c r="A64" s="9"/>
      <c r="B64" s="13"/>
    </row>
    <row r="65" spans="1:2">
      <c r="A65" s="9"/>
      <c r="B65" s="13"/>
    </row>
  </sheetData>
  <mergeCells count="20">
    <mergeCell ref="C52:D52"/>
    <mergeCell ref="A30:A41"/>
    <mergeCell ref="B30:B33"/>
    <mergeCell ref="C40:D40"/>
    <mergeCell ref="C41:D41"/>
    <mergeCell ref="A43:A54"/>
    <mergeCell ref="B43:B46"/>
    <mergeCell ref="C53:D53"/>
    <mergeCell ref="C54:D54"/>
    <mergeCell ref="C39:D39"/>
    <mergeCell ref="A2:A15"/>
    <mergeCell ref="B2:B7"/>
    <mergeCell ref="C14:D14"/>
    <mergeCell ref="C15:D15"/>
    <mergeCell ref="A17:A28"/>
    <mergeCell ref="B17:B20"/>
    <mergeCell ref="C27:D27"/>
    <mergeCell ref="C28:D28"/>
    <mergeCell ref="C13:D13"/>
    <mergeCell ref="C26:D26"/>
  </mergeCells>
  <pageMargins left="0.5" right="0.5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U64"/>
  <sheetViews>
    <sheetView zoomScaleNormal="100" workbookViewId="0">
      <pane ySplit="1" topLeftCell="A5" activePane="bottomLeft" state="frozen"/>
      <selection pane="bottomLeft"/>
    </sheetView>
  </sheetViews>
  <sheetFormatPr defaultColWidth="9.28515625" defaultRowHeight="15"/>
  <cols>
    <col min="1" max="1" width="9.5703125" customWidth="1"/>
    <col min="2" max="2" width="11.28515625" customWidth="1"/>
    <col min="3" max="3" width="6.7109375" bestFit="1" customWidth="1"/>
    <col min="4" max="5" width="8.42578125" customWidth="1"/>
    <col min="6" max="6" width="9.42578125" bestFit="1" customWidth="1"/>
    <col min="7" max="7" width="8.5703125" customWidth="1"/>
    <col min="8" max="8" width="9.42578125" bestFit="1" customWidth="1"/>
    <col min="9" max="10" width="9.28515625" bestFit="1" customWidth="1"/>
    <col min="11" max="11" width="8.42578125" customWidth="1"/>
  </cols>
  <sheetData>
    <row r="1" spans="1:21" ht="34.5" customHeight="1">
      <c r="A1" s="8"/>
      <c r="B1" s="11"/>
      <c r="C1" s="6"/>
      <c r="D1" s="96" t="s">
        <v>17</v>
      </c>
      <c r="E1" s="96" t="s">
        <v>25</v>
      </c>
      <c r="F1" s="96" t="s">
        <v>6</v>
      </c>
      <c r="G1" s="96" t="s">
        <v>7</v>
      </c>
      <c r="H1" s="96" t="s">
        <v>8</v>
      </c>
      <c r="I1" s="96" t="s">
        <v>9</v>
      </c>
      <c r="J1" s="96" t="s">
        <v>21</v>
      </c>
      <c r="K1" s="96" t="s">
        <v>24</v>
      </c>
    </row>
    <row r="2" spans="1:21">
      <c r="A2" s="284" t="s">
        <v>10</v>
      </c>
      <c r="B2" s="273">
        <v>42031</v>
      </c>
      <c r="C2" s="100" t="s">
        <v>4</v>
      </c>
      <c r="D2" s="17"/>
      <c r="E2" s="17"/>
      <c r="F2" s="17"/>
      <c r="G2" s="17">
        <v>61.65</v>
      </c>
      <c r="H2" s="17">
        <v>55.75</v>
      </c>
      <c r="I2" s="17">
        <v>61.88</v>
      </c>
      <c r="J2" s="17">
        <v>66.88</v>
      </c>
      <c r="K2" s="17">
        <v>72.349999999999994</v>
      </c>
    </row>
    <row r="3" spans="1:21">
      <c r="A3" s="285"/>
      <c r="B3" s="272"/>
      <c r="C3" s="101" t="s">
        <v>2</v>
      </c>
      <c r="D3" s="29"/>
      <c r="E3" s="14"/>
      <c r="F3" s="14"/>
      <c r="G3" s="14">
        <v>61</v>
      </c>
      <c r="H3" s="14">
        <v>52.5</v>
      </c>
      <c r="I3" s="14">
        <v>59</v>
      </c>
      <c r="J3" s="14">
        <v>63</v>
      </c>
      <c r="K3" s="14">
        <v>67</v>
      </c>
    </row>
    <row r="4" spans="1:21">
      <c r="A4" s="285"/>
      <c r="B4" s="272"/>
      <c r="C4" s="102" t="s">
        <v>0</v>
      </c>
      <c r="D4" s="15"/>
      <c r="E4" s="15"/>
      <c r="F4" s="15"/>
      <c r="G4" s="15">
        <v>62.18</v>
      </c>
      <c r="H4" s="15">
        <v>59.92</v>
      </c>
      <c r="I4" s="15">
        <v>70.459999999999994</v>
      </c>
      <c r="J4" s="15">
        <v>75.87</v>
      </c>
      <c r="K4" s="15">
        <v>81.39</v>
      </c>
    </row>
    <row r="5" spans="1:21">
      <c r="A5" s="285"/>
      <c r="B5" s="272"/>
      <c r="C5" s="103" t="s">
        <v>3</v>
      </c>
      <c r="D5" s="16"/>
      <c r="E5" s="16"/>
      <c r="F5" s="16"/>
      <c r="G5" s="16">
        <v>60</v>
      </c>
      <c r="H5" s="16">
        <v>51</v>
      </c>
      <c r="I5" s="16">
        <v>58</v>
      </c>
      <c r="J5" s="16">
        <v>70</v>
      </c>
      <c r="K5" s="16">
        <v>74</v>
      </c>
    </row>
    <row r="6" spans="1:21">
      <c r="A6" s="285"/>
      <c r="B6" s="272"/>
      <c r="C6" s="98" t="s">
        <v>1</v>
      </c>
      <c r="D6" s="99">
        <v>89.65</v>
      </c>
      <c r="E6" s="99">
        <v>85.82</v>
      </c>
      <c r="F6" s="99">
        <v>95.13</v>
      </c>
      <c r="G6" s="99">
        <v>61</v>
      </c>
      <c r="H6" s="99">
        <v>56</v>
      </c>
      <c r="I6" s="99">
        <v>65</v>
      </c>
      <c r="J6" s="99">
        <f>I6+5</f>
        <v>70</v>
      </c>
      <c r="K6" s="99">
        <f>J6+5</f>
        <v>75</v>
      </c>
      <c r="Q6" s="93">
        <f>-(G7-G6)*7.5</f>
        <v>-75</v>
      </c>
      <c r="R6" s="93">
        <f>-(H7-H6)*7.5</f>
        <v>-75</v>
      </c>
      <c r="S6" s="93">
        <f>-(I7-I6)*7.5</f>
        <v>-52.5</v>
      </c>
      <c r="T6" s="93">
        <f>-(J7-J6)*7.5</f>
        <v>-45</v>
      </c>
      <c r="U6" s="93"/>
    </row>
    <row r="7" spans="1:21">
      <c r="A7" s="285"/>
      <c r="B7" s="33">
        <v>41974</v>
      </c>
      <c r="C7" s="6" t="s">
        <v>1</v>
      </c>
      <c r="D7" s="14">
        <v>89.65</v>
      </c>
      <c r="E7" s="14">
        <v>85.82</v>
      </c>
      <c r="F7" s="14">
        <v>95.14</v>
      </c>
      <c r="G7" s="14">
        <v>71</v>
      </c>
      <c r="H7" s="14">
        <v>66</v>
      </c>
      <c r="I7" s="14">
        <v>72</v>
      </c>
      <c r="J7" s="14">
        <v>76</v>
      </c>
      <c r="K7" s="14">
        <v>80</v>
      </c>
      <c r="M7" s="112">
        <f>G6/G7-1</f>
        <v>-0.14084507042253525</v>
      </c>
      <c r="N7" s="112">
        <f>H6/H7-1</f>
        <v>-0.15151515151515149</v>
      </c>
    </row>
    <row r="8" spans="1:21">
      <c r="A8" s="285"/>
      <c r="B8" s="33">
        <v>41852</v>
      </c>
      <c r="C8" s="6" t="s">
        <v>1</v>
      </c>
      <c r="D8" s="14">
        <v>89.65</v>
      </c>
      <c r="E8" s="14">
        <v>85.82</v>
      </c>
      <c r="F8" s="14">
        <v>95.75</v>
      </c>
      <c r="G8" s="14">
        <v>92</v>
      </c>
      <c r="H8" s="14">
        <v>88</v>
      </c>
      <c r="I8" s="14">
        <v>87</v>
      </c>
      <c r="J8" s="14">
        <v>86</v>
      </c>
      <c r="K8" s="14">
        <v>85</v>
      </c>
    </row>
    <row r="9" spans="1:21" hidden="1">
      <c r="A9" s="285"/>
      <c r="B9" s="33">
        <v>41499</v>
      </c>
      <c r="C9" s="6" t="s">
        <v>1</v>
      </c>
      <c r="D9" s="14">
        <v>90</v>
      </c>
      <c r="E9" s="14">
        <v>87</v>
      </c>
      <c r="F9" s="14">
        <v>94</v>
      </c>
      <c r="G9" s="14">
        <v>87.5</v>
      </c>
      <c r="H9" s="14">
        <v>85</v>
      </c>
      <c r="I9" s="14">
        <v>84</v>
      </c>
      <c r="J9" s="14">
        <v>84</v>
      </c>
      <c r="K9" s="14"/>
    </row>
    <row r="10" spans="1:21" hidden="1">
      <c r="A10" s="285"/>
      <c r="B10" s="33">
        <v>41306</v>
      </c>
      <c r="C10" s="6" t="s">
        <v>1</v>
      </c>
      <c r="D10" s="71">
        <v>90</v>
      </c>
      <c r="E10" s="71">
        <v>86.5</v>
      </c>
      <c r="F10" s="71">
        <v>88</v>
      </c>
      <c r="G10" s="71">
        <v>87.5</v>
      </c>
      <c r="H10" s="71">
        <v>87</v>
      </c>
      <c r="I10" s="71">
        <v>86.5</v>
      </c>
      <c r="J10" s="71"/>
      <c r="K10" s="71"/>
    </row>
    <row r="11" spans="1:21" hidden="1">
      <c r="A11" s="285"/>
      <c r="B11" s="33">
        <v>41244</v>
      </c>
      <c r="C11" s="6" t="s">
        <v>1</v>
      </c>
      <c r="D11" s="71">
        <v>89.640506965377526</v>
      </c>
      <c r="E11" s="71">
        <v>85</v>
      </c>
      <c r="F11" s="71">
        <v>84.75</v>
      </c>
      <c r="G11" s="71">
        <v>83.5</v>
      </c>
      <c r="H11" s="71">
        <v>82.5</v>
      </c>
      <c r="I11" s="71">
        <v>83</v>
      </c>
      <c r="J11" s="71">
        <v>83</v>
      </c>
      <c r="K11" s="71"/>
    </row>
    <row r="12" spans="1:21">
      <c r="A12" s="285"/>
      <c r="B12" s="33">
        <v>42031</v>
      </c>
      <c r="C12" s="276" t="s">
        <v>16</v>
      </c>
      <c r="D12" s="277"/>
      <c r="E12" s="30">
        <f t="shared" ref="E12:K12" si="0">+E6/D6-1</f>
        <v>-4.2721695482431765E-2</v>
      </c>
      <c r="F12" s="30">
        <f t="shared" si="0"/>
        <v>0.10848287112561183</v>
      </c>
      <c r="G12" s="30">
        <f t="shared" si="0"/>
        <v>-0.35877220645432562</v>
      </c>
      <c r="H12" s="30">
        <f t="shared" si="0"/>
        <v>-8.1967213114754078E-2</v>
      </c>
      <c r="I12" s="30">
        <f t="shared" si="0"/>
        <v>0.16071428571428581</v>
      </c>
      <c r="J12" s="30">
        <f t="shared" si="0"/>
        <v>7.6923076923076872E-2</v>
      </c>
      <c r="K12" s="30">
        <f t="shared" si="0"/>
        <v>7.1428571428571397E-2</v>
      </c>
    </row>
    <row r="13" spans="1:21">
      <c r="A13" s="285"/>
      <c r="B13" s="33">
        <v>41974</v>
      </c>
      <c r="C13" s="282" t="s">
        <v>16</v>
      </c>
      <c r="D13" s="283"/>
      <c r="E13" s="105">
        <f t="shared" ref="E13:J13" si="1">(E7-D7)/D7</f>
        <v>-4.2721695482431814E-2</v>
      </c>
      <c r="F13" s="105">
        <f t="shared" si="1"/>
        <v>0.10859939408063397</v>
      </c>
      <c r="G13" s="105">
        <f t="shared" si="1"/>
        <v>-0.2537313432835821</v>
      </c>
      <c r="H13" s="105">
        <f t="shared" si="1"/>
        <v>-7.0422535211267609E-2</v>
      </c>
      <c r="I13" s="105">
        <f t="shared" si="1"/>
        <v>9.0909090909090912E-2</v>
      </c>
      <c r="J13" s="105">
        <f t="shared" si="1"/>
        <v>5.5555555555555552E-2</v>
      </c>
      <c r="K13" s="105"/>
    </row>
    <row r="14" spans="1:21" hidden="1">
      <c r="A14" s="286"/>
      <c r="B14" s="33">
        <v>41499</v>
      </c>
      <c r="C14" s="276" t="s">
        <v>16</v>
      </c>
      <c r="D14" s="277"/>
      <c r="E14" s="30">
        <f t="shared" ref="E14:J14" si="2">(E9-D9)/D9</f>
        <v>-3.3333333333333333E-2</v>
      </c>
      <c r="F14" s="30">
        <f t="shared" si="2"/>
        <v>8.0459770114942528E-2</v>
      </c>
      <c r="G14" s="30">
        <f t="shared" si="2"/>
        <v>-6.9148936170212769E-2</v>
      </c>
      <c r="H14" s="30">
        <f t="shared" si="2"/>
        <v>-2.8571428571428571E-2</v>
      </c>
      <c r="I14" s="30">
        <f t="shared" si="2"/>
        <v>-1.1764705882352941E-2</v>
      </c>
      <c r="J14" s="30">
        <f t="shared" si="2"/>
        <v>0</v>
      </c>
      <c r="K14" s="30"/>
    </row>
    <row r="15" spans="1:21">
      <c r="A15" s="65"/>
      <c r="B15" s="65"/>
      <c r="C15" s="65"/>
      <c r="D15" s="65"/>
      <c r="E15" s="65"/>
      <c r="F15" s="65"/>
      <c r="G15" s="126"/>
      <c r="H15" s="128"/>
      <c r="I15" s="128"/>
      <c r="J15" s="128"/>
      <c r="K15" s="128"/>
    </row>
    <row r="16" spans="1:21">
      <c r="A16" s="281" t="s">
        <v>12</v>
      </c>
      <c r="B16" s="273">
        <v>42031</v>
      </c>
      <c r="C16" s="101" t="s">
        <v>2</v>
      </c>
      <c r="D16" s="104"/>
      <c r="E16" s="104"/>
      <c r="F16" s="104"/>
      <c r="G16" s="104">
        <v>122</v>
      </c>
      <c r="H16" s="104">
        <v>127</v>
      </c>
      <c r="I16" s="104">
        <v>131</v>
      </c>
      <c r="J16" s="104">
        <v>133</v>
      </c>
      <c r="K16" s="104">
        <v>135</v>
      </c>
    </row>
    <row r="17" spans="1:20">
      <c r="A17" s="281"/>
      <c r="B17" s="272"/>
      <c r="C17" s="102" t="s">
        <v>0</v>
      </c>
      <c r="D17" s="20"/>
      <c r="E17" s="20"/>
      <c r="F17" s="20"/>
      <c r="G17" s="20">
        <v>128.69999999999999</v>
      </c>
      <c r="H17" s="20">
        <v>133.80000000000001</v>
      </c>
      <c r="I17" s="20">
        <v>137.80000000000001</v>
      </c>
      <c r="J17" s="20">
        <v>140.6</v>
      </c>
      <c r="K17" s="75">
        <v>142</v>
      </c>
      <c r="L17" s="127"/>
    </row>
    <row r="18" spans="1:20">
      <c r="A18" s="281"/>
      <c r="B18" s="272"/>
      <c r="C18" s="103" t="s">
        <v>3</v>
      </c>
      <c r="D18" s="21"/>
      <c r="E18" s="21"/>
      <c r="F18" s="21"/>
      <c r="G18" s="21">
        <v>120.4</v>
      </c>
      <c r="H18" s="21">
        <v>122.4</v>
      </c>
      <c r="I18" s="21">
        <v>126.5</v>
      </c>
      <c r="J18" s="21">
        <v>133.5</v>
      </c>
      <c r="K18" s="21">
        <v>141.69999999999999</v>
      </c>
    </row>
    <row r="19" spans="1:20">
      <c r="A19" s="281"/>
      <c r="B19" s="272"/>
      <c r="C19" s="98" t="s">
        <v>1</v>
      </c>
      <c r="D19" s="97">
        <v>80.3</v>
      </c>
      <c r="E19" s="97">
        <v>96.4</v>
      </c>
      <c r="F19" s="124">
        <v>113.9</v>
      </c>
      <c r="G19" s="124">
        <v>125</v>
      </c>
      <c r="H19" s="124">
        <v>128</v>
      </c>
      <c r="I19" s="124">
        <v>131</v>
      </c>
      <c r="J19" s="124">
        <v>133</v>
      </c>
      <c r="K19" s="124">
        <v>135</v>
      </c>
      <c r="L19" s="93"/>
    </row>
    <row r="20" spans="1:20">
      <c r="A20" s="281"/>
      <c r="B20" s="33">
        <v>41974</v>
      </c>
      <c r="C20" s="6" t="s">
        <v>1</v>
      </c>
      <c r="D20" s="109">
        <v>80.3</v>
      </c>
      <c r="E20" s="109">
        <v>96.4</v>
      </c>
      <c r="F20" s="109">
        <v>113.4</v>
      </c>
      <c r="G20" s="109">
        <v>122</v>
      </c>
      <c r="H20" s="109">
        <v>127</v>
      </c>
      <c r="I20" s="109">
        <v>131</v>
      </c>
      <c r="J20" s="109">
        <v>133</v>
      </c>
      <c r="K20" s="109">
        <v>135</v>
      </c>
      <c r="M20" s="112">
        <f>G19/G20-1</f>
        <v>2.4590163934426146E-2</v>
      </c>
      <c r="N20" s="112">
        <f>H19/H20-1</f>
        <v>7.8740157480314821E-3</v>
      </c>
    </row>
    <row r="21" spans="1:20">
      <c r="A21" s="281"/>
      <c r="B21" s="33">
        <v>41852</v>
      </c>
      <c r="C21" s="6" t="s">
        <v>1</v>
      </c>
      <c r="D21" s="109">
        <v>80.3</v>
      </c>
      <c r="E21" s="109">
        <v>96.4</v>
      </c>
      <c r="F21" s="109">
        <v>110</v>
      </c>
      <c r="G21" s="109">
        <v>117</v>
      </c>
      <c r="H21" s="109">
        <v>122</v>
      </c>
      <c r="I21" s="109">
        <v>125</v>
      </c>
      <c r="J21" s="109">
        <v>127</v>
      </c>
      <c r="K21" s="109">
        <v>129</v>
      </c>
    </row>
    <row r="22" spans="1:20" hidden="1">
      <c r="A22" s="281"/>
      <c r="B22" s="33">
        <v>41499</v>
      </c>
      <c r="C22" s="6" t="s">
        <v>1</v>
      </c>
      <c r="D22" s="109">
        <v>80.069999999999993</v>
      </c>
      <c r="E22" s="109">
        <v>90</v>
      </c>
      <c r="F22" s="109">
        <v>93</v>
      </c>
      <c r="G22" s="109">
        <v>97</v>
      </c>
      <c r="H22" s="109">
        <v>100</v>
      </c>
      <c r="I22" s="109">
        <v>101</v>
      </c>
      <c r="J22" s="109">
        <v>102</v>
      </c>
      <c r="K22" s="109"/>
    </row>
    <row r="23" spans="1:20" hidden="1">
      <c r="A23" s="281"/>
      <c r="B23" s="33">
        <v>41317</v>
      </c>
      <c r="C23" s="6" t="s">
        <v>1</v>
      </c>
      <c r="D23" s="88">
        <v>80.099999999999994</v>
      </c>
      <c r="E23" s="88">
        <v>87</v>
      </c>
      <c r="F23" s="88">
        <v>91.4</v>
      </c>
      <c r="G23" s="88">
        <v>94.1</v>
      </c>
      <c r="H23" s="88">
        <v>96</v>
      </c>
      <c r="I23" s="88">
        <v>97.9</v>
      </c>
      <c r="J23" s="88"/>
      <c r="K23" s="88"/>
    </row>
    <row r="24" spans="1:20" hidden="1">
      <c r="A24" s="281"/>
      <c r="B24" s="33">
        <v>41244</v>
      </c>
      <c r="C24" s="6" t="s">
        <v>1</v>
      </c>
      <c r="D24" s="88">
        <v>79.7</v>
      </c>
      <c r="E24" s="88">
        <v>84.119744824999998</v>
      </c>
      <c r="F24" s="88">
        <v>88.406534618000009</v>
      </c>
      <c r="G24" s="88">
        <v>92.434230656539995</v>
      </c>
      <c r="H24" s="88">
        <v>96.132415269670815</v>
      </c>
      <c r="I24" s="88">
        <v>97.6</v>
      </c>
      <c r="J24" s="88">
        <v>97.6</v>
      </c>
      <c r="K24" s="88"/>
    </row>
    <row r="25" spans="1:20">
      <c r="A25" s="281"/>
      <c r="B25" s="33">
        <v>42031</v>
      </c>
      <c r="C25" s="276" t="s">
        <v>16</v>
      </c>
      <c r="D25" s="277"/>
      <c r="E25" s="30">
        <f>(E19-D19)/D19</f>
        <v>0.20049813200498143</v>
      </c>
      <c r="F25" s="30">
        <f t="shared" ref="F25:K26" si="3">(F19-E19)/E19</f>
        <v>0.18153526970954356</v>
      </c>
      <c r="G25" s="30">
        <f t="shared" si="3"/>
        <v>9.7453906935908635E-2</v>
      </c>
      <c r="H25" s="30">
        <f t="shared" si="3"/>
        <v>2.4E-2</v>
      </c>
      <c r="I25" s="30">
        <f t="shared" si="3"/>
        <v>2.34375E-2</v>
      </c>
      <c r="J25" s="30">
        <f t="shared" si="3"/>
        <v>1.5267175572519083E-2</v>
      </c>
      <c r="K25" s="30">
        <f t="shared" si="3"/>
        <v>1.5037593984962405E-2</v>
      </c>
    </row>
    <row r="26" spans="1:20">
      <c r="A26" s="281"/>
      <c r="B26" s="33">
        <v>41974</v>
      </c>
      <c r="C26" s="282" t="s">
        <v>16</v>
      </c>
      <c r="D26" s="283"/>
      <c r="E26" s="105">
        <f>(E20-D20)/D20</f>
        <v>0.20049813200498143</v>
      </c>
      <c r="F26" s="105">
        <f t="shared" si="3"/>
        <v>0.17634854771784231</v>
      </c>
      <c r="G26" s="105">
        <f t="shared" si="3"/>
        <v>7.5837742504409111E-2</v>
      </c>
      <c r="H26" s="105">
        <f t="shared" si="3"/>
        <v>4.0983606557377046E-2</v>
      </c>
      <c r="I26" s="105">
        <f t="shared" si="3"/>
        <v>3.1496062992125984E-2</v>
      </c>
      <c r="J26" s="105">
        <f t="shared" si="3"/>
        <v>1.5267175572519083E-2</v>
      </c>
      <c r="K26" s="105">
        <f t="shared" si="3"/>
        <v>1.5037593984962405E-2</v>
      </c>
    </row>
    <row r="27" spans="1:20" hidden="1">
      <c r="A27" s="281"/>
      <c r="B27" s="33">
        <v>41499</v>
      </c>
      <c r="C27" s="276" t="s">
        <v>16</v>
      </c>
      <c r="D27" s="277"/>
      <c r="E27" s="30">
        <f t="shared" ref="E27:J27" si="4">(E22-D22)/D22</f>
        <v>0.12401648557512186</v>
      </c>
      <c r="F27" s="30">
        <f t="shared" si="4"/>
        <v>3.3333333333333333E-2</v>
      </c>
      <c r="G27" s="30">
        <f t="shared" si="4"/>
        <v>4.3010752688172046E-2</v>
      </c>
      <c r="H27" s="30">
        <f t="shared" si="4"/>
        <v>3.0927835051546393E-2</v>
      </c>
      <c r="I27" s="30">
        <f t="shared" si="4"/>
        <v>0.01</v>
      </c>
      <c r="J27" s="30">
        <f t="shared" si="4"/>
        <v>9.9009900990099011E-3</v>
      </c>
      <c r="K27" s="30"/>
    </row>
    <row r="28" spans="1:20">
      <c r="A28" s="106"/>
      <c r="B28" s="107"/>
      <c r="C28" s="67"/>
      <c r="D28" s="67"/>
      <c r="E28" s="68"/>
      <c r="F28" s="68"/>
      <c r="G28" s="129"/>
      <c r="H28" s="129"/>
      <c r="I28" s="129"/>
      <c r="J28" s="129"/>
      <c r="K28" s="129"/>
    </row>
    <row r="29" spans="1:20">
      <c r="A29" s="287" t="s">
        <v>18</v>
      </c>
      <c r="B29" s="273">
        <v>42031</v>
      </c>
      <c r="C29" s="101" t="s">
        <v>2</v>
      </c>
      <c r="D29" s="86"/>
      <c r="E29" s="86"/>
      <c r="F29" s="86"/>
      <c r="G29" s="86">
        <v>3.9</v>
      </c>
      <c r="H29" s="86">
        <v>3.6</v>
      </c>
      <c r="I29" s="86">
        <v>3.95</v>
      </c>
      <c r="J29" s="87">
        <v>4.0999999999999996</v>
      </c>
      <c r="K29" s="86">
        <v>4.3</v>
      </c>
    </row>
    <row r="30" spans="1:20">
      <c r="A30" s="288"/>
      <c r="B30" s="272"/>
      <c r="C30" s="102" t="s">
        <v>0</v>
      </c>
      <c r="D30" s="15"/>
      <c r="E30" s="15"/>
      <c r="F30" s="15"/>
      <c r="G30" s="15">
        <v>4.2</v>
      </c>
      <c r="H30" s="15">
        <v>4.28</v>
      </c>
      <c r="I30" s="15">
        <v>4.5199999999999996</v>
      </c>
      <c r="J30" s="15">
        <v>4.8099999999999996</v>
      </c>
      <c r="K30" s="15">
        <v>5.03</v>
      </c>
    </row>
    <row r="31" spans="1:20">
      <c r="A31" s="288"/>
      <c r="B31" s="272"/>
      <c r="C31" s="103" t="s">
        <v>3</v>
      </c>
      <c r="D31" s="16"/>
      <c r="E31" s="16"/>
      <c r="F31" s="16"/>
      <c r="G31" s="16">
        <v>4.5</v>
      </c>
      <c r="H31" s="16">
        <v>4.2</v>
      </c>
      <c r="I31" s="16">
        <v>4.4000000000000004</v>
      </c>
      <c r="J31" s="16">
        <v>4.5999999999999996</v>
      </c>
      <c r="K31" s="16">
        <v>4.7</v>
      </c>
    </row>
    <row r="32" spans="1:20">
      <c r="A32" s="288"/>
      <c r="B32" s="272"/>
      <c r="C32" s="98" t="s">
        <v>1</v>
      </c>
      <c r="D32" s="99">
        <v>5.01</v>
      </c>
      <c r="E32" s="99">
        <v>4.38</v>
      </c>
      <c r="F32" s="99">
        <v>5.14</v>
      </c>
      <c r="G32" s="99">
        <v>4.3</v>
      </c>
      <c r="H32" s="99">
        <v>4.0999999999999996</v>
      </c>
      <c r="I32" s="99">
        <v>4.3</v>
      </c>
      <c r="J32" s="99">
        <v>4.5</v>
      </c>
      <c r="K32" s="99">
        <v>4.7</v>
      </c>
      <c r="Q32" s="93">
        <f>(G32-G33)/0.1*10</f>
        <v>-60.000000000000057</v>
      </c>
      <c r="R32" s="93">
        <f>(H32-H33)/0.1*10</f>
        <v>-80.000000000000071</v>
      </c>
      <c r="S32" s="93">
        <f>(I32-I33)/0.1*10</f>
        <v>-65.000000000000028</v>
      </c>
      <c r="T32" s="93">
        <f>(J32-J33)/0.1*10</f>
        <v>-59.999999999999964</v>
      </c>
    </row>
    <row r="33" spans="1:20">
      <c r="A33" s="288"/>
      <c r="B33" s="33">
        <v>41974</v>
      </c>
      <c r="C33" s="6" t="s">
        <v>1</v>
      </c>
      <c r="D33" s="14">
        <v>5.01</v>
      </c>
      <c r="E33" s="14">
        <v>4.38</v>
      </c>
      <c r="F33" s="14">
        <v>5.13</v>
      </c>
      <c r="G33" s="14">
        <v>4.9000000000000004</v>
      </c>
      <c r="H33" s="14">
        <v>4.9000000000000004</v>
      </c>
      <c r="I33" s="14">
        <v>4.95</v>
      </c>
      <c r="J33" s="14">
        <v>5.0999999999999996</v>
      </c>
      <c r="K33" s="14">
        <v>5.2</v>
      </c>
      <c r="M33" s="112">
        <f>G32/G33-1</f>
        <v>-0.12244897959183687</v>
      </c>
      <c r="N33" s="112">
        <f>H32/H33-1</f>
        <v>-0.16326530612244916</v>
      </c>
    </row>
    <row r="34" spans="1:20">
      <c r="A34" s="288"/>
      <c r="B34" s="33">
        <v>41852</v>
      </c>
      <c r="C34" s="6" t="s">
        <v>1</v>
      </c>
      <c r="D34" s="14">
        <v>5.01</v>
      </c>
      <c r="E34" s="14">
        <v>4.38</v>
      </c>
      <c r="F34" s="14">
        <v>5.15</v>
      </c>
      <c r="G34" s="14">
        <v>5.2</v>
      </c>
      <c r="H34" s="14">
        <v>5.25</v>
      </c>
      <c r="I34" s="14">
        <v>5.3</v>
      </c>
      <c r="J34" s="14">
        <v>5.35</v>
      </c>
      <c r="K34" s="14">
        <v>5.4</v>
      </c>
      <c r="Q34" s="93">
        <f>Q6+Q32</f>
        <v>-135.00000000000006</v>
      </c>
      <c r="R34" s="93">
        <f>R6+R32</f>
        <v>-155.00000000000006</v>
      </c>
      <c r="S34" s="93">
        <f>S6+S32</f>
        <v>-117.50000000000003</v>
      </c>
      <c r="T34" s="93">
        <f>T6+T32</f>
        <v>-104.99999999999997</v>
      </c>
    </row>
    <row r="35" spans="1:20" hidden="1">
      <c r="A35" s="288"/>
      <c r="B35" s="33">
        <v>41499</v>
      </c>
      <c r="C35" s="6" t="s">
        <v>1</v>
      </c>
      <c r="D35" s="14">
        <v>5</v>
      </c>
      <c r="E35" s="14">
        <v>4.5</v>
      </c>
      <c r="F35" s="14">
        <v>5</v>
      </c>
      <c r="G35" s="14">
        <v>5.4</v>
      </c>
      <c r="H35" s="14">
        <v>5.5</v>
      </c>
      <c r="I35" s="14">
        <v>5.5</v>
      </c>
      <c r="J35" s="14">
        <v>5.5</v>
      </c>
      <c r="K35" s="14"/>
    </row>
    <row r="36" spans="1:20" hidden="1">
      <c r="A36" s="288"/>
      <c r="B36" s="33">
        <v>41317</v>
      </c>
      <c r="C36" s="6" t="s">
        <v>1</v>
      </c>
      <c r="D36" s="71">
        <v>5</v>
      </c>
      <c r="E36" s="71">
        <v>4.5</v>
      </c>
      <c r="F36" s="71">
        <v>5.0999999999999996</v>
      </c>
      <c r="G36" s="71">
        <v>5.25</v>
      </c>
      <c r="H36" s="71">
        <v>5.5</v>
      </c>
      <c r="I36" s="71">
        <v>5.5</v>
      </c>
      <c r="J36" s="71"/>
      <c r="K36" s="71"/>
    </row>
    <row r="37" spans="1:20" hidden="1">
      <c r="A37" s="288"/>
      <c r="B37" s="33">
        <v>41244</v>
      </c>
      <c r="C37" s="6" t="s">
        <v>1</v>
      </c>
      <c r="D37" s="71">
        <v>5</v>
      </c>
      <c r="E37" s="71">
        <v>4.5</v>
      </c>
      <c r="F37" s="71">
        <v>5</v>
      </c>
      <c r="G37" s="71">
        <v>5.4</v>
      </c>
      <c r="H37" s="71">
        <v>5.6</v>
      </c>
      <c r="I37" s="71">
        <v>5.5</v>
      </c>
      <c r="J37" s="71">
        <v>5.5</v>
      </c>
      <c r="K37" s="71"/>
    </row>
    <row r="38" spans="1:20">
      <c r="A38" s="288"/>
      <c r="B38" s="33">
        <v>42031</v>
      </c>
      <c r="C38" s="276" t="s">
        <v>16</v>
      </c>
      <c r="D38" s="277"/>
      <c r="E38" s="30">
        <f t="shared" ref="E38:K39" si="5">(E32-D32)/D32</f>
        <v>-0.12574850299401197</v>
      </c>
      <c r="F38" s="30">
        <f t="shared" si="5"/>
        <v>0.17351598173515978</v>
      </c>
      <c r="G38" s="30">
        <f t="shared" si="5"/>
        <v>-0.16342412451361865</v>
      </c>
      <c r="H38" s="30">
        <f t="shared" si="5"/>
        <v>-4.6511627906976785E-2</v>
      </c>
      <c r="I38" s="30">
        <f t="shared" si="5"/>
        <v>4.8780487804878099E-2</v>
      </c>
      <c r="J38" s="30">
        <f t="shared" si="5"/>
        <v>4.6511627906976785E-2</v>
      </c>
      <c r="K38" s="30">
        <f t="shared" si="5"/>
        <v>4.4444444444444481E-2</v>
      </c>
    </row>
    <row r="39" spans="1:20">
      <c r="A39" s="288"/>
      <c r="B39" s="33">
        <v>41974</v>
      </c>
      <c r="C39" s="282" t="s">
        <v>16</v>
      </c>
      <c r="D39" s="283"/>
      <c r="E39" s="105">
        <f t="shared" si="5"/>
        <v>-0.12574850299401197</v>
      </c>
      <c r="F39" s="105">
        <f t="shared" si="5"/>
        <v>0.17123287671232876</v>
      </c>
      <c r="G39" s="105">
        <f t="shared" si="5"/>
        <v>-4.4834307992202643E-2</v>
      </c>
      <c r="H39" s="105">
        <f t="shared" si="5"/>
        <v>0</v>
      </c>
      <c r="I39" s="105">
        <f t="shared" si="5"/>
        <v>1.0204081632653024E-2</v>
      </c>
      <c r="J39" s="105">
        <f t="shared" si="5"/>
        <v>3.0303030303030193E-2</v>
      </c>
      <c r="K39" s="105">
        <f t="shared" si="5"/>
        <v>1.9607843137255009E-2</v>
      </c>
    </row>
    <row r="40" spans="1:20" hidden="1">
      <c r="A40" s="289"/>
      <c r="B40" s="33">
        <v>41499</v>
      </c>
      <c r="C40" s="276" t="s">
        <v>16</v>
      </c>
      <c r="D40" s="277"/>
      <c r="E40" s="30">
        <f t="shared" ref="E40:J40" si="6">(E35-D35)/D35</f>
        <v>-0.1</v>
      </c>
      <c r="F40" s="30">
        <f t="shared" si="6"/>
        <v>0.1111111111111111</v>
      </c>
      <c r="G40" s="30">
        <f t="shared" si="6"/>
        <v>8.0000000000000071E-2</v>
      </c>
      <c r="H40" s="30">
        <f t="shared" si="6"/>
        <v>1.8518518518518452E-2</v>
      </c>
      <c r="I40" s="30">
        <f t="shared" si="6"/>
        <v>0</v>
      </c>
      <c r="J40" s="30">
        <f t="shared" si="6"/>
        <v>0</v>
      </c>
      <c r="K40" s="30"/>
    </row>
    <row r="41" spans="1:20">
      <c r="A41" s="65"/>
      <c r="B41" s="65"/>
      <c r="C41" s="65"/>
      <c r="D41" s="76"/>
      <c r="E41" s="76"/>
      <c r="F41" s="76"/>
      <c r="G41" s="130"/>
      <c r="H41" s="130"/>
      <c r="I41" s="130"/>
      <c r="J41" s="130"/>
      <c r="K41" s="130"/>
    </row>
    <row r="42" spans="1:20">
      <c r="A42" s="287" t="s">
        <v>19</v>
      </c>
      <c r="B42" s="273">
        <v>42031</v>
      </c>
      <c r="C42" s="101" t="s">
        <v>2</v>
      </c>
      <c r="D42" s="23"/>
      <c r="E42" s="111"/>
      <c r="F42" s="111"/>
      <c r="G42" s="111">
        <v>1175</v>
      </c>
      <c r="H42" s="111">
        <v>1138</v>
      </c>
      <c r="I42" s="111">
        <v>1108</v>
      </c>
      <c r="J42" s="111">
        <v>1078</v>
      </c>
      <c r="K42" s="111">
        <v>1048</v>
      </c>
    </row>
    <row r="43" spans="1:20">
      <c r="A43" s="288"/>
      <c r="B43" s="272"/>
      <c r="C43" s="102" t="s">
        <v>0</v>
      </c>
      <c r="D43" s="77"/>
      <c r="E43" s="77"/>
      <c r="F43" s="77"/>
      <c r="G43" s="77">
        <v>1187</v>
      </c>
      <c r="H43" s="77">
        <v>1146</v>
      </c>
      <c r="I43" s="77">
        <v>1129</v>
      </c>
      <c r="J43" s="77">
        <v>1111</v>
      </c>
      <c r="K43" s="77">
        <v>1093</v>
      </c>
    </row>
    <row r="44" spans="1:20">
      <c r="A44" s="288"/>
      <c r="B44" s="272"/>
      <c r="C44" s="103" t="s">
        <v>3</v>
      </c>
      <c r="D44" s="25"/>
      <c r="E44" s="25"/>
      <c r="F44" s="25"/>
      <c r="G44" s="25">
        <v>1159.5999999999999</v>
      </c>
      <c r="H44" s="25">
        <v>1106.7</v>
      </c>
      <c r="I44" s="25">
        <v>1074.8</v>
      </c>
      <c r="J44" s="25">
        <v>1045.9000000000001</v>
      </c>
      <c r="K44" s="25">
        <v>1010.5</v>
      </c>
    </row>
    <row r="45" spans="1:20">
      <c r="A45" s="288"/>
      <c r="B45" s="272"/>
      <c r="C45" s="98" t="s">
        <v>1</v>
      </c>
      <c r="D45" s="95">
        <v>1227</v>
      </c>
      <c r="E45" s="95">
        <v>1177.5</v>
      </c>
      <c r="F45" s="95">
        <v>1184.7</v>
      </c>
      <c r="G45" s="95">
        <v>1181</v>
      </c>
      <c r="H45" s="95">
        <v>1150</v>
      </c>
      <c r="I45" s="95">
        <v>1118</v>
      </c>
      <c r="J45" s="95">
        <v>1088</v>
      </c>
      <c r="K45" s="95">
        <v>1052</v>
      </c>
    </row>
    <row r="46" spans="1:20">
      <c r="A46" s="288"/>
      <c r="B46" s="33">
        <v>41974</v>
      </c>
      <c r="C46" s="6" t="s">
        <v>1</v>
      </c>
      <c r="D46" s="23">
        <v>1227</v>
      </c>
      <c r="E46" s="23">
        <v>1177.5</v>
      </c>
      <c r="F46" s="23">
        <v>1187.3</v>
      </c>
      <c r="G46" s="23">
        <v>1181</v>
      </c>
      <c r="H46" s="23">
        <v>1150</v>
      </c>
      <c r="I46" s="23">
        <v>1118</v>
      </c>
      <c r="J46" s="23">
        <v>1088</v>
      </c>
      <c r="K46" s="23">
        <v>1052</v>
      </c>
      <c r="M46" s="112">
        <f>G45/G46-1</f>
        <v>0</v>
      </c>
      <c r="N46" s="112">
        <f>H45/H46-1</f>
        <v>0</v>
      </c>
    </row>
    <row r="47" spans="1:20">
      <c r="A47" s="288"/>
      <c r="B47" s="33">
        <v>41852</v>
      </c>
      <c r="C47" s="6" t="s">
        <v>1</v>
      </c>
      <c r="D47" s="23">
        <v>1227</v>
      </c>
      <c r="E47" s="23">
        <v>1177.5</v>
      </c>
      <c r="F47" s="23">
        <v>1170</v>
      </c>
      <c r="G47" s="23">
        <v>1158.3</v>
      </c>
      <c r="H47" s="23">
        <v>1123.5509999999999</v>
      </c>
      <c r="I47" s="23">
        <v>1089.84447</v>
      </c>
      <c r="J47" s="23">
        <v>1057.1491358999999</v>
      </c>
      <c r="K47" s="23">
        <v>1025.4346618229999</v>
      </c>
    </row>
    <row r="48" spans="1:20" hidden="1">
      <c r="A48" s="288"/>
      <c r="B48" s="33">
        <v>41499</v>
      </c>
      <c r="C48" s="6" t="s">
        <v>1</v>
      </c>
      <c r="D48" s="23">
        <v>1225.8499999999999</v>
      </c>
      <c r="E48" s="23">
        <v>1165</v>
      </c>
      <c r="F48" s="23">
        <v>1110</v>
      </c>
      <c r="G48" s="23">
        <v>1070</v>
      </c>
      <c r="H48" s="23">
        <v>1030</v>
      </c>
      <c r="I48" s="23">
        <v>1000</v>
      </c>
      <c r="J48" s="23">
        <v>960</v>
      </c>
      <c r="K48" s="72"/>
    </row>
    <row r="49" spans="1:11" hidden="1">
      <c r="A49" s="288"/>
      <c r="B49" s="33">
        <v>41317</v>
      </c>
      <c r="C49" s="6" t="s">
        <v>1</v>
      </c>
      <c r="D49" s="72">
        <v>1226</v>
      </c>
      <c r="E49" s="72">
        <v>1185</v>
      </c>
      <c r="F49" s="72">
        <v>1151</v>
      </c>
      <c r="G49" s="72">
        <v>1121</v>
      </c>
      <c r="H49" s="72">
        <v>1090.1407234210708</v>
      </c>
      <c r="I49" s="72">
        <v>1048</v>
      </c>
      <c r="J49" s="72"/>
      <c r="K49" s="72"/>
    </row>
    <row r="50" spans="1:11" hidden="1">
      <c r="A50" s="288"/>
      <c r="B50" s="33">
        <v>41244</v>
      </c>
      <c r="C50" s="6" t="s">
        <v>1</v>
      </c>
      <c r="D50" s="72">
        <v>1228.5423506666664</v>
      </c>
      <c r="E50" s="72">
        <v>1184.5870287874238</v>
      </c>
      <c r="F50" s="72">
        <v>1151.3778293463738</v>
      </c>
      <c r="G50" s="72">
        <v>1121.0332793283103</v>
      </c>
      <c r="H50" s="72">
        <v>1090.1407234210708</v>
      </c>
      <c r="I50" s="72">
        <v>1048</v>
      </c>
      <c r="J50" s="72">
        <v>1048</v>
      </c>
      <c r="K50" s="72"/>
    </row>
    <row r="51" spans="1:11">
      <c r="A51" s="288"/>
      <c r="B51" s="33">
        <v>42031</v>
      </c>
      <c r="C51" s="276" t="s">
        <v>16</v>
      </c>
      <c r="D51" s="277"/>
      <c r="E51" s="30">
        <f>(E45-D45)/D45</f>
        <v>-4.0342298288508556E-2</v>
      </c>
      <c r="F51" s="30">
        <f t="shared" ref="F51:K52" si="7">(F45-E45)/E45</f>
        <v>6.1146496815287013E-3</v>
      </c>
      <c r="G51" s="30">
        <f t="shared" si="7"/>
        <v>-3.1231535409808773E-3</v>
      </c>
      <c r="H51" s="30">
        <f t="shared" si="7"/>
        <v>-2.6248941574936496E-2</v>
      </c>
      <c r="I51" s="30">
        <f t="shared" si="7"/>
        <v>-2.782608695652174E-2</v>
      </c>
      <c r="J51" s="30">
        <f t="shared" si="7"/>
        <v>-2.6833631484794274E-2</v>
      </c>
      <c r="K51" s="30">
        <f t="shared" si="7"/>
        <v>-3.3088235294117647E-2</v>
      </c>
    </row>
    <row r="52" spans="1:11">
      <c r="A52" s="288"/>
      <c r="B52" s="33">
        <v>41974</v>
      </c>
      <c r="C52" s="282" t="s">
        <v>16</v>
      </c>
      <c r="D52" s="283"/>
      <c r="E52" s="105">
        <f>(E46-D46)/D46</f>
        <v>-4.0342298288508556E-2</v>
      </c>
      <c r="F52" s="105">
        <f t="shared" si="7"/>
        <v>8.3227176220806408E-3</v>
      </c>
      <c r="G52" s="105">
        <f t="shared" si="7"/>
        <v>-5.3061568264128316E-3</v>
      </c>
      <c r="H52" s="105">
        <f t="shared" si="7"/>
        <v>-2.6248941574936496E-2</v>
      </c>
      <c r="I52" s="105">
        <f t="shared" si="7"/>
        <v>-2.782608695652174E-2</v>
      </c>
      <c r="J52" s="105">
        <f t="shared" si="7"/>
        <v>-2.6833631484794274E-2</v>
      </c>
      <c r="K52" s="105">
        <f t="shared" si="7"/>
        <v>-3.3088235294117647E-2</v>
      </c>
    </row>
    <row r="53" spans="1:11" hidden="1">
      <c r="A53" s="289"/>
      <c r="B53" s="33">
        <v>41499</v>
      </c>
      <c r="C53" s="276" t="s">
        <v>16</v>
      </c>
      <c r="D53" s="277"/>
      <c r="E53" s="30">
        <f t="shared" ref="E53:J53" si="8">(E48-D48)/D48</f>
        <v>-4.9639025981971625E-2</v>
      </c>
      <c r="F53" s="30">
        <f t="shared" si="8"/>
        <v>-4.7210300429184553E-2</v>
      </c>
      <c r="G53" s="30">
        <f t="shared" si="8"/>
        <v>-3.6036036036036036E-2</v>
      </c>
      <c r="H53" s="30">
        <f t="shared" si="8"/>
        <v>-3.7383177570093455E-2</v>
      </c>
      <c r="I53" s="30">
        <f t="shared" si="8"/>
        <v>-2.9126213592233011E-2</v>
      </c>
      <c r="J53" s="30">
        <f t="shared" si="8"/>
        <v>-0.04</v>
      </c>
      <c r="K53" s="30"/>
    </row>
    <row r="54" spans="1:11">
      <c r="A54" s="108"/>
      <c r="B54" s="13"/>
      <c r="F54" s="112"/>
      <c r="G54" s="112"/>
      <c r="H54" s="112"/>
      <c r="I54" s="112"/>
      <c r="J54" s="112"/>
      <c r="K54" s="112"/>
    </row>
    <row r="55" spans="1:11">
      <c r="A55" s="9"/>
      <c r="B55" s="13"/>
      <c r="E55" s="94"/>
      <c r="F55" s="94"/>
      <c r="G55" s="112"/>
      <c r="H55" s="112"/>
      <c r="I55" s="112"/>
      <c r="J55" s="112"/>
      <c r="K55" s="112"/>
    </row>
    <row r="56" spans="1:11">
      <c r="A56" s="9"/>
      <c r="B56" s="13"/>
      <c r="E56" s="94"/>
      <c r="F56" s="94"/>
      <c r="G56" s="94"/>
      <c r="H56" s="112"/>
      <c r="I56" s="112"/>
      <c r="J56" s="112"/>
      <c r="K56" s="112"/>
    </row>
    <row r="57" spans="1:11">
      <c r="A57" s="9"/>
      <c r="B57" s="13"/>
    </row>
    <row r="58" spans="1:11">
      <c r="A58" s="9"/>
      <c r="B58" s="13"/>
    </row>
    <row r="59" spans="1:11">
      <c r="A59" s="9"/>
      <c r="B59" s="13"/>
    </row>
    <row r="60" spans="1:11">
      <c r="A60" s="9"/>
      <c r="B60" s="13"/>
    </row>
    <row r="61" spans="1:11">
      <c r="A61" s="9"/>
      <c r="B61" s="13"/>
    </row>
    <row r="62" spans="1:11">
      <c r="A62" s="9"/>
      <c r="B62" s="13"/>
    </row>
    <row r="63" spans="1:11">
      <c r="A63" s="9"/>
      <c r="B63" s="13"/>
    </row>
    <row r="64" spans="1:11">
      <c r="A64" s="9"/>
      <c r="B64" s="13"/>
    </row>
  </sheetData>
  <mergeCells count="20">
    <mergeCell ref="A16:A27"/>
    <mergeCell ref="B16:B19"/>
    <mergeCell ref="C25:D25"/>
    <mergeCell ref="C26:D26"/>
    <mergeCell ref="C27:D27"/>
    <mergeCell ref="A2:A14"/>
    <mergeCell ref="B2:B6"/>
    <mergeCell ref="C12:D12"/>
    <mergeCell ref="C13:D13"/>
    <mergeCell ref="C14:D14"/>
    <mergeCell ref="A42:A53"/>
    <mergeCell ref="B42:B45"/>
    <mergeCell ref="C51:D51"/>
    <mergeCell ref="C52:D52"/>
    <mergeCell ref="C53:D53"/>
    <mergeCell ref="A29:A40"/>
    <mergeCell ref="B29:B32"/>
    <mergeCell ref="C38:D38"/>
    <mergeCell ref="C39:D39"/>
    <mergeCell ref="C40:D40"/>
  </mergeCells>
  <pageMargins left="0.5" right="0.17" top="0.63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pageSetUpPr fitToPage="1"/>
  </sheetPr>
  <dimension ref="A1:V72"/>
  <sheetViews>
    <sheetView zoomScale="137" zoomScaleNormal="137" workbookViewId="0">
      <pane ySplit="1" topLeftCell="A3" activePane="bottomLeft" state="frozen"/>
      <selection pane="bottomLeft"/>
    </sheetView>
  </sheetViews>
  <sheetFormatPr defaultColWidth="9.28515625" defaultRowHeight="15"/>
  <cols>
    <col min="1" max="1" width="9.42578125" customWidth="1"/>
    <col min="2" max="2" width="7.28515625" bestFit="1" customWidth="1"/>
    <col min="3" max="3" width="12.7109375" customWidth="1"/>
    <col min="4" max="12" width="7.5703125" customWidth="1"/>
    <col min="14" max="15" width="9.42578125" bestFit="1" customWidth="1"/>
  </cols>
  <sheetData>
    <row r="1" spans="1:22" ht="34.5" customHeight="1">
      <c r="A1" s="8"/>
      <c r="B1" s="11"/>
      <c r="C1" s="133"/>
      <c r="D1" s="132" t="s">
        <v>17</v>
      </c>
      <c r="E1" s="132" t="s">
        <v>25</v>
      </c>
      <c r="F1" s="132" t="s">
        <v>6</v>
      </c>
      <c r="G1" s="132" t="s">
        <v>7</v>
      </c>
      <c r="H1" s="132" t="s">
        <v>8</v>
      </c>
      <c r="I1" s="132" t="s">
        <v>9</v>
      </c>
      <c r="J1" s="132" t="s">
        <v>21</v>
      </c>
      <c r="K1" s="132" t="s">
        <v>24</v>
      </c>
      <c r="L1" s="132" t="s">
        <v>27</v>
      </c>
    </row>
    <row r="2" spans="1:22">
      <c r="A2" s="284" t="s">
        <v>10</v>
      </c>
      <c r="B2" s="273">
        <v>42217</v>
      </c>
      <c r="C2" s="134" t="s">
        <v>4</v>
      </c>
      <c r="D2" s="135"/>
      <c r="E2" s="135"/>
      <c r="F2" s="135"/>
      <c r="G2" s="135">
        <v>61.7</v>
      </c>
      <c r="H2" s="135">
        <v>49.63</v>
      </c>
      <c r="I2" s="135">
        <v>53.59</v>
      </c>
      <c r="J2" s="135">
        <v>59.29</v>
      </c>
      <c r="K2" s="135">
        <v>65.88</v>
      </c>
      <c r="L2" s="135">
        <v>67.84</v>
      </c>
    </row>
    <row r="3" spans="1:22">
      <c r="A3" s="285"/>
      <c r="B3" s="272"/>
      <c r="C3" s="136" t="s">
        <v>2</v>
      </c>
      <c r="D3" s="137"/>
      <c r="E3" s="138"/>
      <c r="F3" s="138"/>
      <c r="G3" s="170"/>
      <c r="H3" s="170"/>
      <c r="I3" s="170"/>
      <c r="J3" s="170"/>
      <c r="K3" s="170"/>
      <c r="L3" s="170"/>
    </row>
    <row r="4" spans="1:22">
      <c r="A4" s="285"/>
      <c r="B4" s="272"/>
      <c r="C4" s="139" t="s">
        <v>0</v>
      </c>
      <c r="D4" s="140"/>
      <c r="E4" s="140"/>
      <c r="F4" s="140"/>
      <c r="G4" s="140">
        <v>61.7</v>
      </c>
      <c r="H4" s="140">
        <v>53.75</v>
      </c>
      <c r="I4" s="140">
        <v>57.5</v>
      </c>
      <c r="J4" s="140">
        <v>60.5</v>
      </c>
      <c r="K4" s="140">
        <v>63</v>
      </c>
      <c r="L4" s="140">
        <v>65</v>
      </c>
      <c r="N4" t="s">
        <v>30</v>
      </c>
    </row>
    <row r="5" spans="1:22">
      <c r="A5" s="285"/>
      <c r="B5" s="272"/>
      <c r="C5" s="141" t="s">
        <v>3</v>
      </c>
      <c r="D5" s="142"/>
      <c r="E5" s="142"/>
      <c r="F5" s="142"/>
      <c r="G5" s="142">
        <v>61.75</v>
      </c>
      <c r="H5" s="142">
        <v>51.24</v>
      </c>
      <c r="I5" s="142">
        <v>58.48</v>
      </c>
      <c r="J5" s="142">
        <v>63.9</v>
      </c>
      <c r="K5" s="142">
        <v>69.42</v>
      </c>
      <c r="L5" s="142">
        <v>71.349999999999994</v>
      </c>
      <c r="N5" t="s">
        <v>28</v>
      </c>
      <c r="O5" t="s">
        <v>29</v>
      </c>
    </row>
    <row r="6" spans="1:22">
      <c r="A6" s="285"/>
      <c r="B6" s="272"/>
      <c r="C6" s="143" t="s">
        <v>1</v>
      </c>
      <c r="D6" s="144">
        <v>89.65</v>
      </c>
      <c r="E6" s="144">
        <v>85.82</v>
      </c>
      <c r="F6" s="144">
        <v>95.13</v>
      </c>
      <c r="G6" s="144">
        <f t="shared" ref="G6:L6" si="0">AVERAGE(G2:G5)</f>
        <v>61.716666666666669</v>
      </c>
      <c r="H6" s="144">
        <f t="shared" si="0"/>
        <v>51.54</v>
      </c>
      <c r="I6" s="144">
        <f t="shared" si="0"/>
        <v>56.523333333333333</v>
      </c>
      <c r="J6" s="144">
        <f t="shared" si="0"/>
        <v>61.23</v>
      </c>
      <c r="K6" s="144">
        <f t="shared" si="0"/>
        <v>66.100000000000009</v>
      </c>
      <c r="L6" s="144">
        <f t="shared" si="0"/>
        <v>68.063333333333333</v>
      </c>
      <c r="N6" s="169">
        <f>(H6-H7)*(H21-H22)*(1-0.11)+(H36-H37*(H51-H52)*(1-0.24))</f>
        <v>-28.914946666666609</v>
      </c>
      <c r="O6" s="169">
        <f>(I6-I7)*(I21-I22)*(1-0.11)+(I36-I37*(I51-I52)*(1-0.24))</f>
        <v>-92.182839911110563</v>
      </c>
      <c r="V6" s="93"/>
    </row>
    <row r="7" spans="1:22">
      <c r="A7" s="285"/>
      <c r="B7" s="33">
        <v>42036</v>
      </c>
      <c r="C7" s="133" t="s">
        <v>1</v>
      </c>
      <c r="D7" s="138">
        <v>89.65</v>
      </c>
      <c r="E7" s="138">
        <v>85.82</v>
      </c>
      <c r="F7" s="138">
        <v>95.13</v>
      </c>
      <c r="G7" s="138">
        <v>61</v>
      </c>
      <c r="H7" s="138">
        <v>56</v>
      </c>
      <c r="I7" s="138">
        <v>65</v>
      </c>
      <c r="J7" s="138">
        <v>70</v>
      </c>
      <c r="K7" s="138">
        <v>75</v>
      </c>
      <c r="L7" s="138"/>
      <c r="N7" s="171"/>
      <c r="O7" s="171"/>
      <c r="V7" s="93"/>
    </row>
    <row r="8" spans="1:22" hidden="1">
      <c r="A8" s="285"/>
      <c r="B8" s="33">
        <v>41974</v>
      </c>
      <c r="C8" s="133" t="s">
        <v>1</v>
      </c>
      <c r="D8" s="138">
        <v>89.65</v>
      </c>
      <c r="E8" s="138">
        <v>85.82</v>
      </c>
      <c r="F8" s="138">
        <v>95.14</v>
      </c>
      <c r="G8" s="138">
        <v>71</v>
      </c>
      <c r="H8" s="138">
        <v>66</v>
      </c>
      <c r="I8" s="138">
        <v>72</v>
      </c>
      <c r="J8" s="138">
        <v>76</v>
      </c>
      <c r="K8" s="138">
        <v>80</v>
      </c>
      <c r="L8" s="138"/>
    </row>
    <row r="9" spans="1:22" hidden="1">
      <c r="A9" s="285"/>
      <c r="B9" s="33">
        <v>41852</v>
      </c>
      <c r="C9" s="133" t="s">
        <v>1</v>
      </c>
      <c r="D9" s="138">
        <v>89.65</v>
      </c>
      <c r="E9" s="138">
        <v>85.82</v>
      </c>
      <c r="F9" s="138">
        <v>95.75</v>
      </c>
      <c r="G9" s="138">
        <v>92</v>
      </c>
      <c r="H9" s="138">
        <v>88</v>
      </c>
      <c r="I9" s="138">
        <v>87</v>
      </c>
      <c r="J9" s="138">
        <v>86</v>
      </c>
      <c r="K9" s="138">
        <v>85</v>
      </c>
      <c r="L9" s="138"/>
    </row>
    <row r="10" spans="1:22" hidden="1">
      <c r="A10" s="285"/>
      <c r="B10" s="33">
        <v>41499</v>
      </c>
      <c r="C10" s="133" t="s">
        <v>1</v>
      </c>
      <c r="D10" s="138">
        <v>90</v>
      </c>
      <c r="E10" s="138">
        <v>87</v>
      </c>
      <c r="F10" s="138">
        <v>94</v>
      </c>
      <c r="G10" s="138">
        <v>87.5</v>
      </c>
      <c r="H10" s="138">
        <v>85</v>
      </c>
      <c r="I10" s="138">
        <v>84</v>
      </c>
      <c r="J10" s="138">
        <v>84</v>
      </c>
      <c r="K10" s="138"/>
      <c r="L10" s="138"/>
    </row>
    <row r="11" spans="1:22" hidden="1">
      <c r="A11" s="285"/>
      <c r="B11" s="33">
        <v>41306</v>
      </c>
      <c r="C11" s="133" t="s">
        <v>1</v>
      </c>
      <c r="D11" s="145">
        <v>90</v>
      </c>
      <c r="E11" s="145">
        <v>86.5</v>
      </c>
      <c r="F11" s="145">
        <v>88</v>
      </c>
      <c r="G11" s="145">
        <v>87.5</v>
      </c>
      <c r="H11" s="145">
        <v>87</v>
      </c>
      <c r="I11" s="145">
        <v>86.5</v>
      </c>
      <c r="J11" s="145"/>
      <c r="K11" s="145"/>
      <c r="L11" s="145"/>
    </row>
    <row r="12" spans="1:22" hidden="1">
      <c r="A12" s="285"/>
      <c r="B12" s="33">
        <v>41244</v>
      </c>
      <c r="C12" s="133" t="s">
        <v>1</v>
      </c>
      <c r="D12" s="145">
        <v>89.640506965377526</v>
      </c>
      <c r="E12" s="145">
        <v>85</v>
      </c>
      <c r="F12" s="145">
        <v>84.75</v>
      </c>
      <c r="G12" s="145">
        <v>83.5</v>
      </c>
      <c r="H12" s="145">
        <v>82.5</v>
      </c>
      <c r="I12" s="145">
        <v>83</v>
      </c>
      <c r="J12" s="145">
        <v>83</v>
      </c>
      <c r="K12" s="145"/>
      <c r="L12" s="145"/>
    </row>
    <row r="13" spans="1:22" hidden="1">
      <c r="A13" s="285"/>
      <c r="B13" s="33">
        <v>42217</v>
      </c>
      <c r="C13" s="292" t="s">
        <v>16</v>
      </c>
      <c r="D13" s="293"/>
      <c r="E13" s="146">
        <f t="shared" ref="E13:L13" si="1">+E6/D6-1</f>
        <v>-4.2721695482431765E-2</v>
      </c>
      <c r="F13" s="146">
        <f>+F6/E6-1</f>
        <v>0.10848287112561183</v>
      </c>
      <c r="G13" s="166">
        <f>+G6/F6-1</f>
        <v>-0.35123865587441738</v>
      </c>
      <c r="H13" s="146">
        <f t="shared" si="1"/>
        <v>-0.16489332973264925</v>
      </c>
      <c r="I13" s="146">
        <f t="shared" si="1"/>
        <v>9.6688656060018197E-2</v>
      </c>
      <c r="J13" s="146">
        <f t="shared" si="1"/>
        <v>8.3269446246387879E-2</v>
      </c>
      <c r="K13" s="146">
        <f t="shared" si="1"/>
        <v>7.9536175077576488E-2</v>
      </c>
      <c r="L13" s="146">
        <f t="shared" si="1"/>
        <v>2.9702471003529851E-2</v>
      </c>
    </row>
    <row r="14" spans="1:22" hidden="1">
      <c r="A14" s="285"/>
      <c r="B14" s="33">
        <v>42031</v>
      </c>
      <c r="C14" s="290" t="s">
        <v>16</v>
      </c>
      <c r="D14" s="291"/>
      <c r="E14" s="147">
        <f t="shared" ref="E14:K14" si="2">(E7-D7)/D7</f>
        <v>-4.2721695482431814E-2</v>
      </c>
      <c r="F14" s="147">
        <f t="shared" si="2"/>
        <v>0.10848287112561178</v>
      </c>
      <c r="G14" s="147">
        <f t="shared" si="2"/>
        <v>-0.35877220645432562</v>
      </c>
      <c r="H14" s="147">
        <f t="shared" si="2"/>
        <v>-8.1967213114754092E-2</v>
      </c>
      <c r="I14" s="147">
        <f t="shared" si="2"/>
        <v>0.16071428571428573</v>
      </c>
      <c r="J14" s="147">
        <f t="shared" si="2"/>
        <v>7.6923076923076927E-2</v>
      </c>
      <c r="K14" s="147">
        <f t="shared" si="2"/>
        <v>7.1428571428571425E-2</v>
      </c>
      <c r="L14" s="147"/>
    </row>
    <row r="15" spans="1:22" hidden="1">
      <c r="A15" s="285"/>
      <c r="B15" s="33">
        <v>41974</v>
      </c>
      <c r="C15" s="290" t="s">
        <v>16</v>
      </c>
      <c r="D15" s="291"/>
      <c r="E15" s="147">
        <f t="shared" ref="E15:J15" si="3">(E8-D8)/D8</f>
        <v>-4.2721695482431814E-2</v>
      </c>
      <c r="F15" s="147">
        <f t="shared" si="3"/>
        <v>0.10859939408063397</v>
      </c>
      <c r="G15" s="147">
        <f t="shared" si="3"/>
        <v>-0.2537313432835821</v>
      </c>
      <c r="H15" s="147">
        <f t="shared" si="3"/>
        <v>-7.0422535211267609E-2</v>
      </c>
      <c r="I15" s="147">
        <f t="shared" si="3"/>
        <v>9.0909090909090912E-2</v>
      </c>
      <c r="J15" s="147">
        <f t="shared" si="3"/>
        <v>5.5555555555555552E-2</v>
      </c>
      <c r="K15" s="147"/>
      <c r="L15" s="147"/>
    </row>
    <row r="16" spans="1:22" hidden="1">
      <c r="A16" s="286"/>
      <c r="B16" s="33">
        <v>41499</v>
      </c>
      <c r="C16" s="292" t="s">
        <v>16</v>
      </c>
      <c r="D16" s="293"/>
      <c r="E16" s="146">
        <f t="shared" ref="E16:J16" si="4">(E10-D10)/D10</f>
        <v>-3.3333333333333333E-2</v>
      </c>
      <c r="F16" s="146">
        <f t="shared" si="4"/>
        <v>8.0459770114942528E-2</v>
      </c>
      <c r="G16" s="146">
        <f t="shared" si="4"/>
        <v>-6.9148936170212769E-2</v>
      </c>
      <c r="H16" s="146">
        <f t="shared" si="4"/>
        <v>-2.8571428571428571E-2</v>
      </c>
      <c r="I16" s="146">
        <f t="shared" si="4"/>
        <v>-1.1764705882352941E-2</v>
      </c>
      <c r="J16" s="146">
        <f t="shared" si="4"/>
        <v>0</v>
      </c>
      <c r="K16" s="146"/>
      <c r="L16" s="146"/>
    </row>
    <row r="17" spans="1:15">
      <c r="A17" s="65"/>
      <c r="B17" s="65"/>
      <c r="C17" s="65"/>
      <c r="D17" s="65"/>
      <c r="E17" s="65"/>
      <c r="F17" s="65"/>
      <c r="G17" s="126"/>
      <c r="H17" s="128"/>
      <c r="I17" s="128"/>
      <c r="J17" s="128"/>
      <c r="K17" s="128"/>
      <c r="L17" s="128"/>
    </row>
    <row r="18" spans="1:15">
      <c r="A18" s="281" t="s">
        <v>12</v>
      </c>
      <c r="B18" s="273">
        <v>42217</v>
      </c>
      <c r="C18" s="136" t="s">
        <v>2</v>
      </c>
      <c r="D18" s="148"/>
      <c r="E18" s="148"/>
      <c r="F18" s="148"/>
      <c r="G18" s="148" t="s">
        <v>31</v>
      </c>
      <c r="H18" s="148">
        <v>142</v>
      </c>
      <c r="I18" s="148">
        <v>155</v>
      </c>
      <c r="J18" s="148">
        <v>167</v>
      </c>
      <c r="K18" s="148">
        <v>180</v>
      </c>
      <c r="L18" s="148">
        <v>158</v>
      </c>
    </row>
    <row r="19" spans="1:15">
      <c r="A19" s="281"/>
      <c r="B19" s="272"/>
      <c r="C19" s="139" t="s">
        <v>0</v>
      </c>
      <c r="D19" s="149"/>
      <c r="E19" s="149"/>
      <c r="F19" s="149"/>
      <c r="G19" s="149">
        <v>139.4</v>
      </c>
      <c r="H19" s="149">
        <v>146.4</v>
      </c>
      <c r="I19" s="149">
        <v>152.19999999999999</v>
      </c>
      <c r="J19" s="149">
        <v>156.80000000000001</v>
      </c>
      <c r="K19" s="150">
        <v>159.9</v>
      </c>
      <c r="L19" s="150">
        <v>161.5</v>
      </c>
      <c r="M19" s="127"/>
    </row>
    <row r="20" spans="1:15">
      <c r="A20" s="281"/>
      <c r="B20" s="272"/>
      <c r="C20" s="141" t="s">
        <v>3</v>
      </c>
      <c r="D20" s="151"/>
      <c r="E20" s="151"/>
      <c r="F20" s="151"/>
      <c r="G20" s="151">
        <v>135</v>
      </c>
      <c r="H20" s="151">
        <v>138.19999999999999</v>
      </c>
      <c r="I20" s="151">
        <v>141.4</v>
      </c>
      <c r="J20" s="151">
        <v>143.5</v>
      </c>
      <c r="K20" s="151">
        <v>145.69999999999999</v>
      </c>
      <c r="L20" s="151">
        <v>147.9</v>
      </c>
    </row>
    <row r="21" spans="1:15">
      <c r="A21" s="281"/>
      <c r="B21" s="272"/>
      <c r="C21" s="143" t="s">
        <v>1</v>
      </c>
      <c r="D21" s="152">
        <v>80.3</v>
      </c>
      <c r="E21" s="152">
        <v>96.4</v>
      </c>
      <c r="F21" s="153">
        <v>113.9</v>
      </c>
      <c r="G21" s="153">
        <f>AVERAGE(G18:G20)</f>
        <v>137.19999999999999</v>
      </c>
      <c r="H21" s="153">
        <v>145</v>
      </c>
      <c r="I21" s="153">
        <f>AVERAGE(I18:I20)</f>
        <v>149.53333333333333</v>
      </c>
      <c r="J21" s="153">
        <v>153</v>
      </c>
      <c r="K21" s="153">
        <v>155</v>
      </c>
      <c r="L21" s="153">
        <v>156</v>
      </c>
      <c r="M21" s="93"/>
    </row>
    <row r="22" spans="1:15">
      <c r="A22" s="281"/>
      <c r="B22" s="33">
        <f>B7</f>
        <v>42036</v>
      </c>
      <c r="C22" s="133" t="s">
        <v>1</v>
      </c>
      <c r="D22" s="154">
        <v>80.3</v>
      </c>
      <c r="E22" s="154">
        <v>96.4</v>
      </c>
      <c r="F22" s="154">
        <v>113.9</v>
      </c>
      <c r="G22" s="154">
        <v>125</v>
      </c>
      <c r="H22" s="154">
        <v>128</v>
      </c>
      <c r="I22" s="154">
        <v>131</v>
      </c>
      <c r="J22" s="154">
        <v>133</v>
      </c>
      <c r="K22" s="154">
        <v>135</v>
      </c>
      <c r="L22" s="154"/>
      <c r="M22" s="93"/>
      <c r="N22" s="131"/>
      <c r="O22" s="131"/>
    </row>
    <row r="23" spans="1:15" hidden="1">
      <c r="A23" s="281"/>
      <c r="B23" s="33">
        <v>41974</v>
      </c>
      <c r="C23" s="133" t="s">
        <v>1</v>
      </c>
      <c r="D23" s="154">
        <v>80.3</v>
      </c>
      <c r="E23" s="154">
        <v>96.4</v>
      </c>
      <c r="F23" s="154">
        <v>113.4</v>
      </c>
      <c r="G23" s="154">
        <v>122</v>
      </c>
      <c r="H23" s="154">
        <v>127</v>
      </c>
      <c r="I23" s="154">
        <v>131</v>
      </c>
      <c r="J23" s="154">
        <v>133</v>
      </c>
      <c r="K23" s="154">
        <v>135</v>
      </c>
      <c r="L23" s="154"/>
    </row>
    <row r="24" spans="1:15" hidden="1">
      <c r="A24" s="281"/>
      <c r="B24" s="33">
        <v>41852</v>
      </c>
      <c r="C24" s="133" t="s">
        <v>1</v>
      </c>
      <c r="D24" s="154">
        <v>80.3</v>
      </c>
      <c r="E24" s="154">
        <v>96.4</v>
      </c>
      <c r="F24" s="154">
        <v>110</v>
      </c>
      <c r="G24" s="154">
        <v>117</v>
      </c>
      <c r="H24" s="154">
        <v>122</v>
      </c>
      <c r="I24" s="154">
        <v>125</v>
      </c>
      <c r="J24" s="154">
        <v>127</v>
      </c>
      <c r="K24" s="154">
        <v>129</v>
      </c>
      <c r="L24" s="154"/>
    </row>
    <row r="25" spans="1:15" hidden="1">
      <c r="A25" s="281"/>
      <c r="B25" s="33">
        <v>41499</v>
      </c>
      <c r="C25" s="133" t="s">
        <v>1</v>
      </c>
      <c r="D25" s="154">
        <v>80.069999999999993</v>
      </c>
      <c r="E25" s="154">
        <v>90</v>
      </c>
      <c r="F25" s="154">
        <v>93</v>
      </c>
      <c r="G25" s="154">
        <v>97</v>
      </c>
      <c r="H25" s="154">
        <v>100</v>
      </c>
      <c r="I25" s="154">
        <v>101</v>
      </c>
      <c r="J25" s="154">
        <v>102</v>
      </c>
      <c r="K25" s="154"/>
      <c r="L25" s="154"/>
    </row>
    <row r="26" spans="1:15" hidden="1">
      <c r="A26" s="281"/>
      <c r="B26" s="33">
        <v>41317</v>
      </c>
      <c r="C26" s="133" t="s">
        <v>1</v>
      </c>
      <c r="D26" s="155">
        <v>80.099999999999994</v>
      </c>
      <c r="E26" s="155">
        <v>87</v>
      </c>
      <c r="F26" s="155">
        <v>91.4</v>
      </c>
      <c r="G26" s="155">
        <v>94.1</v>
      </c>
      <c r="H26" s="155">
        <v>96</v>
      </c>
      <c r="I26" s="155">
        <v>97.9</v>
      </c>
      <c r="J26" s="155"/>
      <c r="K26" s="155"/>
      <c r="L26" s="155"/>
    </row>
    <row r="27" spans="1:15" hidden="1">
      <c r="A27" s="281"/>
      <c r="B27" s="33">
        <v>41244</v>
      </c>
      <c r="C27" s="133" t="s">
        <v>1</v>
      </c>
      <c r="D27" s="155">
        <v>79.7</v>
      </c>
      <c r="E27" s="155">
        <v>84.119744824999998</v>
      </c>
      <c r="F27" s="155">
        <v>88.406534618000009</v>
      </c>
      <c r="G27" s="155">
        <v>92.434230656539995</v>
      </c>
      <c r="H27" s="155">
        <v>96.132415269670815</v>
      </c>
      <c r="I27" s="155">
        <v>97.6</v>
      </c>
      <c r="J27" s="155">
        <v>97.6</v>
      </c>
      <c r="K27" s="155"/>
      <c r="L27" s="155"/>
    </row>
    <row r="28" spans="1:15">
      <c r="A28" s="281"/>
      <c r="B28" s="33">
        <v>42217</v>
      </c>
      <c r="C28" s="292" t="s">
        <v>16</v>
      </c>
      <c r="D28" s="293"/>
      <c r="E28" s="167">
        <f t="shared" ref="E28:K28" si="5">(E21-D21)/D21</f>
        <v>0.20049813200498143</v>
      </c>
      <c r="F28" s="167">
        <f>(F21-E21)/E21</f>
        <v>0.18153526970954356</v>
      </c>
      <c r="G28" s="167">
        <f t="shared" si="5"/>
        <v>0.20456540825285321</v>
      </c>
      <c r="H28" s="167">
        <f t="shared" si="5"/>
        <v>5.6851311953352857E-2</v>
      </c>
      <c r="I28" s="167">
        <f t="shared" si="5"/>
        <v>3.1264367816091938E-2</v>
      </c>
      <c r="J28" s="167">
        <f t="shared" si="5"/>
        <v>2.318323673651361E-2</v>
      </c>
      <c r="K28" s="167">
        <f t="shared" si="5"/>
        <v>1.3071895424836602E-2</v>
      </c>
      <c r="L28" s="167">
        <f>(L21-K21)/K21</f>
        <v>6.4516129032258064E-3</v>
      </c>
    </row>
    <row r="29" spans="1:15">
      <c r="A29" s="281"/>
      <c r="B29" s="33">
        <f>B7</f>
        <v>42036</v>
      </c>
      <c r="C29" s="290" t="s">
        <v>16</v>
      </c>
      <c r="D29" s="291"/>
      <c r="E29" s="168">
        <f>(E22-D22)/D22</f>
        <v>0.20049813200498143</v>
      </c>
      <c r="F29" s="168">
        <f>(F22-E22)/E22</f>
        <v>0.18153526970954356</v>
      </c>
      <c r="G29" s="168">
        <f>(G22-F22)/F22</f>
        <v>9.7453906935908635E-2</v>
      </c>
      <c r="H29" s="168">
        <f>(H22-G22)/G22</f>
        <v>2.4E-2</v>
      </c>
      <c r="I29" s="168">
        <f>(I22-H22)/H22</f>
        <v>2.34375E-2</v>
      </c>
      <c r="J29" s="168">
        <f>(J22-I22)/I22</f>
        <v>1.5267175572519083E-2</v>
      </c>
      <c r="K29" s="168">
        <f>(K22-J22)/J22</f>
        <v>1.5037593984962405E-2</v>
      </c>
      <c r="L29" s="168"/>
    </row>
    <row r="30" spans="1:15" hidden="1">
      <c r="A30" s="281"/>
      <c r="B30" s="33">
        <v>41974</v>
      </c>
      <c r="C30" s="290" t="s">
        <v>16</v>
      </c>
      <c r="D30" s="291"/>
      <c r="E30" s="147">
        <f>(E23-D23)/D23</f>
        <v>0.20049813200498143</v>
      </c>
      <c r="F30" s="147">
        <f t="shared" ref="F30:L30" si="6">(F23-E23)/E23</f>
        <v>0.17634854771784231</v>
      </c>
      <c r="G30" s="147">
        <f t="shared" si="6"/>
        <v>7.5837742504409111E-2</v>
      </c>
      <c r="H30" s="147">
        <f t="shared" si="6"/>
        <v>4.0983606557377046E-2</v>
      </c>
      <c r="I30" s="147">
        <f t="shared" si="6"/>
        <v>3.1496062992125984E-2</v>
      </c>
      <c r="J30" s="147">
        <f t="shared" si="6"/>
        <v>1.5267175572519083E-2</v>
      </c>
      <c r="K30" s="147">
        <f t="shared" si="6"/>
        <v>1.5037593984962405E-2</v>
      </c>
      <c r="L30" s="147">
        <f t="shared" si="6"/>
        <v>-1</v>
      </c>
    </row>
    <row r="31" spans="1:15" hidden="1">
      <c r="A31" s="281"/>
      <c r="B31" s="33">
        <v>41499</v>
      </c>
      <c r="C31" s="292" t="s">
        <v>16</v>
      </c>
      <c r="D31" s="293"/>
      <c r="E31" s="146">
        <f t="shared" ref="E31:J31" si="7">(E25-D25)/D25</f>
        <v>0.12401648557512186</v>
      </c>
      <c r="F31" s="146">
        <f t="shared" si="7"/>
        <v>3.3333333333333333E-2</v>
      </c>
      <c r="G31" s="146">
        <f t="shared" si="7"/>
        <v>4.3010752688172046E-2</v>
      </c>
      <c r="H31" s="146">
        <f t="shared" si="7"/>
        <v>3.0927835051546393E-2</v>
      </c>
      <c r="I31" s="146">
        <f t="shared" si="7"/>
        <v>0.01</v>
      </c>
      <c r="J31" s="146">
        <f t="shared" si="7"/>
        <v>9.9009900990099011E-3</v>
      </c>
      <c r="K31" s="146"/>
      <c r="L31" s="146"/>
    </row>
    <row r="32" spans="1:15">
      <c r="A32" s="106"/>
      <c r="B32" s="107"/>
      <c r="C32" s="156"/>
      <c r="D32" s="156"/>
      <c r="E32" s="157"/>
      <c r="F32" s="157"/>
      <c r="G32" s="158"/>
      <c r="H32" s="158"/>
      <c r="I32" s="158"/>
      <c r="J32" s="158"/>
      <c r="K32" s="158"/>
      <c r="L32" s="158"/>
    </row>
    <row r="33" spans="1:15">
      <c r="A33" s="287" t="s">
        <v>18</v>
      </c>
      <c r="B33" s="273">
        <v>42217</v>
      </c>
      <c r="C33" s="136" t="s">
        <v>2</v>
      </c>
      <c r="D33" s="159"/>
      <c r="E33" s="159"/>
      <c r="F33" s="159"/>
      <c r="G33" s="159">
        <v>3.76</v>
      </c>
      <c r="H33" s="159">
        <v>3.62</v>
      </c>
      <c r="I33" s="159">
        <v>3.98</v>
      </c>
      <c r="J33" s="159">
        <v>4.1900000000000004</v>
      </c>
      <c r="K33" s="159">
        <v>4.3</v>
      </c>
      <c r="L33" s="159">
        <v>4.3</v>
      </c>
    </row>
    <row r="34" spans="1:15">
      <c r="A34" s="288"/>
      <c r="B34" s="272"/>
      <c r="C34" s="139" t="s">
        <v>0</v>
      </c>
      <c r="D34" s="140"/>
      <c r="E34" s="140"/>
      <c r="F34" s="140"/>
      <c r="G34" s="140">
        <v>3.82</v>
      </c>
      <c r="H34" s="140">
        <v>3.55</v>
      </c>
      <c r="I34" s="140">
        <v>3.85</v>
      </c>
      <c r="J34" s="140">
        <v>4.1500000000000004</v>
      </c>
      <c r="K34" s="140">
        <v>4.5</v>
      </c>
      <c r="L34" s="140">
        <v>4.7</v>
      </c>
    </row>
    <row r="35" spans="1:15">
      <c r="A35" s="288"/>
      <c r="B35" s="272"/>
      <c r="C35" s="141" t="s">
        <v>3</v>
      </c>
      <c r="D35" s="142"/>
      <c r="E35" s="142"/>
      <c r="F35" s="142"/>
      <c r="G35" s="142">
        <v>3.85</v>
      </c>
      <c r="H35" s="142">
        <v>3.64</v>
      </c>
      <c r="I35" s="142">
        <v>3.87</v>
      </c>
      <c r="J35" s="142">
        <v>4.05</v>
      </c>
      <c r="K35" s="142">
        <v>4.0199999999999996</v>
      </c>
      <c r="L35" s="142">
        <v>4.3099999999999996</v>
      </c>
    </row>
    <row r="36" spans="1:15">
      <c r="A36" s="288"/>
      <c r="B36" s="272"/>
      <c r="C36" s="143" t="s">
        <v>1</v>
      </c>
      <c r="D36" s="144">
        <v>5.01</v>
      </c>
      <c r="E36" s="144">
        <v>4.38</v>
      </c>
      <c r="F36" s="144">
        <v>5.14</v>
      </c>
      <c r="G36" s="144">
        <v>3.8</v>
      </c>
      <c r="H36" s="144">
        <f>AVERAGE(H33:H35)</f>
        <v>3.6033333333333335</v>
      </c>
      <c r="I36" s="144">
        <f>AVERAGE(I33:I35)</f>
        <v>3.9</v>
      </c>
      <c r="J36" s="144">
        <v>4.1500000000000004</v>
      </c>
      <c r="K36" s="144">
        <v>4.25</v>
      </c>
      <c r="L36" s="144">
        <v>4.45</v>
      </c>
    </row>
    <row r="37" spans="1:15">
      <c r="A37" s="288"/>
      <c r="B37" s="33">
        <f>B22</f>
        <v>42036</v>
      </c>
      <c r="C37" s="133" t="s">
        <v>1</v>
      </c>
      <c r="D37" s="138">
        <v>5.01</v>
      </c>
      <c r="E37" s="138">
        <v>4.38</v>
      </c>
      <c r="F37" s="138">
        <v>5.14</v>
      </c>
      <c r="G37" s="138">
        <v>4.3</v>
      </c>
      <c r="H37" s="138">
        <v>4.0999999999999996</v>
      </c>
      <c r="I37" s="138">
        <v>4.3</v>
      </c>
      <c r="J37" s="138">
        <v>4.5</v>
      </c>
      <c r="K37" s="138">
        <v>4.7</v>
      </c>
      <c r="L37" s="138"/>
      <c r="N37" s="112"/>
      <c r="O37" s="112"/>
    </row>
    <row r="38" spans="1:15" hidden="1">
      <c r="A38" s="288"/>
      <c r="B38" s="33">
        <v>41974</v>
      </c>
      <c r="C38" s="133" t="s">
        <v>1</v>
      </c>
      <c r="D38" s="138">
        <v>5.01</v>
      </c>
      <c r="E38" s="138">
        <v>4.38</v>
      </c>
      <c r="F38" s="138">
        <v>5.13</v>
      </c>
      <c r="G38" s="138">
        <v>4.9000000000000004</v>
      </c>
      <c r="H38" s="138">
        <v>4.9000000000000004</v>
      </c>
      <c r="I38" s="138">
        <v>4.95</v>
      </c>
      <c r="J38" s="138">
        <v>5.0999999999999996</v>
      </c>
      <c r="K38" s="138">
        <v>5.2</v>
      </c>
      <c r="L38" s="138"/>
    </row>
    <row r="39" spans="1:15" hidden="1">
      <c r="A39" s="288"/>
      <c r="B39" s="33">
        <v>41852</v>
      </c>
      <c r="C39" s="133" t="s">
        <v>1</v>
      </c>
      <c r="D39" s="138">
        <v>5.01</v>
      </c>
      <c r="E39" s="138">
        <v>4.38</v>
      </c>
      <c r="F39" s="138">
        <v>5.15</v>
      </c>
      <c r="G39" s="138">
        <v>5.2</v>
      </c>
      <c r="H39" s="138">
        <v>5.25</v>
      </c>
      <c r="I39" s="138">
        <v>5.3</v>
      </c>
      <c r="J39" s="138">
        <v>5.35</v>
      </c>
      <c r="K39" s="138">
        <v>5.4</v>
      </c>
      <c r="L39" s="138"/>
    </row>
    <row r="40" spans="1:15" hidden="1">
      <c r="A40" s="288"/>
      <c r="B40" s="33">
        <v>41499</v>
      </c>
      <c r="C40" s="133" t="s">
        <v>1</v>
      </c>
      <c r="D40" s="138">
        <v>5</v>
      </c>
      <c r="E40" s="138">
        <v>4.5</v>
      </c>
      <c r="F40" s="138">
        <v>5</v>
      </c>
      <c r="G40" s="138">
        <v>5.4</v>
      </c>
      <c r="H40" s="138">
        <v>5.5</v>
      </c>
      <c r="I40" s="138">
        <v>5.5</v>
      </c>
      <c r="J40" s="138">
        <v>5.5</v>
      </c>
      <c r="K40" s="138"/>
      <c r="L40" s="138"/>
    </row>
    <row r="41" spans="1:15" hidden="1">
      <c r="A41" s="288"/>
      <c r="B41" s="33">
        <v>41317</v>
      </c>
      <c r="C41" s="133" t="s">
        <v>1</v>
      </c>
      <c r="D41" s="145">
        <v>5</v>
      </c>
      <c r="E41" s="145">
        <v>4.5</v>
      </c>
      <c r="F41" s="145">
        <v>5.0999999999999996</v>
      </c>
      <c r="G41" s="145">
        <v>5.25</v>
      </c>
      <c r="H41" s="145">
        <v>5.5</v>
      </c>
      <c r="I41" s="145">
        <v>5.5</v>
      </c>
      <c r="J41" s="145"/>
      <c r="K41" s="145"/>
      <c r="L41" s="145"/>
    </row>
    <row r="42" spans="1:15" hidden="1">
      <c r="A42" s="288"/>
      <c r="B42" s="33">
        <v>41244</v>
      </c>
      <c r="C42" s="133" t="s">
        <v>1</v>
      </c>
      <c r="D42" s="145">
        <v>5</v>
      </c>
      <c r="E42" s="145">
        <v>4.5</v>
      </c>
      <c r="F42" s="145">
        <v>5</v>
      </c>
      <c r="G42" s="145">
        <v>5.4</v>
      </c>
      <c r="H42" s="145">
        <v>5.6</v>
      </c>
      <c r="I42" s="145">
        <v>5.5</v>
      </c>
      <c r="J42" s="145">
        <v>5.5</v>
      </c>
      <c r="K42" s="145"/>
      <c r="L42" s="145"/>
    </row>
    <row r="43" spans="1:15" hidden="1">
      <c r="A43" s="288"/>
      <c r="B43" s="33">
        <v>42217</v>
      </c>
      <c r="C43" s="292" t="s">
        <v>16</v>
      </c>
      <c r="D43" s="293"/>
      <c r="E43" s="146">
        <f t="shared" ref="E43:L43" si="8">(E36-D36)/D36</f>
        <v>-0.12574850299401197</v>
      </c>
      <c r="F43" s="146">
        <f t="shared" si="8"/>
        <v>0.17351598173515978</v>
      </c>
      <c r="G43" s="146">
        <f t="shared" si="8"/>
        <v>-0.26070038910505833</v>
      </c>
      <c r="H43" s="146">
        <f t="shared" si="8"/>
        <v>-5.1754385964912192E-2</v>
      </c>
      <c r="I43" s="146">
        <f t="shared" si="8"/>
        <v>8.2331174838112781E-2</v>
      </c>
      <c r="J43" s="146">
        <f t="shared" si="8"/>
        <v>6.4102564102564222E-2</v>
      </c>
      <c r="K43" s="146">
        <f t="shared" si="8"/>
        <v>2.4096385542168586E-2</v>
      </c>
      <c r="L43" s="146">
        <f t="shared" si="8"/>
        <v>4.7058823529411806E-2</v>
      </c>
    </row>
    <row r="44" spans="1:15" hidden="1">
      <c r="A44" s="288"/>
      <c r="B44" s="33">
        <f>B29</f>
        <v>42036</v>
      </c>
      <c r="C44" s="290" t="s">
        <v>16</v>
      </c>
      <c r="D44" s="291"/>
      <c r="E44" s="147">
        <f t="shared" ref="E44:K44" si="9">(E37-D37)/D37</f>
        <v>-0.12574850299401197</v>
      </c>
      <c r="F44" s="147">
        <f t="shared" si="9"/>
        <v>0.17351598173515978</v>
      </c>
      <c r="G44" s="147">
        <f t="shared" si="9"/>
        <v>-0.16342412451361865</v>
      </c>
      <c r="H44" s="147">
        <f t="shared" si="9"/>
        <v>-4.6511627906976785E-2</v>
      </c>
      <c r="I44" s="147">
        <f t="shared" si="9"/>
        <v>4.8780487804878099E-2</v>
      </c>
      <c r="J44" s="147">
        <f t="shared" si="9"/>
        <v>4.6511627906976785E-2</v>
      </c>
      <c r="K44" s="147">
        <f t="shared" si="9"/>
        <v>4.4444444444444481E-2</v>
      </c>
      <c r="L44" s="147"/>
    </row>
    <row r="45" spans="1:15" hidden="1">
      <c r="A45" s="288"/>
      <c r="B45" s="33">
        <v>41974</v>
      </c>
      <c r="C45" s="290" t="s">
        <v>16</v>
      </c>
      <c r="D45" s="291"/>
      <c r="E45" s="147">
        <f t="shared" ref="E45:L45" si="10">(E38-D38)/D38</f>
        <v>-0.12574850299401197</v>
      </c>
      <c r="F45" s="147">
        <f t="shared" si="10"/>
        <v>0.17123287671232876</v>
      </c>
      <c r="G45" s="147">
        <f t="shared" si="10"/>
        <v>-4.4834307992202643E-2</v>
      </c>
      <c r="H45" s="147">
        <f t="shared" si="10"/>
        <v>0</v>
      </c>
      <c r="I45" s="147">
        <f t="shared" si="10"/>
        <v>1.0204081632653024E-2</v>
      </c>
      <c r="J45" s="147">
        <f t="shared" si="10"/>
        <v>3.0303030303030193E-2</v>
      </c>
      <c r="K45" s="147">
        <f t="shared" si="10"/>
        <v>1.9607843137255009E-2</v>
      </c>
      <c r="L45" s="147">
        <f t="shared" si="10"/>
        <v>-1</v>
      </c>
    </row>
    <row r="46" spans="1:15" hidden="1">
      <c r="A46" s="289"/>
      <c r="B46" s="33">
        <v>41499</v>
      </c>
      <c r="C46" s="292" t="s">
        <v>16</v>
      </c>
      <c r="D46" s="293"/>
      <c r="E46" s="146">
        <f t="shared" ref="E46:J46" si="11">(E40-D40)/D40</f>
        <v>-0.1</v>
      </c>
      <c r="F46" s="146">
        <f t="shared" si="11"/>
        <v>0.1111111111111111</v>
      </c>
      <c r="G46" s="146">
        <f t="shared" si="11"/>
        <v>8.0000000000000071E-2</v>
      </c>
      <c r="H46" s="146">
        <f t="shared" si="11"/>
        <v>1.8518518518518452E-2</v>
      </c>
      <c r="I46" s="146">
        <f t="shared" si="11"/>
        <v>0</v>
      </c>
      <c r="J46" s="146">
        <f t="shared" si="11"/>
        <v>0</v>
      </c>
      <c r="K46" s="146"/>
      <c r="L46" s="146"/>
    </row>
    <row r="47" spans="1:15">
      <c r="A47" s="65"/>
      <c r="B47" s="65"/>
      <c r="C47" s="65"/>
      <c r="D47" s="76"/>
      <c r="E47" s="76"/>
      <c r="F47" s="76"/>
      <c r="G47" s="130"/>
      <c r="H47" s="130"/>
      <c r="I47" s="130"/>
      <c r="J47" s="130"/>
      <c r="K47" s="130"/>
      <c r="L47" s="130"/>
    </row>
    <row r="48" spans="1:15">
      <c r="A48" s="287" t="s">
        <v>19</v>
      </c>
      <c r="B48" s="273">
        <v>42217</v>
      </c>
      <c r="C48" s="136" t="s">
        <v>2</v>
      </c>
      <c r="D48" s="160"/>
      <c r="E48" s="161"/>
      <c r="F48" s="161"/>
      <c r="G48" s="161"/>
      <c r="H48" s="161">
        <v>1138</v>
      </c>
      <c r="I48" s="161">
        <v>1108</v>
      </c>
      <c r="J48" s="161">
        <v>1079</v>
      </c>
      <c r="K48" s="161">
        <v>1049</v>
      </c>
      <c r="L48" s="161"/>
    </row>
    <row r="49" spans="1:15">
      <c r="A49" s="288"/>
      <c r="B49" s="272"/>
      <c r="C49" s="139" t="s">
        <v>0</v>
      </c>
      <c r="D49" s="162"/>
      <c r="E49" s="162"/>
      <c r="F49" s="162"/>
      <c r="G49" s="162">
        <v>1174</v>
      </c>
      <c r="H49" s="162">
        <v>1139</v>
      </c>
      <c r="I49" s="162">
        <v>1105</v>
      </c>
      <c r="J49" s="162">
        <v>1071</v>
      </c>
      <c r="K49" s="162">
        <v>1039</v>
      </c>
      <c r="L49" s="162">
        <v>1008</v>
      </c>
    </row>
    <row r="50" spans="1:15">
      <c r="A50" s="288"/>
      <c r="B50" s="272"/>
      <c r="C50" s="141" t="s">
        <v>3</v>
      </c>
      <c r="D50" s="163"/>
      <c r="E50" s="163"/>
      <c r="F50" s="163"/>
      <c r="G50" s="163">
        <v>1161</v>
      </c>
      <c r="H50" s="163">
        <v>1119.7</v>
      </c>
      <c r="I50" s="163">
        <v>1099.9000000000001</v>
      </c>
      <c r="J50" s="163">
        <v>1080.5999999999999</v>
      </c>
      <c r="K50" s="163">
        <v>1056.3</v>
      </c>
      <c r="L50" s="163">
        <v>1035.5</v>
      </c>
    </row>
    <row r="51" spans="1:15">
      <c r="A51" s="288"/>
      <c r="B51" s="272"/>
      <c r="C51" s="143" t="s">
        <v>1</v>
      </c>
      <c r="D51" s="164">
        <v>1227</v>
      </c>
      <c r="E51" s="164">
        <v>1177.5</v>
      </c>
      <c r="F51" s="164">
        <v>1184.7</v>
      </c>
      <c r="G51" s="164">
        <v>1174</v>
      </c>
      <c r="H51" s="164">
        <f>G51*0.97</f>
        <v>1138.78</v>
      </c>
      <c r="I51" s="164">
        <f>H51*0.97</f>
        <v>1104.6165999999998</v>
      </c>
      <c r="J51" s="164">
        <f>I51*0.97</f>
        <v>1071.4781019999998</v>
      </c>
      <c r="K51" s="164">
        <f>J51*0.97</f>
        <v>1039.3337589399998</v>
      </c>
      <c r="L51" s="164">
        <f>K51*0.97</f>
        <v>1008.1537461717998</v>
      </c>
    </row>
    <row r="52" spans="1:15">
      <c r="A52" s="288"/>
      <c r="B52" s="33">
        <f>B37</f>
        <v>42036</v>
      </c>
      <c r="C52" s="133" t="s">
        <v>1</v>
      </c>
      <c r="D52" s="160">
        <v>1227</v>
      </c>
      <c r="E52" s="160">
        <v>1177.5</v>
      </c>
      <c r="F52" s="160">
        <v>1184.7</v>
      </c>
      <c r="G52" s="160">
        <v>1181</v>
      </c>
      <c r="H52" s="160">
        <v>1150</v>
      </c>
      <c r="I52" s="160">
        <v>1118</v>
      </c>
      <c r="J52" s="160">
        <v>1088</v>
      </c>
      <c r="K52" s="160">
        <v>1052</v>
      </c>
      <c r="L52" s="160"/>
      <c r="N52" s="112"/>
      <c r="O52" s="112"/>
    </row>
    <row r="53" spans="1:15" hidden="1">
      <c r="A53" s="288"/>
      <c r="B53" s="33">
        <v>41974</v>
      </c>
      <c r="C53" s="133" t="s">
        <v>1</v>
      </c>
      <c r="D53" s="160">
        <v>1227</v>
      </c>
      <c r="E53" s="160">
        <v>1177.5</v>
      </c>
      <c r="F53" s="160">
        <v>1187.3</v>
      </c>
      <c r="G53" s="160">
        <v>1181</v>
      </c>
      <c r="H53" s="160">
        <v>1150</v>
      </c>
      <c r="I53" s="160">
        <v>1118</v>
      </c>
      <c r="J53" s="160">
        <v>1088</v>
      </c>
      <c r="K53" s="160">
        <v>1052</v>
      </c>
      <c r="L53" s="160"/>
    </row>
    <row r="54" spans="1:15" hidden="1">
      <c r="A54" s="288"/>
      <c r="B54" s="33">
        <v>41852</v>
      </c>
      <c r="C54" s="133" t="s">
        <v>1</v>
      </c>
      <c r="D54" s="160">
        <v>1227</v>
      </c>
      <c r="E54" s="160">
        <v>1177.5</v>
      </c>
      <c r="F54" s="160">
        <v>1170</v>
      </c>
      <c r="G54" s="160">
        <v>1158.3</v>
      </c>
      <c r="H54" s="160">
        <v>1123.5509999999999</v>
      </c>
      <c r="I54" s="160">
        <v>1089.84447</v>
      </c>
      <c r="J54" s="160">
        <v>1057.1491358999999</v>
      </c>
      <c r="K54" s="160">
        <v>1025.4346618229999</v>
      </c>
      <c r="L54" s="160"/>
    </row>
    <row r="55" spans="1:15" hidden="1">
      <c r="A55" s="288"/>
      <c r="B55" s="33">
        <v>41499</v>
      </c>
      <c r="C55" s="133" t="s">
        <v>1</v>
      </c>
      <c r="D55" s="160">
        <v>1225.8499999999999</v>
      </c>
      <c r="E55" s="160">
        <v>1165</v>
      </c>
      <c r="F55" s="160">
        <v>1110</v>
      </c>
      <c r="G55" s="160">
        <v>1070</v>
      </c>
      <c r="H55" s="160">
        <v>1030</v>
      </c>
      <c r="I55" s="160">
        <v>1000</v>
      </c>
      <c r="J55" s="160">
        <v>960</v>
      </c>
      <c r="K55" s="165"/>
      <c r="L55" s="165"/>
    </row>
    <row r="56" spans="1:15" hidden="1">
      <c r="A56" s="288"/>
      <c r="B56" s="33">
        <v>41317</v>
      </c>
      <c r="C56" s="133" t="s">
        <v>1</v>
      </c>
      <c r="D56" s="165">
        <v>1226</v>
      </c>
      <c r="E56" s="165">
        <v>1185</v>
      </c>
      <c r="F56" s="165">
        <v>1151</v>
      </c>
      <c r="G56" s="165">
        <v>1121</v>
      </c>
      <c r="H56" s="165">
        <v>1090.1407234210708</v>
      </c>
      <c r="I56" s="165">
        <v>1048</v>
      </c>
      <c r="J56" s="165"/>
      <c r="K56" s="165"/>
      <c r="L56" s="165"/>
    </row>
    <row r="57" spans="1:15" hidden="1">
      <c r="A57" s="288"/>
      <c r="B57" s="33">
        <v>41244</v>
      </c>
      <c r="C57" s="133" t="s">
        <v>1</v>
      </c>
      <c r="D57" s="165">
        <v>1228.5423506666664</v>
      </c>
      <c r="E57" s="165">
        <v>1184.5870287874238</v>
      </c>
      <c r="F57" s="165">
        <v>1151.3778293463738</v>
      </c>
      <c r="G57" s="165">
        <v>1121.0332793283103</v>
      </c>
      <c r="H57" s="165">
        <v>1090.1407234210708</v>
      </c>
      <c r="I57" s="165">
        <v>1048</v>
      </c>
      <c r="J57" s="165">
        <v>1048</v>
      </c>
      <c r="K57" s="165"/>
      <c r="L57" s="165"/>
    </row>
    <row r="58" spans="1:15">
      <c r="A58" s="288"/>
      <c r="B58" s="33">
        <v>42217</v>
      </c>
      <c r="C58" s="292" t="s">
        <v>16</v>
      </c>
      <c r="D58" s="293"/>
      <c r="E58" s="167">
        <f t="shared" ref="E58:L58" si="12">(E51-D51)/D51</f>
        <v>-4.0342298288508556E-2</v>
      </c>
      <c r="F58" s="167">
        <f t="shared" si="12"/>
        <v>6.1146496815287013E-3</v>
      </c>
      <c r="G58" s="167">
        <f t="shared" si="12"/>
        <v>-9.0318224022959779E-3</v>
      </c>
      <c r="H58" s="167">
        <f t="shared" si="12"/>
        <v>-3.0000000000000023E-2</v>
      </c>
      <c r="I58" s="167">
        <f t="shared" si="12"/>
        <v>-3.000000000000012E-2</v>
      </c>
      <c r="J58" s="167">
        <f t="shared" si="12"/>
        <v>-3.000000000000003E-2</v>
      </c>
      <c r="K58" s="167">
        <f t="shared" si="12"/>
        <v>-2.9999999999999988E-2</v>
      </c>
      <c r="L58" s="167">
        <f t="shared" si="12"/>
        <v>-3.0000000000000075E-2</v>
      </c>
    </row>
    <row r="59" spans="1:15">
      <c r="A59" s="288"/>
      <c r="B59" s="33">
        <f>B44</f>
        <v>42036</v>
      </c>
      <c r="C59" s="290" t="s">
        <v>16</v>
      </c>
      <c r="D59" s="291"/>
      <c r="E59" s="168">
        <f t="shared" ref="E59:K59" si="13">(E52-D52)/D52</f>
        <v>-4.0342298288508556E-2</v>
      </c>
      <c r="F59" s="168">
        <f t="shared" si="13"/>
        <v>6.1146496815287013E-3</v>
      </c>
      <c r="G59" s="168">
        <f t="shared" si="13"/>
        <v>-3.1231535409808773E-3</v>
      </c>
      <c r="H59" s="168">
        <f t="shared" si="13"/>
        <v>-2.6248941574936496E-2</v>
      </c>
      <c r="I59" s="168">
        <f t="shared" si="13"/>
        <v>-2.782608695652174E-2</v>
      </c>
      <c r="J59" s="168">
        <f t="shared" si="13"/>
        <v>-2.6833631484794274E-2</v>
      </c>
      <c r="K59" s="168">
        <f t="shared" si="13"/>
        <v>-3.3088235294117647E-2</v>
      </c>
      <c r="L59" s="168"/>
    </row>
    <row r="60" spans="1:15" hidden="1">
      <c r="A60" s="288"/>
      <c r="B60" s="33">
        <v>41974</v>
      </c>
      <c r="C60" s="290" t="s">
        <v>16</v>
      </c>
      <c r="D60" s="291"/>
      <c r="E60" s="147">
        <f>(E53-D53)/D53</f>
        <v>-4.0342298288508556E-2</v>
      </c>
      <c r="F60" s="147">
        <f t="shared" ref="F60:L60" si="14">(F53-E53)/E53</f>
        <v>8.3227176220806408E-3</v>
      </c>
      <c r="G60" s="147">
        <f t="shared" si="14"/>
        <v>-5.3061568264128316E-3</v>
      </c>
      <c r="H60" s="147">
        <f t="shared" si="14"/>
        <v>-2.6248941574936496E-2</v>
      </c>
      <c r="I60" s="147">
        <f t="shared" si="14"/>
        <v>-2.782608695652174E-2</v>
      </c>
      <c r="J60" s="147">
        <f t="shared" si="14"/>
        <v>-2.6833631484794274E-2</v>
      </c>
      <c r="K60" s="147">
        <f t="shared" si="14"/>
        <v>-3.3088235294117647E-2</v>
      </c>
      <c r="L60" s="147">
        <f t="shared" si="14"/>
        <v>-1</v>
      </c>
    </row>
    <row r="61" spans="1:15" hidden="1">
      <c r="A61" s="289"/>
      <c r="B61" s="33">
        <v>41499</v>
      </c>
      <c r="C61" s="292" t="s">
        <v>16</v>
      </c>
      <c r="D61" s="293"/>
      <c r="E61" s="146">
        <f t="shared" ref="E61:J61" si="15">(E55-D55)/D55</f>
        <v>-4.9639025981971625E-2</v>
      </c>
      <c r="F61" s="146">
        <f t="shared" si="15"/>
        <v>-4.7210300429184553E-2</v>
      </c>
      <c r="G61" s="146">
        <f t="shared" si="15"/>
        <v>-3.6036036036036036E-2</v>
      </c>
      <c r="H61" s="146">
        <f t="shared" si="15"/>
        <v>-3.7383177570093455E-2</v>
      </c>
      <c r="I61" s="146">
        <f t="shared" si="15"/>
        <v>-2.9126213592233011E-2</v>
      </c>
      <c r="J61" s="146">
        <f t="shared" si="15"/>
        <v>-0.04</v>
      </c>
      <c r="K61" s="146"/>
      <c r="L61" s="146"/>
    </row>
    <row r="62" spans="1:15">
      <c r="A62" s="108"/>
      <c r="B62" s="13"/>
      <c r="F62" s="112"/>
      <c r="G62" s="112"/>
      <c r="H62" s="112"/>
      <c r="I62" s="112"/>
      <c r="J62" s="112"/>
      <c r="K62" s="112"/>
      <c r="L62" s="112"/>
    </row>
    <row r="63" spans="1:15">
      <c r="A63" s="9"/>
      <c r="B63" s="13"/>
      <c r="E63" s="94"/>
      <c r="F63" s="94"/>
      <c r="G63" s="112"/>
      <c r="H63" s="112"/>
      <c r="I63" s="112"/>
      <c r="J63" s="112"/>
      <c r="K63" s="112"/>
      <c r="L63" s="112"/>
    </row>
    <row r="64" spans="1:15">
      <c r="A64" s="9"/>
      <c r="B64" s="13"/>
      <c r="E64" s="94"/>
      <c r="F64" s="94"/>
      <c r="G64" s="94"/>
      <c r="H64" s="112"/>
      <c r="I64" s="112"/>
      <c r="J64" s="112"/>
      <c r="K64" s="112"/>
      <c r="L64" s="112"/>
    </row>
    <row r="65" spans="1:2">
      <c r="A65" s="9"/>
      <c r="B65" s="13"/>
    </row>
    <row r="66" spans="1:2">
      <c r="A66" s="9"/>
      <c r="B66" s="13"/>
    </row>
    <row r="67" spans="1:2">
      <c r="A67" s="9"/>
      <c r="B67" s="13"/>
    </row>
    <row r="68" spans="1:2">
      <c r="A68" s="9"/>
      <c r="B68" s="13"/>
    </row>
    <row r="69" spans="1:2">
      <c r="A69" s="9"/>
      <c r="B69" s="13"/>
    </row>
    <row r="70" spans="1:2">
      <c r="A70" s="9"/>
      <c r="B70" s="13"/>
    </row>
    <row r="71" spans="1:2">
      <c r="A71" s="9"/>
      <c r="B71" s="13"/>
    </row>
    <row r="72" spans="1:2">
      <c r="A72" s="9"/>
      <c r="B72" s="13"/>
    </row>
  </sheetData>
  <mergeCells count="24">
    <mergeCell ref="C13:D13"/>
    <mergeCell ref="C15:D15"/>
    <mergeCell ref="C16:D16"/>
    <mergeCell ref="A18:A31"/>
    <mergeCell ref="B18:B21"/>
    <mergeCell ref="C28:D28"/>
    <mergeCell ref="C30:D30"/>
    <mergeCell ref="C31:D31"/>
    <mergeCell ref="C14:D14"/>
    <mergeCell ref="C29:D29"/>
    <mergeCell ref="A2:A16"/>
    <mergeCell ref="B2:B6"/>
    <mergeCell ref="C44:D44"/>
    <mergeCell ref="C59:D59"/>
    <mergeCell ref="A33:A46"/>
    <mergeCell ref="B33:B36"/>
    <mergeCell ref="C43:D43"/>
    <mergeCell ref="C45:D45"/>
    <mergeCell ref="C46:D46"/>
    <mergeCell ref="A48:A61"/>
    <mergeCell ref="B48:B51"/>
    <mergeCell ref="C58:D58"/>
    <mergeCell ref="C60:D60"/>
    <mergeCell ref="C61:D61"/>
  </mergeCells>
  <pageMargins left="0.5" right="0.17" top="0.63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pageSetUpPr fitToPage="1"/>
  </sheetPr>
  <dimension ref="A1:V72"/>
  <sheetViews>
    <sheetView zoomScale="137" zoomScaleNormal="137" workbookViewId="0">
      <pane ySplit="1" topLeftCell="A2" activePane="bottomLeft" state="frozen"/>
      <selection activeCell="I6" sqref="I6"/>
      <selection pane="bottomLeft" activeCell="I6" sqref="I6"/>
    </sheetView>
  </sheetViews>
  <sheetFormatPr defaultColWidth="9.28515625" defaultRowHeight="15"/>
  <cols>
    <col min="1" max="1" width="9.42578125" customWidth="1"/>
    <col min="2" max="2" width="7.28515625" bestFit="1" customWidth="1"/>
    <col min="3" max="3" width="8" customWidth="1"/>
    <col min="4" max="12" width="7.5703125" customWidth="1"/>
    <col min="14" max="15" width="9.42578125" bestFit="1" customWidth="1"/>
  </cols>
  <sheetData>
    <row r="1" spans="1:22" ht="34.5" customHeight="1">
      <c r="A1" s="8"/>
      <c r="B1" s="11"/>
      <c r="C1" s="133"/>
      <c r="D1" s="132" t="s">
        <v>17</v>
      </c>
      <c r="E1" s="132" t="s">
        <v>25</v>
      </c>
      <c r="F1" s="132" t="s">
        <v>6</v>
      </c>
      <c r="G1" s="132" t="s">
        <v>7</v>
      </c>
      <c r="H1" s="132" t="s">
        <v>8</v>
      </c>
      <c r="I1" s="132" t="s">
        <v>9</v>
      </c>
      <c r="J1" s="132" t="s">
        <v>21</v>
      </c>
      <c r="K1" s="132" t="s">
        <v>24</v>
      </c>
      <c r="L1" s="132" t="s">
        <v>27</v>
      </c>
    </row>
    <row r="2" spans="1:22">
      <c r="A2" s="284" t="s">
        <v>10</v>
      </c>
      <c r="B2" s="273">
        <v>42339</v>
      </c>
      <c r="C2" s="134" t="s">
        <v>4</v>
      </c>
      <c r="D2" s="135"/>
      <c r="E2" s="135"/>
      <c r="F2" s="135"/>
      <c r="G2" s="135"/>
      <c r="H2" s="135"/>
      <c r="I2" s="135"/>
      <c r="J2" s="135"/>
      <c r="K2" s="135"/>
      <c r="L2" s="135"/>
      <c r="N2" t="s">
        <v>32</v>
      </c>
    </row>
    <row r="3" spans="1:22">
      <c r="A3" s="285"/>
      <c r="B3" s="272"/>
      <c r="C3" s="136" t="s">
        <v>2</v>
      </c>
      <c r="D3" s="137"/>
      <c r="E3" s="138"/>
      <c r="F3" s="138"/>
      <c r="G3" s="138"/>
      <c r="H3" s="138">
        <v>45.95</v>
      </c>
      <c r="I3" s="138">
        <v>51.95</v>
      </c>
      <c r="J3" s="138">
        <v>56.3</v>
      </c>
      <c r="K3" s="138">
        <v>57.71</v>
      </c>
      <c r="L3" s="138">
        <v>57.73</v>
      </c>
    </row>
    <row r="4" spans="1:22">
      <c r="A4" s="285"/>
      <c r="B4" s="272"/>
      <c r="C4" s="139" t="s">
        <v>0</v>
      </c>
      <c r="D4" s="140"/>
      <c r="E4" s="140"/>
      <c r="F4" s="140"/>
      <c r="G4" s="140"/>
      <c r="H4" s="140">
        <v>44.53</v>
      </c>
      <c r="I4" s="140">
        <v>50.65</v>
      </c>
      <c r="J4" s="140">
        <v>56.11</v>
      </c>
      <c r="K4" s="140">
        <v>59.95</v>
      </c>
      <c r="L4" s="140">
        <v>62.66</v>
      </c>
      <c r="N4" t="s">
        <v>30</v>
      </c>
    </row>
    <row r="5" spans="1:22">
      <c r="A5" s="285"/>
      <c r="B5" s="272"/>
      <c r="C5" s="141" t="s">
        <v>3</v>
      </c>
      <c r="D5" s="142"/>
      <c r="E5" s="142"/>
      <c r="F5" s="142"/>
      <c r="G5" s="142"/>
      <c r="H5" s="142">
        <v>42.33</v>
      </c>
      <c r="I5" s="142">
        <v>50.08</v>
      </c>
      <c r="J5" s="142">
        <v>54.91</v>
      </c>
      <c r="K5" s="142">
        <v>58.8</v>
      </c>
      <c r="L5" s="142">
        <v>60.23</v>
      </c>
      <c r="N5" t="s">
        <v>28</v>
      </c>
      <c r="O5" t="s">
        <v>29</v>
      </c>
    </row>
    <row r="6" spans="1:22">
      <c r="A6" s="285"/>
      <c r="B6" s="272"/>
      <c r="C6" s="143" t="s">
        <v>1</v>
      </c>
      <c r="D6" s="144">
        <v>89.65</v>
      </c>
      <c r="E6" s="144">
        <v>85.82</v>
      </c>
      <c r="F6" s="144">
        <v>95.13</v>
      </c>
      <c r="G6" s="144">
        <v>60.67</v>
      </c>
      <c r="H6" s="144">
        <f>45-1</f>
        <v>44</v>
      </c>
      <c r="I6" s="144">
        <f>51.5-2</f>
        <v>49.5</v>
      </c>
      <c r="J6" s="144">
        <v>56</v>
      </c>
      <c r="K6" s="144">
        <v>59</v>
      </c>
      <c r="L6" s="144">
        <v>60</v>
      </c>
      <c r="N6" s="169">
        <f>(H6-H7)*(H21-H22)*(1-0.11)+(H36-H37*(H51-H52)*(1-0.24))</f>
        <v>-198.30601066666677</v>
      </c>
      <c r="O6" s="169">
        <f>(I6-I7)*(I21-I22)*(1-0.11)+(I36-I37*(I51-I52)*(1-0.24))</f>
        <v>-224.7672553777783</v>
      </c>
      <c r="V6" s="93"/>
    </row>
    <row r="7" spans="1:22">
      <c r="A7" s="285"/>
      <c r="B7" s="33">
        <v>42217</v>
      </c>
      <c r="C7" s="133" t="s">
        <v>1</v>
      </c>
      <c r="D7" s="138">
        <v>89.65</v>
      </c>
      <c r="E7" s="138">
        <v>85.82</v>
      </c>
      <c r="F7" s="138">
        <v>95.13</v>
      </c>
      <c r="G7" s="138">
        <v>61.716666666666669</v>
      </c>
      <c r="H7" s="138">
        <v>51.54</v>
      </c>
      <c r="I7" s="138">
        <v>56.523333333333333</v>
      </c>
      <c r="J7" s="138">
        <v>61.23</v>
      </c>
      <c r="K7" s="138">
        <v>66.100000000000009</v>
      </c>
      <c r="L7" s="138">
        <v>68.063333333333333</v>
      </c>
      <c r="N7" s="171"/>
      <c r="O7" s="171"/>
      <c r="V7" s="93"/>
    </row>
    <row r="8" spans="1:22" hidden="1">
      <c r="A8" s="285"/>
      <c r="B8" s="33">
        <v>41974</v>
      </c>
      <c r="C8" s="133" t="s">
        <v>1</v>
      </c>
      <c r="D8" s="138">
        <v>89.65</v>
      </c>
      <c r="E8" s="138">
        <v>85.82</v>
      </c>
      <c r="F8" s="138">
        <v>95.14</v>
      </c>
      <c r="G8" s="138">
        <v>71</v>
      </c>
      <c r="H8" s="138">
        <v>66</v>
      </c>
      <c r="I8" s="138">
        <v>72</v>
      </c>
      <c r="J8" s="138">
        <v>76</v>
      </c>
      <c r="K8" s="138">
        <v>80</v>
      </c>
      <c r="L8" s="138"/>
    </row>
    <row r="9" spans="1:22" hidden="1">
      <c r="A9" s="285"/>
      <c r="B9" s="33">
        <v>41852</v>
      </c>
      <c r="C9" s="133" t="s">
        <v>1</v>
      </c>
      <c r="D9" s="138">
        <v>89.65</v>
      </c>
      <c r="E9" s="138">
        <v>85.82</v>
      </c>
      <c r="F9" s="138">
        <v>95.75</v>
      </c>
      <c r="G9" s="138">
        <v>92</v>
      </c>
      <c r="H9" s="138">
        <v>88</v>
      </c>
      <c r="I9" s="138">
        <v>87</v>
      </c>
      <c r="J9" s="138">
        <v>86</v>
      </c>
      <c r="K9" s="138">
        <v>85</v>
      </c>
      <c r="L9" s="138"/>
    </row>
    <row r="10" spans="1:22" hidden="1">
      <c r="A10" s="285"/>
      <c r="B10" s="33">
        <v>41499</v>
      </c>
      <c r="C10" s="133" t="s">
        <v>1</v>
      </c>
      <c r="D10" s="138">
        <v>90</v>
      </c>
      <c r="E10" s="138">
        <v>87</v>
      </c>
      <c r="F10" s="138">
        <v>94</v>
      </c>
      <c r="G10" s="138">
        <v>87.5</v>
      </c>
      <c r="H10" s="138">
        <v>85</v>
      </c>
      <c r="I10" s="138">
        <v>84</v>
      </c>
      <c r="J10" s="138">
        <v>84</v>
      </c>
      <c r="K10" s="138"/>
      <c r="L10" s="138"/>
    </row>
    <row r="11" spans="1:22" hidden="1">
      <c r="A11" s="285"/>
      <c r="B11" s="33">
        <v>41306</v>
      </c>
      <c r="C11" s="133" t="s">
        <v>1</v>
      </c>
      <c r="D11" s="145">
        <v>90</v>
      </c>
      <c r="E11" s="145">
        <v>86.5</v>
      </c>
      <c r="F11" s="145">
        <v>88</v>
      </c>
      <c r="G11" s="145">
        <v>87.5</v>
      </c>
      <c r="H11" s="145">
        <v>87</v>
      </c>
      <c r="I11" s="145">
        <v>86.5</v>
      </c>
      <c r="J11" s="145"/>
      <c r="K11" s="145"/>
      <c r="L11" s="145"/>
    </row>
    <row r="12" spans="1:22" hidden="1">
      <c r="A12" s="285"/>
      <c r="B12" s="33">
        <v>41244</v>
      </c>
      <c r="C12" s="133" t="s">
        <v>1</v>
      </c>
      <c r="D12" s="145">
        <v>89.640506965377526</v>
      </c>
      <c r="E12" s="145">
        <v>85</v>
      </c>
      <c r="F12" s="145">
        <v>84.75</v>
      </c>
      <c r="G12" s="145">
        <v>83.5</v>
      </c>
      <c r="H12" s="145">
        <v>82.5</v>
      </c>
      <c r="I12" s="145">
        <v>83</v>
      </c>
      <c r="J12" s="145">
        <v>83</v>
      </c>
      <c r="K12" s="145"/>
      <c r="L12" s="145"/>
    </row>
    <row r="13" spans="1:22" hidden="1">
      <c r="A13" s="285"/>
      <c r="B13" s="33">
        <v>42217</v>
      </c>
      <c r="C13" s="292" t="s">
        <v>16</v>
      </c>
      <c r="D13" s="293"/>
      <c r="E13" s="146">
        <f t="shared" ref="E13:L13" si="0">+E6/D6-1</f>
        <v>-4.2721695482431765E-2</v>
      </c>
      <c r="F13" s="146">
        <f>+F6/E6-1</f>
        <v>0.10848287112561183</v>
      </c>
      <c r="G13" s="166">
        <f>+G6/F6-1</f>
        <v>-0.36224114369809735</v>
      </c>
      <c r="H13" s="146">
        <f t="shared" si="0"/>
        <v>-0.27476512279545084</v>
      </c>
      <c r="I13" s="146">
        <f t="shared" si="0"/>
        <v>0.125</v>
      </c>
      <c r="J13" s="146">
        <f t="shared" si="0"/>
        <v>0.13131313131313127</v>
      </c>
      <c r="K13" s="146">
        <f t="shared" si="0"/>
        <v>5.3571428571428603E-2</v>
      </c>
      <c r="L13" s="146">
        <f t="shared" si="0"/>
        <v>1.6949152542372836E-2</v>
      </c>
    </row>
    <row r="14" spans="1:22" hidden="1">
      <c r="A14" s="285"/>
      <c r="B14" s="33">
        <v>42031</v>
      </c>
      <c r="C14" s="290" t="s">
        <v>16</v>
      </c>
      <c r="D14" s="291"/>
      <c r="E14" s="147">
        <f t="shared" ref="E14:K15" si="1">(E7-D7)/D7</f>
        <v>-4.2721695482431814E-2</v>
      </c>
      <c r="F14" s="147">
        <f t="shared" si="1"/>
        <v>0.10848287112561178</v>
      </c>
      <c r="G14" s="147">
        <f t="shared" si="1"/>
        <v>-0.35123865587441744</v>
      </c>
      <c r="H14" s="147">
        <f t="shared" si="1"/>
        <v>-0.16489332973264925</v>
      </c>
      <c r="I14" s="147">
        <f t="shared" si="1"/>
        <v>9.6688656060018127E-2</v>
      </c>
      <c r="J14" s="147">
        <f t="shared" si="1"/>
        <v>8.3269446246387865E-2</v>
      </c>
      <c r="K14" s="147">
        <f t="shared" si="1"/>
        <v>7.9536175077576543E-2</v>
      </c>
      <c r="L14" s="147"/>
    </row>
    <row r="15" spans="1:22" hidden="1">
      <c r="A15" s="285"/>
      <c r="B15" s="33">
        <v>41974</v>
      </c>
      <c r="C15" s="290" t="s">
        <v>16</v>
      </c>
      <c r="D15" s="291"/>
      <c r="E15" s="147">
        <f t="shared" si="1"/>
        <v>-4.2721695482431814E-2</v>
      </c>
      <c r="F15" s="147">
        <f t="shared" si="1"/>
        <v>0.10859939408063397</v>
      </c>
      <c r="G15" s="147">
        <f t="shared" si="1"/>
        <v>-0.2537313432835821</v>
      </c>
      <c r="H15" s="147">
        <f t="shared" si="1"/>
        <v>-7.0422535211267609E-2</v>
      </c>
      <c r="I15" s="147">
        <f t="shared" si="1"/>
        <v>9.0909090909090912E-2</v>
      </c>
      <c r="J15" s="147">
        <f t="shared" si="1"/>
        <v>5.5555555555555552E-2</v>
      </c>
      <c r="K15" s="147"/>
      <c r="L15" s="147"/>
    </row>
    <row r="16" spans="1:22" hidden="1">
      <c r="A16" s="286"/>
      <c r="B16" s="33">
        <v>41499</v>
      </c>
      <c r="C16" s="292" t="s">
        <v>16</v>
      </c>
      <c r="D16" s="293"/>
      <c r="E16" s="146">
        <f t="shared" ref="E16:J16" si="2">(E10-D10)/D10</f>
        <v>-3.3333333333333333E-2</v>
      </c>
      <c r="F16" s="146">
        <f t="shared" si="2"/>
        <v>8.0459770114942528E-2</v>
      </c>
      <c r="G16" s="146">
        <f t="shared" si="2"/>
        <v>-6.9148936170212769E-2</v>
      </c>
      <c r="H16" s="146">
        <f t="shared" si="2"/>
        <v>-2.8571428571428571E-2</v>
      </c>
      <c r="I16" s="146">
        <f t="shared" si="2"/>
        <v>-1.1764705882352941E-2</v>
      </c>
      <c r="J16" s="146">
        <f t="shared" si="2"/>
        <v>0</v>
      </c>
      <c r="K16" s="146"/>
      <c r="L16" s="146"/>
    </row>
    <row r="17" spans="1:15">
      <c r="A17" s="65"/>
      <c r="B17" s="65"/>
      <c r="C17" s="65"/>
      <c r="D17" s="65"/>
      <c r="E17" s="65"/>
      <c r="F17" s="65"/>
      <c r="G17" s="126"/>
      <c r="H17" s="128"/>
      <c r="I17" s="128"/>
      <c r="J17" s="128"/>
      <c r="K17" s="128"/>
      <c r="L17" s="128"/>
    </row>
    <row r="18" spans="1:15">
      <c r="A18" s="281" t="s">
        <v>12</v>
      </c>
      <c r="B18" s="273">
        <f>B2</f>
        <v>42339</v>
      </c>
      <c r="C18" s="136" t="s">
        <v>2</v>
      </c>
      <c r="D18" s="148"/>
      <c r="E18" s="148"/>
      <c r="F18" s="148"/>
      <c r="G18" s="148">
        <v>141.1</v>
      </c>
      <c r="H18" s="148">
        <v>141.6</v>
      </c>
      <c r="I18" s="148">
        <v>143.69999999999999</v>
      </c>
      <c r="J18" s="148">
        <v>157.30000000000001</v>
      </c>
      <c r="K18" s="148">
        <v>172.2</v>
      </c>
      <c r="L18" s="148">
        <v>178</v>
      </c>
      <c r="N18" s="127"/>
    </row>
    <row r="19" spans="1:15">
      <c r="A19" s="281"/>
      <c r="B19" s="272"/>
      <c r="C19" s="139" t="s">
        <v>0</v>
      </c>
      <c r="D19" s="149"/>
      <c r="E19" s="149"/>
      <c r="F19" s="149"/>
      <c r="G19" s="149">
        <v>141.4</v>
      </c>
      <c r="H19" s="149">
        <v>146</v>
      </c>
      <c r="I19" s="149">
        <v>150</v>
      </c>
      <c r="J19" s="149">
        <v>153</v>
      </c>
      <c r="K19" s="150">
        <v>155</v>
      </c>
      <c r="L19" s="150">
        <v>156</v>
      </c>
      <c r="M19" s="127"/>
    </row>
    <row r="20" spans="1:15">
      <c r="A20" s="281"/>
      <c r="B20" s="272"/>
      <c r="C20" s="141" t="s">
        <v>3</v>
      </c>
      <c r="D20" s="151"/>
      <c r="E20" s="151"/>
      <c r="F20" s="151"/>
      <c r="G20" s="151">
        <v>141.19999999999999</v>
      </c>
      <c r="H20" s="151">
        <v>148</v>
      </c>
      <c r="I20" s="151">
        <v>152.4</v>
      </c>
      <c r="J20" s="151">
        <v>152</v>
      </c>
      <c r="K20" s="151">
        <v>150</v>
      </c>
      <c r="L20" s="151">
        <v>146</v>
      </c>
    </row>
    <row r="21" spans="1:15">
      <c r="A21" s="281"/>
      <c r="B21" s="272"/>
      <c r="C21" s="143" t="s">
        <v>1</v>
      </c>
      <c r="D21" s="152">
        <v>80.3</v>
      </c>
      <c r="E21" s="152">
        <v>96.4</v>
      </c>
      <c r="F21" s="153">
        <v>113.9</v>
      </c>
      <c r="G21" s="153">
        <v>141.4</v>
      </c>
      <c r="H21" s="153">
        <v>150</v>
      </c>
      <c r="I21" s="153">
        <v>155</v>
      </c>
      <c r="J21" s="153">
        <v>158</v>
      </c>
      <c r="K21" s="153">
        <v>160</v>
      </c>
      <c r="L21" s="153">
        <v>161</v>
      </c>
      <c r="M21" s="93"/>
    </row>
    <row r="22" spans="1:15">
      <c r="A22" s="281"/>
      <c r="B22" s="33">
        <f>B7</f>
        <v>42217</v>
      </c>
      <c r="C22" s="133" t="s">
        <v>1</v>
      </c>
      <c r="D22" s="154">
        <v>80.3</v>
      </c>
      <c r="E22" s="154">
        <v>96.4</v>
      </c>
      <c r="F22" s="154">
        <v>113.9</v>
      </c>
      <c r="G22" s="154">
        <v>137.19999999999999</v>
      </c>
      <c r="H22" s="154">
        <v>145</v>
      </c>
      <c r="I22" s="154">
        <v>149.53333333333333</v>
      </c>
      <c r="J22" s="154">
        <v>153</v>
      </c>
      <c r="K22" s="154">
        <v>155</v>
      </c>
      <c r="L22" s="154">
        <v>156</v>
      </c>
      <c r="M22" s="93"/>
      <c r="N22" s="131"/>
      <c r="O22" s="131"/>
    </row>
    <row r="23" spans="1:15" hidden="1">
      <c r="A23" s="281"/>
      <c r="B23" s="33">
        <v>41974</v>
      </c>
      <c r="C23" s="133" t="s">
        <v>1</v>
      </c>
      <c r="D23" s="154">
        <v>80.3</v>
      </c>
      <c r="E23" s="154">
        <v>96.4</v>
      </c>
      <c r="F23" s="154">
        <v>113.4</v>
      </c>
      <c r="G23" s="154">
        <v>122</v>
      </c>
      <c r="H23" s="154">
        <v>127</v>
      </c>
      <c r="I23" s="154">
        <v>131</v>
      </c>
      <c r="J23" s="154">
        <v>133</v>
      </c>
      <c r="K23" s="154">
        <v>135</v>
      </c>
      <c r="L23" s="154"/>
    </row>
    <row r="24" spans="1:15" hidden="1">
      <c r="A24" s="281"/>
      <c r="B24" s="33">
        <v>41852</v>
      </c>
      <c r="C24" s="133" t="s">
        <v>1</v>
      </c>
      <c r="D24" s="154">
        <v>80.3</v>
      </c>
      <c r="E24" s="154">
        <v>96.4</v>
      </c>
      <c r="F24" s="154">
        <v>110</v>
      </c>
      <c r="G24" s="154">
        <v>117</v>
      </c>
      <c r="H24" s="154">
        <v>122</v>
      </c>
      <c r="I24" s="154">
        <v>125</v>
      </c>
      <c r="J24" s="154">
        <v>127</v>
      </c>
      <c r="K24" s="154">
        <v>129</v>
      </c>
      <c r="L24" s="154"/>
    </row>
    <row r="25" spans="1:15" hidden="1">
      <c r="A25" s="281"/>
      <c r="B25" s="33">
        <v>41499</v>
      </c>
      <c r="C25" s="133" t="s">
        <v>1</v>
      </c>
      <c r="D25" s="154">
        <v>80.069999999999993</v>
      </c>
      <c r="E25" s="154">
        <v>90</v>
      </c>
      <c r="F25" s="154">
        <v>93</v>
      </c>
      <c r="G25" s="154">
        <v>97</v>
      </c>
      <c r="H25" s="154">
        <v>100</v>
      </c>
      <c r="I25" s="154">
        <v>101</v>
      </c>
      <c r="J25" s="154">
        <v>102</v>
      </c>
      <c r="K25" s="154"/>
      <c r="L25" s="154"/>
    </row>
    <row r="26" spans="1:15" hidden="1">
      <c r="A26" s="281"/>
      <c r="B26" s="33">
        <v>41317</v>
      </c>
      <c r="C26" s="133" t="s">
        <v>1</v>
      </c>
      <c r="D26" s="155">
        <v>80.099999999999994</v>
      </c>
      <c r="E26" s="155">
        <v>87</v>
      </c>
      <c r="F26" s="155">
        <v>91.4</v>
      </c>
      <c r="G26" s="155">
        <v>94.1</v>
      </c>
      <c r="H26" s="155">
        <v>96</v>
      </c>
      <c r="I26" s="155">
        <v>97.9</v>
      </c>
      <c r="J26" s="155"/>
      <c r="K26" s="155"/>
      <c r="L26" s="155"/>
    </row>
    <row r="27" spans="1:15" hidden="1">
      <c r="A27" s="281"/>
      <c r="B27" s="33">
        <v>41244</v>
      </c>
      <c r="C27" s="133" t="s">
        <v>1</v>
      </c>
      <c r="D27" s="155">
        <v>79.7</v>
      </c>
      <c r="E27" s="155">
        <v>84.119744824999998</v>
      </c>
      <c r="F27" s="155">
        <v>88.406534618000009</v>
      </c>
      <c r="G27" s="155">
        <v>92.434230656539995</v>
      </c>
      <c r="H27" s="155">
        <v>96.132415269670815</v>
      </c>
      <c r="I27" s="155">
        <v>97.6</v>
      </c>
      <c r="J27" s="155">
        <v>97.6</v>
      </c>
      <c r="K27" s="155"/>
      <c r="L27" s="155"/>
    </row>
    <row r="28" spans="1:15">
      <c r="A28" s="281"/>
      <c r="B28" s="33">
        <f>B18</f>
        <v>42339</v>
      </c>
      <c r="C28" s="292" t="s">
        <v>16</v>
      </c>
      <c r="D28" s="293"/>
      <c r="E28" s="167">
        <f t="shared" ref="E28:K29" si="3">(E21-D21)/D21</f>
        <v>0.20049813200498143</v>
      </c>
      <c r="F28" s="167">
        <f>(F21-E21)/E21</f>
        <v>0.18153526970954356</v>
      </c>
      <c r="G28" s="167">
        <f t="shared" si="3"/>
        <v>0.24143985952589991</v>
      </c>
      <c r="H28" s="167">
        <f t="shared" si="3"/>
        <v>6.0820367751060776E-2</v>
      </c>
      <c r="I28" s="167">
        <f t="shared" si="3"/>
        <v>3.3333333333333333E-2</v>
      </c>
      <c r="J28" s="167">
        <f t="shared" si="3"/>
        <v>1.935483870967742E-2</v>
      </c>
      <c r="K28" s="167">
        <f t="shared" si="3"/>
        <v>1.2658227848101266E-2</v>
      </c>
      <c r="L28" s="167">
        <f>(L21-K21)/K21</f>
        <v>6.2500000000000003E-3</v>
      </c>
    </row>
    <row r="29" spans="1:15">
      <c r="A29" s="281"/>
      <c r="B29" s="33">
        <f>B7</f>
        <v>42217</v>
      </c>
      <c r="C29" s="290" t="s">
        <v>16</v>
      </c>
      <c r="D29" s="291"/>
      <c r="E29" s="168">
        <f>(E22-D22)/D22</f>
        <v>0.20049813200498143</v>
      </c>
      <c r="F29" s="168">
        <f t="shared" ref="F29:L30" si="4">(F22-E22)/E22</f>
        <v>0.18153526970954356</v>
      </c>
      <c r="G29" s="168">
        <f>(G22-F22)/F22</f>
        <v>0.20456540825285321</v>
      </c>
      <c r="H29" s="168">
        <f t="shared" si="3"/>
        <v>5.6851311953352857E-2</v>
      </c>
      <c r="I29" s="168">
        <f t="shared" si="3"/>
        <v>3.1264367816091938E-2</v>
      </c>
      <c r="J29" s="168">
        <f t="shared" si="3"/>
        <v>2.318323673651361E-2</v>
      </c>
      <c r="K29" s="168">
        <f t="shared" si="3"/>
        <v>1.3071895424836602E-2</v>
      </c>
      <c r="L29" s="168"/>
    </row>
    <row r="30" spans="1:15" hidden="1">
      <c r="A30" s="281"/>
      <c r="B30" s="33">
        <v>41974</v>
      </c>
      <c r="C30" s="290" t="s">
        <v>16</v>
      </c>
      <c r="D30" s="291"/>
      <c r="E30" s="147">
        <f>(E23-D23)/D23</f>
        <v>0.20049813200498143</v>
      </c>
      <c r="F30" s="147">
        <f t="shared" si="4"/>
        <v>0.17634854771784231</v>
      </c>
      <c r="G30" s="147">
        <f t="shared" si="4"/>
        <v>7.5837742504409111E-2</v>
      </c>
      <c r="H30" s="147">
        <f t="shared" si="4"/>
        <v>4.0983606557377046E-2</v>
      </c>
      <c r="I30" s="147">
        <f t="shared" si="4"/>
        <v>3.1496062992125984E-2</v>
      </c>
      <c r="J30" s="147">
        <f t="shared" si="4"/>
        <v>1.5267175572519083E-2</v>
      </c>
      <c r="K30" s="147">
        <f t="shared" si="4"/>
        <v>1.5037593984962405E-2</v>
      </c>
      <c r="L30" s="147">
        <f t="shared" si="4"/>
        <v>-1</v>
      </c>
    </row>
    <row r="31" spans="1:15" hidden="1">
      <c r="A31" s="281"/>
      <c r="B31" s="33">
        <v>41499</v>
      </c>
      <c r="C31" s="292" t="s">
        <v>16</v>
      </c>
      <c r="D31" s="293"/>
      <c r="E31" s="146">
        <f t="shared" ref="E31:J31" si="5">(E25-D25)/D25</f>
        <v>0.12401648557512186</v>
      </c>
      <c r="F31" s="146">
        <f t="shared" si="5"/>
        <v>3.3333333333333333E-2</v>
      </c>
      <c r="G31" s="146">
        <f t="shared" si="5"/>
        <v>4.3010752688172046E-2</v>
      </c>
      <c r="H31" s="146">
        <f t="shared" si="5"/>
        <v>3.0927835051546393E-2</v>
      </c>
      <c r="I31" s="146">
        <f t="shared" si="5"/>
        <v>0.01</v>
      </c>
      <c r="J31" s="146">
        <f t="shared" si="5"/>
        <v>9.9009900990099011E-3</v>
      </c>
      <c r="K31" s="146"/>
      <c r="L31" s="146"/>
    </row>
    <row r="32" spans="1:15">
      <c r="A32" s="106"/>
      <c r="B32" s="107"/>
      <c r="C32" s="156"/>
      <c r="D32" s="156"/>
      <c r="E32" s="157"/>
      <c r="F32" s="157"/>
      <c r="G32" s="158"/>
      <c r="H32" s="158"/>
      <c r="I32" s="158"/>
      <c r="J32" s="158"/>
      <c r="K32" s="158"/>
      <c r="L32" s="158"/>
    </row>
    <row r="33" spans="1:15">
      <c r="A33" s="287" t="s">
        <v>18</v>
      </c>
      <c r="B33" s="273">
        <f>B2</f>
        <v>42339</v>
      </c>
      <c r="C33" s="136" t="s">
        <v>2</v>
      </c>
      <c r="D33" s="159"/>
      <c r="E33" s="159"/>
      <c r="F33" s="159"/>
      <c r="G33" s="159"/>
      <c r="H33" s="159">
        <v>3.01</v>
      </c>
      <c r="I33" s="159">
        <v>3.5</v>
      </c>
      <c r="J33" s="159">
        <v>3.74</v>
      </c>
      <c r="K33" s="159">
        <v>3.65</v>
      </c>
      <c r="L33" s="159">
        <v>3.65</v>
      </c>
      <c r="N33" t="s">
        <v>33</v>
      </c>
    </row>
    <row r="34" spans="1:15">
      <c r="A34" s="288"/>
      <c r="B34" s="272"/>
      <c r="C34" s="139" t="s">
        <v>0</v>
      </c>
      <c r="D34" s="140"/>
      <c r="E34" s="140"/>
      <c r="F34" s="140"/>
      <c r="G34" s="140"/>
      <c r="H34" s="140">
        <v>2.85</v>
      </c>
      <c r="I34" s="140">
        <v>3.18</v>
      </c>
      <c r="J34" s="140">
        <v>3.56</v>
      </c>
      <c r="K34" s="140">
        <v>3.55</v>
      </c>
      <c r="L34" s="140">
        <v>3.63</v>
      </c>
    </row>
    <row r="35" spans="1:15">
      <c r="A35" s="288"/>
      <c r="B35" s="272"/>
      <c r="C35" s="141" t="s">
        <v>3</v>
      </c>
      <c r="D35" s="142"/>
      <c r="E35" s="142"/>
      <c r="F35" s="142"/>
      <c r="G35" s="142"/>
      <c r="H35" s="142">
        <v>2.63</v>
      </c>
      <c r="I35" s="142">
        <v>2.87</v>
      </c>
      <c r="J35" s="142">
        <v>2.94</v>
      </c>
      <c r="K35" s="142">
        <v>3.01</v>
      </c>
      <c r="L35" s="142">
        <v>3.17</v>
      </c>
    </row>
    <row r="36" spans="1:15">
      <c r="A36" s="288"/>
      <c r="B36" s="272"/>
      <c r="C36" s="143" t="s">
        <v>1</v>
      </c>
      <c r="D36" s="144">
        <v>5.01</v>
      </c>
      <c r="E36" s="144">
        <v>4.38</v>
      </c>
      <c r="F36" s="144">
        <v>5.14</v>
      </c>
      <c r="G36" s="144">
        <v>3.78</v>
      </c>
      <c r="H36" s="144">
        <v>2.9</v>
      </c>
      <c r="I36" s="144">
        <v>3.2</v>
      </c>
      <c r="J36" s="144">
        <v>3.4</v>
      </c>
      <c r="K36" s="144">
        <v>3.45</v>
      </c>
      <c r="L36" s="144">
        <v>3.5</v>
      </c>
    </row>
    <row r="37" spans="1:15">
      <c r="A37" s="288"/>
      <c r="B37" s="33">
        <f>B7</f>
        <v>42217</v>
      </c>
      <c r="C37" s="133" t="s">
        <v>1</v>
      </c>
      <c r="D37" s="138">
        <v>5.01</v>
      </c>
      <c r="E37" s="138">
        <v>4.38</v>
      </c>
      <c r="F37" s="138">
        <v>5.14</v>
      </c>
      <c r="G37" s="138">
        <v>3.8</v>
      </c>
      <c r="H37" s="138">
        <v>3.6033333333333335</v>
      </c>
      <c r="I37" s="138">
        <v>3.9</v>
      </c>
      <c r="J37" s="138">
        <v>4.1500000000000004</v>
      </c>
      <c r="K37" s="138">
        <v>4.25</v>
      </c>
      <c r="L37" s="138">
        <v>4.45</v>
      </c>
      <c r="N37" s="112"/>
      <c r="O37" s="112"/>
    </row>
    <row r="38" spans="1:15" hidden="1">
      <c r="A38" s="288"/>
      <c r="B38" s="33">
        <v>41974</v>
      </c>
      <c r="C38" s="133" t="s">
        <v>1</v>
      </c>
      <c r="D38" s="138">
        <v>5.01</v>
      </c>
      <c r="E38" s="138">
        <v>4.38</v>
      </c>
      <c r="F38" s="138">
        <v>5.13</v>
      </c>
      <c r="G38" s="138">
        <v>4.9000000000000004</v>
      </c>
      <c r="H38" s="138">
        <v>4.9000000000000004</v>
      </c>
      <c r="I38" s="138">
        <v>4.95</v>
      </c>
      <c r="J38" s="138">
        <v>5.0999999999999996</v>
      </c>
      <c r="K38" s="138">
        <v>5.2</v>
      </c>
      <c r="L38" s="138"/>
    </row>
    <row r="39" spans="1:15" hidden="1">
      <c r="A39" s="288"/>
      <c r="B39" s="33">
        <v>41852</v>
      </c>
      <c r="C39" s="133" t="s">
        <v>1</v>
      </c>
      <c r="D39" s="138">
        <v>5.01</v>
      </c>
      <c r="E39" s="138">
        <v>4.38</v>
      </c>
      <c r="F39" s="138">
        <v>5.15</v>
      </c>
      <c r="G39" s="138">
        <v>5.2</v>
      </c>
      <c r="H39" s="138">
        <v>5.25</v>
      </c>
      <c r="I39" s="138">
        <v>5.3</v>
      </c>
      <c r="J39" s="138">
        <v>5.35</v>
      </c>
      <c r="K39" s="138">
        <v>5.4</v>
      </c>
      <c r="L39" s="138"/>
    </row>
    <row r="40" spans="1:15" hidden="1">
      <c r="A40" s="288"/>
      <c r="B40" s="33">
        <v>41499</v>
      </c>
      <c r="C40" s="133" t="s">
        <v>1</v>
      </c>
      <c r="D40" s="138">
        <v>5</v>
      </c>
      <c r="E40" s="138">
        <v>4.5</v>
      </c>
      <c r="F40" s="138">
        <v>5</v>
      </c>
      <c r="G40" s="138">
        <v>5.4</v>
      </c>
      <c r="H40" s="138">
        <v>5.5</v>
      </c>
      <c r="I40" s="138">
        <v>5.5</v>
      </c>
      <c r="J40" s="138">
        <v>5.5</v>
      </c>
      <c r="K40" s="138"/>
      <c r="L40" s="138"/>
    </row>
    <row r="41" spans="1:15" hidden="1">
      <c r="A41" s="288"/>
      <c r="B41" s="33">
        <v>41317</v>
      </c>
      <c r="C41" s="133" t="s">
        <v>1</v>
      </c>
      <c r="D41" s="145">
        <v>5</v>
      </c>
      <c r="E41" s="145">
        <v>4.5</v>
      </c>
      <c r="F41" s="145">
        <v>5.0999999999999996</v>
      </c>
      <c r="G41" s="145">
        <v>5.25</v>
      </c>
      <c r="H41" s="145">
        <v>5.5</v>
      </c>
      <c r="I41" s="145">
        <v>5.5</v>
      </c>
      <c r="J41" s="145"/>
      <c r="K41" s="145"/>
      <c r="L41" s="145"/>
    </row>
    <row r="42" spans="1:15" hidden="1">
      <c r="A42" s="288"/>
      <c r="B42" s="33">
        <v>41244</v>
      </c>
      <c r="C42" s="133" t="s">
        <v>1</v>
      </c>
      <c r="D42" s="145">
        <v>5</v>
      </c>
      <c r="E42" s="145">
        <v>4.5</v>
      </c>
      <c r="F42" s="145">
        <v>5</v>
      </c>
      <c r="G42" s="145">
        <v>5.4</v>
      </c>
      <c r="H42" s="145">
        <v>5.6</v>
      </c>
      <c r="I42" s="145">
        <v>5.5</v>
      </c>
      <c r="J42" s="145">
        <v>5.5</v>
      </c>
      <c r="K42" s="145"/>
      <c r="L42" s="145"/>
    </row>
    <row r="43" spans="1:15" hidden="1">
      <c r="A43" s="288"/>
      <c r="B43" s="33">
        <v>42217</v>
      </c>
      <c r="C43" s="292" t="s">
        <v>16</v>
      </c>
      <c r="D43" s="293"/>
      <c r="E43" s="146">
        <f t="shared" ref="E43:L45" si="6">(E36-D36)/D36</f>
        <v>-0.12574850299401197</v>
      </c>
      <c r="F43" s="146">
        <f t="shared" si="6"/>
        <v>0.17351598173515978</v>
      </c>
      <c r="G43" s="146">
        <f t="shared" si="6"/>
        <v>-0.26459143968871596</v>
      </c>
      <c r="H43" s="146">
        <f t="shared" si="6"/>
        <v>-0.23280423280423279</v>
      </c>
      <c r="I43" s="146">
        <f t="shared" si="6"/>
        <v>0.10344827586206906</v>
      </c>
      <c r="J43" s="146">
        <f t="shared" si="6"/>
        <v>6.2499999999999917E-2</v>
      </c>
      <c r="K43" s="146">
        <f t="shared" si="6"/>
        <v>1.4705882352941256E-2</v>
      </c>
      <c r="L43" s="146">
        <f t="shared" si="6"/>
        <v>1.4492753623188354E-2</v>
      </c>
    </row>
    <row r="44" spans="1:15" hidden="1">
      <c r="A44" s="288"/>
      <c r="B44" s="33">
        <f>B29</f>
        <v>42217</v>
      </c>
      <c r="C44" s="290" t="s">
        <v>16</v>
      </c>
      <c r="D44" s="291"/>
      <c r="E44" s="147">
        <f t="shared" si="6"/>
        <v>-0.12574850299401197</v>
      </c>
      <c r="F44" s="147">
        <f t="shared" si="6"/>
        <v>0.17351598173515978</v>
      </c>
      <c r="G44" s="147">
        <f t="shared" si="6"/>
        <v>-0.26070038910505833</v>
      </c>
      <c r="H44" s="147">
        <f t="shared" si="6"/>
        <v>-5.1754385964912192E-2</v>
      </c>
      <c r="I44" s="147">
        <f t="shared" si="6"/>
        <v>8.2331174838112781E-2</v>
      </c>
      <c r="J44" s="147">
        <f t="shared" si="6"/>
        <v>6.4102564102564222E-2</v>
      </c>
      <c r="K44" s="147">
        <f t="shared" si="6"/>
        <v>2.4096385542168586E-2</v>
      </c>
      <c r="L44" s="147"/>
    </row>
    <row r="45" spans="1:15" hidden="1">
      <c r="A45" s="288"/>
      <c r="B45" s="33">
        <v>41974</v>
      </c>
      <c r="C45" s="290" t="s">
        <v>16</v>
      </c>
      <c r="D45" s="291"/>
      <c r="E45" s="147">
        <f t="shared" si="6"/>
        <v>-0.12574850299401197</v>
      </c>
      <c r="F45" s="147">
        <f t="shared" si="6"/>
        <v>0.17123287671232876</v>
      </c>
      <c r="G45" s="147">
        <f t="shared" si="6"/>
        <v>-4.4834307992202643E-2</v>
      </c>
      <c r="H45" s="147">
        <f t="shared" si="6"/>
        <v>0</v>
      </c>
      <c r="I45" s="147">
        <f t="shared" si="6"/>
        <v>1.0204081632653024E-2</v>
      </c>
      <c r="J45" s="147">
        <f t="shared" si="6"/>
        <v>3.0303030303030193E-2</v>
      </c>
      <c r="K45" s="147">
        <f t="shared" si="6"/>
        <v>1.9607843137255009E-2</v>
      </c>
      <c r="L45" s="147">
        <f t="shared" si="6"/>
        <v>-1</v>
      </c>
    </row>
    <row r="46" spans="1:15" hidden="1">
      <c r="A46" s="289"/>
      <c r="B46" s="33">
        <v>41499</v>
      </c>
      <c r="C46" s="292" t="s">
        <v>16</v>
      </c>
      <c r="D46" s="293"/>
      <c r="E46" s="146">
        <f t="shared" ref="E46:J46" si="7">(E40-D40)/D40</f>
        <v>-0.1</v>
      </c>
      <c r="F46" s="146">
        <f t="shared" si="7"/>
        <v>0.1111111111111111</v>
      </c>
      <c r="G46" s="146">
        <f t="shared" si="7"/>
        <v>8.0000000000000071E-2</v>
      </c>
      <c r="H46" s="146">
        <f t="shared" si="7"/>
        <v>1.8518518518518452E-2</v>
      </c>
      <c r="I46" s="146">
        <f t="shared" si="7"/>
        <v>0</v>
      </c>
      <c r="J46" s="146">
        <f t="shared" si="7"/>
        <v>0</v>
      </c>
      <c r="K46" s="146"/>
      <c r="L46" s="146"/>
    </row>
    <row r="47" spans="1:15">
      <c r="A47" s="65"/>
      <c r="B47" s="65"/>
      <c r="C47" s="65"/>
      <c r="D47" s="76"/>
      <c r="E47" s="76"/>
      <c r="F47" s="76"/>
      <c r="G47" s="130"/>
      <c r="H47" s="130"/>
      <c r="I47" s="130"/>
      <c r="J47" s="130"/>
      <c r="K47" s="130"/>
      <c r="L47" s="130"/>
    </row>
    <row r="48" spans="1:15">
      <c r="A48" s="287" t="s">
        <v>19</v>
      </c>
      <c r="B48" s="273">
        <f>B2</f>
        <v>42339</v>
      </c>
      <c r="C48" s="136" t="s">
        <v>2</v>
      </c>
      <c r="D48" s="160"/>
      <c r="E48" s="161"/>
      <c r="F48" s="161"/>
      <c r="G48" s="161">
        <v>1184.4000000000001</v>
      </c>
      <c r="H48" s="161">
        <v>1260.7</v>
      </c>
      <c r="I48" s="161">
        <v>1189.5999999999999</v>
      </c>
      <c r="J48" s="161">
        <v>1179.5</v>
      </c>
      <c r="K48" s="161">
        <v>1164.4000000000001</v>
      </c>
      <c r="L48" s="161">
        <v>1147.2</v>
      </c>
    </row>
    <row r="49" spans="1:15">
      <c r="A49" s="288"/>
      <c r="B49" s="272"/>
      <c r="C49" s="139" t="s">
        <v>0</v>
      </c>
      <c r="D49" s="162"/>
      <c r="E49" s="162"/>
      <c r="F49" s="162"/>
      <c r="G49" s="162">
        <v>1176</v>
      </c>
      <c r="H49" s="162">
        <v>1140</v>
      </c>
      <c r="I49" s="162">
        <v>1105</v>
      </c>
      <c r="J49" s="162">
        <v>1070</v>
      </c>
      <c r="K49" s="162">
        <v>1037</v>
      </c>
      <c r="L49" s="162">
        <v>1005</v>
      </c>
    </row>
    <row r="50" spans="1:15">
      <c r="A50" s="288"/>
      <c r="B50" s="272"/>
      <c r="C50" s="141" t="s">
        <v>3</v>
      </c>
      <c r="D50" s="163"/>
      <c r="E50" s="163"/>
      <c r="F50" s="163"/>
      <c r="G50" s="163"/>
      <c r="H50" s="163">
        <v>1162</v>
      </c>
      <c r="I50" s="163">
        <v>1136</v>
      </c>
      <c r="J50" s="163">
        <v>1121</v>
      </c>
      <c r="K50" s="163">
        <v>1090</v>
      </c>
      <c r="L50" s="163">
        <v>1062</v>
      </c>
    </row>
    <row r="51" spans="1:15">
      <c r="A51" s="288"/>
      <c r="B51" s="272"/>
      <c r="C51" s="143" t="s">
        <v>1</v>
      </c>
      <c r="D51" s="164">
        <v>1227</v>
      </c>
      <c r="E51" s="164">
        <v>1177.5</v>
      </c>
      <c r="F51" s="164">
        <v>1184.7</v>
      </c>
      <c r="G51" s="164">
        <v>1184.8</v>
      </c>
      <c r="H51" s="164">
        <v>1200</v>
      </c>
      <c r="I51" s="164">
        <v>1170</v>
      </c>
      <c r="J51" s="164">
        <v>1140</v>
      </c>
      <c r="K51" s="164">
        <v>1120</v>
      </c>
      <c r="L51" s="164">
        <v>1100</v>
      </c>
    </row>
    <row r="52" spans="1:15">
      <c r="A52" s="288"/>
      <c r="B52" s="33">
        <f>B37</f>
        <v>42217</v>
      </c>
      <c r="C52" s="133" t="s">
        <v>1</v>
      </c>
      <c r="D52" s="160">
        <v>1227</v>
      </c>
      <c r="E52" s="160">
        <v>1177.5</v>
      </c>
      <c r="F52" s="160">
        <v>1184.7</v>
      </c>
      <c r="G52" s="160">
        <v>1174</v>
      </c>
      <c r="H52" s="160">
        <v>1138.78</v>
      </c>
      <c r="I52" s="160">
        <v>1104.6165999999998</v>
      </c>
      <c r="J52" s="160">
        <v>1071.4781019999998</v>
      </c>
      <c r="K52" s="160">
        <v>1039.3337589399998</v>
      </c>
      <c r="L52" s="160">
        <v>1008.1537461717998</v>
      </c>
      <c r="N52" s="112"/>
      <c r="O52" s="112"/>
    </row>
    <row r="53" spans="1:15" hidden="1">
      <c r="A53" s="288"/>
      <c r="B53" s="33">
        <v>41974</v>
      </c>
      <c r="C53" s="133" t="s">
        <v>1</v>
      </c>
      <c r="D53" s="160">
        <v>1227</v>
      </c>
      <c r="E53" s="160">
        <v>1177.5</v>
      </c>
      <c r="F53" s="160">
        <v>1187.3</v>
      </c>
      <c r="G53" s="160">
        <v>1181</v>
      </c>
      <c r="H53" s="160">
        <v>1150</v>
      </c>
      <c r="I53" s="160">
        <v>1118</v>
      </c>
      <c r="J53" s="160">
        <v>1088</v>
      </c>
      <c r="K53" s="160">
        <v>1052</v>
      </c>
      <c r="L53" s="160"/>
    </row>
    <row r="54" spans="1:15" hidden="1">
      <c r="A54" s="288"/>
      <c r="B54" s="33">
        <v>41852</v>
      </c>
      <c r="C54" s="133" t="s">
        <v>1</v>
      </c>
      <c r="D54" s="160">
        <v>1227</v>
      </c>
      <c r="E54" s="160">
        <v>1177.5</v>
      </c>
      <c r="F54" s="160">
        <v>1170</v>
      </c>
      <c r="G54" s="160">
        <v>1158.3</v>
      </c>
      <c r="H54" s="160">
        <v>1123.5509999999999</v>
      </c>
      <c r="I54" s="160">
        <v>1089.84447</v>
      </c>
      <c r="J54" s="160">
        <v>1057.1491358999999</v>
      </c>
      <c r="K54" s="160">
        <v>1025.4346618229999</v>
      </c>
      <c r="L54" s="160"/>
    </row>
    <row r="55" spans="1:15" hidden="1">
      <c r="A55" s="288"/>
      <c r="B55" s="33">
        <v>41499</v>
      </c>
      <c r="C55" s="133" t="s">
        <v>1</v>
      </c>
      <c r="D55" s="160">
        <v>1225.8499999999999</v>
      </c>
      <c r="E55" s="160">
        <v>1165</v>
      </c>
      <c r="F55" s="160">
        <v>1110</v>
      </c>
      <c r="G55" s="160">
        <v>1070</v>
      </c>
      <c r="H55" s="160">
        <v>1030</v>
      </c>
      <c r="I55" s="160">
        <v>1000</v>
      </c>
      <c r="J55" s="160">
        <v>960</v>
      </c>
      <c r="K55" s="165"/>
      <c r="L55" s="165"/>
    </row>
    <row r="56" spans="1:15" hidden="1">
      <c r="A56" s="288"/>
      <c r="B56" s="33">
        <v>41317</v>
      </c>
      <c r="C56" s="133" t="s">
        <v>1</v>
      </c>
      <c r="D56" s="165">
        <v>1226</v>
      </c>
      <c r="E56" s="165">
        <v>1185</v>
      </c>
      <c r="F56" s="165">
        <v>1151</v>
      </c>
      <c r="G56" s="165">
        <v>1121</v>
      </c>
      <c r="H56" s="165">
        <v>1090.1407234210708</v>
      </c>
      <c r="I56" s="165">
        <v>1048</v>
      </c>
      <c r="J56" s="165"/>
      <c r="K56" s="165"/>
      <c r="L56" s="165"/>
    </row>
    <row r="57" spans="1:15" hidden="1">
      <c r="A57" s="288"/>
      <c r="B57" s="33">
        <v>41244</v>
      </c>
      <c r="C57" s="133" t="s">
        <v>1</v>
      </c>
      <c r="D57" s="165">
        <v>1228.5423506666664</v>
      </c>
      <c r="E57" s="165">
        <v>1184.5870287874238</v>
      </c>
      <c r="F57" s="165">
        <v>1151.3778293463738</v>
      </c>
      <c r="G57" s="165">
        <v>1121.0332793283103</v>
      </c>
      <c r="H57" s="165">
        <v>1090.1407234210708</v>
      </c>
      <c r="I57" s="165">
        <v>1048</v>
      </c>
      <c r="J57" s="165">
        <v>1048</v>
      </c>
      <c r="K57" s="165"/>
      <c r="L57" s="165"/>
    </row>
    <row r="58" spans="1:15">
      <c r="A58" s="288"/>
      <c r="B58" s="33">
        <f>B48</f>
        <v>42339</v>
      </c>
      <c r="C58" s="292" t="s">
        <v>16</v>
      </c>
      <c r="D58" s="293"/>
      <c r="E58" s="167">
        <f t="shared" ref="E58:L60" si="8">(E51-D51)/D51</f>
        <v>-4.0342298288508556E-2</v>
      </c>
      <c r="F58" s="167">
        <f t="shared" si="8"/>
        <v>6.1146496815287013E-3</v>
      </c>
      <c r="G58" s="167">
        <f>(G51-F51)/F51</f>
        <v>8.4409555161567526E-5</v>
      </c>
      <c r="H58" s="167">
        <f t="shared" si="8"/>
        <v>1.2829169480081065E-2</v>
      </c>
      <c r="I58" s="167">
        <f t="shared" si="8"/>
        <v>-2.5000000000000001E-2</v>
      </c>
      <c r="J58" s="167">
        <f t="shared" si="8"/>
        <v>-2.564102564102564E-2</v>
      </c>
      <c r="K58" s="167">
        <f t="shared" si="8"/>
        <v>-1.7543859649122806E-2</v>
      </c>
      <c r="L58" s="167">
        <f t="shared" si="8"/>
        <v>-1.7857142857142856E-2</v>
      </c>
    </row>
    <row r="59" spans="1:15">
      <c r="A59" s="288"/>
      <c r="B59" s="33">
        <f>B44</f>
        <v>42217</v>
      </c>
      <c r="C59" s="290" t="s">
        <v>16</v>
      </c>
      <c r="D59" s="291"/>
      <c r="E59" s="168">
        <f>(E52-D52)/D52</f>
        <v>-4.0342298288508556E-2</v>
      </c>
      <c r="F59" s="168">
        <f t="shared" si="8"/>
        <v>6.1146496815287013E-3</v>
      </c>
      <c r="G59" s="168">
        <f>(G52-F52)/F52</f>
        <v>-9.0318224022959779E-3</v>
      </c>
      <c r="H59" s="168">
        <f t="shared" si="8"/>
        <v>-3.0000000000000023E-2</v>
      </c>
      <c r="I59" s="168">
        <f t="shared" si="8"/>
        <v>-3.000000000000012E-2</v>
      </c>
      <c r="J59" s="168">
        <f t="shared" si="8"/>
        <v>-3.000000000000003E-2</v>
      </c>
      <c r="K59" s="168">
        <f t="shared" si="8"/>
        <v>-2.9999999999999988E-2</v>
      </c>
      <c r="L59" s="168"/>
    </row>
    <row r="60" spans="1:15" hidden="1">
      <c r="A60" s="288"/>
      <c r="B60" s="33">
        <v>41974</v>
      </c>
      <c r="C60" s="290" t="s">
        <v>16</v>
      </c>
      <c r="D60" s="291"/>
      <c r="E60" s="147">
        <f>(E53-D53)/D53</f>
        <v>-4.0342298288508556E-2</v>
      </c>
      <c r="F60" s="147">
        <f t="shared" si="8"/>
        <v>8.3227176220806408E-3</v>
      </c>
      <c r="G60" s="147">
        <f t="shared" si="8"/>
        <v>-5.3061568264128316E-3</v>
      </c>
      <c r="H60" s="147">
        <f t="shared" si="8"/>
        <v>-2.6248941574936496E-2</v>
      </c>
      <c r="I60" s="147">
        <f t="shared" si="8"/>
        <v>-2.782608695652174E-2</v>
      </c>
      <c r="J60" s="147">
        <f t="shared" si="8"/>
        <v>-2.6833631484794274E-2</v>
      </c>
      <c r="K60" s="147">
        <f t="shared" si="8"/>
        <v>-3.3088235294117647E-2</v>
      </c>
      <c r="L60" s="147">
        <f t="shared" si="8"/>
        <v>-1</v>
      </c>
    </row>
    <row r="61" spans="1:15" hidden="1">
      <c r="A61" s="289"/>
      <c r="B61" s="33">
        <v>41499</v>
      </c>
      <c r="C61" s="292" t="s">
        <v>16</v>
      </c>
      <c r="D61" s="293"/>
      <c r="E61" s="146">
        <f t="shared" ref="E61:J61" si="9">(E55-D55)/D55</f>
        <v>-4.9639025981971625E-2</v>
      </c>
      <c r="F61" s="146">
        <f t="shared" si="9"/>
        <v>-4.7210300429184553E-2</v>
      </c>
      <c r="G61" s="146">
        <f t="shared" si="9"/>
        <v>-3.6036036036036036E-2</v>
      </c>
      <c r="H61" s="146">
        <f t="shared" si="9"/>
        <v>-3.7383177570093455E-2</v>
      </c>
      <c r="I61" s="146">
        <f t="shared" si="9"/>
        <v>-2.9126213592233011E-2</v>
      </c>
      <c r="J61" s="146">
        <f t="shared" si="9"/>
        <v>-0.04</v>
      </c>
      <c r="K61" s="146"/>
      <c r="L61" s="146"/>
    </row>
    <row r="62" spans="1:15">
      <c r="A62" s="108"/>
      <c r="B62" s="13"/>
      <c r="F62" s="112"/>
      <c r="G62" s="112"/>
      <c r="H62" s="112"/>
      <c r="I62" s="112"/>
      <c r="J62" s="112"/>
      <c r="K62" s="112"/>
      <c r="L62" s="112"/>
    </row>
    <row r="63" spans="1:15">
      <c r="A63" s="9"/>
      <c r="B63" s="13"/>
      <c r="E63" s="94"/>
      <c r="F63" s="94"/>
      <c r="G63" s="112"/>
      <c r="H63" s="112"/>
      <c r="I63" s="112"/>
      <c r="J63" s="112"/>
      <c r="K63" s="112"/>
      <c r="L63" s="112"/>
    </row>
    <row r="64" spans="1:15">
      <c r="A64" s="9"/>
      <c r="B64" s="13"/>
      <c r="E64" s="94"/>
      <c r="F64" s="94"/>
      <c r="G64" s="94"/>
      <c r="H64" s="112"/>
      <c r="I64" s="112"/>
      <c r="J64" s="112"/>
      <c r="K64" s="112"/>
      <c r="L64" s="112"/>
    </row>
    <row r="65" spans="1:2">
      <c r="A65" s="9"/>
      <c r="B65" s="13"/>
    </row>
    <row r="66" spans="1:2">
      <c r="A66" s="9"/>
      <c r="B66" s="13"/>
    </row>
    <row r="67" spans="1:2">
      <c r="A67" s="9"/>
      <c r="B67" s="13"/>
    </row>
    <row r="68" spans="1:2">
      <c r="A68" s="9"/>
      <c r="B68" s="13"/>
    </row>
    <row r="69" spans="1:2">
      <c r="A69" s="9"/>
      <c r="B69" s="13"/>
    </row>
    <row r="70" spans="1:2">
      <c r="A70" s="9"/>
      <c r="B70" s="13"/>
    </row>
    <row r="71" spans="1:2">
      <c r="A71" s="9"/>
      <c r="B71" s="13"/>
    </row>
    <row r="72" spans="1:2">
      <c r="A72" s="9"/>
      <c r="B72" s="13"/>
    </row>
  </sheetData>
  <mergeCells count="24">
    <mergeCell ref="A2:A16"/>
    <mergeCell ref="B2:B6"/>
    <mergeCell ref="C13:D13"/>
    <mergeCell ref="C14:D14"/>
    <mergeCell ref="C15:D15"/>
    <mergeCell ref="C16:D16"/>
    <mergeCell ref="A18:A31"/>
    <mergeCell ref="B18:B21"/>
    <mergeCell ref="C28:D28"/>
    <mergeCell ref="C29:D29"/>
    <mergeCell ref="C30:D30"/>
    <mergeCell ref="C31:D31"/>
    <mergeCell ref="A33:A46"/>
    <mergeCell ref="B33:B36"/>
    <mergeCell ref="C43:D43"/>
    <mergeCell ref="C44:D44"/>
    <mergeCell ref="C45:D45"/>
    <mergeCell ref="C46:D46"/>
    <mergeCell ref="A48:A61"/>
    <mergeCell ref="B48:B51"/>
    <mergeCell ref="C58:D58"/>
    <mergeCell ref="C59:D59"/>
    <mergeCell ref="C60:D60"/>
    <mergeCell ref="C61:D61"/>
  </mergeCells>
  <pageMargins left="0.5" right="0.17" top="0.63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33</vt:i4>
      </vt:variant>
      <vt:variant>
        <vt:lpstr>Named Ranges</vt:lpstr>
      </vt:variant>
      <vt:variant>
        <vt:i4>20</vt:i4>
      </vt:variant>
    </vt:vector>
  </HeadingPairs>
  <TitlesOfParts>
    <vt:vector size="53" baseType="lpstr">
      <vt:lpstr>Dec 12</vt:lpstr>
      <vt:lpstr>Jan 13</vt:lpstr>
      <vt:lpstr>Aug 13</vt:lpstr>
      <vt:lpstr>Dec 13</vt:lpstr>
      <vt:lpstr>Jul 14</vt:lpstr>
      <vt:lpstr>Dec 14</vt:lpstr>
      <vt:lpstr>Jan 15</vt:lpstr>
      <vt:lpstr>Aug15</vt:lpstr>
      <vt:lpstr>Dec15</vt:lpstr>
      <vt:lpstr>Jan16</vt:lpstr>
      <vt:lpstr>Aug16 Oil</vt:lpstr>
      <vt:lpstr>Aug16 NG</vt:lpstr>
      <vt:lpstr>Dec16</vt:lpstr>
      <vt:lpstr>Aug17</vt:lpstr>
      <vt:lpstr>Dec17</vt:lpstr>
      <vt:lpstr>Aug18</vt:lpstr>
      <vt:lpstr>Dec18</vt:lpstr>
      <vt:lpstr>Feb19</vt:lpstr>
      <vt:lpstr>Aug19</vt:lpstr>
      <vt:lpstr>Dec19</vt:lpstr>
      <vt:lpstr>Jan20</vt:lpstr>
      <vt:lpstr>Mar 20</vt:lpstr>
      <vt:lpstr>Apr 20</vt:lpstr>
      <vt:lpstr>June 20</vt:lpstr>
      <vt:lpstr>Sep 20</vt:lpstr>
      <vt:lpstr>Dec 20</vt:lpstr>
      <vt:lpstr>Feb21</vt:lpstr>
      <vt:lpstr>Aug21</vt:lpstr>
      <vt:lpstr>Aug 22</vt:lpstr>
      <vt:lpstr>Dec 22</vt:lpstr>
      <vt:lpstr>Jan 22</vt:lpstr>
      <vt:lpstr>Aug 23</vt:lpstr>
      <vt:lpstr>Sheet1</vt:lpstr>
      <vt:lpstr>'Apr 20'!Print_Area</vt:lpstr>
      <vt:lpstr>'Aug 22'!Print_Area</vt:lpstr>
      <vt:lpstr>'Aug15'!Print_Area</vt:lpstr>
      <vt:lpstr>'Aug17'!Print_Area</vt:lpstr>
      <vt:lpstr>'Aug18'!Print_Area</vt:lpstr>
      <vt:lpstr>'Aug19'!Print_Area</vt:lpstr>
      <vt:lpstr>'Aug21'!Print_Area</vt:lpstr>
      <vt:lpstr>'Dec 20'!Print_Area</vt:lpstr>
      <vt:lpstr>'Dec15'!Print_Area</vt:lpstr>
      <vt:lpstr>'Dec16'!Print_Area</vt:lpstr>
      <vt:lpstr>'Dec17'!Print_Area</vt:lpstr>
      <vt:lpstr>'Dec18'!Print_Area</vt:lpstr>
      <vt:lpstr>'Dec19'!Print_Area</vt:lpstr>
      <vt:lpstr>'Feb19'!Print_Area</vt:lpstr>
      <vt:lpstr>'Feb21'!Print_Area</vt:lpstr>
      <vt:lpstr>'Jan16'!Print_Area</vt:lpstr>
      <vt:lpstr>'Jan20'!Print_Area</vt:lpstr>
      <vt:lpstr>'June 20'!Print_Area</vt:lpstr>
      <vt:lpstr>'Mar 20'!Print_Area</vt:lpstr>
      <vt:lpstr>'Sep 20'!Print_Area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TRD Economist</dc:creator>
  <cp:lastModifiedBy>Asif Rasool</cp:lastModifiedBy>
  <cp:lastPrinted>2017-11-14T16:28:42Z</cp:lastPrinted>
  <dcterms:created xsi:type="dcterms:W3CDTF">2013-01-26T20:05:50Z</dcterms:created>
  <dcterms:modified xsi:type="dcterms:W3CDTF">2023-11-03T21:35:16Z</dcterms:modified>
</cp:coreProperties>
</file>