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hartsheets/sheet3.xml" ContentType="application/vnd.openxmlformats-officedocument.spreadsheetml.chart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worksheets/sheet6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\\nssstats01\MaternityBirths\Topics\MaternityHospitalSubmissions\Publications\Births\2024\Tables_3_final\OneDrive_Versions\"/>
    </mc:Choice>
  </mc:AlternateContent>
  <xr:revisionPtr revIDLastSave="0" documentId="13_ncr:1_{7765F816-C04F-4950-8FF3-1A8EE4939FB7}" xr6:coauthVersionLast="47" xr6:coauthVersionMax="47" xr10:uidLastSave="{00000000-0000-0000-0000-000000000000}"/>
  <bookViews>
    <workbookView xWindow="-120" yWindow="-120" windowWidth="29040" windowHeight="15840" xr2:uid="{E3535000-197E-4432-B3D3-A8756F9276F0}"/>
  </bookViews>
  <sheets>
    <sheet name="Index" sheetId="17" r:id="rId1"/>
    <sheet name="1.1" sheetId="1" r:id="rId2"/>
    <sheet name="1.1_data" sheetId="7" state="hidden" r:id="rId3"/>
    <sheet name="Figure1.1.1" sheetId="11" r:id="rId4"/>
    <sheet name="Figure1.1.2" sheetId="13" r:id="rId5"/>
    <sheet name="Figure1.1.2+1.4_data" sheetId="12" state="hidden" r:id="rId6"/>
    <sheet name="1.2" sheetId="2" r:id="rId7"/>
    <sheet name="1.2_data" sheetId="8" state="hidden" r:id="rId8"/>
    <sheet name="1.3" sheetId="3" r:id="rId9"/>
    <sheet name="1.3_data" sheetId="16" state="hidden" r:id="rId10"/>
    <sheet name="1.4" sheetId="4" r:id="rId11"/>
    <sheet name="1.4_data" sheetId="15" state="hidden" r:id="rId12"/>
    <sheet name="Figure1.4" sheetId="14" r:id="rId13"/>
    <sheet name="1.5" sheetId="10" r:id="rId14"/>
    <sheet name="1.6" sheetId="5" r:id="rId15"/>
    <sheet name="Lookup" sheetId="6" state="hidden" r:id="rId16"/>
  </sheets>
  <definedNames>
    <definedName name="t1.1">'1.1_data'!$1:$1048576</definedName>
    <definedName name="t1.2">'1.2_data'!$1:$1048576</definedName>
    <definedName name="t1.3">'1.3_data'!$1:$1048576</definedName>
    <definedName name="t1.4">'1.4_data'!$1:$1048576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6" l="1"/>
  <c r="C8" i="4" l="1"/>
  <c r="L8" i="4"/>
  <c r="G9" i="4"/>
  <c r="C10" i="4"/>
  <c r="L10" i="4"/>
  <c r="G11" i="4"/>
  <c r="C12" i="4"/>
  <c r="L12" i="4"/>
  <c r="G13" i="4"/>
  <c r="C14" i="4"/>
  <c r="L14" i="4"/>
  <c r="G15" i="4"/>
  <c r="C16" i="4"/>
  <c r="L16" i="4"/>
  <c r="G17" i="4"/>
  <c r="C18" i="4"/>
  <c r="L18" i="4"/>
  <c r="G19" i="4"/>
  <c r="C20" i="4"/>
  <c r="L20" i="4"/>
  <c r="G21" i="4"/>
  <c r="O7" i="4"/>
  <c r="F7" i="4"/>
  <c r="G19" i="3"/>
  <c r="P19" i="3"/>
  <c r="I20" i="3"/>
  <c r="C21" i="3"/>
  <c r="L21" i="3"/>
  <c r="E11" i="3"/>
  <c r="N11" i="3"/>
  <c r="G12" i="3"/>
  <c r="P12" i="3"/>
  <c r="I13" i="3"/>
  <c r="C14" i="3"/>
  <c r="L14" i="3"/>
  <c r="E15" i="3"/>
  <c r="N15" i="3"/>
  <c r="G16" i="3"/>
  <c r="P16" i="3"/>
  <c r="I17" i="3"/>
  <c r="C18" i="3"/>
  <c r="L18" i="3"/>
  <c r="E9" i="3"/>
  <c r="N9" i="3"/>
  <c r="G10" i="3"/>
  <c r="P10" i="3"/>
  <c r="I8" i="3"/>
  <c r="Q7" i="3"/>
  <c r="H7" i="3"/>
  <c r="I9" i="4"/>
  <c r="N10" i="4"/>
  <c r="E12" i="4"/>
  <c r="I13" i="4"/>
  <c r="I15" i="4"/>
  <c r="I17" i="4"/>
  <c r="N18" i="4"/>
  <c r="E20" i="4"/>
  <c r="I21" i="4"/>
  <c r="D7" i="4"/>
  <c r="L20" i="3"/>
  <c r="G11" i="3"/>
  <c r="I12" i="3"/>
  <c r="L13" i="3"/>
  <c r="G15" i="3"/>
  <c r="I16" i="3"/>
  <c r="L17" i="3"/>
  <c r="N18" i="3"/>
  <c r="P9" i="3"/>
  <c r="L8" i="3"/>
  <c r="F7" i="3"/>
  <c r="Q13" i="3"/>
  <c r="M9" i="3"/>
  <c r="D8" i="4"/>
  <c r="M8" i="4"/>
  <c r="H9" i="4"/>
  <c r="D10" i="4"/>
  <c r="M10" i="4"/>
  <c r="H11" i="4"/>
  <c r="D12" i="4"/>
  <c r="M12" i="4"/>
  <c r="H13" i="4"/>
  <c r="D14" i="4"/>
  <c r="M14" i="4"/>
  <c r="H15" i="4"/>
  <c r="D16" i="4"/>
  <c r="M16" i="4"/>
  <c r="H17" i="4"/>
  <c r="D18" i="4"/>
  <c r="M18" i="4"/>
  <c r="H19" i="4"/>
  <c r="D20" i="4"/>
  <c r="M20" i="4"/>
  <c r="H21" i="4"/>
  <c r="N7" i="4"/>
  <c r="E7" i="4"/>
  <c r="H19" i="3"/>
  <c r="Q19" i="3"/>
  <c r="J20" i="3"/>
  <c r="D21" i="3"/>
  <c r="M21" i="3"/>
  <c r="F11" i="3"/>
  <c r="O11" i="3"/>
  <c r="H12" i="3"/>
  <c r="Q12" i="3"/>
  <c r="J13" i="3"/>
  <c r="D14" i="3"/>
  <c r="M14" i="3"/>
  <c r="F15" i="3"/>
  <c r="O15" i="3"/>
  <c r="H16" i="3"/>
  <c r="Q16" i="3"/>
  <c r="J17" i="3"/>
  <c r="D18" i="3"/>
  <c r="M18" i="3"/>
  <c r="F9" i="3"/>
  <c r="O9" i="3"/>
  <c r="H10" i="3"/>
  <c r="Q10" i="3"/>
  <c r="J8" i="3"/>
  <c r="P7" i="3"/>
  <c r="G7" i="3"/>
  <c r="N8" i="4"/>
  <c r="E10" i="4"/>
  <c r="I11" i="4"/>
  <c r="N12" i="4"/>
  <c r="E14" i="4"/>
  <c r="N14" i="4"/>
  <c r="E16" i="4"/>
  <c r="N16" i="4"/>
  <c r="E18" i="4"/>
  <c r="I19" i="4"/>
  <c r="N20" i="4"/>
  <c r="M7" i="4"/>
  <c r="I19" i="3"/>
  <c r="C20" i="3"/>
  <c r="E21" i="3"/>
  <c r="N21" i="3"/>
  <c r="P11" i="3"/>
  <c r="C13" i="3"/>
  <c r="E14" i="3"/>
  <c r="N14" i="3"/>
  <c r="P15" i="3"/>
  <c r="C17" i="3"/>
  <c r="E18" i="3"/>
  <c r="G9" i="3"/>
  <c r="I10" i="3"/>
  <c r="C8" i="3"/>
  <c r="O7" i="3"/>
  <c r="C7" i="3"/>
  <c r="M15" i="3"/>
  <c r="D9" i="3"/>
  <c r="Q8" i="3"/>
  <c r="E8" i="4"/>
  <c r="F8" i="4"/>
  <c r="O8" i="4"/>
  <c r="K9" i="4"/>
  <c r="F10" i="4"/>
  <c r="O10" i="4"/>
  <c r="K11" i="4"/>
  <c r="F12" i="4"/>
  <c r="O12" i="4"/>
  <c r="K13" i="4"/>
  <c r="F14" i="4"/>
  <c r="O14" i="4"/>
  <c r="K15" i="4"/>
  <c r="F16" i="4"/>
  <c r="O16" i="4"/>
  <c r="K17" i="4"/>
  <c r="F18" i="4"/>
  <c r="O18" i="4"/>
  <c r="K19" i="4"/>
  <c r="F20" i="4"/>
  <c r="O20" i="4"/>
  <c r="K21" i="4"/>
  <c r="L7" i="4"/>
  <c r="C7" i="4"/>
  <c r="J19" i="3"/>
  <c r="D20" i="3"/>
  <c r="M20" i="3"/>
  <c r="F21" i="3"/>
  <c r="O21" i="3"/>
  <c r="H11" i="3"/>
  <c r="Q11" i="3"/>
  <c r="J12" i="3"/>
  <c r="D13" i="3"/>
  <c r="M13" i="3"/>
  <c r="F14" i="3"/>
  <c r="O14" i="3"/>
  <c r="H15" i="3"/>
  <c r="Q15" i="3"/>
  <c r="J16" i="3"/>
  <c r="D17" i="3"/>
  <c r="M17" i="3"/>
  <c r="F18" i="3"/>
  <c r="O18" i="3"/>
  <c r="H9" i="3"/>
  <c r="Q9" i="3"/>
  <c r="J10" i="3"/>
  <c r="D8" i="3"/>
  <c r="M8" i="3"/>
  <c r="N7" i="3"/>
  <c r="E7" i="3"/>
  <c r="H8" i="4"/>
  <c r="M9" i="4"/>
  <c r="D11" i="4"/>
  <c r="H12" i="4"/>
  <c r="M13" i="4"/>
  <c r="D15" i="4"/>
  <c r="H16" i="4"/>
  <c r="M17" i="4"/>
  <c r="D19" i="4"/>
  <c r="H20" i="4"/>
  <c r="M21" i="4"/>
  <c r="D19" i="3"/>
  <c r="F20" i="3"/>
  <c r="O20" i="3"/>
  <c r="Q21" i="3"/>
  <c r="D12" i="3"/>
  <c r="F13" i="3"/>
  <c r="H14" i="3"/>
  <c r="J15" i="3"/>
  <c r="M16" i="3"/>
  <c r="O17" i="3"/>
  <c r="Q18" i="3"/>
  <c r="D10" i="3"/>
  <c r="F8" i="3"/>
  <c r="L7" i="3"/>
  <c r="D15" i="3"/>
  <c r="H17" i="3"/>
  <c r="F10" i="3"/>
  <c r="I7" i="3"/>
  <c r="G8" i="4"/>
  <c r="C9" i="4"/>
  <c r="L9" i="4"/>
  <c r="G10" i="4"/>
  <c r="C11" i="4"/>
  <c r="L11" i="4"/>
  <c r="G12" i="4"/>
  <c r="C13" i="4"/>
  <c r="L13" i="4"/>
  <c r="G14" i="4"/>
  <c r="C15" i="4"/>
  <c r="L15" i="4"/>
  <c r="G16" i="4"/>
  <c r="C17" i="4"/>
  <c r="L17" i="4"/>
  <c r="G18" i="4"/>
  <c r="C19" i="4"/>
  <c r="L19" i="4"/>
  <c r="G20" i="4"/>
  <c r="C21" i="4"/>
  <c r="L21" i="4"/>
  <c r="K7" i="4"/>
  <c r="C19" i="3"/>
  <c r="L19" i="3"/>
  <c r="E20" i="3"/>
  <c r="N20" i="3"/>
  <c r="G21" i="3"/>
  <c r="P21" i="3"/>
  <c r="I11" i="3"/>
  <c r="C12" i="3"/>
  <c r="L12" i="3"/>
  <c r="E13" i="3"/>
  <c r="N13" i="3"/>
  <c r="G14" i="3"/>
  <c r="P14" i="3"/>
  <c r="I15" i="3"/>
  <c r="C16" i="3"/>
  <c r="L16" i="3"/>
  <c r="E17" i="3"/>
  <c r="N17" i="3"/>
  <c r="G18" i="3"/>
  <c r="P18" i="3"/>
  <c r="I9" i="3"/>
  <c r="C10" i="3"/>
  <c r="L10" i="3"/>
  <c r="E8" i="3"/>
  <c r="N8" i="3"/>
  <c r="M7" i="3"/>
  <c r="D7" i="3"/>
  <c r="D9" i="4"/>
  <c r="H10" i="4"/>
  <c r="M11" i="4"/>
  <c r="D13" i="4"/>
  <c r="H14" i="4"/>
  <c r="M15" i="4"/>
  <c r="D17" i="4"/>
  <c r="H18" i="4"/>
  <c r="M19" i="4"/>
  <c r="D21" i="4"/>
  <c r="I7" i="4"/>
  <c r="M19" i="3"/>
  <c r="H21" i="3"/>
  <c r="J11" i="3"/>
  <c r="M12" i="3"/>
  <c r="O13" i="3"/>
  <c r="Q14" i="3"/>
  <c r="D16" i="3"/>
  <c r="F17" i="3"/>
  <c r="H18" i="3"/>
  <c r="J9" i="3"/>
  <c r="M10" i="3"/>
  <c r="O8" i="3"/>
  <c r="F16" i="3"/>
  <c r="Q17" i="3"/>
  <c r="H8" i="3"/>
  <c r="I8" i="4"/>
  <c r="E9" i="4"/>
  <c r="N9" i="4"/>
  <c r="I10" i="4"/>
  <c r="E11" i="4"/>
  <c r="N11" i="4"/>
  <c r="I12" i="4"/>
  <c r="E13" i="4"/>
  <c r="N13" i="4"/>
  <c r="I14" i="4"/>
  <c r="E15" i="4"/>
  <c r="N15" i="4"/>
  <c r="I16" i="4"/>
  <c r="E17" i="4"/>
  <c r="N17" i="4"/>
  <c r="I18" i="4"/>
  <c r="E19" i="4"/>
  <c r="N19" i="4"/>
  <c r="I20" i="4"/>
  <c r="E21" i="4"/>
  <c r="N21" i="4"/>
  <c r="H7" i="4"/>
  <c r="E19" i="3"/>
  <c r="N19" i="3"/>
  <c r="G20" i="3"/>
  <c r="P20" i="3"/>
  <c r="I21" i="3"/>
  <c r="C11" i="3"/>
  <c r="L11" i="3"/>
  <c r="E12" i="3"/>
  <c r="N12" i="3"/>
  <c r="G13" i="3"/>
  <c r="P13" i="3"/>
  <c r="I14" i="3"/>
  <c r="C15" i="3"/>
  <c r="L15" i="3"/>
  <c r="E16" i="3"/>
  <c r="N16" i="3"/>
  <c r="G17" i="3"/>
  <c r="P17" i="3"/>
  <c r="I18" i="3"/>
  <c r="C9" i="3"/>
  <c r="L9" i="3"/>
  <c r="E10" i="3"/>
  <c r="N10" i="3"/>
  <c r="G8" i="3"/>
  <c r="P8" i="3"/>
  <c r="J7" i="3"/>
  <c r="K8" i="4"/>
  <c r="F9" i="4"/>
  <c r="O9" i="4"/>
  <c r="K10" i="4"/>
  <c r="F11" i="4"/>
  <c r="O11" i="4"/>
  <c r="K12" i="4"/>
  <c r="F13" i="4"/>
  <c r="O13" i="4"/>
  <c r="K14" i="4"/>
  <c r="F15" i="4"/>
  <c r="O15" i="4"/>
  <c r="K16" i="4"/>
  <c r="F17" i="4"/>
  <c r="O17" i="4"/>
  <c r="K18" i="4"/>
  <c r="F19" i="4"/>
  <c r="O19" i="4"/>
  <c r="K20" i="4"/>
  <c r="F21" i="4"/>
  <c r="O21" i="4"/>
  <c r="G7" i="4"/>
  <c r="F19" i="3"/>
  <c r="O19" i="3"/>
  <c r="H20" i="3"/>
  <c r="Q20" i="3"/>
  <c r="J21" i="3"/>
  <c r="D11" i="3"/>
  <c r="M11" i="3"/>
  <c r="F12" i="3"/>
  <c r="O12" i="3"/>
  <c r="H13" i="3"/>
  <c r="J14" i="3"/>
  <c r="O16" i="3"/>
  <c r="J18" i="3"/>
  <c r="O10" i="3"/>
  <c r="B2" i="6"/>
  <c r="C25" i="1" l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6" i="1"/>
  <c r="V6" i="1"/>
  <c r="C6" i="2" l="1"/>
  <c r="C42" i="2" s="1"/>
  <c r="C25" i="2" l="1"/>
  <c r="G25" i="2"/>
  <c r="K25" i="2"/>
  <c r="O25" i="2"/>
  <c r="S25" i="2"/>
  <c r="C26" i="2"/>
  <c r="G26" i="2"/>
  <c r="K26" i="2"/>
  <c r="O26" i="2"/>
  <c r="S26" i="2"/>
  <c r="C27" i="2"/>
  <c r="G27" i="2"/>
  <c r="K27" i="2"/>
  <c r="O27" i="2"/>
  <c r="S27" i="2"/>
  <c r="C28" i="2"/>
  <c r="G28" i="2"/>
  <c r="K28" i="2"/>
  <c r="O28" i="2"/>
  <c r="S28" i="2"/>
  <c r="C29" i="2"/>
  <c r="G29" i="2"/>
  <c r="K29" i="2"/>
  <c r="O29" i="2"/>
  <c r="S29" i="2"/>
  <c r="C30" i="2"/>
  <c r="G30" i="2"/>
  <c r="K30" i="2"/>
  <c r="O30" i="2"/>
  <c r="S30" i="2"/>
  <c r="C31" i="2"/>
  <c r="G31" i="2"/>
  <c r="K31" i="2"/>
  <c r="O31" i="2"/>
  <c r="S31" i="2"/>
  <c r="C32" i="2"/>
  <c r="G32" i="2"/>
  <c r="K32" i="2"/>
  <c r="O32" i="2"/>
  <c r="S32" i="2"/>
  <c r="C33" i="2"/>
  <c r="G33" i="2"/>
  <c r="K33" i="2"/>
  <c r="O33" i="2"/>
  <c r="S33" i="2"/>
  <c r="C34" i="2"/>
  <c r="G34" i="2"/>
  <c r="K34" i="2"/>
  <c r="O34" i="2"/>
  <c r="S34" i="2"/>
  <c r="C35" i="2"/>
  <c r="G35" i="2"/>
  <c r="K35" i="2"/>
  <c r="O35" i="2"/>
  <c r="S35" i="2"/>
  <c r="C36" i="2"/>
  <c r="G36" i="2"/>
  <c r="K36" i="2"/>
  <c r="O36" i="2"/>
  <c r="S36" i="2"/>
  <c r="C37" i="2"/>
  <c r="G37" i="2"/>
  <c r="K37" i="2"/>
  <c r="O37" i="2"/>
  <c r="S37" i="2"/>
  <c r="C38" i="2"/>
  <c r="G38" i="2"/>
  <c r="K38" i="2"/>
  <c r="O38" i="2"/>
  <c r="S38" i="2"/>
  <c r="V24" i="2"/>
  <c r="R24" i="2"/>
  <c r="N24" i="2"/>
  <c r="J24" i="2"/>
  <c r="F24" i="2"/>
  <c r="N25" i="2"/>
  <c r="R25" i="2"/>
  <c r="J26" i="2"/>
  <c r="R26" i="2"/>
  <c r="F27" i="2"/>
  <c r="R27" i="2"/>
  <c r="J28" i="2"/>
  <c r="V28" i="2"/>
  <c r="N29" i="2"/>
  <c r="F30" i="2"/>
  <c r="D25" i="2"/>
  <c r="H25" i="2"/>
  <c r="L25" i="2"/>
  <c r="P25" i="2"/>
  <c r="T25" i="2"/>
  <c r="D26" i="2"/>
  <c r="H26" i="2"/>
  <c r="L26" i="2"/>
  <c r="P26" i="2"/>
  <c r="T26" i="2"/>
  <c r="D27" i="2"/>
  <c r="H27" i="2"/>
  <c r="L27" i="2"/>
  <c r="P27" i="2"/>
  <c r="T27" i="2"/>
  <c r="D28" i="2"/>
  <c r="H28" i="2"/>
  <c r="L28" i="2"/>
  <c r="P28" i="2"/>
  <c r="T28" i="2"/>
  <c r="D29" i="2"/>
  <c r="H29" i="2"/>
  <c r="L29" i="2"/>
  <c r="P29" i="2"/>
  <c r="T29" i="2"/>
  <c r="D30" i="2"/>
  <c r="H30" i="2"/>
  <c r="L30" i="2"/>
  <c r="P30" i="2"/>
  <c r="T30" i="2"/>
  <c r="D31" i="2"/>
  <c r="H31" i="2"/>
  <c r="L31" i="2"/>
  <c r="P31" i="2"/>
  <c r="T31" i="2"/>
  <c r="D32" i="2"/>
  <c r="H32" i="2"/>
  <c r="L32" i="2"/>
  <c r="P32" i="2"/>
  <c r="T32" i="2"/>
  <c r="D33" i="2"/>
  <c r="H33" i="2"/>
  <c r="L33" i="2"/>
  <c r="P33" i="2"/>
  <c r="T33" i="2"/>
  <c r="D34" i="2"/>
  <c r="H34" i="2"/>
  <c r="L34" i="2"/>
  <c r="P34" i="2"/>
  <c r="T34" i="2"/>
  <c r="D35" i="2"/>
  <c r="H35" i="2"/>
  <c r="L35" i="2"/>
  <c r="P35" i="2"/>
  <c r="T35" i="2"/>
  <c r="D36" i="2"/>
  <c r="H36" i="2"/>
  <c r="L36" i="2"/>
  <c r="P36" i="2"/>
  <c r="T36" i="2"/>
  <c r="D37" i="2"/>
  <c r="H37" i="2"/>
  <c r="L37" i="2"/>
  <c r="P37" i="2"/>
  <c r="T37" i="2"/>
  <c r="D38" i="2"/>
  <c r="H38" i="2"/>
  <c r="L38" i="2"/>
  <c r="P38" i="2"/>
  <c r="T38" i="2"/>
  <c r="U24" i="2"/>
  <c r="Q24" i="2"/>
  <c r="M24" i="2"/>
  <c r="I24" i="2"/>
  <c r="E24" i="2"/>
  <c r="J25" i="2"/>
  <c r="V25" i="2"/>
  <c r="N26" i="2"/>
  <c r="J27" i="2"/>
  <c r="V27" i="2"/>
  <c r="N28" i="2"/>
  <c r="F29" i="2"/>
  <c r="R29" i="2"/>
  <c r="J30" i="2"/>
  <c r="R30" i="2"/>
  <c r="E25" i="2"/>
  <c r="I25" i="2"/>
  <c r="M25" i="2"/>
  <c r="Q25" i="2"/>
  <c r="U25" i="2"/>
  <c r="E26" i="2"/>
  <c r="I26" i="2"/>
  <c r="M26" i="2"/>
  <c r="Q26" i="2"/>
  <c r="U26" i="2"/>
  <c r="E27" i="2"/>
  <c r="I27" i="2"/>
  <c r="M27" i="2"/>
  <c r="Q27" i="2"/>
  <c r="U27" i="2"/>
  <c r="E28" i="2"/>
  <c r="I28" i="2"/>
  <c r="M28" i="2"/>
  <c r="Q28" i="2"/>
  <c r="U28" i="2"/>
  <c r="E29" i="2"/>
  <c r="I29" i="2"/>
  <c r="M29" i="2"/>
  <c r="Q29" i="2"/>
  <c r="U29" i="2"/>
  <c r="E30" i="2"/>
  <c r="I30" i="2"/>
  <c r="M30" i="2"/>
  <c r="Q30" i="2"/>
  <c r="U30" i="2"/>
  <c r="E31" i="2"/>
  <c r="I31" i="2"/>
  <c r="M31" i="2"/>
  <c r="Q31" i="2"/>
  <c r="U31" i="2"/>
  <c r="E32" i="2"/>
  <c r="I32" i="2"/>
  <c r="M32" i="2"/>
  <c r="Q32" i="2"/>
  <c r="U32" i="2"/>
  <c r="E33" i="2"/>
  <c r="I33" i="2"/>
  <c r="M33" i="2"/>
  <c r="Q33" i="2"/>
  <c r="U33" i="2"/>
  <c r="E34" i="2"/>
  <c r="I34" i="2"/>
  <c r="M34" i="2"/>
  <c r="Q34" i="2"/>
  <c r="U34" i="2"/>
  <c r="E35" i="2"/>
  <c r="I35" i="2"/>
  <c r="M35" i="2"/>
  <c r="Q35" i="2"/>
  <c r="U35" i="2"/>
  <c r="E36" i="2"/>
  <c r="I36" i="2"/>
  <c r="M36" i="2"/>
  <c r="Q36" i="2"/>
  <c r="U36" i="2"/>
  <c r="E37" i="2"/>
  <c r="I37" i="2"/>
  <c r="M37" i="2"/>
  <c r="Q37" i="2"/>
  <c r="U37" i="2"/>
  <c r="E38" i="2"/>
  <c r="I38" i="2"/>
  <c r="M38" i="2"/>
  <c r="Q38" i="2"/>
  <c r="U38" i="2"/>
  <c r="T24" i="2"/>
  <c r="P24" i="2"/>
  <c r="L24" i="2"/>
  <c r="H24" i="2"/>
  <c r="D24" i="2"/>
  <c r="F25" i="2"/>
  <c r="F26" i="2"/>
  <c r="V26" i="2"/>
  <c r="N27" i="2"/>
  <c r="F28" i="2"/>
  <c r="R28" i="2"/>
  <c r="J29" i="2"/>
  <c r="V29" i="2"/>
  <c r="N30" i="2"/>
  <c r="V30" i="2"/>
  <c r="F31" i="2"/>
  <c r="V31" i="2"/>
  <c r="R32" i="2"/>
  <c r="N33" i="2"/>
  <c r="J34" i="2"/>
  <c r="F35" i="2"/>
  <c r="V35" i="2"/>
  <c r="R36" i="2"/>
  <c r="N37" i="2"/>
  <c r="J38" i="2"/>
  <c r="S24" i="2"/>
  <c r="C24" i="2"/>
  <c r="R33" i="2"/>
  <c r="J35" i="2"/>
  <c r="V36" i="2"/>
  <c r="N38" i="2"/>
  <c r="O24" i="2"/>
  <c r="N35" i="2"/>
  <c r="V37" i="2"/>
  <c r="R31" i="2"/>
  <c r="R35" i="2"/>
  <c r="F38" i="2"/>
  <c r="J31" i="2"/>
  <c r="F32" i="2"/>
  <c r="V32" i="2"/>
  <c r="N34" i="2"/>
  <c r="F36" i="2"/>
  <c r="R37" i="2"/>
  <c r="R34" i="2"/>
  <c r="F37" i="2"/>
  <c r="K24" i="2"/>
  <c r="J33" i="2"/>
  <c r="V34" i="2"/>
  <c r="N36" i="2"/>
  <c r="V38" i="2"/>
  <c r="N31" i="2"/>
  <c r="J32" i="2"/>
  <c r="F33" i="2"/>
  <c r="V33" i="2"/>
  <c r="J36" i="2"/>
  <c r="R38" i="2"/>
  <c r="N32" i="2"/>
  <c r="F34" i="2"/>
  <c r="J37" i="2"/>
  <c r="G24" i="2"/>
  <c r="C7" i="2"/>
  <c r="C43" i="2" s="1"/>
  <c r="G7" i="2"/>
  <c r="G43" i="2" s="1"/>
  <c r="K7" i="2"/>
  <c r="K43" i="2" s="1"/>
  <c r="O7" i="2"/>
  <c r="O43" i="2" s="1"/>
  <c r="S7" i="2"/>
  <c r="S43" i="2" s="1"/>
  <c r="C8" i="2"/>
  <c r="C44" i="2" s="1"/>
  <c r="G8" i="2"/>
  <c r="G44" i="2" s="1"/>
  <c r="K8" i="2"/>
  <c r="K44" i="2" s="1"/>
  <c r="O8" i="2"/>
  <c r="O44" i="2" s="1"/>
  <c r="S8" i="2"/>
  <c r="S44" i="2" s="1"/>
  <c r="C9" i="2"/>
  <c r="C45" i="2" s="1"/>
  <c r="G9" i="2"/>
  <c r="G45" i="2" s="1"/>
  <c r="K9" i="2"/>
  <c r="K45" i="2" s="1"/>
  <c r="O9" i="2"/>
  <c r="O45" i="2" s="1"/>
  <c r="S9" i="2"/>
  <c r="S45" i="2" s="1"/>
  <c r="C10" i="2"/>
  <c r="C46" i="2" s="1"/>
  <c r="G10" i="2"/>
  <c r="G46" i="2" s="1"/>
  <c r="K10" i="2"/>
  <c r="K46" i="2" s="1"/>
  <c r="O10" i="2"/>
  <c r="O46" i="2" s="1"/>
  <c r="S10" i="2"/>
  <c r="S46" i="2" s="1"/>
  <c r="C11" i="2"/>
  <c r="C47" i="2" s="1"/>
  <c r="G11" i="2"/>
  <c r="G47" i="2" s="1"/>
  <c r="K11" i="2"/>
  <c r="K47" i="2" s="1"/>
  <c r="O11" i="2"/>
  <c r="O47" i="2" s="1"/>
  <c r="S11" i="2"/>
  <c r="S47" i="2" s="1"/>
  <c r="C12" i="2"/>
  <c r="C48" i="2" s="1"/>
  <c r="G12" i="2"/>
  <c r="G48" i="2" s="1"/>
  <c r="K12" i="2"/>
  <c r="K48" i="2" s="1"/>
  <c r="O12" i="2"/>
  <c r="O48" i="2" s="1"/>
  <c r="S12" i="2"/>
  <c r="S48" i="2" s="1"/>
  <c r="C13" i="2"/>
  <c r="C49" i="2" s="1"/>
  <c r="G13" i="2"/>
  <c r="G49" i="2" s="1"/>
  <c r="K13" i="2"/>
  <c r="K49" i="2" s="1"/>
  <c r="O13" i="2"/>
  <c r="O49" i="2" s="1"/>
  <c r="S13" i="2"/>
  <c r="S49" i="2" s="1"/>
  <c r="C14" i="2"/>
  <c r="C50" i="2" s="1"/>
  <c r="G14" i="2"/>
  <c r="G50" i="2" s="1"/>
  <c r="K14" i="2"/>
  <c r="K50" i="2" s="1"/>
  <c r="O14" i="2"/>
  <c r="O50" i="2" s="1"/>
  <c r="S14" i="2"/>
  <c r="S50" i="2" s="1"/>
  <c r="C15" i="2"/>
  <c r="C51" i="2" s="1"/>
  <c r="G15" i="2"/>
  <c r="G51" i="2" s="1"/>
  <c r="K15" i="2"/>
  <c r="K51" i="2" s="1"/>
  <c r="O15" i="2"/>
  <c r="O51" i="2" s="1"/>
  <c r="S15" i="2"/>
  <c r="S51" i="2" s="1"/>
  <c r="C16" i="2"/>
  <c r="C52" i="2" s="1"/>
  <c r="G16" i="2"/>
  <c r="G52" i="2" s="1"/>
  <c r="K16" i="2"/>
  <c r="K52" i="2" s="1"/>
  <c r="O16" i="2"/>
  <c r="O52" i="2" s="1"/>
  <c r="S16" i="2"/>
  <c r="S52" i="2" s="1"/>
  <c r="C17" i="2"/>
  <c r="C53" i="2" s="1"/>
  <c r="G17" i="2"/>
  <c r="G53" i="2" s="1"/>
  <c r="K17" i="2"/>
  <c r="K53" i="2" s="1"/>
  <c r="O17" i="2"/>
  <c r="O53" i="2" s="1"/>
  <c r="S17" i="2"/>
  <c r="S53" i="2" s="1"/>
  <c r="C18" i="2"/>
  <c r="C54" i="2" s="1"/>
  <c r="G18" i="2"/>
  <c r="G54" i="2" s="1"/>
  <c r="D7" i="2"/>
  <c r="D43" i="2" s="1"/>
  <c r="H7" i="2"/>
  <c r="H43" i="2" s="1"/>
  <c r="L7" i="2"/>
  <c r="L43" i="2" s="1"/>
  <c r="P7" i="2"/>
  <c r="P43" i="2" s="1"/>
  <c r="T7" i="2"/>
  <c r="T43" i="2" s="1"/>
  <c r="D8" i="2"/>
  <c r="D44" i="2" s="1"/>
  <c r="H8" i="2"/>
  <c r="H44" i="2" s="1"/>
  <c r="L8" i="2"/>
  <c r="L44" i="2" s="1"/>
  <c r="P8" i="2"/>
  <c r="P44" i="2" s="1"/>
  <c r="T8" i="2"/>
  <c r="T44" i="2" s="1"/>
  <c r="D9" i="2"/>
  <c r="D45" i="2" s="1"/>
  <c r="H9" i="2"/>
  <c r="H45" i="2" s="1"/>
  <c r="L9" i="2"/>
  <c r="L45" i="2" s="1"/>
  <c r="P9" i="2"/>
  <c r="P45" i="2" s="1"/>
  <c r="T9" i="2"/>
  <c r="T45" i="2" s="1"/>
  <c r="D10" i="2"/>
  <c r="D46" i="2" s="1"/>
  <c r="H10" i="2"/>
  <c r="H46" i="2" s="1"/>
  <c r="L10" i="2"/>
  <c r="L46" i="2" s="1"/>
  <c r="P10" i="2"/>
  <c r="P46" i="2" s="1"/>
  <c r="T10" i="2"/>
  <c r="T46" i="2" s="1"/>
  <c r="D11" i="2"/>
  <c r="D47" i="2" s="1"/>
  <c r="H11" i="2"/>
  <c r="H47" i="2" s="1"/>
  <c r="L11" i="2"/>
  <c r="L47" i="2" s="1"/>
  <c r="P11" i="2"/>
  <c r="P47" i="2" s="1"/>
  <c r="T11" i="2"/>
  <c r="T47" i="2" s="1"/>
  <c r="D12" i="2"/>
  <c r="D48" i="2" s="1"/>
  <c r="H12" i="2"/>
  <c r="H48" i="2" s="1"/>
  <c r="L12" i="2"/>
  <c r="L48" i="2" s="1"/>
  <c r="P12" i="2"/>
  <c r="P48" i="2" s="1"/>
  <c r="T12" i="2"/>
  <c r="T48" i="2" s="1"/>
  <c r="D13" i="2"/>
  <c r="D49" i="2" s="1"/>
  <c r="H13" i="2"/>
  <c r="H49" i="2" s="1"/>
  <c r="L13" i="2"/>
  <c r="L49" i="2" s="1"/>
  <c r="P13" i="2"/>
  <c r="P49" i="2" s="1"/>
  <c r="T13" i="2"/>
  <c r="T49" i="2" s="1"/>
  <c r="D14" i="2"/>
  <c r="D50" i="2" s="1"/>
  <c r="H14" i="2"/>
  <c r="H50" i="2" s="1"/>
  <c r="L14" i="2"/>
  <c r="L50" i="2" s="1"/>
  <c r="P14" i="2"/>
  <c r="P50" i="2" s="1"/>
  <c r="T14" i="2"/>
  <c r="T50" i="2" s="1"/>
  <c r="D15" i="2"/>
  <c r="D51" i="2" s="1"/>
  <c r="H15" i="2"/>
  <c r="H51" i="2" s="1"/>
  <c r="L15" i="2"/>
  <c r="L51" i="2" s="1"/>
  <c r="P15" i="2"/>
  <c r="P51" i="2" s="1"/>
  <c r="T15" i="2"/>
  <c r="T51" i="2" s="1"/>
  <c r="D16" i="2"/>
  <c r="D52" i="2" s="1"/>
  <c r="H16" i="2"/>
  <c r="H52" i="2" s="1"/>
  <c r="L16" i="2"/>
  <c r="L52" i="2" s="1"/>
  <c r="P16" i="2"/>
  <c r="P52" i="2" s="1"/>
  <c r="T16" i="2"/>
  <c r="T52" i="2" s="1"/>
  <c r="D17" i="2"/>
  <c r="D53" i="2" s="1"/>
  <c r="H17" i="2"/>
  <c r="H53" i="2" s="1"/>
  <c r="L17" i="2"/>
  <c r="L53" i="2" s="1"/>
  <c r="P17" i="2"/>
  <c r="P53" i="2" s="1"/>
  <c r="T17" i="2"/>
  <c r="T53" i="2" s="1"/>
  <c r="D18" i="2"/>
  <c r="D54" i="2" s="1"/>
  <c r="H18" i="2"/>
  <c r="H54" i="2" s="1"/>
  <c r="E7" i="2"/>
  <c r="E43" i="2" s="1"/>
  <c r="I7" i="2"/>
  <c r="I43" i="2" s="1"/>
  <c r="M7" i="2"/>
  <c r="M43" i="2" s="1"/>
  <c r="Q7" i="2"/>
  <c r="Q43" i="2" s="1"/>
  <c r="U7" i="2"/>
  <c r="U43" i="2" s="1"/>
  <c r="E8" i="2"/>
  <c r="E44" i="2" s="1"/>
  <c r="I8" i="2"/>
  <c r="I44" i="2" s="1"/>
  <c r="M8" i="2"/>
  <c r="M44" i="2" s="1"/>
  <c r="Q8" i="2"/>
  <c r="Q44" i="2" s="1"/>
  <c r="U8" i="2"/>
  <c r="U44" i="2" s="1"/>
  <c r="E9" i="2"/>
  <c r="E45" i="2" s="1"/>
  <c r="I9" i="2"/>
  <c r="I45" i="2" s="1"/>
  <c r="M9" i="2"/>
  <c r="M45" i="2" s="1"/>
  <c r="Q9" i="2"/>
  <c r="Q45" i="2" s="1"/>
  <c r="U9" i="2"/>
  <c r="U45" i="2" s="1"/>
  <c r="E10" i="2"/>
  <c r="E46" i="2" s="1"/>
  <c r="I10" i="2"/>
  <c r="I46" i="2" s="1"/>
  <c r="M10" i="2"/>
  <c r="M46" i="2" s="1"/>
  <c r="Q10" i="2"/>
  <c r="Q46" i="2" s="1"/>
  <c r="U10" i="2"/>
  <c r="U46" i="2" s="1"/>
  <c r="E11" i="2"/>
  <c r="E47" i="2" s="1"/>
  <c r="I11" i="2"/>
  <c r="I47" i="2" s="1"/>
  <c r="M11" i="2"/>
  <c r="M47" i="2" s="1"/>
  <c r="Q11" i="2"/>
  <c r="Q47" i="2" s="1"/>
  <c r="U11" i="2"/>
  <c r="U47" i="2" s="1"/>
  <c r="E12" i="2"/>
  <c r="E48" i="2" s="1"/>
  <c r="I12" i="2"/>
  <c r="I48" i="2" s="1"/>
  <c r="M12" i="2"/>
  <c r="M48" i="2" s="1"/>
  <c r="Q12" i="2"/>
  <c r="Q48" i="2" s="1"/>
  <c r="U12" i="2"/>
  <c r="U48" i="2" s="1"/>
  <c r="E13" i="2"/>
  <c r="E49" i="2" s="1"/>
  <c r="I13" i="2"/>
  <c r="I49" i="2" s="1"/>
  <c r="M13" i="2"/>
  <c r="M49" i="2" s="1"/>
  <c r="Q13" i="2"/>
  <c r="Q49" i="2" s="1"/>
  <c r="U13" i="2"/>
  <c r="U49" i="2" s="1"/>
  <c r="E14" i="2"/>
  <c r="E50" i="2" s="1"/>
  <c r="I14" i="2"/>
  <c r="I50" i="2" s="1"/>
  <c r="M14" i="2"/>
  <c r="M50" i="2" s="1"/>
  <c r="Q14" i="2"/>
  <c r="Q50" i="2" s="1"/>
  <c r="U14" i="2"/>
  <c r="U50" i="2" s="1"/>
  <c r="E15" i="2"/>
  <c r="E51" i="2" s="1"/>
  <c r="I15" i="2"/>
  <c r="I51" i="2" s="1"/>
  <c r="M15" i="2"/>
  <c r="M51" i="2" s="1"/>
  <c r="Q15" i="2"/>
  <c r="Q51" i="2" s="1"/>
  <c r="U15" i="2"/>
  <c r="U51" i="2" s="1"/>
  <c r="E16" i="2"/>
  <c r="E52" i="2" s="1"/>
  <c r="I16" i="2"/>
  <c r="I52" i="2" s="1"/>
  <c r="M16" i="2"/>
  <c r="M52" i="2" s="1"/>
  <c r="Q16" i="2"/>
  <c r="Q52" i="2" s="1"/>
  <c r="U16" i="2"/>
  <c r="U52" i="2" s="1"/>
  <c r="E17" i="2"/>
  <c r="E53" i="2" s="1"/>
  <c r="I17" i="2"/>
  <c r="I53" i="2" s="1"/>
  <c r="M17" i="2"/>
  <c r="M53" i="2" s="1"/>
  <c r="Q17" i="2"/>
  <c r="Q53" i="2" s="1"/>
  <c r="U17" i="2"/>
  <c r="U53" i="2" s="1"/>
  <c r="E18" i="2"/>
  <c r="E54" i="2" s="1"/>
  <c r="I18" i="2"/>
  <c r="I54" i="2" s="1"/>
  <c r="M18" i="2"/>
  <c r="M54" i="2" s="1"/>
  <c r="Q18" i="2"/>
  <c r="Q54" i="2" s="1"/>
  <c r="U18" i="2"/>
  <c r="U54" i="2" s="1"/>
  <c r="E19" i="2"/>
  <c r="E55" i="2" s="1"/>
  <c r="I19" i="2"/>
  <c r="I55" i="2" s="1"/>
  <c r="M19" i="2"/>
  <c r="M55" i="2" s="1"/>
  <c r="Q19" i="2"/>
  <c r="Q55" i="2" s="1"/>
  <c r="U19" i="2"/>
  <c r="U55" i="2" s="1"/>
  <c r="E20" i="2"/>
  <c r="E56" i="2" s="1"/>
  <c r="I20" i="2"/>
  <c r="I56" i="2" s="1"/>
  <c r="M20" i="2"/>
  <c r="M56" i="2" s="1"/>
  <c r="Q20" i="2"/>
  <c r="Q56" i="2" s="1"/>
  <c r="U20" i="2"/>
  <c r="U56" i="2" s="1"/>
  <c r="T6" i="2"/>
  <c r="T42" i="2" s="1"/>
  <c r="P6" i="2"/>
  <c r="P42" i="2" s="1"/>
  <c r="L6" i="2"/>
  <c r="L42" i="2" s="1"/>
  <c r="H6" i="2"/>
  <c r="H42" i="2" s="1"/>
  <c r="D6" i="2"/>
  <c r="D42" i="2" s="1"/>
  <c r="F7" i="2"/>
  <c r="F43" i="2" s="1"/>
  <c r="J7" i="2"/>
  <c r="J43" i="2" s="1"/>
  <c r="N7" i="2"/>
  <c r="N43" i="2" s="1"/>
  <c r="R7" i="2"/>
  <c r="R43" i="2" s="1"/>
  <c r="V7" i="2"/>
  <c r="V43" i="2" s="1"/>
  <c r="F8" i="2"/>
  <c r="F44" i="2" s="1"/>
  <c r="J8" i="2"/>
  <c r="J44" i="2" s="1"/>
  <c r="N8" i="2"/>
  <c r="N44" i="2" s="1"/>
  <c r="R8" i="2"/>
  <c r="R44" i="2" s="1"/>
  <c r="V8" i="2"/>
  <c r="V44" i="2" s="1"/>
  <c r="F9" i="2"/>
  <c r="F45" i="2" s="1"/>
  <c r="V9" i="2"/>
  <c r="V45" i="2" s="1"/>
  <c r="R10" i="2"/>
  <c r="R46" i="2" s="1"/>
  <c r="N11" i="2"/>
  <c r="N47" i="2" s="1"/>
  <c r="J12" i="2"/>
  <c r="J48" i="2" s="1"/>
  <c r="F13" i="2"/>
  <c r="F49" i="2" s="1"/>
  <c r="V13" i="2"/>
  <c r="V49" i="2" s="1"/>
  <c r="R14" i="2"/>
  <c r="R50" i="2" s="1"/>
  <c r="N15" i="2"/>
  <c r="N51" i="2" s="1"/>
  <c r="J16" i="2"/>
  <c r="J52" i="2" s="1"/>
  <c r="F17" i="2"/>
  <c r="F53" i="2" s="1"/>
  <c r="V17" i="2"/>
  <c r="V53" i="2" s="1"/>
  <c r="L18" i="2"/>
  <c r="L54" i="2" s="1"/>
  <c r="R18" i="2"/>
  <c r="R54" i="2" s="1"/>
  <c r="C19" i="2"/>
  <c r="C55" i="2" s="1"/>
  <c r="H19" i="2"/>
  <c r="H55" i="2" s="1"/>
  <c r="N19" i="2"/>
  <c r="N55" i="2" s="1"/>
  <c r="S19" i="2"/>
  <c r="S55" i="2" s="1"/>
  <c r="D20" i="2"/>
  <c r="D56" i="2" s="1"/>
  <c r="J20" i="2"/>
  <c r="J56" i="2" s="1"/>
  <c r="O20" i="2"/>
  <c r="O56" i="2" s="1"/>
  <c r="T20" i="2"/>
  <c r="T56" i="2" s="1"/>
  <c r="S6" i="2"/>
  <c r="S42" i="2" s="1"/>
  <c r="N6" i="2"/>
  <c r="N42" i="2" s="1"/>
  <c r="I6" i="2"/>
  <c r="I42" i="2" s="1"/>
  <c r="F20" i="2"/>
  <c r="F56" i="2" s="1"/>
  <c r="V20" i="2"/>
  <c r="V56" i="2" s="1"/>
  <c r="M6" i="2"/>
  <c r="M42" i="2" s="1"/>
  <c r="K6" i="2"/>
  <c r="K42" i="2" s="1"/>
  <c r="J11" i="2"/>
  <c r="J47" i="2" s="1"/>
  <c r="V16" i="2"/>
  <c r="V52" i="2" s="1"/>
  <c r="G19" i="2"/>
  <c r="G55" i="2" s="1"/>
  <c r="C20" i="2"/>
  <c r="C56" i="2" s="1"/>
  <c r="N20" i="2"/>
  <c r="N56" i="2" s="1"/>
  <c r="O6" i="2"/>
  <c r="O42" i="2" s="1"/>
  <c r="J9" i="2"/>
  <c r="J45" i="2" s="1"/>
  <c r="F10" i="2"/>
  <c r="F46" i="2" s="1"/>
  <c r="V10" i="2"/>
  <c r="V46" i="2" s="1"/>
  <c r="R11" i="2"/>
  <c r="R47" i="2" s="1"/>
  <c r="N12" i="2"/>
  <c r="N48" i="2" s="1"/>
  <c r="J13" i="2"/>
  <c r="J49" i="2" s="1"/>
  <c r="F14" i="2"/>
  <c r="F50" i="2" s="1"/>
  <c r="V14" i="2"/>
  <c r="V50" i="2" s="1"/>
  <c r="R15" i="2"/>
  <c r="R51" i="2" s="1"/>
  <c r="N16" i="2"/>
  <c r="N52" i="2" s="1"/>
  <c r="J17" i="2"/>
  <c r="J53" i="2" s="1"/>
  <c r="F18" i="2"/>
  <c r="F54" i="2" s="1"/>
  <c r="N18" i="2"/>
  <c r="N54" i="2" s="1"/>
  <c r="S18" i="2"/>
  <c r="S54" i="2" s="1"/>
  <c r="D19" i="2"/>
  <c r="D55" i="2" s="1"/>
  <c r="J19" i="2"/>
  <c r="J55" i="2" s="1"/>
  <c r="O19" i="2"/>
  <c r="O55" i="2" s="1"/>
  <c r="T19" i="2"/>
  <c r="T55" i="2" s="1"/>
  <c r="K20" i="2"/>
  <c r="K56" i="2" s="1"/>
  <c r="P20" i="2"/>
  <c r="P56" i="2" s="1"/>
  <c r="R6" i="2"/>
  <c r="R42" i="2" s="1"/>
  <c r="G6" i="2"/>
  <c r="G42" i="2" s="1"/>
  <c r="F6" i="2"/>
  <c r="F42" i="2" s="1"/>
  <c r="N10" i="2"/>
  <c r="N46" i="2" s="1"/>
  <c r="F12" i="2"/>
  <c r="F48" i="2" s="1"/>
  <c r="R13" i="2"/>
  <c r="R49" i="2" s="1"/>
  <c r="J15" i="2"/>
  <c r="J51" i="2" s="1"/>
  <c r="R17" i="2"/>
  <c r="R53" i="2" s="1"/>
  <c r="P18" i="2"/>
  <c r="P54" i="2" s="1"/>
  <c r="L19" i="2"/>
  <c r="L55" i="2" s="1"/>
  <c r="H20" i="2"/>
  <c r="H56" i="2" s="1"/>
  <c r="U6" i="2"/>
  <c r="U42" i="2" s="1"/>
  <c r="E6" i="2"/>
  <c r="E42" i="2" s="1"/>
  <c r="N9" i="2"/>
  <c r="N45" i="2" s="1"/>
  <c r="J10" i="2"/>
  <c r="J46" i="2" s="1"/>
  <c r="F11" i="2"/>
  <c r="F47" i="2" s="1"/>
  <c r="V11" i="2"/>
  <c r="V47" i="2" s="1"/>
  <c r="R12" i="2"/>
  <c r="R48" i="2" s="1"/>
  <c r="N13" i="2"/>
  <c r="N49" i="2" s="1"/>
  <c r="J14" i="2"/>
  <c r="J50" i="2" s="1"/>
  <c r="F15" i="2"/>
  <c r="F51" i="2" s="1"/>
  <c r="V15" i="2"/>
  <c r="V51" i="2" s="1"/>
  <c r="R16" i="2"/>
  <c r="R52" i="2" s="1"/>
  <c r="N17" i="2"/>
  <c r="N53" i="2" s="1"/>
  <c r="J18" i="2"/>
  <c r="J54" i="2" s="1"/>
  <c r="O18" i="2"/>
  <c r="O54" i="2" s="1"/>
  <c r="T18" i="2"/>
  <c r="T54" i="2" s="1"/>
  <c r="F19" i="2"/>
  <c r="F55" i="2" s="1"/>
  <c r="K19" i="2"/>
  <c r="K55" i="2" s="1"/>
  <c r="P19" i="2"/>
  <c r="P55" i="2" s="1"/>
  <c r="V19" i="2"/>
  <c r="V55" i="2" s="1"/>
  <c r="G20" i="2"/>
  <c r="G56" i="2" s="1"/>
  <c r="L20" i="2"/>
  <c r="L56" i="2" s="1"/>
  <c r="R20" i="2"/>
  <c r="R56" i="2" s="1"/>
  <c r="V6" i="2"/>
  <c r="V42" i="2" s="1"/>
  <c r="Q6" i="2"/>
  <c r="Q42" i="2" s="1"/>
  <c r="R9" i="2"/>
  <c r="R45" i="2" s="1"/>
  <c r="V12" i="2"/>
  <c r="V48" i="2" s="1"/>
  <c r="N14" i="2"/>
  <c r="N50" i="2" s="1"/>
  <c r="F16" i="2"/>
  <c r="F52" i="2" s="1"/>
  <c r="K18" i="2"/>
  <c r="K54" i="2" s="1"/>
  <c r="V18" i="2"/>
  <c r="V54" i="2" s="1"/>
  <c r="R19" i="2"/>
  <c r="R55" i="2" s="1"/>
  <c r="S20" i="2"/>
  <c r="S56" i="2" s="1"/>
  <c r="J6" i="2"/>
  <c r="J42" i="2" s="1"/>
</calcChain>
</file>

<file path=xl/sharedStrings.xml><?xml version="1.0" encoding="utf-8"?>
<sst xmlns="http://schemas.openxmlformats.org/spreadsheetml/2006/main" count="1961" uniqueCount="516">
  <si>
    <t>Number</t>
  </si>
  <si>
    <t>Percentage</t>
  </si>
  <si>
    <t>Percentage of all</t>
  </si>
  <si>
    <t>Scotland</t>
  </si>
  <si>
    <t>Ayrshire &amp; Arran</t>
  </si>
  <si>
    <t>Borders</t>
  </si>
  <si>
    <t>Dumfries &amp; Galloway</t>
  </si>
  <si>
    <t>Fife</t>
  </si>
  <si>
    <t>Forth Valley</t>
  </si>
  <si>
    <t>Grampian</t>
  </si>
  <si>
    <t>Greater Glasgow &amp; Clyde</t>
  </si>
  <si>
    <t>Highland</t>
  </si>
  <si>
    <t>Lanarkshire</t>
  </si>
  <si>
    <t>Lothian</t>
  </si>
  <si>
    <t>Orkney</t>
  </si>
  <si>
    <t>Shetland</t>
  </si>
  <si>
    <t>Tayside</t>
  </si>
  <si>
    <t>Western Isles</t>
  </si>
  <si>
    <t>Total</t>
  </si>
  <si>
    <t>&lt;20</t>
  </si>
  <si>
    <t>20-24</t>
  </si>
  <si>
    <t>25-29</t>
  </si>
  <si>
    <t>30-34</t>
  </si>
  <si>
    <t>35-39</t>
  </si>
  <si>
    <t>40+</t>
  </si>
  <si>
    <t>1 - Most deprived</t>
  </si>
  <si>
    <t>5 - Least deprived</t>
  </si>
  <si>
    <t>Group C - Asian, Asian Scottish or Asian British</t>
  </si>
  <si>
    <t>Group D - African</t>
  </si>
  <si>
    <t>Multiple</t>
  </si>
  <si>
    <t xml:space="preserve">Select </t>
  </si>
  <si>
    <t>Singleton</t>
  </si>
  <si>
    <t xml:space="preserve"> </t>
  </si>
  <si>
    <t>Unknown</t>
  </si>
  <si>
    <t>NHS Ayrshire and Arran</t>
  </si>
  <si>
    <t>NHS Borders</t>
  </si>
  <si>
    <t>NHS Dumfries and Galloway</t>
  </si>
  <si>
    <t>NHS Fife</t>
  </si>
  <si>
    <t>NHS Forth Valley</t>
  </si>
  <si>
    <t>NHS Grampian</t>
  </si>
  <si>
    <t>NHS Greater Glasgow and Clyde</t>
  </si>
  <si>
    <t>NHS Highland</t>
  </si>
  <si>
    <t>NHS Lanarkshire</t>
  </si>
  <si>
    <t>NHS Lothian</t>
  </si>
  <si>
    <t>NHS Orkney</t>
  </si>
  <si>
    <t>NHS Shetland</t>
  </si>
  <si>
    <t>NHS Tayside</t>
  </si>
  <si>
    <t>NHS Western Isles</t>
  </si>
  <si>
    <t>code</t>
  </si>
  <si>
    <t>NHS Ayrshire and ArranMultiple</t>
  </si>
  <si>
    <t>NHS Ayrshire and ArranUnknown</t>
  </si>
  <si>
    <t>NHS BordersMultiple</t>
  </si>
  <si>
    <t>NHS Dumfries and GallowayMultiple</t>
  </si>
  <si>
    <t>NHS Dumfries and GallowayUnknown</t>
  </si>
  <si>
    <t>NHS FifeMultiple</t>
  </si>
  <si>
    <t>NHS FifeUnknown</t>
  </si>
  <si>
    <t>NHS Forth ValleyMultiple</t>
  </si>
  <si>
    <t>NHS Forth ValleyUnknown</t>
  </si>
  <si>
    <t>NHS GrampianMultiple</t>
  </si>
  <si>
    <t>NHS GrampianUnknown</t>
  </si>
  <si>
    <t>NHS Greater Glasgow and ClydeMultiple</t>
  </si>
  <si>
    <t>NHS Greater Glasgow and ClydeUnknown</t>
  </si>
  <si>
    <t>NHS HighlandMultiple</t>
  </si>
  <si>
    <t>NHS HighlandUnknown</t>
  </si>
  <si>
    <t>NHS LanarkshireMultiple</t>
  </si>
  <si>
    <t>NHS LanarkshireUnknown</t>
  </si>
  <si>
    <t>NHS LothianMultiple</t>
  </si>
  <si>
    <t>NHS LothianUnknown</t>
  </si>
  <si>
    <t>NHS ShetlandMultiple</t>
  </si>
  <si>
    <t>NHS TaysideMultiple</t>
  </si>
  <si>
    <t>NHS TaysideUnknown</t>
  </si>
  <si>
    <t>NHS Western IslesMultiple</t>
  </si>
  <si>
    <t>ScotlandMultiple</t>
  </si>
  <si>
    <t>ScotlandUnknown</t>
  </si>
  <si>
    <t>NHS Ayrshire and ArranSingleton</t>
  </si>
  <si>
    <t>NHS BordersSingleton</t>
  </si>
  <si>
    <t>NHS Dumfries and GallowaySingleton</t>
  </si>
  <si>
    <t>NHS FifeSingleton</t>
  </si>
  <si>
    <t>NHS Forth ValleySingleton</t>
  </si>
  <si>
    <t>NHS GrampianSingleton</t>
  </si>
  <si>
    <t>NHS Greater Glasgow and ClydeSingleton</t>
  </si>
  <si>
    <t>NHS HighlandSingleton</t>
  </si>
  <si>
    <t>NHS LanarkshireSingleton</t>
  </si>
  <si>
    <t>NHS LothianSingleton</t>
  </si>
  <si>
    <t>NHS OrkneySingleton</t>
  </si>
  <si>
    <t>NHS ShetlandSingleton</t>
  </si>
  <si>
    <t>NHS TaysideSingleton</t>
  </si>
  <si>
    <t>NHS Western IslesSingleton</t>
  </si>
  <si>
    <t>ScotlandSingleton</t>
  </si>
  <si>
    <t>Year ending 31 March</t>
  </si>
  <si>
    <t>The Scotland total includes cases where the location code indicated that care was provided in a private domiciliary address.</t>
  </si>
  <si>
    <t>Rate per 1,000 women aged 15-44</t>
  </si>
  <si>
    <t>Percentage of all maternities with a known maternal age.</t>
  </si>
  <si>
    <t>Percentage of all maternities with a known SIMD.</t>
  </si>
  <si>
    <t>Percentage of all maternities with a known ethnicity.</t>
  </si>
  <si>
    <t>*  Indicates values that have been suppressed due to the potential risk of disclosure.</t>
  </si>
  <si>
    <t>All maternities</t>
  </si>
  <si>
    <t>NHS Ayrshire and ArranAll maternities</t>
  </si>
  <si>
    <t>NHS BordersAll maternities</t>
  </si>
  <si>
    <t>NHS Dumfries and GallowayAll maternities</t>
  </si>
  <si>
    <t>NHS FifeAll maternities</t>
  </si>
  <si>
    <t>NHS Forth ValleyAll maternities</t>
  </si>
  <si>
    <t>NHS GrampianAll maternities</t>
  </si>
  <si>
    <t>NHS Greater Glasgow and ClydeAll maternities</t>
  </si>
  <si>
    <t>NHS HighlandAll maternities</t>
  </si>
  <si>
    <t>NHS LanarkshireAll maternities</t>
  </si>
  <si>
    <t>NHS LothianAll maternities</t>
  </si>
  <si>
    <t>NHS OrkneyAll maternities</t>
  </si>
  <si>
    <t>NHS ShetlandAll maternities</t>
  </si>
  <si>
    <t>NHS TaysideAll maternities</t>
  </si>
  <si>
    <t>NHS Western IslesAll maternities</t>
  </si>
  <si>
    <t>ScotlandAll maternities</t>
  </si>
  <si>
    <t>Not Known</t>
  </si>
  <si>
    <t>-</t>
  </si>
  <si>
    <t>45+</t>
  </si>
  <si>
    <t>An individual may have more than one maternity episode in a single year.</t>
  </si>
  <si>
    <t>The total number of all maternities can include a small number of cases where the singleton/multiple status is unknown.</t>
  </si>
  <si>
    <t>Source: SMR02</t>
  </si>
  <si>
    <t>%</t>
  </si>
  <si>
    <t>2004/05</t>
  </si>
  <si>
    <t>2005/06</t>
  </si>
  <si>
    <t>2006/07</t>
  </si>
  <si>
    <t>2007/08</t>
  </si>
  <si>
    <t>2008/09</t>
  </si>
  <si>
    <t>2009/10</t>
  </si>
  <si>
    <t>2010/11</t>
  </si>
  <si>
    <t>2011/12</t>
  </si>
  <si>
    <t>2012/13</t>
  </si>
  <si>
    <t>2013/14</t>
  </si>
  <si>
    <t>2014/15</t>
  </si>
  <si>
    <t>2015/16</t>
  </si>
  <si>
    <t>2016/17</t>
  </si>
  <si>
    <t>2017/18</t>
  </si>
  <si>
    <t>2018/19</t>
  </si>
  <si>
    <t>2019/20</t>
  </si>
  <si>
    <t>2020/21</t>
  </si>
  <si>
    <t>2021/22</t>
  </si>
  <si>
    <t>2022/23</t>
  </si>
  <si>
    <t>hbtname</t>
  </si>
  <si>
    <t>rate0405</t>
  </si>
  <si>
    <t>rate0506</t>
  </si>
  <si>
    <t>rate0607</t>
  </si>
  <si>
    <t>rate0708</t>
  </si>
  <si>
    <t>rate0809</t>
  </si>
  <si>
    <t>rate0910</t>
  </si>
  <si>
    <t>rate1011</t>
  </si>
  <si>
    <t>rate1112</t>
  </si>
  <si>
    <t>rate1213</t>
  </si>
  <si>
    <t>rate1314</t>
  </si>
  <si>
    <t>rate1415</t>
  </si>
  <si>
    <t>rate1516</t>
  </si>
  <si>
    <t>rate1617</t>
  </si>
  <si>
    <t>rate1718</t>
  </si>
  <si>
    <t>rate1819</t>
  </si>
  <si>
    <t>rate1920</t>
  </si>
  <si>
    <t>rate2021</t>
  </si>
  <si>
    <t>rate2122</t>
  </si>
  <si>
    <t>rate2223</t>
  </si>
  <si>
    <t>Figure 1.2</t>
  </si>
  <si>
    <t>Figure 1.4</t>
  </si>
  <si>
    <t>Select</t>
  </si>
  <si>
    <t>total</t>
  </si>
  <si>
    <t>simd1</t>
  </si>
  <si>
    <t>simd2</t>
  </si>
  <si>
    <t>simd3</t>
  </si>
  <si>
    <t>simd4</t>
  </si>
  <si>
    <t>simd5</t>
  </si>
  <si>
    <t>simd9</t>
  </si>
  <si>
    <t>perc_s1</t>
  </si>
  <si>
    <t>perc_s2</t>
  </si>
  <si>
    <t>perc_s3</t>
  </si>
  <si>
    <t>perc_s4</t>
  </si>
  <si>
    <t>perc_s5</t>
  </si>
  <si>
    <t>2004/05NHS Ayrshire and Arran</t>
  </si>
  <si>
    <t>2004/05NHS Borders</t>
  </si>
  <si>
    <t>2004/05NHS Dumfries and Galloway</t>
  </si>
  <si>
    <t>2004/05NHS Fife</t>
  </si>
  <si>
    <t>2004/05NHS Forth Valley</t>
  </si>
  <si>
    <t>2004/05NHS Grampian</t>
  </si>
  <si>
    <t>2004/05NHS Greater Glasgow and Clyde</t>
  </si>
  <si>
    <t>2004/05NHS Highland</t>
  </si>
  <si>
    <t>2004/05NHS Lanarkshire</t>
  </si>
  <si>
    <t>2004/05NHS Lothian</t>
  </si>
  <si>
    <t>2004/05NHS Orkney</t>
  </si>
  <si>
    <t>2004/05NHS Shetland</t>
  </si>
  <si>
    <t>2004/05NHS Tayside</t>
  </si>
  <si>
    <t>2004/05NHS Western Isles</t>
  </si>
  <si>
    <t>2004/05Scotland</t>
  </si>
  <si>
    <t>2005/06NHS Ayrshire and Arran</t>
  </si>
  <si>
    <t>2005/06NHS Borders</t>
  </si>
  <si>
    <t>2005/06NHS Dumfries and Galloway</t>
  </si>
  <si>
    <t>2005/06NHS Fife</t>
  </si>
  <si>
    <t>2005/06NHS Forth Valley</t>
  </si>
  <si>
    <t>2005/06NHS Grampian</t>
  </si>
  <si>
    <t>2005/06NHS Greater Glasgow and Clyde</t>
  </si>
  <si>
    <t>2005/06NHS Highland</t>
  </si>
  <si>
    <t>2005/06NHS Lanarkshire</t>
  </si>
  <si>
    <t>2005/06NHS Lothian</t>
  </si>
  <si>
    <t>2005/06NHS Orkney</t>
  </si>
  <si>
    <t>2005/06NHS Shetland</t>
  </si>
  <si>
    <t>2005/06NHS Tayside</t>
  </si>
  <si>
    <t>2005/06NHS Western Isles</t>
  </si>
  <si>
    <t>2005/06Scotland</t>
  </si>
  <si>
    <t>2006/07NHS Ayrshire and Arran</t>
  </si>
  <si>
    <t>2006/07NHS Borders</t>
  </si>
  <si>
    <t>2006/07NHS Dumfries and Galloway</t>
  </si>
  <si>
    <t>2006/07NHS Fife</t>
  </si>
  <si>
    <t>2006/07NHS Forth Valley</t>
  </si>
  <si>
    <t>2006/07NHS Grampian</t>
  </si>
  <si>
    <t>2006/07NHS Greater Glasgow and Clyde</t>
  </si>
  <si>
    <t>2006/07NHS Highland</t>
  </si>
  <si>
    <t>2006/07NHS Lanarkshire</t>
  </si>
  <si>
    <t>2006/07NHS Lothian</t>
  </si>
  <si>
    <t>2006/07NHS Orkney</t>
  </si>
  <si>
    <t>2006/07NHS Shetland</t>
  </si>
  <si>
    <t>2006/07NHS Tayside</t>
  </si>
  <si>
    <t>2006/07NHS Western Isles</t>
  </si>
  <si>
    <t>2006/07Scotland</t>
  </si>
  <si>
    <t>2007/08NHS Ayrshire and Arran</t>
  </si>
  <si>
    <t>2007/08NHS Borders</t>
  </si>
  <si>
    <t>2007/08NHS Dumfries and Galloway</t>
  </si>
  <si>
    <t>2007/08NHS Fife</t>
  </si>
  <si>
    <t>2007/08NHS Forth Valley</t>
  </si>
  <si>
    <t>2007/08NHS Grampian</t>
  </si>
  <si>
    <t>2007/08NHS Greater Glasgow and Clyde</t>
  </si>
  <si>
    <t>2007/08NHS Highland</t>
  </si>
  <si>
    <t>2007/08NHS Lanarkshire</t>
  </si>
  <si>
    <t>2007/08NHS Lothian</t>
  </si>
  <si>
    <t>2007/08NHS Orkney</t>
  </si>
  <si>
    <t>2007/08NHS Shetland</t>
  </si>
  <si>
    <t>2007/08NHS Tayside</t>
  </si>
  <si>
    <t>2007/08NHS Western Isles</t>
  </si>
  <si>
    <t>2007/08Scotland</t>
  </si>
  <si>
    <t>2008/09NHS Ayrshire and Arran</t>
  </si>
  <si>
    <t>2008/09NHS Borders</t>
  </si>
  <si>
    <t>2008/09NHS Dumfries and Galloway</t>
  </si>
  <si>
    <t>2008/09NHS Fife</t>
  </si>
  <si>
    <t>2008/09NHS Forth Valley</t>
  </si>
  <si>
    <t>2008/09NHS Grampian</t>
  </si>
  <si>
    <t>2008/09NHS Greater Glasgow and Clyde</t>
  </si>
  <si>
    <t>2008/09NHS Highland</t>
  </si>
  <si>
    <t>2008/09NHS Lanarkshire</t>
  </si>
  <si>
    <t>2008/09NHS Lothian</t>
  </si>
  <si>
    <t>2008/09NHS Orkney</t>
  </si>
  <si>
    <t>2008/09NHS Shetland</t>
  </si>
  <si>
    <t>2008/09NHS Tayside</t>
  </si>
  <si>
    <t>2008/09NHS Western Isles</t>
  </si>
  <si>
    <t>2008/09Scotland</t>
  </si>
  <si>
    <t>2009/10NHS Ayrshire and Arran</t>
  </si>
  <si>
    <t>2009/10NHS Borders</t>
  </si>
  <si>
    <t>2009/10NHS Dumfries and Galloway</t>
  </si>
  <si>
    <t>2009/10NHS Fife</t>
  </si>
  <si>
    <t>2009/10NHS Forth Valley</t>
  </si>
  <si>
    <t>2009/10NHS Grampian</t>
  </si>
  <si>
    <t>2009/10NHS Greater Glasgow and Clyde</t>
  </si>
  <si>
    <t>2009/10NHS Highland</t>
  </si>
  <si>
    <t>2009/10NHS Lanarkshire</t>
  </si>
  <si>
    <t>2009/10NHS Lothian</t>
  </si>
  <si>
    <t>2009/10NHS Orkney</t>
  </si>
  <si>
    <t>2009/10NHS Shetland</t>
  </si>
  <si>
    <t>2009/10NHS Tayside</t>
  </si>
  <si>
    <t>2009/10NHS Western Isles</t>
  </si>
  <si>
    <t>2009/10Scotland</t>
  </si>
  <si>
    <t>2010/11NHS Ayrshire and Arran</t>
  </si>
  <si>
    <t>2010/11NHS Borders</t>
  </si>
  <si>
    <t>2010/11NHS Dumfries and Galloway</t>
  </si>
  <si>
    <t>2010/11NHS Fife</t>
  </si>
  <si>
    <t>2010/11NHS Forth Valley</t>
  </si>
  <si>
    <t>2010/11NHS Grampian</t>
  </si>
  <si>
    <t>2010/11NHS Greater Glasgow and Clyde</t>
  </si>
  <si>
    <t>2010/11NHS Highland</t>
  </si>
  <si>
    <t>2010/11NHS Lanarkshire</t>
  </si>
  <si>
    <t>2010/11NHS Lothian</t>
  </si>
  <si>
    <t>2010/11NHS Orkney</t>
  </si>
  <si>
    <t>2010/11NHS Shetland</t>
  </si>
  <si>
    <t>2010/11NHS Tayside</t>
  </si>
  <si>
    <t>2010/11NHS Western Isles</t>
  </si>
  <si>
    <t>2010/11Scotland</t>
  </si>
  <si>
    <t>2011/12NHS Ayrshire and Arran</t>
  </si>
  <si>
    <t>2011/12NHS Borders</t>
  </si>
  <si>
    <t>2011/12NHS Dumfries and Galloway</t>
  </si>
  <si>
    <t>2011/12NHS Fife</t>
  </si>
  <si>
    <t>2011/12NHS Forth Valley</t>
  </si>
  <si>
    <t>2011/12NHS Grampian</t>
  </si>
  <si>
    <t>2011/12NHS Greater Glasgow and Clyde</t>
  </si>
  <si>
    <t>2011/12NHS Highland</t>
  </si>
  <si>
    <t>2011/12NHS Lanarkshire</t>
  </si>
  <si>
    <t>2011/12NHS Lothian</t>
  </si>
  <si>
    <t>2011/12NHS Orkney</t>
  </si>
  <si>
    <t>2011/12NHS Shetland</t>
  </si>
  <si>
    <t>2011/12NHS Tayside</t>
  </si>
  <si>
    <t>2011/12NHS Western Isles</t>
  </si>
  <si>
    <t>2011/12Scotland</t>
  </si>
  <si>
    <t>2012/13NHS Ayrshire and Arran</t>
  </si>
  <si>
    <t>2012/13NHS Borders</t>
  </si>
  <si>
    <t>2012/13NHS Dumfries and Galloway</t>
  </si>
  <si>
    <t>2012/13NHS Fife</t>
  </si>
  <si>
    <t>2012/13NHS Forth Valley</t>
  </si>
  <si>
    <t>2012/13NHS Grampian</t>
  </si>
  <si>
    <t>2012/13NHS Greater Glasgow and Clyde</t>
  </si>
  <si>
    <t>2012/13NHS Highland</t>
  </si>
  <si>
    <t>2012/13NHS Lanarkshire</t>
  </si>
  <si>
    <t>2012/13NHS Lothian</t>
  </si>
  <si>
    <t>2012/13NHS Orkney</t>
  </si>
  <si>
    <t>2012/13NHS Shetland</t>
  </si>
  <si>
    <t>2012/13NHS Tayside</t>
  </si>
  <si>
    <t>2012/13NHS Western Isles</t>
  </si>
  <si>
    <t>2012/13Scotland</t>
  </si>
  <si>
    <t>2013/14NHS Ayrshire and Arran</t>
  </si>
  <si>
    <t>2013/14NHS Borders</t>
  </si>
  <si>
    <t>2013/14NHS Dumfries and Galloway</t>
  </si>
  <si>
    <t>2013/14NHS Fife</t>
  </si>
  <si>
    <t>2013/14NHS Forth Valley</t>
  </si>
  <si>
    <t>2013/14NHS Grampian</t>
  </si>
  <si>
    <t>2013/14NHS Greater Glasgow and Clyde</t>
  </si>
  <si>
    <t>2013/14NHS Highland</t>
  </si>
  <si>
    <t>2013/14NHS Lanarkshire</t>
  </si>
  <si>
    <t>2013/14NHS Lothian</t>
  </si>
  <si>
    <t>2013/14NHS Orkney</t>
  </si>
  <si>
    <t>2013/14NHS Shetland</t>
  </si>
  <si>
    <t>2013/14NHS Tayside</t>
  </si>
  <si>
    <t>2013/14NHS Western Isles</t>
  </si>
  <si>
    <t>2013/14Scotland</t>
  </si>
  <si>
    <t>2014/15NHS Ayrshire and Arran</t>
  </si>
  <si>
    <t>2014/15NHS Borders</t>
  </si>
  <si>
    <t>2014/15NHS Dumfries and Galloway</t>
  </si>
  <si>
    <t>2014/15NHS Fife</t>
  </si>
  <si>
    <t>2014/15NHS Forth Valley</t>
  </si>
  <si>
    <t>2014/15NHS Grampian</t>
  </si>
  <si>
    <t>2014/15NHS Greater Glasgow and Clyde</t>
  </si>
  <si>
    <t>2014/15NHS Highland</t>
  </si>
  <si>
    <t>2014/15NHS Lanarkshire</t>
  </si>
  <si>
    <t>2014/15NHS Lothian</t>
  </si>
  <si>
    <t>2014/15NHS Orkney</t>
  </si>
  <si>
    <t>2014/15NHS Shetland</t>
  </si>
  <si>
    <t>2014/15NHS Tayside</t>
  </si>
  <si>
    <t>2014/15NHS Western Isles</t>
  </si>
  <si>
    <t>2014/15Scotland</t>
  </si>
  <si>
    <t>2015/16NHS Ayrshire and Arran</t>
  </si>
  <si>
    <t>2015/16NHS Borders</t>
  </si>
  <si>
    <t>2015/16NHS Dumfries and Galloway</t>
  </si>
  <si>
    <t>2015/16NHS Fife</t>
  </si>
  <si>
    <t>2015/16NHS Forth Valley</t>
  </si>
  <si>
    <t>2015/16NHS Grampian</t>
  </si>
  <si>
    <t>2015/16NHS Greater Glasgow and Clyde</t>
  </si>
  <si>
    <t>2015/16NHS Highland</t>
  </si>
  <si>
    <t>2015/16NHS Lanarkshire</t>
  </si>
  <si>
    <t>2015/16NHS Lothian</t>
  </si>
  <si>
    <t>2015/16NHS Orkney</t>
  </si>
  <si>
    <t>2015/16NHS Shetland</t>
  </si>
  <si>
    <t>2015/16NHS Tayside</t>
  </si>
  <si>
    <t>2015/16NHS Western Isles</t>
  </si>
  <si>
    <t>2015/16Scotland</t>
  </si>
  <si>
    <t>2016/17NHS Ayrshire and Arran</t>
  </si>
  <si>
    <t>2016/17NHS Borders</t>
  </si>
  <si>
    <t>2016/17NHS Dumfries and Galloway</t>
  </si>
  <si>
    <t>2016/17NHS Fife</t>
  </si>
  <si>
    <t>2016/17NHS Forth Valley</t>
  </si>
  <si>
    <t>2016/17NHS Grampian</t>
  </si>
  <si>
    <t>2016/17NHS Greater Glasgow and Clyde</t>
  </si>
  <si>
    <t>2016/17NHS Highland</t>
  </si>
  <si>
    <t>2016/17NHS Lanarkshire</t>
  </si>
  <si>
    <t>2016/17NHS Lothian</t>
  </si>
  <si>
    <t>2016/17NHS Orkney</t>
  </si>
  <si>
    <t>2016/17NHS Shetland</t>
  </si>
  <si>
    <t>2016/17NHS Tayside</t>
  </si>
  <si>
    <t>2016/17NHS Western Isles</t>
  </si>
  <si>
    <t>2016/17Scotland</t>
  </si>
  <si>
    <t>2017/18NHS Ayrshire and Arran</t>
  </si>
  <si>
    <t>2017/18NHS Borders</t>
  </si>
  <si>
    <t>2017/18NHS Dumfries and Galloway</t>
  </si>
  <si>
    <t>2017/18NHS Fife</t>
  </si>
  <si>
    <t>2017/18NHS Forth Valley</t>
  </si>
  <si>
    <t>2017/18NHS Grampian</t>
  </si>
  <si>
    <t>2017/18NHS Greater Glasgow and Clyde</t>
  </si>
  <si>
    <t>2017/18NHS Highland</t>
  </si>
  <si>
    <t>2017/18NHS Lanarkshire</t>
  </si>
  <si>
    <t>2017/18NHS Lothian</t>
  </si>
  <si>
    <t>2017/18NHS Orkney</t>
  </si>
  <si>
    <t>2017/18NHS Shetland</t>
  </si>
  <si>
    <t>2017/18NHS Tayside</t>
  </si>
  <si>
    <t>2017/18NHS Western Isles</t>
  </si>
  <si>
    <t>2017/18Scotland</t>
  </si>
  <si>
    <t>2018/19NHS Ayrshire and Arran</t>
  </si>
  <si>
    <t>2018/19NHS Borders</t>
  </si>
  <si>
    <t>2018/19NHS Dumfries and Galloway</t>
  </si>
  <si>
    <t>2018/19NHS Fife</t>
  </si>
  <si>
    <t>2018/19NHS Forth Valley</t>
  </si>
  <si>
    <t>2018/19NHS Grampian</t>
  </si>
  <si>
    <t>2018/19NHS Greater Glasgow and Clyde</t>
  </si>
  <si>
    <t>2018/19NHS Highland</t>
  </si>
  <si>
    <t>2018/19NHS Lanarkshire</t>
  </si>
  <si>
    <t>2018/19NHS Lothian</t>
  </si>
  <si>
    <t>2018/19NHS Orkney</t>
  </si>
  <si>
    <t>2018/19NHS Shetland</t>
  </si>
  <si>
    <t>2018/19NHS Tayside</t>
  </si>
  <si>
    <t>2018/19NHS Western Isles</t>
  </si>
  <si>
    <t>2018/19Scotland</t>
  </si>
  <si>
    <t>2019/20NHS Ayrshire and Arran</t>
  </si>
  <si>
    <t>2019/20NHS Borders</t>
  </si>
  <si>
    <t>2019/20NHS Dumfries and Galloway</t>
  </si>
  <si>
    <t>2019/20NHS Fife</t>
  </si>
  <si>
    <t>2019/20NHS Forth Valley</t>
  </si>
  <si>
    <t>2019/20NHS Grampian</t>
  </si>
  <si>
    <t>2019/20NHS Greater Glasgow and Clyde</t>
  </si>
  <si>
    <t>2019/20NHS Highland</t>
  </si>
  <si>
    <t>2019/20NHS Lanarkshire</t>
  </si>
  <si>
    <t>2019/20NHS Lothian</t>
  </si>
  <si>
    <t>2019/20NHS Orkney</t>
  </si>
  <si>
    <t>2019/20NHS Shetland</t>
  </si>
  <si>
    <t>2019/20NHS Tayside</t>
  </si>
  <si>
    <t>2019/20NHS Western Isles</t>
  </si>
  <si>
    <t>2019/20Scotland</t>
  </si>
  <si>
    <t>2020/21NHS Ayrshire and Arran</t>
  </si>
  <si>
    <t>2020/21NHS Borders</t>
  </si>
  <si>
    <t>2020/21NHS Dumfries and Galloway</t>
  </si>
  <si>
    <t>2020/21NHS Fife</t>
  </si>
  <si>
    <t>2020/21NHS Forth Valley</t>
  </si>
  <si>
    <t>2020/21NHS Grampian</t>
  </si>
  <si>
    <t>2020/21NHS Greater Glasgow and Clyde</t>
  </si>
  <si>
    <t>2020/21NHS Highland</t>
  </si>
  <si>
    <t>2020/21NHS Lanarkshire</t>
  </si>
  <si>
    <t>2020/21NHS Lothian</t>
  </si>
  <si>
    <t>2020/21NHS Orkney</t>
  </si>
  <si>
    <t>2020/21NHS Shetland</t>
  </si>
  <si>
    <t>2020/21NHS Tayside</t>
  </si>
  <si>
    <t>2020/21NHS Western Isles</t>
  </si>
  <si>
    <t>2020/21Scotland</t>
  </si>
  <si>
    <t>2021/22NHS Ayrshire and Arran</t>
  </si>
  <si>
    <t>2021/22NHS Borders</t>
  </si>
  <si>
    <t>2021/22NHS Dumfries and Galloway</t>
  </si>
  <si>
    <t>2021/22NHS Fife</t>
  </si>
  <si>
    <t>2021/22NHS Forth Valley</t>
  </si>
  <si>
    <t>2021/22NHS Grampian</t>
  </si>
  <si>
    <t>2021/22NHS Greater Glasgow and Clyde</t>
  </si>
  <si>
    <t>2021/22NHS Highland</t>
  </si>
  <si>
    <t>2021/22NHS Lanarkshire</t>
  </si>
  <si>
    <t>2021/22NHS Lothian</t>
  </si>
  <si>
    <t>2021/22NHS Orkney</t>
  </si>
  <si>
    <t>2021/22NHS Shetland</t>
  </si>
  <si>
    <t>2021/22NHS Tayside</t>
  </si>
  <si>
    <t>2021/22NHS Western Isles</t>
  </si>
  <si>
    <t>2021/22Scotland</t>
  </si>
  <si>
    <t>2022/23NHS Ayrshire and Arran</t>
  </si>
  <si>
    <t>2022/23NHS Borders</t>
  </si>
  <si>
    <t>2022/23NHS Dumfries and Galloway</t>
  </si>
  <si>
    <t>2022/23NHS Fife</t>
  </si>
  <si>
    <t>2022/23NHS Forth Valley</t>
  </si>
  <si>
    <t>2022/23NHS Grampian</t>
  </si>
  <si>
    <t>2022/23NHS Greater Glasgow and Clyde</t>
  </si>
  <si>
    <t>2022/23NHS Highland</t>
  </si>
  <si>
    <t>2022/23NHS Lanarkshire</t>
  </si>
  <si>
    <t>2022/23NHS Lothian</t>
  </si>
  <si>
    <t>2022/23NHS Orkney</t>
  </si>
  <si>
    <t>2022/23NHS Shetland</t>
  </si>
  <si>
    <t>2022/23NHS Tayside</t>
  </si>
  <si>
    <t>2022/23NHS Western Isles</t>
  </si>
  <si>
    <t>2022/23Scotland</t>
  </si>
  <si>
    <t>age_u20</t>
  </si>
  <si>
    <t>age_2024</t>
  </si>
  <si>
    <t>age_2529</t>
  </si>
  <si>
    <t>age_3034</t>
  </si>
  <si>
    <t>age_3539</t>
  </si>
  <si>
    <t>age_40p</t>
  </si>
  <si>
    <t>age_nk</t>
  </si>
  <si>
    <t>perc_u20</t>
  </si>
  <si>
    <t>perc_2024</t>
  </si>
  <si>
    <t>perc_2529</t>
  </si>
  <si>
    <t>perc_3034</t>
  </si>
  <si>
    <t>perc_3539</t>
  </si>
  <si>
    <t>perc_40p</t>
  </si>
  <si>
    <t>Under 16</t>
  </si>
  <si>
    <t>Content</t>
  </si>
  <si>
    <t>Table 1.1</t>
  </si>
  <si>
    <t>Table 1.2</t>
  </si>
  <si>
    <t>Table 1.3</t>
  </si>
  <si>
    <t>Table 1.4</t>
  </si>
  <si>
    <t>Table 1.6</t>
  </si>
  <si>
    <t>Table 1.5</t>
  </si>
  <si>
    <t>Maternities in Scotland</t>
  </si>
  <si>
    <t>Maternities (first births) by maternal age at first birth and SIMD in Scotland</t>
  </si>
  <si>
    <t>Scotland (minus D codes)</t>
  </si>
  <si>
    <t>Group A - white</t>
  </si>
  <si>
    <t>Group B - mixed or multiple</t>
  </si>
  <si>
    <t>Group F - other</t>
  </si>
  <si>
    <t>Group G - refused or not provided</t>
  </si>
  <si>
    <t>Group H - unknown</t>
  </si>
  <si>
    <t>Group E - Caribbean or black</t>
  </si>
  <si>
    <t>2023/24</t>
  </si>
  <si>
    <t>rate2324</t>
  </si>
  <si>
    <t>1 - Most deprived in 23/24</t>
  </si>
  <si>
    <t>Year ending 31 March 2024</t>
  </si>
  <si>
    <t>2023/24 data are provisional.</t>
  </si>
  <si>
    <t>2023/24NHS Ayrshire and Arran</t>
  </si>
  <si>
    <t>2023/24NHS Borders</t>
  </si>
  <si>
    <t>2023/24NHS Dumfries and Galloway</t>
  </si>
  <si>
    <t>2023/24NHS Fife</t>
  </si>
  <si>
    <t>2023/24NHS Forth Valley</t>
  </si>
  <si>
    <t>2023/24NHS Grampian</t>
  </si>
  <si>
    <t>2023/24NHS Greater Glasgow and Clyde</t>
  </si>
  <si>
    <t>2023/24NHS Highland</t>
  </si>
  <si>
    <t>2023/24NHS Lanarkshire</t>
  </si>
  <si>
    <t>2023/24NHS Lothian</t>
  </si>
  <si>
    <t>2023/24NHS Orkney</t>
  </si>
  <si>
    <t>2023/24NHS Shetland</t>
  </si>
  <si>
    <t>2023/24NHS Tayside</t>
  </si>
  <si>
    <t>2023/24NHS Western Isles</t>
  </si>
  <si>
    <t>2023/24Scotland</t>
  </si>
  <si>
    <t>NHS OrkneyMultiple</t>
  </si>
  <si>
    <t>Population estimates for 2023 were not available at the time of publication, therefore 2023/24 rates are based on 2022 estimates.</t>
  </si>
  <si>
    <t>Maternities by year and NHS board of treatment</t>
  </si>
  <si>
    <t>Maternities by singleton/multiple birth, year and NHS board of treatment</t>
  </si>
  <si>
    <t>Maternities by year, maternal age and NHS board of treatment</t>
  </si>
  <si>
    <t>Maternities by year, SIMD and NHS board of treatment</t>
  </si>
  <si>
    <t>Maternities by maternal ethnicity and NHS board of treatment</t>
  </si>
  <si>
    <t>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</si>
</sst>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0.0"/>
  </numFmts>
  <fonts count="18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8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  <font>
      <b/>
      <sz val="12"/>
      <name val="Arial"/>
      <family val="2"/>
    </font>
    <font>
      <b/>
      <sz val="12"/>
      <color theme="1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  <font>
      <b/>
      <sz val="10"/>
      <color theme="1"/>
      <name val="Arial"/>
      <family val="2"/>
    </font>
    <font>
      <sz val="10"/>
      <color rgb="FFFF0000"/>
      <name val="Arial"/>
      <family val="2"/>
    </font>
    <font>
      <u/>
      <sz val="11"/>
      <color theme="10"/>
      <name val="Calibri"/>
      <family val="2"/>
      <scheme val="minor"/>
    </font>
    <font>
      <b/>
      <sz val="11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4" fillId="0" borderId="0" applyNumberFormat="0" applyFill="0" applyBorder="0" applyAlignment="0" applyProtection="0"/>
    <xf numFmtId="0" fontId="3" fillId="0" borderId="0"/>
  </cellStyleXfs>
  <cellXfs count="58">
    <xf numFmtId="0" fontId="0" fillId="0" borderId="0" xfId="0"/>
    <xf numFmtId="3" fontId="3" fillId="0" borderId="0" xfId="0" applyNumberFormat="1" applyFont="1" applyAlignment="1" applyProtection="1">
      <alignment horizontal="right"/>
      <protection locked="0"/>
    </xf>
    <xf numFmtId="1" fontId="4" fillId="0" borderId="1" xfId="0" applyNumberFormat="1" applyFont="1" applyBorder="1" applyAlignment="1" applyProtection="1">
      <alignment horizontal="left"/>
      <protection locked="0"/>
    </xf>
    <xf numFmtId="3" fontId="3" fillId="0" borderId="1" xfId="0" applyNumberFormat="1" applyFont="1" applyBorder="1" applyAlignment="1" applyProtection="1">
      <alignment horizontal="right"/>
      <protection locked="0"/>
    </xf>
    <xf numFmtId="0" fontId="6" fillId="0" borderId="0" xfId="0" applyFont="1"/>
    <xf numFmtId="0" fontId="7" fillId="0" borderId="0" xfId="0" applyFont="1"/>
    <xf numFmtId="0" fontId="3" fillId="0" borderId="0" xfId="0" applyFont="1"/>
    <xf numFmtId="0" fontId="5" fillId="0" borderId="0" xfId="0" applyFont="1"/>
    <xf numFmtId="0" fontId="8" fillId="0" borderId="0" xfId="0" applyFont="1"/>
    <xf numFmtId="1" fontId="4" fillId="0" borderId="0" xfId="0" applyNumberFormat="1" applyFont="1" applyAlignment="1" applyProtection="1">
      <alignment horizontal="left"/>
      <protection locked="0"/>
    </xf>
    <xf numFmtId="0" fontId="9" fillId="0" borderId="0" xfId="0" applyFont="1"/>
    <xf numFmtId="0" fontId="10" fillId="0" borderId="0" xfId="0" applyFont="1"/>
    <xf numFmtId="0" fontId="3" fillId="0" borderId="1" xfId="0" applyFont="1" applyBorder="1"/>
    <xf numFmtId="3" fontId="3" fillId="0" borderId="0" xfId="0" applyNumberFormat="1" applyFont="1"/>
    <xf numFmtId="3" fontId="10" fillId="0" borderId="0" xfId="0" applyNumberFormat="1" applyFont="1"/>
    <xf numFmtId="164" fontId="3" fillId="0" borderId="0" xfId="0" applyNumberFormat="1" applyFont="1"/>
    <xf numFmtId="164" fontId="10" fillId="0" borderId="0" xfId="0" applyNumberFormat="1" applyFont="1"/>
    <xf numFmtId="0" fontId="4" fillId="0" borderId="0" xfId="0" applyFont="1"/>
    <xf numFmtId="0" fontId="11" fillId="0" borderId="0" xfId="0" applyFont="1"/>
    <xf numFmtId="0" fontId="12" fillId="0" borderId="0" xfId="0" applyFont="1"/>
    <xf numFmtId="0" fontId="4" fillId="0" borderId="1" xfId="0" applyFont="1" applyBorder="1"/>
    <xf numFmtId="3" fontId="4" fillId="0" borderId="0" xfId="0" applyNumberFormat="1" applyFont="1"/>
    <xf numFmtId="164" fontId="4" fillId="0" borderId="0" xfId="0" applyNumberFormat="1" applyFont="1"/>
    <xf numFmtId="164" fontId="12" fillId="0" borderId="0" xfId="0" applyNumberFormat="1" applyFont="1"/>
    <xf numFmtId="0" fontId="4" fillId="0" borderId="1" xfId="0" applyFont="1" applyBorder="1" applyAlignment="1">
      <alignment horizontal="right"/>
    </xf>
    <xf numFmtId="0" fontId="4" fillId="0" borderId="1" xfId="0" applyFont="1" applyBorder="1" applyAlignment="1">
      <alignment horizontal="right" wrapText="1"/>
    </xf>
    <xf numFmtId="0" fontId="4" fillId="0" borderId="0" xfId="0" applyFont="1" applyAlignment="1">
      <alignment horizontal="right"/>
    </xf>
    <xf numFmtId="3" fontId="4" fillId="0" borderId="0" xfId="0" applyNumberFormat="1" applyFont="1" applyAlignment="1">
      <alignment horizontal="right"/>
    </xf>
    <xf numFmtId="165" fontId="4" fillId="0" borderId="0" xfId="0" applyNumberFormat="1" applyFont="1" applyAlignment="1">
      <alignment horizontal="right"/>
    </xf>
    <xf numFmtId="3" fontId="12" fillId="0" borderId="0" xfId="0" applyNumberFormat="1" applyFont="1" applyAlignment="1">
      <alignment horizontal="right"/>
    </xf>
    <xf numFmtId="0" fontId="12" fillId="0" borderId="0" xfId="0" applyFont="1" applyAlignment="1">
      <alignment horizontal="right"/>
    </xf>
    <xf numFmtId="165" fontId="12" fillId="0" borderId="0" xfId="0" applyNumberFormat="1" applyFont="1" applyAlignment="1">
      <alignment horizontal="right"/>
    </xf>
    <xf numFmtId="0" fontId="13" fillId="0" borderId="1" xfId="0" applyFont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wrapText="1"/>
    </xf>
    <xf numFmtId="0" fontId="3" fillId="0" borderId="0" xfId="0" applyFont="1" applyAlignment="1">
      <alignment horizontal="left" wrapText="1"/>
    </xf>
    <xf numFmtId="0" fontId="4" fillId="0" borderId="1" xfId="0" applyFont="1" applyBorder="1" applyAlignment="1" applyProtection="1">
      <alignment horizontal="right"/>
      <protection locked="0"/>
    </xf>
    <xf numFmtId="0" fontId="3" fillId="0" borderId="1" xfId="0" applyFont="1" applyBorder="1" applyAlignment="1">
      <alignment horizontal="right" wrapText="1"/>
    </xf>
    <xf numFmtId="0" fontId="4" fillId="0" borderId="1" xfId="0" applyFont="1" applyBorder="1" applyAlignment="1" applyProtection="1">
      <alignment horizontal="right" wrapText="1"/>
      <protection locked="0"/>
    </xf>
    <xf numFmtId="164" fontId="4" fillId="0" borderId="0" xfId="0" applyNumberFormat="1" applyFont="1" applyAlignment="1">
      <alignment horizontal="right"/>
    </xf>
    <xf numFmtId="164" fontId="12" fillId="0" borderId="0" xfId="0" applyNumberFormat="1" applyFont="1" applyAlignment="1">
      <alignment horizontal="right"/>
    </xf>
    <xf numFmtId="0" fontId="15" fillId="2" borderId="0" xfId="2" applyFont="1" applyFill="1"/>
    <xf numFmtId="0" fontId="3" fillId="2" borderId="0" xfId="2" applyFill="1"/>
    <xf numFmtId="0" fontId="10" fillId="2" borderId="0" xfId="2" applyFont="1" applyFill="1"/>
    <xf numFmtId="0" fontId="14" fillId="2" borderId="0" xfId="1" applyFill="1" applyAlignment="1" applyProtection="1"/>
    <xf numFmtId="0" fontId="3" fillId="2" borderId="0" xfId="2" applyFill="1" applyAlignment="1">
      <alignment vertical="center"/>
    </xf>
    <xf numFmtId="0" fontId="3" fillId="2" borderId="0" xfId="2" applyFill="1" applyAlignment="1">
      <alignment horizontal="left" vertical="center"/>
    </xf>
    <xf numFmtId="0" fontId="0" fillId="0" borderId="0" xfId="0" applyAlignment="1">
      <alignment horizontal="right"/>
    </xf>
    <xf numFmtId="3" fontId="1" fillId="0" borderId="0" xfId="0" applyNumberFormat="1" applyFont="1" applyAlignment="1">
      <alignment horizontal="right"/>
    </xf>
    <xf numFmtId="0" fontId="16" fillId="0" borderId="0" xfId="0" applyFont="1"/>
    <xf numFmtId="0" fontId="16" fillId="0" borderId="0" xfId="0" applyFont="1" applyAlignment="1">
      <alignment horizontal="center"/>
    </xf>
    <xf numFmtId="0" fontId="16" fillId="0" borderId="1" xfId="0" applyFont="1" applyBorder="1" applyAlignment="1">
      <alignment horizontal="center"/>
    </xf>
    <xf numFmtId="165" fontId="16" fillId="0" borderId="0" xfId="0" applyNumberFormat="1" applyFont="1"/>
    <xf numFmtId="165" fontId="16" fillId="0" borderId="0" xfId="0" applyNumberFormat="1" applyFont="1" applyAlignment="1">
      <alignment horizontal="center"/>
    </xf>
    <xf numFmtId="0" fontId="17" fillId="0" borderId="0" xfId="0" applyFont="1"/>
    <xf numFmtId="165" fontId="17" fillId="0" borderId="0" xfId="0" applyNumberFormat="1" applyFont="1"/>
    <xf numFmtId="0" fontId="16" fillId="0" borderId="1" xfId="0" applyFont="1" applyBorder="1" applyAlignment="1">
      <alignment horizontal="center"/>
    </xf>
    <xf numFmtId="165" fontId="1" fillId="0" borderId="0" xfId="0" applyNumberFormat="1" applyFont="1" applyAlignment="1">
      <alignment horizontal="right"/>
    </xf>
  </cellXfs>
  <cellStyles count="3">
    <cellStyle name="Hyperlink" xfId="1" builtinId="8"/>
    <cellStyle name="Normal" xfId="0" builtinId="0"/>
    <cellStyle name="Normal 2" xfId="2" xr:uid="{E3E4FC9D-0B26-4315-8FF7-4BAD2825305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chartsheet" Target="chartsheets/sheet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5.xml"/><Relationship Id="rId12" Type="http://schemas.openxmlformats.org/officeDocument/2006/relationships/worksheet" Target="worksheets/sheet10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3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4.xml"/><Relationship Id="rId11" Type="http://schemas.openxmlformats.org/officeDocument/2006/relationships/worksheet" Target="worksheets/sheet9.xml"/><Relationship Id="rId5" Type="http://schemas.openxmlformats.org/officeDocument/2006/relationships/chartsheet" Target="chartsheets/sheet2.xml"/><Relationship Id="rId15" Type="http://schemas.openxmlformats.org/officeDocument/2006/relationships/worksheet" Target="worksheets/sheet12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8.xml"/><Relationship Id="rId19" Type="http://schemas.openxmlformats.org/officeDocument/2006/relationships/sharedStrings" Target="sharedStrings.xml"/><Relationship Id="rId4" Type="http://schemas.openxmlformats.org/officeDocument/2006/relationships/chartsheet" Target="chartsheets/sheet1.xml"/><Relationship Id="rId9" Type="http://schemas.openxmlformats.org/officeDocument/2006/relationships/worksheet" Target="worksheets/sheet7.xml"/><Relationship Id="rId14" Type="http://schemas.openxmlformats.org/officeDocument/2006/relationships/worksheet" Target="worksheets/sheet11.xml"/><Relationship Id="rId22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b="1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Rate</a:t>
            </a:r>
            <a:r>
              <a:rPr lang="en-GB" b="1" baseline="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of m</a:t>
            </a:r>
            <a:r>
              <a:rPr lang="en-GB" b="1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aternities in Scotland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8962701813347487E-2"/>
          <c:y val="8.3401029867204796E-2"/>
          <c:w val="0.88599775020419658"/>
          <c:h val="0.77564316094946906"/>
        </c:manualLayout>
      </c:layout>
      <c:lineChart>
        <c:grouping val="standard"/>
        <c:varyColors val="0"/>
        <c:ser>
          <c:idx val="0"/>
          <c:order val="0"/>
          <c:spPr>
            <a:ln w="412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'1.1'!$C$23:$V$23</c:f>
              <c:strCache>
                <c:ptCount val="20"/>
                <c:pt idx="0">
                  <c:v>2004/05</c:v>
                </c:pt>
                <c:pt idx="1">
                  <c:v>2005/06</c:v>
                </c:pt>
                <c:pt idx="2">
                  <c:v>2006/07</c:v>
                </c:pt>
                <c:pt idx="3">
                  <c:v>2007/08</c:v>
                </c:pt>
                <c:pt idx="4">
                  <c:v>2008/09</c:v>
                </c:pt>
                <c:pt idx="5">
                  <c:v>2009/10</c:v>
                </c:pt>
                <c:pt idx="6">
                  <c:v>2010/11</c:v>
                </c:pt>
                <c:pt idx="7">
                  <c:v>2011/12</c:v>
                </c:pt>
                <c:pt idx="8">
                  <c:v>2012/13</c:v>
                </c:pt>
                <c:pt idx="9">
                  <c:v>2013/14</c:v>
                </c:pt>
                <c:pt idx="10">
                  <c:v>2014/15</c:v>
                </c:pt>
                <c:pt idx="11">
                  <c:v>2015/16</c:v>
                </c:pt>
                <c:pt idx="12">
                  <c:v>2016/17</c:v>
                </c:pt>
                <c:pt idx="13">
                  <c:v>2017/18</c:v>
                </c:pt>
                <c:pt idx="14">
                  <c:v>2018/19</c:v>
                </c:pt>
                <c:pt idx="15">
                  <c:v>2019/20</c:v>
                </c:pt>
                <c:pt idx="16">
                  <c:v>2020/21</c:v>
                </c:pt>
                <c:pt idx="17">
                  <c:v>2021/22</c:v>
                </c:pt>
                <c:pt idx="18">
                  <c:v>2022/23</c:v>
                </c:pt>
                <c:pt idx="19">
                  <c:v>2023/24</c:v>
                </c:pt>
              </c:strCache>
            </c:strRef>
          </c:cat>
          <c:val>
            <c:numRef>
              <c:f>'1.1'!$C$38:$V$38</c:f>
              <c:numCache>
                <c:formatCode>#,##0.0</c:formatCode>
                <c:ptCount val="20"/>
                <c:pt idx="0">
                  <c:v>49.713067284405597</c:v>
                </c:pt>
                <c:pt idx="1">
                  <c:v>49.243142652728103</c:v>
                </c:pt>
                <c:pt idx="2">
                  <c:v>51.2012318301758</c:v>
                </c:pt>
                <c:pt idx="3">
                  <c:v>53.791212295134201</c:v>
                </c:pt>
                <c:pt idx="4">
                  <c:v>54.405607675044898</c:v>
                </c:pt>
                <c:pt idx="5">
                  <c:v>54.113657718721697</c:v>
                </c:pt>
                <c:pt idx="6">
                  <c:v>53.897483190402902</c:v>
                </c:pt>
                <c:pt idx="7">
                  <c:v>54.201973231097398</c:v>
                </c:pt>
                <c:pt idx="8">
                  <c:v>53.233237299886603</c:v>
                </c:pt>
                <c:pt idx="9">
                  <c:v>52.7765344158299</c:v>
                </c:pt>
                <c:pt idx="10">
                  <c:v>53.2506492735628</c:v>
                </c:pt>
                <c:pt idx="11">
                  <c:v>52.697911256721298</c:v>
                </c:pt>
                <c:pt idx="12">
                  <c:v>51.981459341865403</c:v>
                </c:pt>
                <c:pt idx="13">
                  <c:v>50.598492132458503</c:v>
                </c:pt>
                <c:pt idx="14">
                  <c:v>49.318158717690302</c:v>
                </c:pt>
                <c:pt idx="15">
                  <c:v>47.424624354528802</c:v>
                </c:pt>
                <c:pt idx="16">
                  <c:v>45.176451521413199</c:v>
                </c:pt>
                <c:pt idx="17">
                  <c:v>46.523041313108401</c:v>
                </c:pt>
                <c:pt idx="18">
                  <c:v>43.595938559697899</c:v>
                </c:pt>
                <c:pt idx="19">
                  <c:v>43.273215124906599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BE-44F0-AB6D-51BDC03E49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0842976"/>
        <c:axId val="942235056"/>
      </c:lineChart>
      <c:catAx>
        <c:axId val="1040842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1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942235056"/>
        <c:crosses val="autoZero"/>
        <c:auto val="1"/>
        <c:lblAlgn val="ctr"/>
        <c:lblOffset val="100"/>
        <c:tickLblSkip val="1"/>
        <c:noMultiLvlLbl val="0"/>
      </c:catAx>
      <c:valAx>
        <c:axId val="9422350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2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Rate</a:t>
                </a:r>
                <a:r>
                  <a:rPr lang="en-GB" sz="1200" b="1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</a:t>
                </a:r>
              </a:p>
              <a:p>
                <a:pPr>
                  <a:defRPr sz="12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n-GB" sz="1200" b="1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per</a:t>
                </a:r>
              </a:p>
              <a:p>
                <a:pPr>
                  <a:defRPr sz="12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n-GB" sz="1200" b="1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1,000</a:t>
                </a:r>
              </a:p>
              <a:p>
                <a:pPr>
                  <a:defRPr sz="12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n-GB" sz="1200" b="1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women</a:t>
                </a:r>
                <a:endParaRPr lang="en-GB" sz="1200" b="1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2.3239570232793264E-4"/>
              <c:y val="0.414019466553744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040842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b="1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Distribution of maternities</a:t>
            </a:r>
            <a:r>
              <a:rPr lang="en-GB" b="1" baseline="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in Scotland (by NHS board of treatment) in 2023/24</a:t>
            </a:r>
            <a:endParaRPr lang="en-GB" b="1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854882572565819"/>
          <c:y val="9.1761029365667532E-2"/>
          <c:w val="0.88453922625239778"/>
          <c:h val="0.657986552201781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lumMod val="75000"/>
              </a:schemeClr>
            </a:solidFill>
            <a:ln>
              <a:solidFill>
                <a:schemeClr val="accent1">
                  <a:lumMod val="75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'Figure1.1.2+1.4_data'!$A$3:$A$16</c:f>
              <c:strCache>
                <c:ptCount val="14"/>
                <c:pt idx="0">
                  <c:v>Greater Glasgow &amp; Clyde</c:v>
                </c:pt>
                <c:pt idx="1">
                  <c:v>Lothian</c:v>
                </c:pt>
                <c:pt idx="2">
                  <c:v>Grampian</c:v>
                </c:pt>
                <c:pt idx="3">
                  <c:v>Lanarkshire</c:v>
                </c:pt>
                <c:pt idx="4">
                  <c:v>Tayside</c:v>
                </c:pt>
                <c:pt idx="5">
                  <c:v>Forth Valley</c:v>
                </c:pt>
                <c:pt idx="6">
                  <c:v>Fife</c:v>
                </c:pt>
                <c:pt idx="7">
                  <c:v>Ayrshire &amp; Arran</c:v>
                </c:pt>
                <c:pt idx="8">
                  <c:v>Highland</c:v>
                </c:pt>
                <c:pt idx="9">
                  <c:v>Dumfries &amp; Galloway</c:v>
                </c:pt>
                <c:pt idx="10">
                  <c:v>Borders</c:v>
                </c:pt>
                <c:pt idx="11">
                  <c:v>Western Isles</c:v>
                </c:pt>
                <c:pt idx="12">
                  <c:v>Orkney</c:v>
                </c:pt>
                <c:pt idx="13">
                  <c:v>Shetland</c:v>
                </c:pt>
              </c:strCache>
            </c:strRef>
          </c:cat>
          <c:val>
            <c:numRef>
              <c:f>'Figure1.1.2+1.4_data'!$C$3:$C$16</c:f>
              <c:numCache>
                <c:formatCode>0.0</c:formatCode>
                <c:ptCount val="14"/>
                <c:pt idx="0">
                  <c:v>30.0357676461267</c:v>
                </c:pt>
                <c:pt idx="1">
                  <c:v>16.742880427400735</c:v>
                </c:pt>
                <c:pt idx="2">
                  <c:v>10.442794403948023</c:v>
                </c:pt>
                <c:pt idx="3">
                  <c:v>8.9577579571693757</c:v>
                </c:pt>
                <c:pt idx="4">
                  <c:v>7.1874858514058042</c:v>
                </c:pt>
                <c:pt idx="5">
                  <c:v>6.0488069905374209</c:v>
                </c:pt>
                <c:pt idx="6">
                  <c:v>6.0080590392538591</c:v>
                </c:pt>
                <c:pt idx="7">
                  <c:v>6.0035314891112419</c:v>
                </c:pt>
                <c:pt idx="8">
                  <c:v>4.0408385022864124</c:v>
                </c:pt>
                <c:pt idx="9">
                  <c:v>2.4426133019423193</c:v>
                </c:pt>
                <c:pt idx="10">
                  <c:v>1.3922216688549827</c:v>
                </c:pt>
                <c:pt idx="11">
                  <c:v>0.30787340969801241</c:v>
                </c:pt>
                <c:pt idx="12">
                  <c:v>0.24222393263005387</c:v>
                </c:pt>
                <c:pt idx="13">
                  <c:v>0.14714537963507945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27-488C-9585-A7DD7255DF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7"/>
        <c:axId val="999909600"/>
        <c:axId val="1147711424"/>
      </c:barChart>
      <c:catAx>
        <c:axId val="999909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147711424"/>
        <c:crosses val="autoZero"/>
        <c:auto val="1"/>
        <c:lblAlgn val="ctr"/>
        <c:lblOffset val="100"/>
        <c:noMultiLvlLbl val="0"/>
      </c:catAx>
      <c:valAx>
        <c:axId val="114771142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2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%</a:t>
                </a:r>
              </a:p>
            </c:rich>
          </c:tx>
          <c:layout>
            <c:manualLayout>
              <c:xMode val="edge"/>
              <c:yMode val="edge"/>
              <c:x val="3.0912614798574763E-2"/>
              <c:y val="0.407345886197492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999909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sz="1400" b="1"/>
              <a:t>Percentage of maternities</a:t>
            </a:r>
            <a:r>
              <a:rPr lang="en-GB" sz="1400" b="1" baseline="0"/>
              <a:t> living in the most deprived areas (SIMD 1) in 2023/24</a:t>
            </a:r>
            <a:endParaRPr lang="en-GB" sz="14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379673442645118"/>
          <c:y val="9.1781981745362923E-2"/>
          <c:w val="0.88620326557354878"/>
          <c:h val="0.682409437875699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lumMod val="75000"/>
              </a:schemeClr>
            </a:solidFill>
            <a:ln>
              <a:solidFill>
                <a:schemeClr val="accent1">
                  <a:lumMod val="60000"/>
                  <a:lumOff val="40000"/>
                </a:schemeClr>
              </a:solidFill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283-4724-9709-BD9CF741865E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7192-4FE5-8388-34BF2C5FACBD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ED4-455F-B9FB-2753F3CE5E4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'Figure1.1.2+1.4_data'!$F$6:$F$17</c:f>
              <c:strCache>
                <c:ptCount val="12"/>
                <c:pt idx="0">
                  <c:v>Greater Glasgow &amp; Clyde</c:v>
                </c:pt>
                <c:pt idx="1">
                  <c:v>Ayrshire &amp; Arran</c:v>
                </c:pt>
                <c:pt idx="2">
                  <c:v>Lanarkshire</c:v>
                </c:pt>
                <c:pt idx="3">
                  <c:v>Fife</c:v>
                </c:pt>
                <c:pt idx="4">
                  <c:v>Tayside</c:v>
                </c:pt>
                <c:pt idx="5">
                  <c:v>Scotland</c:v>
                </c:pt>
                <c:pt idx="6">
                  <c:v>Forth Valley</c:v>
                </c:pt>
                <c:pt idx="7">
                  <c:v>Lothian</c:v>
                </c:pt>
                <c:pt idx="8">
                  <c:v>Dumfries &amp; Galloway</c:v>
                </c:pt>
                <c:pt idx="9">
                  <c:v>Highland</c:v>
                </c:pt>
                <c:pt idx="10">
                  <c:v>Borders</c:v>
                </c:pt>
                <c:pt idx="11">
                  <c:v>Grampian</c:v>
                </c:pt>
              </c:strCache>
            </c:strRef>
          </c:cat>
          <c:val>
            <c:numRef>
              <c:f>'Figure1.1.2+1.4_data'!$G$6:$G$17</c:f>
              <c:numCache>
                <c:formatCode>0.0</c:formatCode>
                <c:ptCount val="12"/>
                <c:pt idx="0">
                  <c:v>36.445215292964299</c:v>
                </c:pt>
                <c:pt idx="1">
                  <c:v>35.105580693815902</c:v>
                </c:pt>
                <c:pt idx="2">
                  <c:v>30.1820020222446</c:v>
                </c:pt>
                <c:pt idx="3">
                  <c:v>27.995478522984101</c:v>
                </c:pt>
                <c:pt idx="4">
                  <c:v>24.976348155156099</c:v>
                </c:pt>
                <c:pt idx="5">
                  <c:v>24.415953772882101</c:v>
                </c:pt>
                <c:pt idx="6">
                  <c:v>20.307807807807801</c:v>
                </c:pt>
                <c:pt idx="7">
                  <c:v>14.4542372881355</c:v>
                </c:pt>
                <c:pt idx="8">
                  <c:v>13.5813953488372</c:v>
                </c:pt>
                <c:pt idx="9">
                  <c:v>12.1008403361344</c:v>
                </c:pt>
                <c:pt idx="10">
                  <c:v>7.7186963979416801</c:v>
                </c:pt>
                <c:pt idx="11">
                  <c:v>5.9423118629364504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83-4724-9709-BD9CF74186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0"/>
        <c:overlap val="-27"/>
        <c:axId val="1897499456"/>
        <c:axId val="1893260752"/>
      </c:barChart>
      <c:catAx>
        <c:axId val="1897499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893260752"/>
        <c:crosses val="autoZero"/>
        <c:auto val="1"/>
        <c:lblAlgn val="ctr"/>
        <c:lblOffset val="100"/>
        <c:noMultiLvlLbl val="0"/>
      </c:catAx>
      <c:valAx>
        <c:axId val="189326075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b="1">
                    <a:solidFill>
                      <a:sysClr val="windowText" lastClr="000000"/>
                    </a:solidFill>
                  </a:rPr>
                  <a:t>%</a:t>
                </a:r>
              </a:p>
            </c:rich>
          </c:tx>
          <c:layout>
            <c:manualLayout>
              <c:xMode val="edge"/>
              <c:yMode val="edge"/>
              <c:x val="4.0441377295230778E-2"/>
              <c:y val="0.416765746887805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897499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71220EA-008A-4F80-B973-A70BC22CF405}">
  <sheetPr/>
  <sheetViews>
    <sheetView zoomScale="90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9052029-B999-4175-AD42-6F3A6794F4A5}">
  <sheetPr/>
  <sheetViews>
    <sheetView zoomScale="90"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D832989-4B48-4B00-85DD-05A72C666051}">
  <sheetPr/>
  <sheetViews>
    <sheetView zoomScale="90" workbookViewId="0"/>
  </sheetViews>
  <pageMargins left="0.7" right="0.7" top="0.75" bottom="0.75" header="0.3" footer="0.3"/>
  <drawing r:id="rId1"/>
</chartsheet>
</file>

<file path=xl/ctrlProps/ctrlProp1.xml><?xml version="1.0" encoding="utf-8"?>
<formControlPr xmlns="http://schemas.microsoft.com/office/spreadsheetml/2009/9/main" objectType="Drop" dropStyle="combo" dx="16" fmlaLink="Lookup!$A$2" fmlaRange="Lookup!$B$4:$B$6" noThreeD="1" sel="1" val="0"/>
</file>

<file path=xl/ctrlProps/ctrlProp2.xml><?xml version="1.0" encoding="utf-8"?>
<formControlPr xmlns="http://schemas.microsoft.com/office/spreadsheetml/2009/9/main" objectType="Drop" dropLines="5" dropStyle="combo" dx="16" fmlaLink="Lookup!$E$2" fmlaRange="Lookup!$F$4:$F$23" noThreeD="1" sel="20" val="15"/>
</file>

<file path=xl/ctrlProps/ctrlProp3.xml><?xml version="1.0" encoding="utf-8"?>
<formControlPr xmlns="http://schemas.microsoft.com/office/spreadsheetml/2009/9/main" objectType="Drop" dropLines="5" dropStyle="combo" dx="16" fmlaLink="Lookup!$E$2" fmlaRange="Lookup!$F$4:$F$23" noThreeD="1" sel="20" val="15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1583" cy="604308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81583" cy="604308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447675</xdr:colOff>
          <xdr:row>2</xdr:row>
          <xdr:rowOff>152400</xdr:rowOff>
        </xdr:from>
        <xdr:to>
          <xdr:col>1</xdr:col>
          <xdr:colOff>1524000</xdr:colOff>
          <xdr:row>4</xdr:row>
          <xdr:rowOff>38100</xdr:rowOff>
        </xdr:to>
        <xdr:sp macro="" textlink="">
          <xdr:nvSpPr>
            <xdr:cNvPr id="4098" name="Drop Down 2" hidden="1">
              <a:extLst>
                <a:ext uri="{63B3BB69-23CF-44E3-9099-C40C66FF867C}">
                  <a14:compatExt spid="_x0000_s4098"/>
                </a:ext>
                <a:ext uri="{FF2B5EF4-FFF2-40B4-BE49-F238E27FC236}">
                  <a16:creationId xmlns:a16="http://schemas.microsoft.com/office/drawing/2014/main" id="{00000000-0008-0000-0600-00000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485775</xdr:colOff>
          <xdr:row>2</xdr:row>
          <xdr:rowOff>180975</xdr:rowOff>
        </xdr:from>
        <xdr:to>
          <xdr:col>1</xdr:col>
          <xdr:colOff>1552575</xdr:colOff>
          <xdr:row>4</xdr:row>
          <xdr:rowOff>19050</xdr:rowOff>
        </xdr:to>
        <xdr:sp macro="" textlink="">
          <xdr:nvSpPr>
            <xdr:cNvPr id="12289" name="Drop Down 1" hidden="1">
              <a:extLst>
                <a:ext uri="{63B3BB69-23CF-44E3-9099-C40C66FF867C}">
                  <a14:compatExt spid="_x0000_s12289"/>
                </a:ext>
                <a:ext uri="{FF2B5EF4-FFF2-40B4-BE49-F238E27FC236}">
                  <a16:creationId xmlns:a16="http://schemas.microsoft.com/office/drawing/2014/main" id="{00000000-0008-0000-0800-000001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485775</xdr:colOff>
          <xdr:row>2</xdr:row>
          <xdr:rowOff>190500</xdr:rowOff>
        </xdr:from>
        <xdr:to>
          <xdr:col>1</xdr:col>
          <xdr:colOff>1552575</xdr:colOff>
          <xdr:row>4</xdr:row>
          <xdr:rowOff>28575</xdr:rowOff>
        </xdr:to>
        <xdr:sp macro="" textlink="">
          <xdr:nvSpPr>
            <xdr:cNvPr id="6145" name="Drop Down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A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281583" cy="604308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2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7F0CD9-EE28-484C-A00A-5C695D2634AF}">
  <dimension ref="A1:I15"/>
  <sheetViews>
    <sheetView tabSelected="1" workbookViewId="0">
      <selection activeCell="A2" sqref="A2"/>
    </sheetView>
  </sheetViews>
  <sheetFormatPr defaultColWidth="9.140625" defaultRowHeight="12.75" x14ac:dyDescent="0.2"/>
  <cols>
    <col min="1" max="1" width="12.42578125" style="42" bestFit="1" customWidth="1"/>
    <col min="2" max="2" width="13.42578125" style="42" customWidth="1"/>
    <col min="3" max="3" width="84.7109375" style="42" bestFit="1" customWidth="1"/>
    <col min="4" max="9" width="9.140625" style="42"/>
    <col min="10" max="10" width="25.140625" style="42" customWidth="1"/>
    <col min="11" max="16384" width="9.140625" style="42"/>
  </cols>
  <sheetData>
    <row r="1" spans="1:9" ht="15" customHeight="1" x14ac:dyDescent="0.25">
      <c r="A1" s="41" t="s">
        <v>479</v>
      </c>
    </row>
    <row r="3" spans="1:9" x14ac:dyDescent="0.2">
      <c r="A3" s="43" t="s">
        <v>472</v>
      </c>
    </row>
    <row r="5" spans="1:9" ht="15" x14ac:dyDescent="0.25">
      <c r="A5" s="44" t="s">
        <v>473</v>
      </c>
      <c r="B5" s="45" t="s">
        <v>510</v>
      </c>
      <c r="C5" s="46"/>
      <c r="D5" s="46"/>
      <c r="E5" s="46"/>
    </row>
    <row r="6" spans="1:9" ht="15" x14ac:dyDescent="0.25">
      <c r="A6" s="44"/>
      <c r="B6" s="46"/>
      <c r="C6" s="46"/>
      <c r="D6" s="46"/>
      <c r="E6" s="46"/>
    </row>
    <row r="7" spans="1:9" ht="15" x14ac:dyDescent="0.25">
      <c r="A7" s="44" t="s">
        <v>474</v>
      </c>
      <c r="B7" s="45" t="s">
        <v>511</v>
      </c>
      <c r="C7" s="46"/>
      <c r="D7" s="46"/>
      <c r="E7" s="46"/>
      <c r="F7" s="46"/>
    </row>
    <row r="8" spans="1:9" ht="15" x14ac:dyDescent="0.25">
      <c r="A8" s="44"/>
      <c r="B8" s="46"/>
      <c r="C8" s="46"/>
      <c r="D8" s="46"/>
      <c r="E8" s="46"/>
      <c r="F8" s="46"/>
    </row>
    <row r="9" spans="1:9" ht="15" x14ac:dyDescent="0.25">
      <c r="A9" s="44" t="s">
        <v>475</v>
      </c>
      <c r="B9" s="45" t="s">
        <v>512</v>
      </c>
      <c r="C9" s="46"/>
      <c r="D9" s="46"/>
      <c r="E9" s="46"/>
      <c r="F9" s="46"/>
      <c r="G9" s="46"/>
      <c r="H9" s="46"/>
      <c r="I9" s="46"/>
    </row>
    <row r="10" spans="1:9" ht="15" x14ac:dyDescent="0.25">
      <c r="A10" s="44"/>
      <c r="B10" s="45"/>
      <c r="C10" s="46"/>
      <c r="D10" s="46"/>
      <c r="E10" s="46"/>
      <c r="F10" s="46"/>
      <c r="G10" s="46"/>
      <c r="H10" s="46"/>
      <c r="I10" s="46"/>
    </row>
    <row r="11" spans="1:9" ht="15" x14ac:dyDescent="0.25">
      <c r="A11" s="44" t="s">
        <v>476</v>
      </c>
      <c r="B11" s="45" t="s">
        <v>513</v>
      </c>
    </row>
    <row r="12" spans="1:9" ht="15" x14ac:dyDescent="0.25">
      <c r="B12" s="44"/>
      <c r="C12" s="45"/>
    </row>
    <row r="13" spans="1:9" ht="15" x14ac:dyDescent="0.25">
      <c r="A13" s="44" t="s">
        <v>478</v>
      </c>
      <c r="B13" s="42" t="s">
        <v>480</v>
      </c>
    </row>
    <row r="15" spans="1:9" ht="15" x14ac:dyDescent="0.25">
      <c r="A15" s="44" t="s">
        <v>477</v>
      </c>
      <c r="B15" s="42" t="s">
        <v>514</v>
      </c>
    </row>
  </sheetData>
  <hyperlinks>
    <hyperlink ref="A5" location="'1.1'!A1" display="Table 1.1" xr:uid="{9F89912C-1618-4AFD-96FE-0F369C0F3575}"/>
    <hyperlink ref="A7" location="'1.2'!A1" display="Table 1.2" xr:uid="{5E0EBAD6-44C1-45D2-A36D-B19F628F048C}"/>
    <hyperlink ref="A9" location="'1.3'!A1" display="Table 1.3" xr:uid="{590C58DC-3DE8-4A30-B24A-8CBF07680B42}"/>
    <hyperlink ref="A11" location="'1.4'!A1" display="Table 1.4" xr:uid="{28D3E774-A756-4D48-8073-330DC5C20B50}"/>
    <hyperlink ref="A13" location="'1.5'!A1" display="Table 1.5" xr:uid="{56D2B30E-3F0B-4635-9574-791A73FA61D3}"/>
    <hyperlink ref="A15" location="'1.6'!A1" display="Table 1.6" xr:uid="{AC1BEB32-EDFE-4A2A-8E32-86D51AFB62C0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38D86-1AC7-4261-92E1-4B21367555A5}">
  <dimension ref="A1:M301"/>
  <sheetViews>
    <sheetView zoomScale="90" zoomScaleNormal="90" workbookViewId="0">
      <selection sqref="A1:XFD1048576"/>
    </sheetView>
  </sheetViews>
  <sheetFormatPr defaultRowHeight="15" x14ac:dyDescent="0.25"/>
  <cols>
    <col min="1" max="1" width="36.5703125" bestFit="1" customWidth="1"/>
    <col min="2" max="13" width="9.140625" style="47"/>
  </cols>
  <sheetData>
    <row r="1" spans="1:13" x14ac:dyDescent="0.25">
      <c r="A1" t="s">
        <v>48</v>
      </c>
      <c r="B1" s="47" t="s">
        <v>161</v>
      </c>
      <c r="C1" s="47" t="s">
        <v>162</v>
      </c>
      <c r="D1" s="47" t="s">
        <v>163</v>
      </c>
      <c r="E1" s="47" t="s">
        <v>164</v>
      </c>
      <c r="F1" s="47" t="s">
        <v>165</v>
      </c>
      <c r="G1" s="47" t="s">
        <v>166</v>
      </c>
      <c r="H1" s="47" t="s">
        <v>167</v>
      </c>
      <c r="I1" s="47" t="s">
        <v>168</v>
      </c>
      <c r="J1" s="47" t="s">
        <v>169</v>
      </c>
      <c r="K1" s="47" t="s">
        <v>170</v>
      </c>
      <c r="L1" s="47" t="s">
        <v>171</v>
      </c>
      <c r="M1" s="47" t="s">
        <v>172</v>
      </c>
    </row>
    <row r="2" spans="1:13" x14ac:dyDescent="0.25">
      <c r="A2" t="s">
        <v>173</v>
      </c>
      <c r="B2" s="47">
        <v>3541</v>
      </c>
      <c r="C2" s="47">
        <v>1040</v>
      </c>
      <c r="D2" s="47">
        <v>1034</v>
      </c>
      <c r="E2" s="47">
        <v>502</v>
      </c>
      <c r="F2" s="47">
        <v>497</v>
      </c>
      <c r="G2" s="47">
        <v>460</v>
      </c>
      <c r="H2" s="47">
        <v>8</v>
      </c>
      <c r="I2" s="47">
        <v>29.436739315029701</v>
      </c>
      <c r="J2" s="47">
        <v>29.2669119728276</v>
      </c>
      <c r="K2" s="47">
        <v>14.208887630908499</v>
      </c>
      <c r="L2" s="47">
        <v>14.0673648457401</v>
      </c>
      <c r="M2" s="47">
        <v>13.0200962354939</v>
      </c>
    </row>
    <row r="3" spans="1:13" x14ac:dyDescent="0.25">
      <c r="A3" t="s">
        <v>174</v>
      </c>
      <c r="B3" s="47">
        <v>1019</v>
      </c>
      <c r="C3" s="47">
        <v>49</v>
      </c>
      <c r="D3" s="47">
        <v>117</v>
      </c>
      <c r="E3" s="47">
        <v>265</v>
      </c>
      <c r="F3" s="47">
        <v>423</v>
      </c>
      <c r="G3" s="47">
        <v>127</v>
      </c>
      <c r="H3" s="47">
        <v>38</v>
      </c>
      <c r="I3" s="47">
        <v>4.9949031600407698</v>
      </c>
      <c r="J3" s="47">
        <v>11.9266055045871</v>
      </c>
      <c r="K3" s="47">
        <v>27.013251783893899</v>
      </c>
      <c r="L3" s="47">
        <v>43.119266055045799</v>
      </c>
      <c r="M3" s="47">
        <v>12.945973496432201</v>
      </c>
    </row>
    <row r="4" spans="1:13" x14ac:dyDescent="0.25">
      <c r="A4" t="s">
        <v>175</v>
      </c>
      <c r="B4" s="47">
        <v>1363</v>
      </c>
      <c r="C4" s="47">
        <v>189</v>
      </c>
      <c r="D4" s="47">
        <v>279</v>
      </c>
      <c r="E4" s="47">
        <v>507</v>
      </c>
      <c r="F4" s="47">
        <v>279</v>
      </c>
      <c r="G4" s="47">
        <v>104</v>
      </c>
      <c r="H4" s="47">
        <v>5</v>
      </c>
      <c r="I4" s="47">
        <v>13.9175257731958</v>
      </c>
      <c r="J4" s="47">
        <v>20.544918998527201</v>
      </c>
      <c r="K4" s="47">
        <v>37.334315169366697</v>
      </c>
      <c r="L4" s="47">
        <v>20.544918998527201</v>
      </c>
      <c r="M4" s="47">
        <v>7.6583210603829102</v>
      </c>
    </row>
    <row r="5" spans="1:13" x14ac:dyDescent="0.25">
      <c r="A5" t="s">
        <v>176</v>
      </c>
      <c r="B5" s="47">
        <v>3290</v>
      </c>
      <c r="C5" s="47">
        <v>834</v>
      </c>
      <c r="D5" s="47">
        <v>706</v>
      </c>
      <c r="E5" s="47">
        <v>715</v>
      </c>
      <c r="F5" s="47">
        <v>531</v>
      </c>
      <c r="G5" s="47">
        <v>503</v>
      </c>
      <c r="H5" s="47">
        <v>1</v>
      </c>
      <c r="I5" s="47">
        <v>25.3572514442079</v>
      </c>
      <c r="J5" s="47">
        <v>21.465491030708399</v>
      </c>
      <c r="K5" s="47">
        <v>21.739130434782599</v>
      </c>
      <c r="L5" s="47">
        <v>16.144724840376998</v>
      </c>
      <c r="M5" s="47">
        <v>15.293402249923901</v>
      </c>
    </row>
    <row r="6" spans="1:13" x14ac:dyDescent="0.25">
      <c r="A6" t="s">
        <v>177</v>
      </c>
      <c r="B6" s="47">
        <v>3098</v>
      </c>
      <c r="C6" s="47">
        <v>511</v>
      </c>
      <c r="D6" s="47">
        <v>783</v>
      </c>
      <c r="E6" s="47">
        <v>594</v>
      </c>
      <c r="F6" s="47">
        <v>659</v>
      </c>
      <c r="G6" s="47">
        <v>550</v>
      </c>
      <c r="H6" s="47">
        <v>1</v>
      </c>
      <c r="I6" s="47">
        <v>16.499838553438799</v>
      </c>
      <c r="J6" s="47">
        <v>25.282531482079399</v>
      </c>
      <c r="K6" s="47">
        <v>19.179851469163701</v>
      </c>
      <c r="L6" s="47">
        <v>21.278656764610901</v>
      </c>
      <c r="M6" s="47">
        <v>17.759121730707101</v>
      </c>
    </row>
    <row r="7" spans="1:13" x14ac:dyDescent="0.25">
      <c r="A7" t="s">
        <v>178</v>
      </c>
      <c r="B7" s="47">
        <v>5371</v>
      </c>
      <c r="C7" s="47">
        <v>440</v>
      </c>
      <c r="D7" s="47">
        <v>722</v>
      </c>
      <c r="E7" s="47">
        <v>1151</v>
      </c>
      <c r="F7" s="47">
        <v>1382</v>
      </c>
      <c r="G7" s="47">
        <v>1674</v>
      </c>
      <c r="H7" s="47">
        <v>2</v>
      </c>
      <c r="I7" s="47">
        <v>8.1951946358725998</v>
      </c>
      <c r="J7" s="47">
        <v>13.4475693797727</v>
      </c>
      <c r="K7" s="47">
        <v>21.437884149748498</v>
      </c>
      <c r="L7" s="47">
        <v>25.7403613335816</v>
      </c>
      <c r="M7" s="47">
        <v>31.178990501024401</v>
      </c>
    </row>
    <row r="8" spans="1:13" x14ac:dyDescent="0.25">
      <c r="A8" t="s">
        <v>179</v>
      </c>
      <c r="B8" s="47">
        <v>15065</v>
      </c>
      <c r="C8" s="47">
        <v>5685</v>
      </c>
      <c r="D8" s="47">
        <v>2694</v>
      </c>
      <c r="E8" s="47">
        <v>2229</v>
      </c>
      <c r="F8" s="47">
        <v>1961</v>
      </c>
      <c r="G8" s="47">
        <v>2468</v>
      </c>
      <c r="H8" s="47">
        <v>28</v>
      </c>
      <c r="I8" s="47">
        <v>37.806743366362902</v>
      </c>
      <c r="J8" s="47">
        <v>17.915807674403101</v>
      </c>
      <c r="K8" s="47">
        <v>14.8234355257032</v>
      </c>
      <c r="L8" s="47">
        <v>13.041165126022401</v>
      </c>
      <c r="M8" s="47">
        <v>16.412848307508099</v>
      </c>
    </row>
    <row r="9" spans="1:13" x14ac:dyDescent="0.25">
      <c r="A9" t="s">
        <v>180</v>
      </c>
      <c r="B9" s="47">
        <v>2241</v>
      </c>
      <c r="C9" s="47">
        <v>261</v>
      </c>
      <c r="D9" s="47">
        <v>483</v>
      </c>
      <c r="E9" s="47">
        <v>751</v>
      </c>
      <c r="F9" s="47">
        <v>546</v>
      </c>
      <c r="G9" s="47">
        <v>194</v>
      </c>
      <c r="H9" s="47">
        <v>6</v>
      </c>
      <c r="I9" s="47">
        <v>11.6778523489932</v>
      </c>
      <c r="J9" s="47">
        <v>21.6107382550335</v>
      </c>
      <c r="K9" s="47">
        <v>33.601789709172202</v>
      </c>
      <c r="L9" s="47">
        <v>24.4295302013422</v>
      </c>
      <c r="M9" s="47">
        <v>8.6800894854586108</v>
      </c>
    </row>
    <row r="10" spans="1:13" x14ac:dyDescent="0.25">
      <c r="A10" t="s">
        <v>181</v>
      </c>
      <c r="B10" s="47">
        <v>4720</v>
      </c>
      <c r="C10" s="47">
        <v>1586</v>
      </c>
      <c r="D10" s="47">
        <v>1145</v>
      </c>
      <c r="E10" s="47">
        <v>946</v>
      </c>
      <c r="F10" s="47">
        <v>601</v>
      </c>
      <c r="G10" s="47">
        <v>409</v>
      </c>
      <c r="H10" s="47">
        <v>33</v>
      </c>
      <c r="I10" s="47">
        <v>33.838276082782102</v>
      </c>
      <c r="J10" s="47">
        <v>24.429272455728601</v>
      </c>
      <c r="K10" s="47">
        <v>20.183486238532101</v>
      </c>
      <c r="L10" s="47">
        <v>12.822701088116</v>
      </c>
      <c r="M10" s="47">
        <v>8.7262641348410401</v>
      </c>
    </row>
    <row r="11" spans="1:13" x14ac:dyDescent="0.25">
      <c r="A11" t="s">
        <v>182</v>
      </c>
      <c r="B11" s="47">
        <v>8453</v>
      </c>
      <c r="C11" s="47">
        <v>1421</v>
      </c>
      <c r="D11" s="47">
        <v>1734</v>
      </c>
      <c r="E11" s="47">
        <v>1211</v>
      </c>
      <c r="F11" s="47">
        <v>1605</v>
      </c>
      <c r="G11" s="47">
        <v>2470</v>
      </c>
      <c r="H11" s="47">
        <v>12</v>
      </c>
      <c r="I11" s="47">
        <v>16.834498282194001</v>
      </c>
      <c r="J11" s="47">
        <v>20.542589740552</v>
      </c>
      <c r="K11" s="47">
        <v>14.3466413931998</v>
      </c>
      <c r="L11" s="47">
        <v>19.0143347944556</v>
      </c>
      <c r="M11" s="47">
        <v>29.261935789598301</v>
      </c>
    </row>
    <row r="12" spans="1:13" x14ac:dyDescent="0.25">
      <c r="A12" t="s">
        <v>183</v>
      </c>
      <c r="B12" s="47">
        <v>127</v>
      </c>
      <c r="C12" s="47" t="s">
        <v>113</v>
      </c>
      <c r="D12" s="47">
        <v>6</v>
      </c>
      <c r="E12" s="47">
        <v>65</v>
      </c>
      <c r="F12" s="47">
        <v>42</v>
      </c>
      <c r="G12" s="47">
        <v>14</v>
      </c>
      <c r="H12" s="47" t="s">
        <v>113</v>
      </c>
      <c r="I12" s="47" t="s">
        <v>113</v>
      </c>
      <c r="J12" s="47">
        <v>4.7244094488188901</v>
      </c>
      <c r="K12" s="47">
        <v>51.181102362204697</v>
      </c>
      <c r="L12" s="47">
        <v>33.070866141732203</v>
      </c>
      <c r="M12" s="47">
        <v>11.023622047244</v>
      </c>
    </row>
    <row r="13" spans="1:13" x14ac:dyDescent="0.25">
      <c r="A13" t="s">
        <v>184</v>
      </c>
      <c r="B13" s="47">
        <v>154</v>
      </c>
      <c r="C13" s="47" t="s">
        <v>113</v>
      </c>
      <c r="D13" s="47">
        <v>17</v>
      </c>
      <c r="E13" s="47">
        <v>90</v>
      </c>
      <c r="F13" s="47">
        <v>35</v>
      </c>
      <c r="G13" s="47">
        <v>12</v>
      </c>
      <c r="H13" s="47" t="s">
        <v>113</v>
      </c>
      <c r="I13" s="47" t="s">
        <v>113</v>
      </c>
      <c r="J13" s="47">
        <v>11.038961038961</v>
      </c>
      <c r="K13" s="47">
        <v>58.441558441558399</v>
      </c>
      <c r="L13" s="47">
        <v>22.727272727272702</v>
      </c>
      <c r="M13" s="47">
        <v>7.7922077922077904</v>
      </c>
    </row>
    <row r="14" spans="1:13" x14ac:dyDescent="0.25">
      <c r="A14" t="s">
        <v>185</v>
      </c>
      <c r="B14" s="47">
        <v>4054</v>
      </c>
      <c r="C14" s="47">
        <v>931</v>
      </c>
      <c r="D14" s="47">
        <v>724</v>
      </c>
      <c r="E14" s="47">
        <v>659</v>
      </c>
      <c r="F14" s="47">
        <v>1110</v>
      </c>
      <c r="G14" s="47">
        <v>625</v>
      </c>
      <c r="H14" s="47">
        <v>5</v>
      </c>
      <c r="I14" s="47">
        <v>22.9933316868362</v>
      </c>
      <c r="J14" s="47">
        <v>17.880958261299</v>
      </c>
      <c r="K14" s="47">
        <v>16.275623610768001</v>
      </c>
      <c r="L14" s="47">
        <v>27.414176339836999</v>
      </c>
      <c r="M14" s="47">
        <v>15.4359101012595</v>
      </c>
    </row>
    <row r="15" spans="1:13" x14ac:dyDescent="0.25">
      <c r="A15" t="s">
        <v>186</v>
      </c>
      <c r="B15" s="47">
        <v>178</v>
      </c>
      <c r="C15" s="47" t="s">
        <v>113</v>
      </c>
      <c r="D15" s="47">
        <v>110</v>
      </c>
      <c r="E15" s="47">
        <v>68</v>
      </c>
      <c r="F15" s="47" t="s">
        <v>113</v>
      </c>
      <c r="G15" s="47" t="s">
        <v>113</v>
      </c>
      <c r="H15" s="47" t="s">
        <v>113</v>
      </c>
      <c r="I15" s="47" t="s">
        <v>113</v>
      </c>
      <c r="J15" s="47">
        <v>61.797752808988697</v>
      </c>
      <c r="K15" s="47">
        <v>38.202247191011203</v>
      </c>
      <c r="L15" s="47" t="s">
        <v>113</v>
      </c>
      <c r="M15" s="47" t="s">
        <v>113</v>
      </c>
    </row>
    <row r="16" spans="1:13" x14ac:dyDescent="0.25">
      <c r="A16" t="s">
        <v>187</v>
      </c>
      <c r="B16" s="47">
        <v>52878</v>
      </c>
      <c r="C16" s="47">
        <v>12963</v>
      </c>
      <c r="D16" s="47">
        <v>10588</v>
      </c>
      <c r="E16" s="47">
        <v>9822</v>
      </c>
      <c r="F16" s="47">
        <v>9718</v>
      </c>
      <c r="G16" s="47">
        <v>9648</v>
      </c>
      <c r="H16" s="47">
        <v>139</v>
      </c>
      <c r="I16" s="47">
        <v>24.579533172794299</v>
      </c>
      <c r="J16" s="47">
        <v>20.076224425946599</v>
      </c>
      <c r="K16" s="47">
        <v>18.623788846963301</v>
      </c>
      <c r="L16" s="47">
        <v>18.426591327101299</v>
      </c>
      <c r="M16" s="47">
        <v>18.2938622271942</v>
      </c>
    </row>
    <row r="17" spans="1:13" x14ac:dyDescent="0.25">
      <c r="A17" t="s">
        <v>188</v>
      </c>
      <c r="B17" s="47">
        <v>3524</v>
      </c>
      <c r="C17" s="47">
        <v>1053</v>
      </c>
      <c r="D17" s="47">
        <v>1084</v>
      </c>
      <c r="E17" s="47">
        <v>485</v>
      </c>
      <c r="F17" s="47">
        <v>458</v>
      </c>
      <c r="G17" s="47">
        <v>441</v>
      </c>
      <c r="H17" s="47">
        <v>3</v>
      </c>
      <c r="I17" s="47">
        <v>29.906276625958501</v>
      </c>
      <c r="J17" s="47">
        <v>30.7867083214995</v>
      </c>
      <c r="K17" s="47">
        <v>13.774495881851699</v>
      </c>
      <c r="L17" s="47">
        <v>13.007668276057901</v>
      </c>
      <c r="M17" s="47">
        <v>12.5248508946322</v>
      </c>
    </row>
    <row r="18" spans="1:13" x14ac:dyDescent="0.25">
      <c r="A18" t="s">
        <v>189</v>
      </c>
      <c r="B18" s="47">
        <v>979</v>
      </c>
      <c r="C18" s="47">
        <v>73</v>
      </c>
      <c r="D18" s="47">
        <v>94</v>
      </c>
      <c r="E18" s="47">
        <v>267</v>
      </c>
      <c r="F18" s="47">
        <v>391</v>
      </c>
      <c r="G18" s="47">
        <v>116</v>
      </c>
      <c r="H18" s="47">
        <v>38</v>
      </c>
      <c r="I18" s="47">
        <v>7.7577045696068003</v>
      </c>
      <c r="J18" s="47">
        <v>9.9893730074388891</v>
      </c>
      <c r="K18" s="47">
        <v>28.374070138150898</v>
      </c>
      <c r="L18" s="47">
        <v>41.551540913921301</v>
      </c>
      <c r="M18" s="47">
        <v>12.327311370882001</v>
      </c>
    </row>
    <row r="19" spans="1:13" x14ac:dyDescent="0.25">
      <c r="A19" t="s">
        <v>190</v>
      </c>
      <c r="B19" s="47">
        <v>1377</v>
      </c>
      <c r="C19" s="47">
        <v>225</v>
      </c>
      <c r="D19" s="47">
        <v>248</v>
      </c>
      <c r="E19" s="47">
        <v>515</v>
      </c>
      <c r="F19" s="47">
        <v>306</v>
      </c>
      <c r="G19" s="47">
        <v>69</v>
      </c>
      <c r="H19" s="47">
        <v>14</v>
      </c>
      <c r="I19" s="47">
        <v>16.507703595011002</v>
      </c>
      <c r="J19" s="47">
        <v>18.195157740278798</v>
      </c>
      <c r="K19" s="47">
        <v>37.784299339691799</v>
      </c>
      <c r="L19" s="47">
        <v>22.450476889214901</v>
      </c>
      <c r="M19" s="47">
        <v>5.0623624358033696</v>
      </c>
    </row>
    <row r="20" spans="1:13" x14ac:dyDescent="0.25">
      <c r="A20" t="s">
        <v>191</v>
      </c>
      <c r="B20" s="47">
        <v>3315</v>
      </c>
      <c r="C20" s="47">
        <v>815</v>
      </c>
      <c r="D20" s="47">
        <v>727</v>
      </c>
      <c r="E20" s="47">
        <v>736</v>
      </c>
      <c r="F20" s="47">
        <v>513</v>
      </c>
      <c r="G20" s="47">
        <v>523</v>
      </c>
      <c r="H20" s="47">
        <v>1</v>
      </c>
      <c r="I20" s="47">
        <v>24.5926372963186</v>
      </c>
      <c r="J20" s="47">
        <v>21.937235968617902</v>
      </c>
      <c r="K20" s="47">
        <v>22.208811104405498</v>
      </c>
      <c r="L20" s="47">
        <v>15.4797827398913</v>
      </c>
      <c r="M20" s="47">
        <v>15.7815328907664</v>
      </c>
    </row>
    <row r="21" spans="1:13" x14ac:dyDescent="0.25">
      <c r="A21" t="s">
        <v>192</v>
      </c>
      <c r="B21" s="47">
        <v>3134</v>
      </c>
      <c r="C21" s="47">
        <v>565</v>
      </c>
      <c r="D21" s="47">
        <v>789</v>
      </c>
      <c r="E21" s="47">
        <v>582</v>
      </c>
      <c r="F21" s="47">
        <v>637</v>
      </c>
      <c r="G21" s="47">
        <v>554</v>
      </c>
      <c r="H21" s="47">
        <v>7</v>
      </c>
      <c r="I21" s="47">
        <v>18.0684362008314</v>
      </c>
      <c r="J21" s="47">
        <v>25.231851614966399</v>
      </c>
      <c r="K21" s="47">
        <v>18.6120882635113</v>
      </c>
      <c r="L21" s="47">
        <v>20.370962583946199</v>
      </c>
      <c r="M21" s="47">
        <v>17.716661336744401</v>
      </c>
    </row>
    <row r="22" spans="1:13" x14ac:dyDescent="0.25">
      <c r="A22" t="s">
        <v>193</v>
      </c>
      <c r="B22" s="47">
        <v>5389</v>
      </c>
      <c r="C22" s="47">
        <v>482</v>
      </c>
      <c r="D22" s="47">
        <v>702</v>
      </c>
      <c r="E22" s="47">
        <v>1189</v>
      </c>
      <c r="F22" s="47">
        <v>1422</v>
      </c>
      <c r="G22" s="47">
        <v>1592</v>
      </c>
      <c r="H22" s="47">
        <v>2</v>
      </c>
      <c r="I22" s="47">
        <v>8.9474661221459009</v>
      </c>
      <c r="J22" s="47">
        <v>13.0313718210506</v>
      </c>
      <c r="K22" s="47">
        <v>22.071653981808002</v>
      </c>
      <c r="L22" s="47">
        <v>26.396881381102599</v>
      </c>
      <c r="M22" s="47">
        <v>29.552626693892702</v>
      </c>
    </row>
    <row r="23" spans="1:13" x14ac:dyDescent="0.25">
      <c r="A23" t="s">
        <v>194</v>
      </c>
      <c r="B23" s="47">
        <v>14756</v>
      </c>
      <c r="C23" s="47">
        <v>5789</v>
      </c>
      <c r="D23" s="47">
        <v>2726</v>
      </c>
      <c r="E23" s="47">
        <v>2133</v>
      </c>
      <c r="F23" s="47">
        <v>1828</v>
      </c>
      <c r="G23" s="47">
        <v>2260</v>
      </c>
      <c r="H23" s="47">
        <v>20</v>
      </c>
      <c r="I23" s="47">
        <v>39.284744842562397</v>
      </c>
      <c r="J23" s="47">
        <v>18.4989142236699</v>
      </c>
      <c r="K23" s="47">
        <v>14.4747557003257</v>
      </c>
      <c r="L23" s="47">
        <v>12.4049945711183</v>
      </c>
      <c r="M23" s="47">
        <v>15.3365906623235</v>
      </c>
    </row>
    <row r="24" spans="1:13" x14ac:dyDescent="0.25">
      <c r="A24" t="s">
        <v>195</v>
      </c>
      <c r="B24" s="47">
        <v>2266</v>
      </c>
      <c r="C24" s="47">
        <v>311</v>
      </c>
      <c r="D24" s="47">
        <v>438</v>
      </c>
      <c r="E24" s="47">
        <v>781</v>
      </c>
      <c r="F24" s="47">
        <v>543</v>
      </c>
      <c r="G24" s="47">
        <v>186</v>
      </c>
      <c r="H24" s="47">
        <v>7</v>
      </c>
      <c r="I24" s="47">
        <v>13.767153607791</v>
      </c>
      <c r="J24" s="47">
        <v>19.389110225763599</v>
      </c>
      <c r="K24" s="47">
        <v>34.572819831783903</v>
      </c>
      <c r="L24" s="47">
        <v>24.037184594953501</v>
      </c>
      <c r="M24" s="47">
        <v>8.2337317397078298</v>
      </c>
    </row>
    <row r="25" spans="1:13" x14ac:dyDescent="0.25">
      <c r="A25" t="s">
        <v>196</v>
      </c>
      <c r="B25" s="47">
        <v>4499</v>
      </c>
      <c r="C25" s="47">
        <v>1463</v>
      </c>
      <c r="D25" s="47">
        <v>1093</v>
      </c>
      <c r="E25" s="47">
        <v>898</v>
      </c>
      <c r="F25" s="47">
        <v>592</v>
      </c>
      <c r="G25" s="47">
        <v>391</v>
      </c>
      <c r="H25" s="47">
        <v>62</v>
      </c>
      <c r="I25" s="47">
        <v>32.972729321613699</v>
      </c>
      <c r="J25" s="47">
        <v>24.6337615505972</v>
      </c>
      <c r="K25" s="47">
        <v>20.238900157764199</v>
      </c>
      <c r="L25" s="47">
        <v>13.342348433626301</v>
      </c>
      <c r="M25" s="47">
        <v>8.8122605363984601</v>
      </c>
    </row>
    <row r="26" spans="1:13" x14ac:dyDescent="0.25">
      <c r="A26" t="s">
        <v>197</v>
      </c>
      <c r="B26" s="47">
        <v>8592</v>
      </c>
      <c r="C26" s="47">
        <v>1485</v>
      </c>
      <c r="D26" s="47">
        <v>1746</v>
      </c>
      <c r="E26" s="47">
        <v>1281</v>
      </c>
      <c r="F26" s="47">
        <v>1646</v>
      </c>
      <c r="G26" s="47">
        <v>2411</v>
      </c>
      <c r="H26" s="47">
        <v>23</v>
      </c>
      <c r="I26" s="47">
        <v>17.3299101412066</v>
      </c>
      <c r="J26" s="47">
        <v>20.375773135721701</v>
      </c>
      <c r="K26" s="47">
        <v>14.949235616757999</v>
      </c>
      <c r="L26" s="47">
        <v>19.2087758198156</v>
      </c>
      <c r="M26" s="47">
        <v>28.136305286497802</v>
      </c>
    </row>
    <row r="27" spans="1:13" x14ac:dyDescent="0.25">
      <c r="A27" t="s">
        <v>198</v>
      </c>
      <c r="B27" s="47">
        <v>136</v>
      </c>
      <c r="C27" s="47" t="s">
        <v>113</v>
      </c>
      <c r="D27" s="47">
        <v>7</v>
      </c>
      <c r="E27" s="47">
        <v>76</v>
      </c>
      <c r="F27" s="47">
        <v>47</v>
      </c>
      <c r="G27" s="47">
        <v>6</v>
      </c>
      <c r="H27" s="47" t="s">
        <v>113</v>
      </c>
      <c r="I27" s="47" t="s">
        <v>113</v>
      </c>
      <c r="J27" s="47">
        <v>5.1470588235294104</v>
      </c>
      <c r="K27" s="47">
        <v>55.8823529411764</v>
      </c>
      <c r="L27" s="47">
        <v>34.558823529411697</v>
      </c>
      <c r="M27" s="47">
        <v>4.4117647058823497</v>
      </c>
    </row>
    <row r="28" spans="1:13" x14ac:dyDescent="0.25">
      <c r="A28" t="s">
        <v>199</v>
      </c>
      <c r="B28" s="47">
        <v>128</v>
      </c>
      <c r="C28" s="47" t="s">
        <v>113</v>
      </c>
      <c r="D28" s="47">
        <v>16</v>
      </c>
      <c r="E28" s="47">
        <v>67</v>
      </c>
      <c r="F28" s="47">
        <v>37</v>
      </c>
      <c r="G28" s="47">
        <v>8</v>
      </c>
      <c r="H28" s="47" t="s">
        <v>113</v>
      </c>
      <c r="I28" s="47" t="s">
        <v>113</v>
      </c>
      <c r="J28" s="47">
        <v>12.5</v>
      </c>
      <c r="K28" s="47">
        <v>52.34375</v>
      </c>
      <c r="L28" s="47">
        <v>28.90625</v>
      </c>
      <c r="M28" s="47">
        <v>6.25</v>
      </c>
    </row>
    <row r="29" spans="1:13" x14ac:dyDescent="0.25">
      <c r="A29" t="s">
        <v>200</v>
      </c>
      <c r="B29" s="47">
        <v>3997</v>
      </c>
      <c r="C29" s="47">
        <v>977</v>
      </c>
      <c r="D29" s="47">
        <v>687</v>
      </c>
      <c r="E29" s="47">
        <v>606</v>
      </c>
      <c r="F29" s="47">
        <v>1180</v>
      </c>
      <c r="G29" s="47">
        <v>542</v>
      </c>
      <c r="H29" s="47">
        <v>5</v>
      </c>
      <c r="I29" s="47">
        <v>24.4739478957915</v>
      </c>
      <c r="J29" s="47">
        <v>17.209418837675301</v>
      </c>
      <c r="K29" s="47">
        <v>15.180360721442799</v>
      </c>
      <c r="L29" s="47">
        <v>29.559118236472901</v>
      </c>
      <c r="M29" s="47">
        <v>13.5771543086172</v>
      </c>
    </row>
    <row r="30" spans="1:13" x14ac:dyDescent="0.25">
      <c r="A30" t="s">
        <v>201</v>
      </c>
      <c r="B30" s="47">
        <v>178</v>
      </c>
      <c r="C30" s="47" t="s">
        <v>113</v>
      </c>
      <c r="D30" s="47">
        <v>101</v>
      </c>
      <c r="E30" s="47">
        <v>77</v>
      </c>
      <c r="F30" s="47" t="s">
        <v>113</v>
      </c>
      <c r="G30" s="47" t="s">
        <v>113</v>
      </c>
      <c r="H30" s="47" t="s">
        <v>113</v>
      </c>
      <c r="I30" s="47" t="s">
        <v>113</v>
      </c>
      <c r="J30" s="47">
        <v>56.741573033707802</v>
      </c>
      <c r="K30" s="47">
        <v>43.258426966292099</v>
      </c>
      <c r="L30" s="47" t="s">
        <v>113</v>
      </c>
      <c r="M30" s="47" t="s">
        <v>113</v>
      </c>
    </row>
    <row r="31" spans="1:13" x14ac:dyDescent="0.25">
      <c r="A31" t="s">
        <v>202</v>
      </c>
      <c r="B31" s="47">
        <v>52447</v>
      </c>
      <c r="C31" s="47">
        <v>13259</v>
      </c>
      <c r="D31" s="47">
        <v>10488</v>
      </c>
      <c r="E31" s="47">
        <v>9748</v>
      </c>
      <c r="F31" s="47">
        <v>9645</v>
      </c>
      <c r="G31" s="47">
        <v>9123</v>
      </c>
      <c r="H31" s="47">
        <v>184</v>
      </c>
      <c r="I31" s="47">
        <v>25.369764460517001</v>
      </c>
      <c r="J31" s="47">
        <v>20.067734343608201</v>
      </c>
      <c r="K31" s="47">
        <v>18.651818686259801</v>
      </c>
      <c r="L31" s="47">
        <v>18.454738533953201</v>
      </c>
      <c r="M31" s="47">
        <v>17.455943975661501</v>
      </c>
    </row>
    <row r="32" spans="1:13" x14ac:dyDescent="0.25">
      <c r="A32" t="s">
        <v>203</v>
      </c>
      <c r="B32" s="47">
        <v>3694</v>
      </c>
      <c r="C32" s="47">
        <v>1084</v>
      </c>
      <c r="D32" s="47">
        <v>1156</v>
      </c>
      <c r="E32" s="47">
        <v>524</v>
      </c>
      <c r="F32" s="47">
        <v>509</v>
      </c>
      <c r="G32" s="47">
        <v>414</v>
      </c>
      <c r="H32" s="47">
        <v>7</v>
      </c>
      <c r="I32" s="47">
        <v>29.4005966910767</v>
      </c>
      <c r="J32" s="47">
        <v>31.353403851369599</v>
      </c>
      <c r="K32" s="47">
        <v>14.2120965554651</v>
      </c>
      <c r="L32" s="47">
        <v>13.8052617304041</v>
      </c>
      <c r="M32" s="47">
        <v>11.228641171684201</v>
      </c>
    </row>
    <row r="33" spans="1:13" x14ac:dyDescent="0.25">
      <c r="A33" t="s">
        <v>204</v>
      </c>
      <c r="B33" s="47">
        <v>1095</v>
      </c>
      <c r="C33" s="47">
        <v>58</v>
      </c>
      <c r="D33" s="47">
        <v>121</v>
      </c>
      <c r="E33" s="47">
        <v>299</v>
      </c>
      <c r="F33" s="47">
        <v>452</v>
      </c>
      <c r="G33" s="47">
        <v>112</v>
      </c>
      <c r="H33" s="47">
        <v>53</v>
      </c>
      <c r="I33" s="47">
        <v>5.5662188099807999</v>
      </c>
      <c r="J33" s="47">
        <v>11.6122840690978</v>
      </c>
      <c r="K33" s="47">
        <v>28.694817658349301</v>
      </c>
      <c r="L33" s="47">
        <v>43.378119001919302</v>
      </c>
      <c r="M33" s="47">
        <v>10.7485604606525</v>
      </c>
    </row>
    <row r="34" spans="1:13" x14ac:dyDescent="0.25">
      <c r="A34" t="s">
        <v>205</v>
      </c>
      <c r="B34" s="47">
        <v>1424</v>
      </c>
      <c r="C34" s="47">
        <v>189</v>
      </c>
      <c r="D34" s="47">
        <v>290</v>
      </c>
      <c r="E34" s="47">
        <v>519</v>
      </c>
      <c r="F34" s="47">
        <v>327</v>
      </c>
      <c r="G34" s="47">
        <v>88</v>
      </c>
      <c r="H34" s="47">
        <v>11</v>
      </c>
      <c r="I34" s="47">
        <v>13.375796178343901</v>
      </c>
      <c r="J34" s="47">
        <v>20.523708421797501</v>
      </c>
      <c r="K34" s="47">
        <v>36.730360934182499</v>
      </c>
      <c r="L34" s="47">
        <v>23.1422505307855</v>
      </c>
      <c r="M34" s="47">
        <v>6.2278839348902997</v>
      </c>
    </row>
    <row r="35" spans="1:13" x14ac:dyDescent="0.25">
      <c r="A35" t="s">
        <v>206</v>
      </c>
      <c r="B35" s="47">
        <v>3487</v>
      </c>
      <c r="C35" s="47">
        <v>870</v>
      </c>
      <c r="D35" s="47">
        <v>779</v>
      </c>
      <c r="E35" s="47">
        <v>748</v>
      </c>
      <c r="F35" s="47">
        <v>534</v>
      </c>
      <c r="G35" s="47">
        <v>553</v>
      </c>
      <c r="H35" s="47">
        <v>3</v>
      </c>
      <c r="I35" s="47">
        <v>24.971297359356999</v>
      </c>
      <c r="J35" s="47">
        <v>22.3593570608496</v>
      </c>
      <c r="K35" s="47">
        <v>21.469575200918399</v>
      </c>
      <c r="L35" s="47">
        <v>15.327210103329501</v>
      </c>
      <c r="M35" s="47">
        <v>15.8725602755453</v>
      </c>
    </row>
    <row r="36" spans="1:13" x14ac:dyDescent="0.25">
      <c r="A36" t="s">
        <v>207</v>
      </c>
      <c r="B36" s="47">
        <v>3185</v>
      </c>
      <c r="C36" s="47">
        <v>574</v>
      </c>
      <c r="D36" s="47">
        <v>829</v>
      </c>
      <c r="E36" s="47">
        <v>609</v>
      </c>
      <c r="F36" s="47">
        <v>627</v>
      </c>
      <c r="G36" s="47">
        <v>536</v>
      </c>
      <c r="H36" s="47">
        <v>10</v>
      </c>
      <c r="I36" s="47">
        <v>18.078740157480301</v>
      </c>
      <c r="J36" s="47">
        <v>26.110236220472402</v>
      </c>
      <c r="K36" s="47">
        <v>19.181102362204701</v>
      </c>
      <c r="L36" s="47">
        <v>19.7480314960629</v>
      </c>
      <c r="M36" s="47">
        <v>16.881889763779501</v>
      </c>
    </row>
    <row r="37" spans="1:13" x14ac:dyDescent="0.25">
      <c r="A37" t="s">
        <v>208</v>
      </c>
      <c r="B37" s="47">
        <v>5887</v>
      </c>
      <c r="C37" s="47">
        <v>528</v>
      </c>
      <c r="D37" s="47">
        <v>757</v>
      </c>
      <c r="E37" s="47">
        <v>1272</v>
      </c>
      <c r="F37" s="47">
        <v>1614</v>
      </c>
      <c r="G37" s="47">
        <v>1715</v>
      </c>
      <c r="H37" s="47">
        <v>1</v>
      </c>
      <c r="I37" s="47">
        <v>8.9704383282364901</v>
      </c>
      <c r="J37" s="47">
        <v>12.8610261637784</v>
      </c>
      <c r="K37" s="47">
        <v>21.6106014271151</v>
      </c>
      <c r="L37" s="47">
        <v>27.420998980632</v>
      </c>
      <c r="M37" s="47">
        <v>29.1369351002378</v>
      </c>
    </row>
    <row r="38" spans="1:13" x14ac:dyDescent="0.25">
      <c r="A38" t="s">
        <v>209</v>
      </c>
      <c r="B38" s="47">
        <v>15151</v>
      </c>
      <c r="C38" s="47">
        <v>5857</v>
      </c>
      <c r="D38" s="47">
        <v>2824</v>
      </c>
      <c r="E38" s="47">
        <v>2312</v>
      </c>
      <c r="F38" s="47">
        <v>1919</v>
      </c>
      <c r="G38" s="47">
        <v>2215</v>
      </c>
      <c r="H38" s="47">
        <v>24</v>
      </c>
      <c r="I38" s="47">
        <v>38.718847094598999</v>
      </c>
      <c r="J38" s="47">
        <v>18.668605804191099</v>
      </c>
      <c r="K38" s="47">
        <v>15.283929397765499</v>
      </c>
      <c r="L38" s="47">
        <v>12.6859258279896</v>
      </c>
      <c r="M38" s="47">
        <v>14.6426918754544</v>
      </c>
    </row>
    <row r="39" spans="1:13" x14ac:dyDescent="0.25">
      <c r="A39" t="s">
        <v>210</v>
      </c>
      <c r="B39" s="47">
        <v>2242</v>
      </c>
      <c r="C39" s="47">
        <v>287</v>
      </c>
      <c r="D39" s="47">
        <v>429</v>
      </c>
      <c r="E39" s="47">
        <v>737</v>
      </c>
      <c r="F39" s="47">
        <v>580</v>
      </c>
      <c r="G39" s="47">
        <v>205</v>
      </c>
      <c r="H39" s="47">
        <v>4</v>
      </c>
      <c r="I39" s="47">
        <v>12.8239499553172</v>
      </c>
      <c r="J39" s="47">
        <v>19.1689008042895</v>
      </c>
      <c r="K39" s="47">
        <v>32.931188561215301</v>
      </c>
      <c r="L39" s="47">
        <v>25.915996425379799</v>
      </c>
      <c r="M39" s="47">
        <v>9.1599642537980301</v>
      </c>
    </row>
    <row r="40" spans="1:13" x14ac:dyDescent="0.25">
      <c r="A40" t="s">
        <v>211</v>
      </c>
      <c r="B40" s="47">
        <v>4846</v>
      </c>
      <c r="C40" s="47">
        <v>1619</v>
      </c>
      <c r="D40" s="47">
        <v>1237</v>
      </c>
      <c r="E40" s="47">
        <v>1014</v>
      </c>
      <c r="F40" s="47">
        <v>533</v>
      </c>
      <c r="G40" s="47">
        <v>389</v>
      </c>
      <c r="H40" s="47">
        <v>54</v>
      </c>
      <c r="I40" s="47">
        <v>33.785475792988301</v>
      </c>
      <c r="J40" s="47">
        <v>25.813856427378902</v>
      </c>
      <c r="K40" s="47">
        <v>21.160267111852999</v>
      </c>
      <c r="L40" s="47">
        <v>11.1227045075125</v>
      </c>
      <c r="M40" s="47">
        <v>8.1176961602671103</v>
      </c>
    </row>
    <row r="41" spans="1:13" x14ac:dyDescent="0.25">
      <c r="A41" t="s">
        <v>212</v>
      </c>
      <c r="B41" s="47">
        <v>8833</v>
      </c>
      <c r="C41" s="47">
        <v>1461</v>
      </c>
      <c r="D41" s="47">
        <v>1855</v>
      </c>
      <c r="E41" s="47">
        <v>1314</v>
      </c>
      <c r="F41" s="47">
        <v>1639</v>
      </c>
      <c r="G41" s="47">
        <v>2535</v>
      </c>
      <c r="H41" s="47">
        <v>29</v>
      </c>
      <c r="I41" s="47">
        <v>16.594729668332501</v>
      </c>
      <c r="J41" s="47">
        <v>21.069968196274399</v>
      </c>
      <c r="K41" s="47">
        <v>14.9250340754202</v>
      </c>
      <c r="L41" s="47">
        <v>18.616537937301199</v>
      </c>
      <c r="M41" s="47">
        <v>28.793730122671501</v>
      </c>
    </row>
    <row r="42" spans="1:13" x14ac:dyDescent="0.25">
      <c r="A42" t="s">
        <v>213</v>
      </c>
      <c r="B42" s="47">
        <v>140</v>
      </c>
      <c r="C42" s="47" t="s">
        <v>113</v>
      </c>
      <c r="D42" s="47">
        <v>1</v>
      </c>
      <c r="E42" s="47">
        <v>59</v>
      </c>
      <c r="F42" s="47">
        <v>59</v>
      </c>
      <c r="G42" s="47">
        <v>21</v>
      </c>
      <c r="H42" s="47" t="s">
        <v>113</v>
      </c>
      <c r="I42" s="47" t="s">
        <v>113</v>
      </c>
      <c r="J42" s="47">
        <v>0.71428571428571397</v>
      </c>
      <c r="K42" s="47">
        <v>42.142857142857103</v>
      </c>
      <c r="L42" s="47">
        <v>42.142857142857103</v>
      </c>
      <c r="M42" s="47">
        <v>15</v>
      </c>
    </row>
    <row r="43" spans="1:13" x14ac:dyDescent="0.25">
      <c r="A43" t="s">
        <v>214</v>
      </c>
      <c r="B43" s="47">
        <v>163</v>
      </c>
      <c r="C43" s="47" t="s">
        <v>113</v>
      </c>
      <c r="D43" s="47">
        <v>23</v>
      </c>
      <c r="E43" s="47">
        <v>84</v>
      </c>
      <c r="F43" s="47">
        <v>47</v>
      </c>
      <c r="G43" s="47">
        <v>9</v>
      </c>
      <c r="H43" s="47" t="s">
        <v>113</v>
      </c>
      <c r="I43" s="47" t="s">
        <v>113</v>
      </c>
      <c r="J43" s="47">
        <v>14.110429447852701</v>
      </c>
      <c r="K43" s="47">
        <v>51.533742331288302</v>
      </c>
      <c r="L43" s="47">
        <v>28.834355828220801</v>
      </c>
      <c r="M43" s="47">
        <v>5.5214723926380298</v>
      </c>
    </row>
    <row r="44" spans="1:13" x14ac:dyDescent="0.25">
      <c r="A44" t="s">
        <v>215</v>
      </c>
      <c r="B44" s="47">
        <v>3913</v>
      </c>
      <c r="C44" s="47">
        <v>944</v>
      </c>
      <c r="D44" s="47">
        <v>717</v>
      </c>
      <c r="E44" s="47">
        <v>620</v>
      </c>
      <c r="F44" s="47">
        <v>1096</v>
      </c>
      <c r="G44" s="47">
        <v>527</v>
      </c>
      <c r="H44" s="47">
        <v>9</v>
      </c>
      <c r="I44" s="47">
        <v>24.180327868852402</v>
      </c>
      <c r="J44" s="47">
        <v>18.3657786885245</v>
      </c>
      <c r="K44" s="47">
        <v>15.8811475409836</v>
      </c>
      <c r="L44" s="47">
        <v>28.073770491803199</v>
      </c>
      <c r="M44" s="47">
        <v>13.498975409836</v>
      </c>
    </row>
    <row r="45" spans="1:13" x14ac:dyDescent="0.25">
      <c r="A45" t="s">
        <v>216</v>
      </c>
      <c r="B45" s="47">
        <v>240</v>
      </c>
      <c r="C45" s="47" t="s">
        <v>113</v>
      </c>
      <c r="D45" s="47">
        <v>138</v>
      </c>
      <c r="E45" s="47">
        <v>102</v>
      </c>
      <c r="F45" s="47" t="s">
        <v>113</v>
      </c>
      <c r="G45" s="47" t="s">
        <v>113</v>
      </c>
      <c r="H45" s="47" t="s">
        <v>113</v>
      </c>
      <c r="I45" s="47" t="s">
        <v>113</v>
      </c>
      <c r="J45" s="47">
        <v>57.499999999999901</v>
      </c>
      <c r="K45" s="47">
        <v>42.5</v>
      </c>
      <c r="L45" s="47" t="s">
        <v>113</v>
      </c>
      <c r="M45" s="47" t="s">
        <v>113</v>
      </c>
    </row>
    <row r="46" spans="1:13" x14ac:dyDescent="0.25">
      <c r="A46" t="s">
        <v>217</v>
      </c>
      <c r="B46" s="47">
        <v>54467</v>
      </c>
      <c r="C46" s="47">
        <v>13495</v>
      </c>
      <c r="D46" s="47">
        <v>11180</v>
      </c>
      <c r="E46" s="47">
        <v>10255</v>
      </c>
      <c r="F46" s="47">
        <v>9979</v>
      </c>
      <c r="G46" s="47">
        <v>9351</v>
      </c>
      <c r="H46" s="47">
        <v>207</v>
      </c>
      <c r="I46" s="47">
        <v>24.870991522299999</v>
      </c>
      <c r="J46" s="47">
        <v>20.604496866936898</v>
      </c>
      <c r="K46" s="47">
        <v>18.899741983044599</v>
      </c>
      <c r="L46" s="47">
        <v>18.391079985256098</v>
      </c>
      <c r="M46" s="47">
        <v>17.233689642462199</v>
      </c>
    </row>
    <row r="47" spans="1:13" x14ac:dyDescent="0.25">
      <c r="A47" t="s">
        <v>218</v>
      </c>
      <c r="B47" s="47">
        <v>3761</v>
      </c>
      <c r="C47" s="47">
        <v>1335</v>
      </c>
      <c r="D47" s="47">
        <v>1047</v>
      </c>
      <c r="E47" s="47">
        <v>506</v>
      </c>
      <c r="F47" s="47">
        <v>502</v>
      </c>
      <c r="G47" s="47">
        <v>365</v>
      </c>
      <c r="H47" s="47">
        <v>6</v>
      </c>
      <c r="I47" s="47">
        <v>35.552596537949398</v>
      </c>
      <c r="J47" s="47">
        <v>27.8828229027962</v>
      </c>
      <c r="K47" s="47">
        <v>13.4753661784287</v>
      </c>
      <c r="L47" s="47">
        <v>13.368841544607101</v>
      </c>
      <c r="M47" s="47">
        <v>9.7203728362183703</v>
      </c>
    </row>
    <row r="48" spans="1:13" x14ac:dyDescent="0.25">
      <c r="A48" t="s">
        <v>219</v>
      </c>
      <c r="B48" s="47">
        <v>1132</v>
      </c>
      <c r="C48" s="47">
        <v>73</v>
      </c>
      <c r="D48" s="47">
        <v>154</v>
      </c>
      <c r="E48" s="47">
        <v>325</v>
      </c>
      <c r="F48" s="47">
        <v>428</v>
      </c>
      <c r="G48" s="47">
        <v>93</v>
      </c>
      <c r="H48" s="47">
        <v>59</v>
      </c>
      <c r="I48" s="47">
        <v>6.8033550792171402</v>
      </c>
      <c r="J48" s="47">
        <v>14.3522833178005</v>
      </c>
      <c r="K48" s="47">
        <v>30.288909599254399</v>
      </c>
      <c r="L48" s="47">
        <v>39.888164026094998</v>
      </c>
      <c r="M48" s="47">
        <v>8.6672879776327996</v>
      </c>
    </row>
    <row r="49" spans="1:13" x14ac:dyDescent="0.25">
      <c r="A49" t="s">
        <v>220</v>
      </c>
      <c r="B49" s="47">
        <v>1437</v>
      </c>
      <c r="C49" s="47">
        <v>209</v>
      </c>
      <c r="D49" s="47">
        <v>399</v>
      </c>
      <c r="E49" s="47">
        <v>429</v>
      </c>
      <c r="F49" s="47">
        <v>319</v>
      </c>
      <c r="G49" s="47">
        <v>67</v>
      </c>
      <c r="H49" s="47">
        <v>14</v>
      </c>
      <c r="I49" s="47">
        <v>14.687280393534699</v>
      </c>
      <c r="J49" s="47">
        <v>28.039353478566401</v>
      </c>
      <c r="K49" s="47">
        <v>30.147575544624001</v>
      </c>
      <c r="L49" s="47">
        <v>22.417427969079402</v>
      </c>
      <c r="M49" s="47">
        <v>4.7083626141953596</v>
      </c>
    </row>
    <row r="50" spans="1:13" x14ac:dyDescent="0.25">
      <c r="A50" t="s">
        <v>221</v>
      </c>
      <c r="B50" s="47">
        <v>3672</v>
      </c>
      <c r="C50" s="47">
        <v>916</v>
      </c>
      <c r="D50" s="47">
        <v>880</v>
      </c>
      <c r="E50" s="47">
        <v>758</v>
      </c>
      <c r="F50" s="47">
        <v>495</v>
      </c>
      <c r="G50" s="47">
        <v>622</v>
      </c>
      <c r="H50" s="47">
        <v>1</v>
      </c>
      <c r="I50" s="47">
        <v>24.9523290656496</v>
      </c>
      <c r="J50" s="47">
        <v>23.971669844728901</v>
      </c>
      <c r="K50" s="47">
        <v>20.6483247071642</v>
      </c>
      <c r="L50" s="47">
        <v>13.484064287660001</v>
      </c>
      <c r="M50" s="47">
        <v>16.943612094797</v>
      </c>
    </row>
    <row r="51" spans="1:13" x14ac:dyDescent="0.25">
      <c r="A51" t="s">
        <v>222</v>
      </c>
      <c r="B51" s="47">
        <v>3286</v>
      </c>
      <c r="C51" s="47">
        <v>582</v>
      </c>
      <c r="D51" s="47">
        <v>817</v>
      </c>
      <c r="E51" s="47">
        <v>619</v>
      </c>
      <c r="F51" s="47">
        <v>737</v>
      </c>
      <c r="G51" s="47">
        <v>522</v>
      </c>
      <c r="H51" s="47">
        <v>9</v>
      </c>
      <c r="I51" s="47">
        <v>17.760146475434802</v>
      </c>
      <c r="J51" s="47">
        <v>24.931339639914501</v>
      </c>
      <c r="K51" s="47">
        <v>18.889227952395402</v>
      </c>
      <c r="L51" s="47">
        <v>22.4900823924321</v>
      </c>
      <c r="M51" s="47">
        <v>15.929203539823</v>
      </c>
    </row>
    <row r="52" spans="1:13" x14ac:dyDescent="0.25">
      <c r="A52" t="s">
        <v>223</v>
      </c>
      <c r="B52" s="47">
        <v>6080</v>
      </c>
      <c r="C52" s="47">
        <v>617</v>
      </c>
      <c r="D52" s="47">
        <v>853</v>
      </c>
      <c r="E52" s="47">
        <v>1283</v>
      </c>
      <c r="F52" s="47">
        <v>1535</v>
      </c>
      <c r="G52" s="47">
        <v>1788</v>
      </c>
      <c r="H52" s="47">
        <v>4</v>
      </c>
      <c r="I52" s="47">
        <v>10.1547070441079</v>
      </c>
      <c r="J52" s="47">
        <v>14.0388413429888</v>
      </c>
      <c r="K52" s="47">
        <v>21.115865701119102</v>
      </c>
      <c r="L52" s="47">
        <v>25.263331138907098</v>
      </c>
      <c r="M52" s="47">
        <v>29.4272547728768</v>
      </c>
    </row>
    <row r="53" spans="1:13" x14ac:dyDescent="0.25">
      <c r="A53" t="s">
        <v>224</v>
      </c>
      <c r="B53" s="47">
        <v>15970</v>
      </c>
      <c r="C53" s="47">
        <v>6332</v>
      </c>
      <c r="D53" s="47">
        <v>2936</v>
      </c>
      <c r="E53" s="47">
        <v>2370</v>
      </c>
      <c r="F53" s="47">
        <v>2044</v>
      </c>
      <c r="G53" s="47">
        <v>2258</v>
      </c>
      <c r="H53" s="47">
        <v>30</v>
      </c>
      <c r="I53" s="47">
        <v>39.723964868255898</v>
      </c>
      <c r="J53" s="47">
        <v>18.419071518193199</v>
      </c>
      <c r="K53" s="47">
        <v>14.8682559598494</v>
      </c>
      <c r="L53" s="47">
        <v>12.8230865746549</v>
      </c>
      <c r="M53" s="47">
        <v>14.165621079046399</v>
      </c>
    </row>
    <row r="54" spans="1:13" x14ac:dyDescent="0.25">
      <c r="A54" t="s">
        <v>225</v>
      </c>
      <c r="B54" s="47">
        <v>2401</v>
      </c>
      <c r="C54" s="47">
        <v>350</v>
      </c>
      <c r="D54" s="47">
        <v>493</v>
      </c>
      <c r="E54" s="47">
        <v>751</v>
      </c>
      <c r="F54" s="47">
        <v>630</v>
      </c>
      <c r="G54" s="47">
        <v>175</v>
      </c>
      <c r="H54" s="47">
        <v>2</v>
      </c>
      <c r="I54" s="47">
        <v>14.5894122551062</v>
      </c>
      <c r="J54" s="47">
        <v>20.550229262192499</v>
      </c>
      <c r="K54" s="47">
        <v>31.3047102959566</v>
      </c>
      <c r="L54" s="47">
        <v>26.260942059191301</v>
      </c>
      <c r="M54" s="47">
        <v>7.2947061275531402</v>
      </c>
    </row>
    <row r="55" spans="1:13" x14ac:dyDescent="0.25">
      <c r="A55" t="s">
        <v>226</v>
      </c>
      <c r="B55" s="47">
        <v>4781</v>
      </c>
      <c r="C55" s="47">
        <v>1545</v>
      </c>
      <c r="D55" s="47">
        <v>1275</v>
      </c>
      <c r="E55" s="47">
        <v>883</v>
      </c>
      <c r="F55" s="47">
        <v>645</v>
      </c>
      <c r="G55" s="47">
        <v>409</v>
      </c>
      <c r="H55" s="47">
        <v>24</v>
      </c>
      <c r="I55" s="47">
        <v>32.4784528063905</v>
      </c>
      <c r="J55" s="47">
        <v>26.802606684885401</v>
      </c>
      <c r="K55" s="47">
        <v>18.562118982552001</v>
      </c>
      <c r="L55" s="47">
        <v>13.5589657347067</v>
      </c>
      <c r="M55" s="47">
        <v>8.5978557914652001</v>
      </c>
    </row>
    <row r="56" spans="1:13" x14ac:dyDescent="0.25">
      <c r="A56" t="s">
        <v>227</v>
      </c>
      <c r="B56" s="47">
        <v>9570</v>
      </c>
      <c r="C56" s="47">
        <v>1644</v>
      </c>
      <c r="D56" s="47">
        <v>2003</v>
      </c>
      <c r="E56" s="47">
        <v>1557</v>
      </c>
      <c r="F56" s="47">
        <v>1737</v>
      </c>
      <c r="G56" s="47">
        <v>2609</v>
      </c>
      <c r="H56" s="47">
        <v>20</v>
      </c>
      <c r="I56" s="47">
        <v>17.214659685863801</v>
      </c>
      <c r="J56" s="47">
        <v>20.973821989528702</v>
      </c>
      <c r="K56" s="47">
        <v>16.303664921465899</v>
      </c>
      <c r="L56" s="47">
        <v>18.188481675392602</v>
      </c>
      <c r="M56" s="47">
        <v>27.319371727748599</v>
      </c>
    </row>
    <row r="57" spans="1:13" x14ac:dyDescent="0.25">
      <c r="A57" t="s">
        <v>228</v>
      </c>
      <c r="B57" s="47">
        <v>133</v>
      </c>
      <c r="C57" s="47" t="s">
        <v>113</v>
      </c>
      <c r="D57" s="47">
        <v>17</v>
      </c>
      <c r="E57" s="47">
        <v>54</v>
      </c>
      <c r="F57" s="47">
        <v>60</v>
      </c>
      <c r="G57" s="47">
        <v>2</v>
      </c>
      <c r="H57" s="47" t="s">
        <v>113</v>
      </c>
      <c r="I57" s="47" t="s">
        <v>113</v>
      </c>
      <c r="J57" s="47">
        <v>12.781954887217999</v>
      </c>
      <c r="K57" s="47">
        <v>40.601503759398497</v>
      </c>
      <c r="L57" s="47">
        <v>45.112781954887197</v>
      </c>
      <c r="M57" s="47">
        <v>1.5037593984962401</v>
      </c>
    </row>
    <row r="58" spans="1:13" x14ac:dyDescent="0.25">
      <c r="A58" t="s">
        <v>229</v>
      </c>
      <c r="B58" s="47">
        <v>131</v>
      </c>
      <c r="C58" s="47" t="s">
        <v>113</v>
      </c>
      <c r="D58" s="47">
        <v>21</v>
      </c>
      <c r="E58" s="47">
        <v>75</v>
      </c>
      <c r="F58" s="47">
        <v>30</v>
      </c>
      <c r="G58" s="47">
        <v>5</v>
      </c>
      <c r="H58" s="47" t="s">
        <v>113</v>
      </c>
      <c r="I58" s="47" t="s">
        <v>113</v>
      </c>
      <c r="J58" s="47">
        <v>16.030534351145</v>
      </c>
      <c r="K58" s="47">
        <v>57.251908396946497</v>
      </c>
      <c r="L58" s="47">
        <v>22.900763358778601</v>
      </c>
      <c r="M58" s="47">
        <v>3.8167938931297698</v>
      </c>
    </row>
    <row r="59" spans="1:13" x14ac:dyDescent="0.25">
      <c r="A59" t="s">
        <v>230</v>
      </c>
      <c r="B59" s="47">
        <v>4651</v>
      </c>
      <c r="C59" s="47">
        <v>1115</v>
      </c>
      <c r="D59" s="47">
        <v>840</v>
      </c>
      <c r="E59" s="47">
        <v>784</v>
      </c>
      <c r="F59" s="47">
        <v>1278</v>
      </c>
      <c r="G59" s="47">
        <v>630</v>
      </c>
      <c r="H59" s="47">
        <v>4</v>
      </c>
      <c r="I59" s="47">
        <v>23.993974607273501</v>
      </c>
      <c r="J59" s="47">
        <v>18.076178179470599</v>
      </c>
      <c r="K59" s="47">
        <v>16.871099634172499</v>
      </c>
      <c r="L59" s="47">
        <v>27.501613944480301</v>
      </c>
      <c r="M59" s="47">
        <v>13.5571336346029</v>
      </c>
    </row>
    <row r="60" spans="1:13" x14ac:dyDescent="0.25">
      <c r="A60" t="s">
        <v>231</v>
      </c>
      <c r="B60" s="47">
        <v>217</v>
      </c>
      <c r="C60" s="47" t="s">
        <v>113</v>
      </c>
      <c r="D60" s="47">
        <v>136</v>
      </c>
      <c r="E60" s="47">
        <v>81</v>
      </c>
      <c r="F60" s="47" t="s">
        <v>113</v>
      </c>
      <c r="G60" s="47" t="s">
        <v>113</v>
      </c>
      <c r="H60" s="47" t="s">
        <v>113</v>
      </c>
      <c r="I60" s="47" t="s">
        <v>113</v>
      </c>
      <c r="J60" s="47">
        <v>62.672811059907801</v>
      </c>
      <c r="K60" s="47">
        <v>37.3271889400921</v>
      </c>
      <c r="L60" s="47" t="s">
        <v>113</v>
      </c>
      <c r="M60" s="47" t="s">
        <v>113</v>
      </c>
    </row>
    <row r="61" spans="1:13" x14ac:dyDescent="0.25">
      <c r="A61" t="s">
        <v>232</v>
      </c>
      <c r="B61" s="47">
        <v>57358</v>
      </c>
      <c r="C61" s="47">
        <v>14735</v>
      </c>
      <c r="D61" s="47">
        <v>11888</v>
      </c>
      <c r="E61" s="47">
        <v>10513</v>
      </c>
      <c r="F61" s="47">
        <v>10481</v>
      </c>
      <c r="G61" s="47">
        <v>9567</v>
      </c>
      <c r="H61" s="47">
        <v>174</v>
      </c>
      <c r="I61" s="47">
        <v>25.767697257974199</v>
      </c>
      <c r="J61" s="47">
        <v>20.7890318970341</v>
      </c>
      <c r="K61" s="47">
        <v>18.3845131505316</v>
      </c>
      <c r="L61" s="47">
        <v>18.3285534415221</v>
      </c>
      <c r="M61" s="47">
        <v>16.730204252937799</v>
      </c>
    </row>
    <row r="62" spans="1:13" x14ac:dyDescent="0.25">
      <c r="A62" t="s">
        <v>233</v>
      </c>
      <c r="B62" s="47">
        <v>3778</v>
      </c>
      <c r="C62" s="47">
        <v>1332</v>
      </c>
      <c r="D62" s="47">
        <v>1025</v>
      </c>
      <c r="E62" s="47">
        <v>548</v>
      </c>
      <c r="F62" s="47">
        <v>496</v>
      </c>
      <c r="G62" s="47">
        <v>372</v>
      </c>
      <c r="H62" s="47">
        <v>5</v>
      </c>
      <c r="I62" s="47">
        <v>35.3034720381659</v>
      </c>
      <c r="J62" s="47">
        <v>27.166710840180201</v>
      </c>
      <c r="K62" s="47">
        <v>14.5242512589451</v>
      </c>
      <c r="L62" s="47">
        <v>13.146037635833499</v>
      </c>
      <c r="M62" s="47">
        <v>9.8595282268751596</v>
      </c>
    </row>
    <row r="63" spans="1:13" x14ac:dyDescent="0.25">
      <c r="A63" t="s">
        <v>234</v>
      </c>
      <c r="B63" s="47">
        <v>1190</v>
      </c>
      <c r="C63" s="47">
        <v>86</v>
      </c>
      <c r="D63" s="47">
        <v>143</v>
      </c>
      <c r="E63" s="47">
        <v>364</v>
      </c>
      <c r="F63" s="47">
        <v>441</v>
      </c>
      <c r="G63" s="47">
        <v>92</v>
      </c>
      <c r="H63" s="47">
        <v>64</v>
      </c>
      <c r="I63" s="47">
        <v>7.6376554174067497</v>
      </c>
      <c r="J63" s="47">
        <v>12.6998223801065</v>
      </c>
      <c r="K63" s="47">
        <v>32.326820603907599</v>
      </c>
      <c r="L63" s="47">
        <v>39.165186500888097</v>
      </c>
      <c r="M63" s="47">
        <v>8.1705150976909398</v>
      </c>
    </row>
    <row r="64" spans="1:13" x14ac:dyDescent="0.25">
      <c r="A64" t="s">
        <v>235</v>
      </c>
      <c r="B64" s="47">
        <v>1391</v>
      </c>
      <c r="C64" s="47">
        <v>226</v>
      </c>
      <c r="D64" s="47">
        <v>381</v>
      </c>
      <c r="E64" s="47">
        <v>445</v>
      </c>
      <c r="F64" s="47">
        <v>269</v>
      </c>
      <c r="G64" s="47">
        <v>55</v>
      </c>
      <c r="H64" s="47">
        <v>15</v>
      </c>
      <c r="I64" s="47">
        <v>16.424418604651098</v>
      </c>
      <c r="J64" s="47">
        <v>27.688953488372</v>
      </c>
      <c r="K64" s="47">
        <v>32.340116279069697</v>
      </c>
      <c r="L64" s="47">
        <v>19.549418604651098</v>
      </c>
      <c r="M64" s="47">
        <v>3.9970930232558102</v>
      </c>
    </row>
    <row r="65" spans="1:13" x14ac:dyDescent="0.25">
      <c r="A65" t="s">
        <v>236</v>
      </c>
      <c r="B65" s="47">
        <v>3798</v>
      </c>
      <c r="C65" s="47">
        <v>1013</v>
      </c>
      <c r="D65" s="47">
        <v>930</v>
      </c>
      <c r="E65" s="47">
        <v>797</v>
      </c>
      <c r="F65" s="47">
        <v>489</v>
      </c>
      <c r="G65" s="47">
        <v>567</v>
      </c>
      <c r="H65" s="47">
        <v>2</v>
      </c>
      <c r="I65" s="47">
        <v>26.685985247628999</v>
      </c>
      <c r="J65" s="47">
        <v>24.499473129610099</v>
      </c>
      <c r="K65" s="47">
        <v>20.9957850368809</v>
      </c>
      <c r="L65" s="47">
        <v>12.8819810326659</v>
      </c>
      <c r="M65" s="47">
        <v>14.9367755532139</v>
      </c>
    </row>
    <row r="66" spans="1:13" x14ac:dyDescent="0.25">
      <c r="A66" t="s">
        <v>237</v>
      </c>
      <c r="B66" s="47">
        <v>3228</v>
      </c>
      <c r="C66" s="47">
        <v>550</v>
      </c>
      <c r="D66" s="47">
        <v>829</v>
      </c>
      <c r="E66" s="47">
        <v>643</v>
      </c>
      <c r="F66" s="47">
        <v>664</v>
      </c>
      <c r="G66" s="47">
        <v>537</v>
      </c>
      <c r="H66" s="47">
        <v>5</v>
      </c>
      <c r="I66" s="47">
        <v>17.064846416382199</v>
      </c>
      <c r="J66" s="47">
        <v>25.721377598510699</v>
      </c>
      <c r="K66" s="47">
        <v>19.950356810424999</v>
      </c>
      <c r="L66" s="47">
        <v>20.601923673596001</v>
      </c>
      <c r="M66" s="47">
        <v>16.661495501085898</v>
      </c>
    </row>
    <row r="67" spans="1:13" x14ac:dyDescent="0.25">
      <c r="A67" t="s">
        <v>238</v>
      </c>
      <c r="B67" s="47">
        <v>6220</v>
      </c>
      <c r="C67" s="47">
        <v>598</v>
      </c>
      <c r="D67" s="47">
        <v>858</v>
      </c>
      <c r="E67" s="47">
        <v>1312</v>
      </c>
      <c r="F67" s="47">
        <v>1616</v>
      </c>
      <c r="G67" s="47">
        <v>1834</v>
      </c>
      <c r="H67" s="47">
        <v>2</v>
      </c>
      <c r="I67" s="47">
        <v>9.6172402701833395</v>
      </c>
      <c r="J67" s="47">
        <v>13.798649083306501</v>
      </c>
      <c r="K67" s="47">
        <v>21.1000321646831</v>
      </c>
      <c r="L67" s="47">
        <v>25.989064007719499</v>
      </c>
      <c r="M67" s="47">
        <v>29.4950144741074</v>
      </c>
    </row>
    <row r="68" spans="1:13" x14ac:dyDescent="0.25">
      <c r="A68" t="s">
        <v>239</v>
      </c>
      <c r="B68" s="47">
        <v>15991</v>
      </c>
      <c r="C68" s="47">
        <v>6284</v>
      </c>
      <c r="D68" s="47">
        <v>2986</v>
      </c>
      <c r="E68" s="47">
        <v>2495</v>
      </c>
      <c r="F68" s="47">
        <v>2019</v>
      </c>
      <c r="G68" s="47">
        <v>2173</v>
      </c>
      <c r="H68" s="47">
        <v>34</v>
      </c>
      <c r="I68" s="47">
        <v>39.380835996741197</v>
      </c>
      <c r="J68" s="47">
        <v>18.7127906248041</v>
      </c>
      <c r="K68" s="47">
        <v>15.635771134925101</v>
      </c>
      <c r="L68" s="47">
        <v>12.652754277119699</v>
      </c>
      <c r="M68" s="47">
        <v>13.6178479664097</v>
      </c>
    </row>
    <row r="69" spans="1:13" x14ac:dyDescent="0.25">
      <c r="A69" t="s">
        <v>240</v>
      </c>
      <c r="B69" s="47">
        <v>2565</v>
      </c>
      <c r="C69" s="47">
        <v>361</v>
      </c>
      <c r="D69" s="47">
        <v>516</v>
      </c>
      <c r="E69" s="47">
        <v>800</v>
      </c>
      <c r="F69" s="47">
        <v>699</v>
      </c>
      <c r="G69" s="47">
        <v>183</v>
      </c>
      <c r="H69" s="47">
        <v>6</v>
      </c>
      <c r="I69" s="47">
        <v>14.107073075420001</v>
      </c>
      <c r="J69" s="47">
        <v>20.164126611957698</v>
      </c>
      <c r="K69" s="47">
        <v>31.262211801484899</v>
      </c>
      <c r="L69" s="47">
        <v>27.315357561547401</v>
      </c>
      <c r="M69" s="47">
        <v>7.1512309495896798</v>
      </c>
    </row>
    <row r="70" spans="1:13" x14ac:dyDescent="0.25">
      <c r="A70" t="s">
        <v>241</v>
      </c>
      <c r="B70" s="47">
        <v>4881</v>
      </c>
      <c r="C70" s="47">
        <v>1574</v>
      </c>
      <c r="D70" s="47">
        <v>1266</v>
      </c>
      <c r="E70" s="47">
        <v>961</v>
      </c>
      <c r="F70" s="47">
        <v>655</v>
      </c>
      <c r="G70" s="47">
        <v>407</v>
      </c>
      <c r="H70" s="47">
        <v>18</v>
      </c>
      <c r="I70" s="47">
        <v>32.366851737610503</v>
      </c>
      <c r="J70" s="47">
        <v>26.033312769895101</v>
      </c>
      <c r="K70" s="47">
        <v>19.761464116800301</v>
      </c>
      <c r="L70" s="47">
        <v>13.4690520254986</v>
      </c>
      <c r="M70" s="47">
        <v>8.3693193501953491</v>
      </c>
    </row>
    <row r="71" spans="1:13" x14ac:dyDescent="0.25">
      <c r="A71" t="s">
        <v>242</v>
      </c>
      <c r="B71" s="47">
        <v>9633</v>
      </c>
      <c r="C71" s="47">
        <v>1697</v>
      </c>
      <c r="D71" s="47">
        <v>1947</v>
      </c>
      <c r="E71" s="47">
        <v>1620</v>
      </c>
      <c r="F71" s="47">
        <v>1710</v>
      </c>
      <c r="G71" s="47">
        <v>2597</v>
      </c>
      <c r="H71" s="47">
        <v>62</v>
      </c>
      <c r="I71" s="47">
        <v>17.730644655730799</v>
      </c>
      <c r="J71" s="47">
        <v>20.342701912025898</v>
      </c>
      <c r="K71" s="47">
        <v>16.9261310207919</v>
      </c>
      <c r="L71" s="47">
        <v>17.866471633058101</v>
      </c>
      <c r="M71" s="47">
        <v>27.134050778393</v>
      </c>
    </row>
    <row r="72" spans="1:13" x14ac:dyDescent="0.25">
      <c r="A72" t="s">
        <v>243</v>
      </c>
      <c r="B72" s="47">
        <v>144</v>
      </c>
      <c r="C72" s="47" t="s">
        <v>113</v>
      </c>
      <c r="D72" s="47">
        <v>17</v>
      </c>
      <c r="E72" s="47">
        <v>57</v>
      </c>
      <c r="F72" s="47">
        <v>64</v>
      </c>
      <c r="G72" s="47">
        <v>6</v>
      </c>
      <c r="H72" s="47" t="s">
        <v>113</v>
      </c>
      <c r="I72" s="47" t="s">
        <v>113</v>
      </c>
      <c r="J72" s="47">
        <v>11.8055555555555</v>
      </c>
      <c r="K72" s="47">
        <v>39.5833333333333</v>
      </c>
      <c r="L72" s="47">
        <v>44.4444444444444</v>
      </c>
      <c r="M72" s="47">
        <v>4.1666666666666599</v>
      </c>
    </row>
    <row r="73" spans="1:13" x14ac:dyDescent="0.25">
      <c r="A73" t="s">
        <v>244</v>
      </c>
      <c r="B73" s="47">
        <v>143</v>
      </c>
      <c r="C73" s="47" t="s">
        <v>113</v>
      </c>
      <c r="D73" s="47">
        <v>24</v>
      </c>
      <c r="E73" s="47">
        <v>75</v>
      </c>
      <c r="F73" s="47">
        <v>39</v>
      </c>
      <c r="G73" s="47">
        <v>4</v>
      </c>
      <c r="H73" s="47">
        <v>1</v>
      </c>
      <c r="I73" s="47" t="s">
        <v>113</v>
      </c>
      <c r="J73" s="47">
        <v>16.901408450704199</v>
      </c>
      <c r="K73" s="47">
        <v>52.816901408450697</v>
      </c>
      <c r="L73" s="47">
        <v>27.4647887323943</v>
      </c>
      <c r="M73" s="47">
        <v>2.8169014084507</v>
      </c>
    </row>
    <row r="74" spans="1:13" x14ac:dyDescent="0.25">
      <c r="A74" t="s">
        <v>245</v>
      </c>
      <c r="B74" s="47">
        <v>4613</v>
      </c>
      <c r="C74" s="47">
        <v>1130</v>
      </c>
      <c r="D74" s="47">
        <v>886</v>
      </c>
      <c r="E74" s="47">
        <v>808</v>
      </c>
      <c r="F74" s="47">
        <v>1206</v>
      </c>
      <c r="G74" s="47">
        <v>581</v>
      </c>
      <c r="H74" s="47">
        <v>2</v>
      </c>
      <c r="I74" s="47">
        <v>24.506614617219601</v>
      </c>
      <c r="J74" s="47">
        <v>19.214920841466</v>
      </c>
      <c r="K74" s="47">
        <v>17.523313814790701</v>
      </c>
      <c r="L74" s="47">
        <v>26.1548471047495</v>
      </c>
      <c r="M74" s="47">
        <v>12.600303621774</v>
      </c>
    </row>
    <row r="75" spans="1:13" x14ac:dyDescent="0.25">
      <c r="A75" t="s">
        <v>246</v>
      </c>
      <c r="B75" s="47">
        <v>204</v>
      </c>
      <c r="C75" s="47" t="s">
        <v>113</v>
      </c>
      <c r="D75" s="47">
        <v>144</v>
      </c>
      <c r="E75" s="47">
        <v>60</v>
      </c>
      <c r="F75" s="47" t="s">
        <v>113</v>
      </c>
      <c r="G75" s="47" t="s">
        <v>113</v>
      </c>
      <c r="H75" s="47" t="s">
        <v>113</v>
      </c>
      <c r="I75" s="47" t="s">
        <v>113</v>
      </c>
      <c r="J75" s="47">
        <v>70.588235294117595</v>
      </c>
      <c r="K75" s="47">
        <v>29.411764705882302</v>
      </c>
      <c r="L75" s="47" t="s">
        <v>113</v>
      </c>
      <c r="M75" s="47" t="s">
        <v>113</v>
      </c>
    </row>
    <row r="76" spans="1:13" x14ac:dyDescent="0.25">
      <c r="A76" t="s">
        <v>247</v>
      </c>
      <c r="B76" s="47">
        <v>57917</v>
      </c>
      <c r="C76" s="47">
        <v>14874</v>
      </c>
      <c r="D76" s="47">
        <v>11979</v>
      </c>
      <c r="E76" s="47">
        <v>11022</v>
      </c>
      <c r="F76" s="47">
        <v>10396</v>
      </c>
      <c r="G76" s="47">
        <v>9430</v>
      </c>
      <c r="H76" s="47">
        <v>216</v>
      </c>
      <c r="I76" s="47">
        <v>25.777716157432199</v>
      </c>
      <c r="J76" s="47">
        <v>20.7604720888719</v>
      </c>
      <c r="K76" s="47">
        <v>19.101921977088701</v>
      </c>
      <c r="L76" s="47">
        <v>18.0170187691721</v>
      </c>
      <c r="M76" s="47">
        <v>16.342871007434798</v>
      </c>
    </row>
    <row r="77" spans="1:13" x14ac:dyDescent="0.25">
      <c r="A77" t="s">
        <v>248</v>
      </c>
      <c r="B77" s="47">
        <v>3692</v>
      </c>
      <c r="C77" s="47">
        <v>1312</v>
      </c>
      <c r="D77" s="47">
        <v>985</v>
      </c>
      <c r="E77" s="47">
        <v>547</v>
      </c>
      <c r="F77" s="47">
        <v>511</v>
      </c>
      <c r="G77" s="47">
        <v>334</v>
      </c>
      <c r="H77" s="47">
        <v>3</v>
      </c>
      <c r="I77" s="47">
        <v>35.565193819463197</v>
      </c>
      <c r="J77" s="47">
        <v>26.701002981837799</v>
      </c>
      <c r="K77" s="47">
        <v>14.827866630523101</v>
      </c>
      <c r="L77" s="47">
        <v>13.851992409867099</v>
      </c>
      <c r="M77" s="47">
        <v>9.0539441583084805</v>
      </c>
    </row>
    <row r="78" spans="1:13" x14ac:dyDescent="0.25">
      <c r="A78" t="s">
        <v>249</v>
      </c>
      <c r="B78" s="47">
        <v>1204</v>
      </c>
      <c r="C78" s="47">
        <v>93</v>
      </c>
      <c r="D78" s="47">
        <v>176</v>
      </c>
      <c r="E78" s="47">
        <v>344</v>
      </c>
      <c r="F78" s="47">
        <v>440</v>
      </c>
      <c r="G78" s="47">
        <v>90</v>
      </c>
      <c r="H78" s="47">
        <v>61</v>
      </c>
      <c r="I78" s="47">
        <v>8.1364829396325398</v>
      </c>
      <c r="J78" s="47">
        <v>15.398075240594901</v>
      </c>
      <c r="K78" s="47">
        <v>30.0962379702537</v>
      </c>
      <c r="L78" s="47">
        <v>38.495188101487301</v>
      </c>
      <c r="M78" s="47">
        <v>7.8740157480314901</v>
      </c>
    </row>
    <row r="79" spans="1:13" x14ac:dyDescent="0.25">
      <c r="A79" t="s">
        <v>250</v>
      </c>
      <c r="B79" s="47">
        <v>1438</v>
      </c>
      <c r="C79" s="47">
        <v>208</v>
      </c>
      <c r="D79" s="47">
        <v>419</v>
      </c>
      <c r="E79" s="47">
        <v>422</v>
      </c>
      <c r="F79" s="47">
        <v>315</v>
      </c>
      <c r="G79" s="47">
        <v>65</v>
      </c>
      <c r="H79" s="47">
        <v>9</v>
      </c>
      <c r="I79" s="47">
        <v>14.555633310007</v>
      </c>
      <c r="J79" s="47">
        <v>29.321203638908301</v>
      </c>
      <c r="K79" s="47">
        <v>29.531140657802599</v>
      </c>
      <c r="L79" s="47">
        <v>22.043386983904799</v>
      </c>
      <c r="M79" s="47">
        <v>4.5486354093771801</v>
      </c>
    </row>
    <row r="80" spans="1:13" x14ac:dyDescent="0.25">
      <c r="A80" t="s">
        <v>251</v>
      </c>
      <c r="B80" s="47">
        <v>3752</v>
      </c>
      <c r="C80" s="47">
        <v>1007</v>
      </c>
      <c r="D80" s="47">
        <v>908</v>
      </c>
      <c r="E80" s="47">
        <v>788</v>
      </c>
      <c r="F80" s="47">
        <v>465</v>
      </c>
      <c r="G80" s="47">
        <v>583</v>
      </c>
      <c r="H80" s="47">
        <v>1</v>
      </c>
      <c r="I80" s="47">
        <v>26.846174353505699</v>
      </c>
      <c r="J80" s="47">
        <v>24.206878165822399</v>
      </c>
      <c r="K80" s="47">
        <v>21.007731271660798</v>
      </c>
      <c r="L80" s="47">
        <v>12.396694214876</v>
      </c>
      <c r="M80" s="47">
        <v>15.5425219941348</v>
      </c>
    </row>
    <row r="81" spans="1:13" x14ac:dyDescent="0.25">
      <c r="A81" t="s">
        <v>252</v>
      </c>
      <c r="B81" s="47">
        <v>3288</v>
      </c>
      <c r="C81" s="47">
        <v>569</v>
      </c>
      <c r="D81" s="47">
        <v>855</v>
      </c>
      <c r="E81" s="47">
        <v>611</v>
      </c>
      <c r="F81" s="47">
        <v>726</v>
      </c>
      <c r="G81" s="47">
        <v>525</v>
      </c>
      <c r="H81" s="47">
        <v>2</v>
      </c>
      <c r="I81" s="47">
        <v>17.3158855751673</v>
      </c>
      <c r="J81" s="47">
        <v>26.019476567255001</v>
      </c>
      <c r="K81" s="47">
        <v>18.594035301278101</v>
      </c>
      <c r="L81" s="47">
        <v>22.093730979914699</v>
      </c>
      <c r="M81" s="47">
        <v>15.9768715763846</v>
      </c>
    </row>
    <row r="82" spans="1:13" x14ac:dyDescent="0.25">
      <c r="A82" t="s">
        <v>253</v>
      </c>
      <c r="B82" s="47">
        <v>6390</v>
      </c>
      <c r="C82" s="47">
        <v>612</v>
      </c>
      <c r="D82" s="47">
        <v>938</v>
      </c>
      <c r="E82" s="47">
        <v>1389</v>
      </c>
      <c r="F82" s="47">
        <v>1674</v>
      </c>
      <c r="G82" s="47">
        <v>1776</v>
      </c>
      <c r="H82" s="47">
        <v>1</v>
      </c>
      <c r="I82" s="47">
        <v>9.5789638441070597</v>
      </c>
      <c r="J82" s="47">
        <v>14.681483800281701</v>
      </c>
      <c r="K82" s="47">
        <v>21.740491469713501</v>
      </c>
      <c r="L82" s="47">
        <v>26.201283455939802</v>
      </c>
      <c r="M82" s="47">
        <v>27.797777429957701</v>
      </c>
    </row>
    <row r="83" spans="1:13" x14ac:dyDescent="0.25">
      <c r="A83" t="s">
        <v>254</v>
      </c>
      <c r="B83" s="47">
        <v>15986</v>
      </c>
      <c r="C83" s="47">
        <v>6329</v>
      </c>
      <c r="D83" s="47">
        <v>3074</v>
      </c>
      <c r="E83" s="47">
        <v>2446</v>
      </c>
      <c r="F83" s="47">
        <v>2015</v>
      </c>
      <c r="G83" s="47">
        <v>2094</v>
      </c>
      <c r="H83" s="47">
        <v>28</v>
      </c>
      <c r="I83" s="47">
        <v>39.660358440907302</v>
      </c>
      <c r="J83" s="47">
        <v>19.263065547061</v>
      </c>
      <c r="K83" s="47">
        <v>15.327735305176001</v>
      </c>
      <c r="L83" s="47">
        <v>12.6268956009525</v>
      </c>
      <c r="M83" s="47">
        <v>13.121945105902901</v>
      </c>
    </row>
    <row r="84" spans="1:13" x14ac:dyDescent="0.25">
      <c r="A84" t="s">
        <v>255</v>
      </c>
      <c r="B84" s="47">
        <v>2420</v>
      </c>
      <c r="C84" s="47">
        <v>355</v>
      </c>
      <c r="D84" s="47">
        <v>484</v>
      </c>
      <c r="E84" s="47">
        <v>785</v>
      </c>
      <c r="F84" s="47">
        <v>631</v>
      </c>
      <c r="G84" s="47">
        <v>163</v>
      </c>
      <c r="H84" s="47">
        <v>2</v>
      </c>
      <c r="I84" s="47">
        <v>14.6815550041356</v>
      </c>
      <c r="J84" s="47">
        <v>20.016542597187701</v>
      </c>
      <c r="K84" s="47">
        <v>32.464846980975999</v>
      </c>
      <c r="L84" s="47">
        <v>26.095947063689</v>
      </c>
      <c r="M84" s="47">
        <v>6.7411083540115797</v>
      </c>
    </row>
    <row r="85" spans="1:13" x14ac:dyDescent="0.25">
      <c r="A85" t="s">
        <v>256</v>
      </c>
      <c r="B85" s="47">
        <v>4743</v>
      </c>
      <c r="C85" s="47">
        <v>1542</v>
      </c>
      <c r="D85" s="47">
        <v>1299</v>
      </c>
      <c r="E85" s="47">
        <v>913</v>
      </c>
      <c r="F85" s="47">
        <v>592</v>
      </c>
      <c r="G85" s="47">
        <v>368</v>
      </c>
      <c r="H85" s="47">
        <v>29</v>
      </c>
      <c r="I85" s="47">
        <v>32.711073398387697</v>
      </c>
      <c r="J85" s="47">
        <v>27.556215528213801</v>
      </c>
      <c r="K85" s="47">
        <v>19.367840475180301</v>
      </c>
      <c r="L85" s="47">
        <v>12.558336868901099</v>
      </c>
      <c r="M85" s="47">
        <v>7.8065337293169197</v>
      </c>
    </row>
    <row r="86" spans="1:13" x14ac:dyDescent="0.25">
      <c r="A86" t="s">
        <v>257</v>
      </c>
      <c r="B86" s="47">
        <v>9371</v>
      </c>
      <c r="C86" s="47">
        <v>1671</v>
      </c>
      <c r="D86" s="47">
        <v>1943</v>
      </c>
      <c r="E86" s="47">
        <v>1664</v>
      </c>
      <c r="F86" s="47">
        <v>1599</v>
      </c>
      <c r="G86" s="47">
        <v>2358</v>
      </c>
      <c r="H86" s="47">
        <v>136</v>
      </c>
      <c r="I86" s="47">
        <v>18.0942068218733</v>
      </c>
      <c r="J86" s="47">
        <v>21.0395235517054</v>
      </c>
      <c r="K86" s="47">
        <v>18.018408229561398</v>
      </c>
      <c r="L86" s="47">
        <v>17.3145641580942</v>
      </c>
      <c r="M86" s="47">
        <v>25.533297238765499</v>
      </c>
    </row>
    <row r="87" spans="1:13" x14ac:dyDescent="0.25">
      <c r="A87" t="s">
        <v>258</v>
      </c>
      <c r="B87" s="47">
        <v>128</v>
      </c>
      <c r="C87" s="47" t="s">
        <v>113</v>
      </c>
      <c r="D87" s="47">
        <v>15</v>
      </c>
      <c r="E87" s="47">
        <v>57</v>
      </c>
      <c r="F87" s="47">
        <v>53</v>
      </c>
      <c r="G87" s="47">
        <v>3</v>
      </c>
      <c r="H87" s="47" t="s">
        <v>113</v>
      </c>
      <c r="I87" s="47" t="s">
        <v>113</v>
      </c>
      <c r="J87" s="47">
        <v>11.71875</v>
      </c>
      <c r="K87" s="47">
        <v>44.53125</v>
      </c>
      <c r="L87" s="47">
        <v>41.40625</v>
      </c>
      <c r="M87" s="47">
        <v>2.34375</v>
      </c>
    </row>
    <row r="88" spans="1:13" x14ac:dyDescent="0.25">
      <c r="A88" t="s">
        <v>259</v>
      </c>
      <c r="B88" s="47">
        <v>157</v>
      </c>
      <c r="C88" s="47" t="s">
        <v>113</v>
      </c>
      <c r="D88" s="47">
        <v>20</v>
      </c>
      <c r="E88" s="47">
        <v>70</v>
      </c>
      <c r="F88" s="47">
        <v>58</v>
      </c>
      <c r="G88" s="47">
        <v>9</v>
      </c>
      <c r="H88" s="47" t="s">
        <v>113</v>
      </c>
      <c r="I88" s="47" t="s">
        <v>113</v>
      </c>
      <c r="J88" s="47">
        <v>12.7388535031847</v>
      </c>
      <c r="K88" s="47">
        <v>44.585987261146499</v>
      </c>
      <c r="L88" s="47">
        <v>36.942675159235598</v>
      </c>
      <c r="M88" s="47">
        <v>5.7324840764331197</v>
      </c>
    </row>
    <row r="89" spans="1:13" x14ac:dyDescent="0.25">
      <c r="A89" t="s">
        <v>260</v>
      </c>
      <c r="B89" s="47">
        <v>4592</v>
      </c>
      <c r="C89" s="47">
        <v>1066</v>
      </c>
      <c r="D89" s="47">
        <v>881</v>
      </c>
      <c r="E89" s="47">
        <v>803</v>
      </c>
      <c r="F89" s="47">
        <v>1199</v>
      </c>
      <c r="G89" s="47">
        <v>638</v>
      </c>
      <c r="H89" s="47">
        <v>5</v>
      </c>
      <c r="I89" s="47">
        <v>23.239590146064899</v>
      </c>
      <c r="J89" s="47">
        <v>19.206453019402598</v>
      </c>
      <c r="K89" s="47">
        <v>17.5059952038369</v>
      </c>
      <c r="L89" s="47">
        <v>26.139088729016699</v>
      </c>
      <c r="M89" s="47">
        <v>13.908872901678601</v>
      </c>
    </row>
    <row r="90" spans="1:13" x14ac:dyDescent="0.25">
      <c r="A90" t="s">
        <v>261</v>
      </c>
      <c r="B90" s="47">
        <v>182</v>
      </c>
      <c r="C90" s="47" t="s">
        <v>113</v>
      </c>
      <c r="D90" s="47">
        <v>127</v>
      </c>
      <c r="E90" s="47">
        <v>55</v>
      </c>
      <c r="F90" s="47" t="s">
        <v>113</v>
      </c>
      <c r="G90" s="47" t="s">
        <v>113</v>
      </c>
      <c r="H90" s="47" t="s">
        <v>113</v>
      </c>
      <c r="I90" s="47" t="s">
        <v>113</v>
      </c>
      <c r="J90" s="47">
        <v>69.780219780219696</v>
      </c>
      <c r="K90" s="47">
        <v>30.219780219780201</v>
      </c>
      <c r="L90" s="47" t="s">
        <v>113</v>
      </c>
      <c r="M90" s="47" t="s">
        <v>113</v>
      </c>
    </row>
    <row r="91" spans="1:13" x14ac:dyDescent="0.25">
      <c r="A91" t="s">
        <v>262</v>
      </c>
      <c r="B91" s="47">
        <v>57418</v>
      </c>
      <c r="C91" s="47">
        <v>14773</v>
      </c>
      <c r="D91" s="47">
        <v>12139</v>
      </c>
      <c r="E91" s="47">
        <v>10916</v>
      </c>
      <c r="F91" s="47">
        <v>10295</v>
      </c>
      <c r="G91" s="47">
        <v>9018</v>
      </c>
      <c r="H91" s="47">
        <v>277</v>
      </c>
      <c r="I91" s="47">
        <v>25.853590241682799</v>
      </c>
      <c r="J91" s="47">
        <v>21.243940428063901</v>
      </c>
      <c r="K91" s="47">
        <v>19.103620867678199</v>
      </c>
      <c r="L91" s="47">
        <v>18.0168355471552</v>
      </c>
      <c r="M91" s="47">
        <v>15.782012915419701</v>
      </c>
    </row>
    <row r="92" spans="1:13" x14ac:dyDescent="0.25">
      <c r="A92" t="s">
        <v>263</v>
      </c>
      <c r="B92" s="47">
        <v>3796</v>
      </c>
      <c r="C92" s="47">
        <v>1360</v>
      </c>
      <c r="D92" s="47">
        <v>1081</v>
      </c>
      <c r="E92" s="47">
        <v>550</v>
      </c>
      <c r="F92" s="47">
        <v>477</v>
      </c>
      <c r="G92" s="47">
        <v>328</v>
      </c>
      <c r="H92" s="47" t="s">
        <v>113</v>
      </c>
      <c r="I92" s="47">
        <v>35.827186512117997</v>
      </c>
      <c r="J92" s="47">
        <v>28.477344573234902</v>
      </c>
      <c r="K92" s="47">
        <v>14.4889357218124</v>
      </c>
      <c r="L92" s="47">
        <v>12.565858798735499</v>
      </c>
      <c r="M92" s="47">
        <v>8.6406743940990491</v>
      </c>
    </row>
    <row r="93" spans="1:13" x14ac:dyDescent="0.25">
      <c r="A93" t="s">
        <v>264</v>
      </c>
      <c r="B93" s="47">
        <v>1177</v>
      </c>
      <c r="C93" s="47">
        <v>110</v>
      </c>
      <c r="D93" s="47">
        <v>184</v>
      </c>
      <c r="E93" s="47">
        <v>339</v>
      </c>
      <c r="F93" s="47">
        <v>392</v>
      </c>
      <c r="G93" s="47">
        <v>67</v>
      </c>
      <c r="H93" s="47">
        <v>85</v>
      </c>
      <c r="I93" s="47">
        <v>10.07326007326</v>
      </c>
      <c r="J93" s="47">
        <v>16.849816849816801</v>
      </c>
      <c r="K93" s="47">
        <v>31.043956043956001</v>
      </c>
      <c r="L93" s="47">
        <v>35.897435897435898</v>
      </c>
      <c r="M93" s="47">
        <v>6.1355311355311297</v>
      </c>
    </row>
    <row r="94" spans="1:13" x14ac:dyDescent="0.25">
      <c r="A94" t="s">
        <v>265</v>
      </c>
      <c r="B94" s="47">
        <v>1383</v>
      </c>
      <c r="C94" s="47">
        <v>187</v>
      </c>
      <c r="D94" s="47">
        <v>388</v>
      </c>
      <c r="E94" s="47">
        <v>482</v>
      </c>
      <c r="F94" s="47">
        <v>240</v>
      </c>
      <c r="G94" s="47">
        <v>78</v>
      </c>
      <c r="H94" s="47">
        <v>8</v>
      </c>
      <c r="I94" s="47">
        <v>13.6</v>
      </c>
      <c r="J94" s="47">
        <v>28.218181818181801</v>
      </c>
      <c r="K94" s="47">
        <v>35.054545454545398</v>
      </c>
      <c r="L94" s="47">
        <v>17.4545454545454</v>
      </c>
      <c r="M94" s="47">
        <v>5.6727272727272702</v>
      </c>
    </row>
    <row r="95" spans="1:13" x14ac:dyDescent="0.25">
      <c r="A95" t="s">
        <v>266</v>
      </c>
      <c r="B95" s="47">
        <v>3721</v>
      </c>
      <c r="C95" s="47">
        <v>1003</v>
      </c>
      <c r="D95" s="47">
        <v>925</v>
      </c>
      <c r="E95" s="47">
        <v>716</v>
      </c>
      <c r="F95" s="47">
        <v>504</v>
      </c>
      <c r="G95" s="47">
        <v>570</v>
      </c>
      <c r="H95" s="47">
        <v>3</v>
      </c>
      <c r="I95" s="47">
        <v>26.976869284561499</v>
      </c>
      <c r="J95" s="47">
        <v>24.878967186659398</v>
      </c>
      <c r="K95" s="47">
        <v>19.2576654115115</v>
      </c>
      <c r="L95" s="47">
        <v>13.5556750941366</v>
      </c>
      <c r="M95" s="47">
        <v>15.3308230231307</v>
      </c>
    </row>
    <row r="96" spans="1:13" x14ac:dyDescent="0.25">
      <c r="A96" t="s">
        <v>267</v>
      </c>
      <c r="B96" s="47">
        <v>3182</v>
      </c>
      <c r="C96" s="47">
        <v>665</v>
      </c>
      <c r="D96" s="47">
        <v>802</v>
      </c>
      <c r="E96" s="47">
        <v>629</v>
      </c>
      <c r="F96" s="47">
        <v>606</v>
      </c>
      <c r="G96" s="47">
        <v>480</v>
      </c>
      <c r="H96" s="47" t="s">
        <v>113</v>
      </c>
      <c r="I96" s="47">
        <v>20.898805782526701</v>
      </c>
      <c r="J96" s="47">
        <v>25.204274041483298</v>
      </c>
      <c r="K96" s="47">
        <v>19.767441860465102</v>
      </c>
      <c r="L96" s="47">
        <v>19.044626021370199</v>
      </c>
      <c r="M96" s="47">
        <v>15.084852294154601</v>
      </c>
    </row>
    <row r="97" spans="1:13" x14ac:dyDescent="0.25">
      <c r="A97" t="s">
        <v>268</v>
      </c>
      <c r="B97" s="47">
        <v>6161</v>
      </c>
      <c r="C97" s="47">
        <v>617</v>
      </c>
      <c r="D97" s="47">
        <v>899</v>
      </c>
      <c r="E97" s="47">
        <v>1283</v>
      </c>
      <c r="F97" s="47">
        <v>1568</v>
      </c>
      <c r="G97" s="47">
        <v>1786</v>
      </c>
      <c r="H97" s="47">
        <v>8</v>
      </c>
      <c r="I97" s="47">
        <v>10.0276287989598</v>
      </c>
      <c r="J97" s="47">
        <v>14.6107589793596</v>
      </c>
      <c r="K97" s="47">
        <v>20.8516170973508</v>
      </c>
      <c r="L97" s="47">
        <v>25.483503981797401</v>
      </c>
      <c r="M97" s="47">
        <v>29.026491142531999</v>
      </c>
    </row>
    <row r="98" spans="1:13" x14ac:dyDescent="0.25">
      <c r="A98" t="s">
        <v>269</v>
      </c>
      <c r="B98" s="47">
        <v>15636</v>
      </c>
      <c r="C98" s="47">
        <v>6269</v>
      </c>
      <c r="D98" s="47">
        <v>2922</v>
      </c>
      <c r="E98" s="47">
        <v>2325</v>
      </c>
      <c r="F98" s="47">
        <v>2043</v>
      </c>
      <c r="G98" s="47">
        <v>2061</v>
      </c>
      <c r="H98" s="47">
        <v>16</v>
      </c>
      <c r="I98" s="47">
        <v>40.134443021766899</v>
      </c>
      <c r="J98" s="47">
        <v>18.706786171574901</v>
      </c>
      <c r="K98" s="47">
        <v>14.884763124199701</v>
      </c>
      <c r="L98" s="47">
        <v>13.079385403329001</v>
      </c>
      <c r="M98" s="47">
        <v>13.1946222791293</v>
      </c>
    </row>
    <row r="99" spans="1:13" x14ac:dyDescent="0.25">
      <c r="A99" t="s">
        <v>270</v>
      </c>
      <c r="B99" s="47">
        <v>2491</v>
      </c>
      <c r="C99" s="47">
        <v>307</v>
      </c>
      <c r="D99" s="47">
        <v>558</v>
      </c>
      <c r="E99" s="47">
        <v>685</v>
      </c>
      <c r="F99" s="47">
        <v>777</v>
      </c>
      <c r="G99" s="47">
        <v>162</v>
      </c>
      <c r="H99" s="47">
        <v>2</v>
      </c>
      <c r="I99" s="47">
        <v>12.334270791482499</v>
      </c>
      <c r="J99" s="47">
        <v>22.418642024909602</v>
      </c>
      <c r="K99" s="47">
        <v>27.521092808356698</v>
      </c>
      <c r="L99" s="47">
        <v>31.2173563680192</v>
      </c>
      <c r="M99" s="47">
        <v>6.50863800723182</v>
      </c>
    </row>
    <row r="100" spans="1:13" x14ac:dyDescent="0.25">
      <c r="A100" t="s">
        <v>271</v>
      </c>
      <c r="B100" s="47">
        <v>4883</v>
      </c>
      <c r="C100" s="47">
        <v>1649</v>
      </c>
      <c r="D100" s="47">
        <v>1229</v>
      </c>
      <c r="E100" s="47">
        <v>1060</v>
      </c>
      <c r="F100" s="47">
        <v>559</v>
      </c>
      <c r="G100" s="47">
        <v>385</v>
      </c>
      <c r="H100" s="47">
        <v>1</v>
      </c>
      <c r="I100" s="47">
        <v>33.777140516181802</v>
      </c>
      <c r="J100" s="47">
        <v>25.174108971732799</v>
      </c>
      <c r="K100" s="47">
        <v>21.7124129455141</v>
      </c>
      <c r="L100" s="47">
        <v>11.4502253174928</v>
      </c>
      <c r="M100" s="47">
        <v>7.8861122490782396</v>
      </c>
    </row>
    <row r="101" spans="1:13" x14ac:dyDescent="0.25">
      <c r="A101" t="s">
        <v>272</v>
      </c>
      <c r="B101" s="47">
        <v>9583</v>
      </c>
      <c r="C101" s="47">
        <v>1607</v>
      </c>
      <c r="D101" s="47">
        <v>2056</v>
      </c>
      <c r="E101" s="47">
        <v>1902</v>
      </c>
      <c r="F101" s="47">
        <v>1497</v>
      </c>
      <c r="G101" s="47">
        <v>2427</v>
      </c>
      <c r="H101" s="47">
        <v>94</v>
      </c>
      <c r="I101" s="47">
        <v>16.935398882916999</v>
      </c>
      <c r="J101" s="47">
        <v>21.667193592580801</v>
      </c>
      <c r="K101" s="47">
        <v>20.044261776794102</v>
      </c>
      <c r="L101" s="47">
        <v>15.776161871640801</v>
      </c>
      <c r="M101" s="47">
        <v>25.576983876067001</v>
      </c>
    </row>
    <row r="102" spans="1:13" x14ac:dyDescent="0.25">
      <c r="A102" t="s">
        <v>273</v>
      </c>
      <c r="B102" s="47">
        <v>126</v>
      </c>
      <c r="C102" s="47">
        <v>1</v>
      </c>
      <c r="D102" s="47">
        <v>32</v>
      </c>
      <c r="E102" s="47">
        <v>17</v>
      </c>
      <c r="F102" s="47">
        <v>73</v>
      </c>
      <c r="G102" s="47">
        <v>3</v>
      </c>
      <c r="H102" s="47" t="s">
        <v>113</v>
      </c>
      <c r="I102" s="47">
        <v>0.79365079365079305</v>
      </c>
      <c r="J102" s="47">
        <v>25.396825396825299</v>
      </c>
      <c r="K102" s="47">
        <v>13.4920634920634</v>
      </c>
      <c r="L102" s="47">
        <v>57.936507936507901</v>
      </c>
      <c r="M102" s="47">
        <v>2.38095238095238</v>
      </c>
    </row>
    <row r="103" spans="1:13" x14ac:dyDescent="0.25">
      <c r="A103" t="s">
        <v>274</v>
      </c>
      <c r="B103" s="47">
        <v>147</v>
      </c>
      <c r="C103" s="47" t="s">
        <v>113</v>
      </c>
      <c r="D103" s="47">
        <v>14</v>
      </c>
      <c r="E103" s="47">
        <v>44</v>
      </c>
      <c r="F103" s="47">
        <v>72</v>
      </c>
      <c r="G103" s="47">
        <v>17</v>
      </c>
      <c r="H103" s="47" t="s">
        <v>113</v>
      </c>
      <c r="I103" s="47" t="s">
        <v>113</v>
      </c>
      <c r="J103" s="47">
        <v>9.5238095238095202</v>
      </c>
      <c r="K103" s="47">
        <v>29.931972789115601</v>
      </c>
      <c r="L103" s="47">
        <v>48.979591836734599</v>
      </c>
      <c r="M103" s="47">
        <v>11.5646258503401</v>
      </c>
    </row>
    <row r="104" spans="1:13" x14ac:dyDescent="0.25">
      <c r="A104" t="s">
        <v>275</v>
      </c>
      <c r="B104" s="47">
        <v>4547</v>
      </c>
      <c r="C104" s="47">
        <v>1136</v>
      </c>
      <c r="D104" s="47">
        <v>847</v>
      </c>
      <c r="E104" s="47">
        <v>753</v>
      </c>
      <c r="F104" s="47">
        <v>1223</v>
      </c>
      <c r="G104" s="47">
        <v>586</v>
      </c>
      <c r="H104" s="47">
        <v>2</v>
      </c>
      <c r="I104" s="47">
        <v>24.9944994499449</v>
      </c>
      <c r="J104" s="47">
        <v>18.6358635863586</v>
      </c>
      <c r="K104" s="47">
        <v>16.567656765676499</v>
      </c>
      <c r="L104" s="47">
        <v>26.9086908690869</v>
      </c>
      <c r="M104" s="47">
        <v>12.8932893289328</v>
      </c>
    </row>
    <row r="105" spans="1:13" x14ac:dyDescent="0.25">
      <c r="A105" t="s">
        <v>276</v>
      </c>
      <c r="B105" s="47">
        <v>181</v>
      </c>
      <c r="C105" s="47" t="s">
        <v>113</v>
      </c>
      <c r="D105" s="47">
        <v>80</v>
      </c>
      <c r="E105" s="47">
        <v>101</v>
      </c>
      <c r="F105" s="47" t="s">
        <v>113</v>
      </c>
      <c r="G105" s="47" t="s">
        <v>113</v>
      </c>
      <c r="H105" s="47" t="s">
        <v>113</v>
      </c>
      <c r="I105" s="47" t="s">
        <v>113</v>
      </c>
      <c r="J105" s="47">
        <v>44.198895027624303</v>
      </c>
      <c r="K105" s="47">
        <v>55.801104972375597</v>
      </c>
      <c r="L105" s="47" t="s">
        <v>113</v>
      </c>
      <c r="M105" s="47" t="s">
        <v>113</v>
      </c>
    </row>
    <row r="106" spans="1:13" x14ac:dyDescent="0.25">
      <c r="A106" t="s">
        <v>277</v>
      </c>
      <c r="B106" s="47">
        <v>57041</v>
      </c>
      <c r="C106" s="47">
        <v>14913</v>
      </c>
      <c r="D106" s="47">
        <v>12022</v>
      </c>
      <c r="E106" s="47">
        <v>10896</v>
      </c>
      <c r="F106" s="47">
        <v>10038</v>
      </c>
      <c r="G106" s="47">
        <v>8952</v>
      </c>
      <c r="H106" s="47">
        <v>220</v>
      </c>
      <c r="I106" s="47">
        <v>26.245578219320301</v>
      </c>
      <c r="J106" s="47">
        <v>21.1576705795392</v>
      </c>
      <c r="K106" s="47">
        <v>19.17600886996</v>
      </c>
      <c r="L106" s="47">
        <v>17.666003766213102</v>
      </c>
      <c r="M106" s="47">
        <v>15.7547385649671</v>
      </c>
    </row>
    <row r="107" spans="1:13" x14ac:dyDescent="0.25">
      <c r="A107" t="s">
        <v>278</v>
      </c>
      <c r="B107" s="47">
        <v>3739</v>
      </c>
      <c r="C107" s="47">
        <v>1353</v>
      </c>
      <c r="D107" s="47">
        <v>1040</v>
      </c>
      <c r="E107" s="47">
        <v>475</v>
      </c>
      <c r="F107" s="47">
        <v>504</v>
      </c>
      <c r="G107" s="47">
        <v>365</v>
      </c>
      <c r="H107" s="47">
        <v>2</v>
      </c>
      <c r="I107" s="47">
        <v>36.2055124431362</v>
      </c>
      <c r="J107" s="47">
        <v>27.829810008027799</v>
      </c>
      <c r="K107" s="47">
        <v>12.7107305325127</v>
      </c>
      <c r="L107" s="47">
        <v>13.4867540808134</v>
      </c>
      <c r="M107" s="47">
        <v>9.76719293550976</v>
      </c>
    </row>
    <row r="108" spans="1:13" x14ac:dyDescent="0.25">
      <c r="A108" t="s">
        <v>279</v>
      </c>
      <c r="B108" s="47">
        <v>1129</v>
      </c>
      <c r="C108" s="47">
        <v>106</v>
      </c>
      <c r="D108" s="47">
        <v>192</v>
      </c>
      <c r="E108" s="47">
        <v>309</v>
      </c>
      <c r="F108" s="47">
        <v>357</v>
      </c>
      <c r="G108" s="47">
        <v>60</v>
      </c>
      <c r="H108" s="47">
        <v>105</v>
      </c>
      <c r="I108" s="47">
        <v>10.3515625</v>
      </c>
      <c r="J108" s="47">
        <v>18.75</v>
      </c>
      <c r="K108" s="47">
        <v>30.17578125</v>
      </c>
      <c r="L108" s="47">
        <v>34.86328125</v>
      </c>
      <c r="M108" s="47">
        <v>5.859375</v>
      </c>
    </row>
    <row r="109" spans="1:13" x14ac:dyDescent="0.25">
      <c r="A109" t="s">
        <v>280</v>
      </c>
      <c r="B109" s="47">
        <v>1363</v>
      </c>
      <c r="C109" s="47">
        <v>167</v>
      </c>
      <c r="D109" s="47">
        <v>334</v>
      </c>
      <c r="E109" s="47">
        <v>501</v>
      </c>
      <c r="F109" s="47">
        <v>266</v>
      </c>
      <c r="G109" s="47">
        <v>77</v>
      </c>
      <c r="H109" s="47">
        <v>18</v>
      </c>
      <c r="I109" s="47">
        <v>12.4163568773234</v>
      </c>
      <c r="J109" s="47">
        <v>24.8327137546468</v>
      </c>
      <c r="K109" s="47">
        <v>37.249070631970199</v>
      </c>
      <c r="L109" s="47">
        <v>19.776951672862399</v>
      </c>
      <c r="M109" s="47">
        <v>5.72490706319702</v>
      </c>
    </row>
    <row r="110" spans="1:13" x14ac:dyDescent="0.25">
      <c r="A110" t="s">
        <v>281</v>
      </c>
      <c r="B110" s="47">
        <v>3733</v>
      </c>
      <c r="C110" s="47">
        <v>1087</v>
      </c>
      <c r="D110" s="47">
        <v>904</v>
      </c>
      <c r="E110" s="47">
        <v>683</v>
      </c>
      <c r="F110" s="47">
        <v>484</v>
      </c>
      <c r="G110" s="47">
        <v>574</v>
      </c>
      <c r="H110" s="47">
        <v>1</v>
      </c>
      <c r="I110" s="47">
        <v>29.126473740621599</v>
      </c>
      <c r="J110" s="47">
        <v>24.222936763129599</v>
      </c>
      <c r="K110" s="47">
        <v>18.301178992497299</v>
      </c>
      <c r="L110" s="47">
        <v>12.968917470525099</v>
      </c>
      <c r="M110" s="47">
        <v>15.380493033226101</v>
      </c>
    </row>
    <row r="111" spans="1:13" x14ac:dyDescent="0.25">
      <c r="A111" t="s">
        <v>282</v>
      </c>
      <c r="B111" s="47">
        <v>3178</v>
      </c>
      <c r="C111" s="47">
        <v>655</v>
      </c>
      <c r="D111" s="47">
        <v>854</v>
      </c>
      <c r="E111" s="47">
        <v>626</v>
      </c>
      <c r="F111" s="47">
        <v>579</v>
      </c>
      <c r="G111" s="47">
        <v>462</v>
      </c>
      <c r="H111" s="47">
        <v>2</v>
      </c>
      <c r="I111" s="47">
        <v>20.6234256926952</v>
      </c>
      <c r="J111" s="47">
        <v>26.889168765743001</v>
      </c>
      <c r="K111" s="47">
        <v>19.710327455919298</v>
      </c>
      <c r="L111" s="47">
        <v>18.230478589420599</v>
      </c>
      <c r="M111" s="47">
        <v>14.546599496221599</v>
      </c>
    </row>
    <row r="112" spans="1:13" x14ac:dyDescent="0.25">
      <c r="A112" t="s">
        <v>283</v>
      </c>
      <c r="B112" s="47">
        <v>6237</v>
      </c>
      <c r="C112" s="47">
        <v>597</v>
      </c>
      <c r="D112" s="47">
        <v>950</v>
      </c>
      <c r="E112" s="47">
        <v>1391</v>
      </c>
      <c r="F112" s="47">
        <v>1535</v>
      </c>
      <c r="G112" s="47">
        <v>1740</v>
      </c>
      <c r="H112" s="47">
        <v>24</v>
      </c>
      <c r="I112" s="47">
        <v>9.6088845968131302</v>
      </c>
      <c r="J112" s="47">
        <v>15.2905198776758</v>
      </c>
      <c r="K112" s="47">
        <v>22.388540157733701</v>
      </c>
      <c r="L112" s="47">
        <v>24.7062610655078</v>
      </c>
      <c r="M112" s="47">
        <v>28.0057943022694</v>
      </c>
    </row>
    <row r="113" spans="1:13" x14ac:dyDescent="0.25">
      <c r="A113" t="s">
        <v>284</v>
      </c>
      <c r="B113" s="47">
        <v>15828</v>
      </c>
      <c r="C113" s="47">
        <v>6329</v>
      </c>
      <c r="D113" s="47">
        <v>2961</v>
      </c>
      <c r="E113" s="47">
        <v>2386</v>
      </c>
      <c r="F113" s="47">
        <v>2064</v>
      </c>
      <c r="G113" s="47">
        <v>2077</v>
      </c>
      <c r="H113" s="47">
        <v>11</v>
      </c>
      <c r="I113" s="47">
        <v>40.013909085161501</v>
      </c>
      <c r="J113" s="47">
        <v>18.720364165138701</v>
      </c>
      <c r="K113" s="47">
        <v>15.0850350888284</v>
      </c>
      <c r="L113" s="47">
        <v>13.049250806094699</v>
      </c>
      <c r="M113" s="47">
        <v>13.1314408547765</v>
      </c>
    </row>
    <row r="114" spans="1:13" x14ac:dyDescent="0.25">
      <c r="A114" t="s">
        <v>285</v>
      </c>
      <c r="B114" s="47">
        <v>2476</v>
      </c>
      <c r="C114" s="47">
        <v>313</v>
      </c>
      <c r="D114" s="47">
        <v>582</v>
      </c>
      <c r="E114" s="47">
        <v>675</v>
      </c>
      <c r="F114" s="47">
        <v>752</v>
      </c>
      <c r="G114" s="47">
        <v>152</v>
      </c>
      <c r="H114" s="47">
        <v>2</v>
      </c>
      <c r="I114" s="47">
        <v>12.651576394502801</v>
      </c>
      <c r="J114" s="47">
        <v>23.524656426839101</v>
      </c>
      <c r="K114" s="47">
        <v>27.283751010509199</v>
      </c>
      <c r="L114" s="47">
        <v>30.3961196443007</v>
      </c>
      <c r="M114" s="47">
        <v>6.1438965238480101</v>
      </c>
    </row>
    <row r="115" spans="1:13" x14ac:dyDescent="0.25">
      <c r="A115" t="s">
        <v>286</v>
      </c>
      <c r="B115" s="47">
        <v>4952</v>
      </c>
      <c r="C115" s="47">
        <v>1675</v>
      </c>
      <c r="D115" s="47">
        <v>1267</v>
      </c>
      <c r="E115" s="47">
        <v>1024</v>
      </c>
      <c r="F115" s="47">
        <v>588</v>
      </c>
      <c r="G115" s="47">
        <v>386</v>
      </c>
      <c r="H115" s="47">
        <v>12</v>
      </c>
      <c r="I115" s="47">
        <v>33.906882591093101</v>
      </c>
      <c r="J115" s="47">
        <v>25.647773279352201</v>
      </c>
      <c r="K115" s="47">
        <v>20.728744939271198</v>
      </c>
      <c r="L115" s="47">
        <v>11.9028340080971</v>
      </c>
      <c r="M115" s="47">
        <v>7.8137651821862297</v>
      </c>
    </row>
    <row r="116" spans="1:13" x14ac:dyDescent="0.25">
      <c r="A116" t="s">
        <v>287</v>
      </c>
      <c r="B116" s="47">
        <v>9586</v>
      </c>
      <c r="C116" s="47">
        <v>1659</v>
      </c>
      <c r="D116" s="47">
        <v>2043</v>
      </c>
      <c r="E116" s="47">
        <v>1943</v>
      </c>
      <c r="F116" s="47">
        <v>1515</v>
      </c>
      <c r="G116" s="47">
        <v>2338</v>
      </c>
      <c r="H116" s="47">
        <v>88</v>
      </c>
      <c r="I116" s="47">
        <v>17.466835123183799</v>
      </c>
      <c r="J116" s="47">
        <v>21.50979153506</v>
      </c>
      <c r="K116" s="47">
        <v>20.456938302800499</v>
      </c>
      <c r="L116" s="47">
        <v>15.950726468730201</v>
      </c>
      <c r="M116" s="47">
        <v>24.615708570225301</v>
      </c>
    </row>
    <row r="117" spans="1:13" x14ac:dyDescent="0.25">
      <c r="A117" t="s">
        <v>288</v>
      </c>
      <c r="B117" s="47">
        <v>139</v>
      </c>
      <c r="C117" s="47" t="s">
        <v>113</v>
      </c>
      <c r="D117" s="47">
        <v>30</v>
      </c>
      <c r="E117" s="47">
        <v>25</v>
      </c>
      <c r="F117" s="47">
        <v>79</v>
      </c>
      <c r="G117" s="47">
        <v>5</v>
      </c>
      <c r="H117" s="47" t="s">
        <v>113</v>
      </c>
      <c r="I117" s="47" t="s">
        <v>113</v>
      </c>
      <c r="J117" s="47">
        <v>21.582733812949598</v>
      </c>
      <c r="K117" s="47">
        <v>17.985611510791301</v>
      </c>
      <c r="L117" s="47">
        <v>56.834532374100696</v>
      </c>
      <c r="M117" s="47">
        <v>3.5971223021582701</v>
      </c>
    </row>
    <row r="118" spans="1:13" x14ac:dyDescent="0.25">
      <c r="A118" t="s">
        <v>289</v>
      </c>
      <c r="B118" s="47">
        <v>141</v>
      </c>
      <c r="C118" s="47" t="s">
        <v>113</v>
      </c>
      <c r="D118" s="47">
        <v>17</v>
      </c>
      <c r="E118" s="47">
        <v>36</v>
      </c>
      <c r="F118" s="47">
        <v>76</v>
      </c>
      <c r="G118" s="47">
        <v>12</v>
      </c>
      <c r="H118" s="47" t="s">
        <v>113</v>
      </c>
      <c r="I118" s="47" t="s">
        <v>113</v>
      </c>
      <c r="J118" s="47">
        <v>12.0567375886524</v>
      </c>
      <c r="K118" s="47">
        <v>25.531914893617</v>
      </c>
      <c r="L118" s="47">
        <v>53.900709219858101</v>
      </c>
      <c r="M118" s="47">
        <v>8.5106382978723403</v>
      </c>
    </row>
    <row r="119" spans="1:13" x14ac:dyDescent="0.25">
      <c r="A119" t="s">
        <v>290</v>
      </c>
      <c r="B119" s="47">
        <v>4657</v>
      </c>
      <c r="C119" s="47">
        <v>1129</v>
      </c>
      <c r="D119" s="47">
        <v>910</v>
      </c>
      <c r="E119" s="47">
        <v>720</v>
      </c>
      <c r="F119" s="47">
        <v>1276</v>
      </c>
      <c r="G119" s="47">
        <v>621</v>
      </c>
      <c r="H119" s="47">
        <v>1</v>
      </c>
      <c r="I119" s="47">
        <v>24.248281786941501</v>
      </c>
      <c r="J119" s="47">
        <v>19.5446735395189</v>
      </c>
      <c r="K119" s="47">
        <v>15.4639175257731</v>
      </c>
      <c r="L119" s="47">
        <v>27.405498281786901</v>
      </c>
      <c r="M119" s="47">
        <v>13.337628865979299</v>
      </c>
    </row>
    <row r="120" spans="1:13" x14ac:dyDescent="0.25">
      <c r="A120" t="s">
        <v>291</v>
      </c>
      <c r="B120" s="47">
        <v>206</v>
      </c>
      <c r="C120" s="47" t="s">
        <v>113</v>
      </c>
      <c r="D120" s="47">
        <v>94</v>
      </c>
      <c r="E120" s="47">
        <v>112</v>
      </c>
      <c r="F120" s="47" t="s">
        <v>113</v>
      </c>
      <c r="G120" s="47" t="s">
        <v>113</v>
      </c>
      <c r="H120" s="47" t="s">
        <v>113</v>
      </c>
      <c r="I120" s="47" t="s">
        <v>113</v>
      </c>
      <c r="J120" s="47">
        <v>45.631067961165002</v>
      </c>
      <c r="K120" s="47">
        <v>54.368932038834899</v>
      </c>
      <c r="L120" s="47" t="s">
        <v>113</v>
      </c>
      <c r="M120" s="47" t="s">
        <v>113</v>
      </c>
    </row>
    <row r="121" spans="1:13" x14ac:dyDescent="0.25">
      <c r="A121" t="s">
        <v>292</v>
      </c>
      <c r="B121" s="47">
        <v>57371</v>
      </c>
      <c r="C121" s="47">
        <v>15070</v>
      </c>
      <c r="D121" s="47">
        <v>12179</v>
      </c>
      <c r="E121" s="47">
        <v>10911</v>
      </c>
      <c r="F121" s="47">
        <v>10076</v>
      </c>
      <c r="G121" s="47">
        <v>8869</v>
      </c>
      <c r="H121" s="47">
        <v>266</v>
      </c>
      <c r="I121" s="47">
        <v>26.389983363978601</v>
      </c>
      <c r="J121" s="47">
        <v>21.327379388845099</v>
      </c>
      <c r="K121" s="47">
        <v>19.106908326766401</v>
      </c>
      <c r="L121" s="47">
        <v>17.6446896068645</v>
      </c>
      <c r="M121" s="47">
        <v>15.5310393135452</v>
      </c>
    </row>
    <row r="122" spans="1:13" x14ac:dyDescent="0.25">
      <c r="A122" t="s">
        <v>293</v>
      </c>
      <c r="B122" s="47">
        <v>3553</v>
      </c>
      <c r="C122" s="47">
        <v>1323</v>
      </c>
      <c r="D122" s="47">
        <v>1007</v>
      </c>
      <c r="E122" s="47">
        <v>463</v>
      </c>
      <c r="F122" s="47">
        <v>467</v>
      </c>
      <c r="G122" s="47">
        <v>292</v>
      </c>
      <c r="H122" s="47">
        <v>1</v>
      </c>
      <c r="I122" s="47">
        <v>37.2466216216216</v>
      </c>
      <c r="J122" s="47">
        <v>28.350225225225198</v>
      </c>
      <c r="K122" s="47">
        <v>13.034909909909899</v>
      </c>
      <c r="L122" s="47">
        <v>13.1475225225225</v>
      </c>
      <c r="M122" s="47">
        <v>8.2207207207207205</v>
      </c>
    </row>
    <row r="123" spans="1:13" x14ac:dyDescent="0.25">
      <c r="A123" t="s">
        <v>294</v>
      </c>
      <c r="B123" s="47">
        <v>1161</v>
      </c>
      <c r="C123" s="47">
        <v>116</v>
      </c>
      <c r="D123" s="47">
        <v>214</v>
      </c>
      <c r="E123" s="47">
        <v>309</v>
      </c>
      <c r="F123" s="47">
        <v>346</v>
      </c>
      <c r="G123" s="47">
        <v>56</v>
      </c>
      <c r="H123" s="47">
        <v>120</v>
      </c>
      <c r="I123" s="47">
        <v>11.143131604226699</v>
      </c>
      <c r="J123" s="47">
        <v>20.557156580211299</v>
      </c>
      <c r="K123" s="47">
        <v>29.682997118155601</v>
      </c>
      <c r="L123" s="47">
        <v>33.237271853986499</v>
      </c>
      <c r="M123" s="47">
        <v>5.3794428434197803</v>
      </c>
    </row>
    <row r="124" spans="1:13" x14ac:dyDescent="0.25">
      <c r="A124" t="s">
        <v>295</v>
      </c>
      <c r="B124" s="47">
        <v>1331</v>
      </c>
      <c r="C124" s="47">
        <v>181</v>
      </c>
      <c r="D124" s="47">
        <v>363</v>
      </c>
      <c r="E124" s="47">
        <v>456</v>
      </c>
      <c r="F124" s="47">
        <v>240</v>
      </c>
      <c r="G124" s="47">
        <v>79</v>
      </c>
      <c r="H124" s="47">
        <v>12</v>
      </c>
      <c r="I124" s="47">
        <v>13.7225170583775</v>
      </c>
      <c r="J124" s="47">
        <v>27.520849128127299</v>
      </c>
      <c r="K124" s="47">
        <v>34.571645185746704</v>
      </c>
      <c r="L124" s="47">
        <v>18.195602729340401</v>
      </c>
      <c r="M124" s="47">
        <v>5.98938589840788</v>
      </c>
    </row>
    <row r="125" spans="1:13" x14ac:dyDescent="0.25">
      <c r="A125" t="s">
        <v>296</v>
      </c>
      <c r="B125" s="47">
        <v>3486</v>
      </c>
      <c r="C125" s="47">
        <v>945</v>
      </c>
      <c r="D125" s="47">
        <v>901</v>
      </c>
      <c r="E125" s="47">
        <v>676</v>
      </c>
      <c r="F125" s="47">
        <v>444</v>
      </c>
      <c r="G125" s="47">
        <v>518</v>
      </c>
      <c r="H125" s="47">
        <v>2</v>
      </c>
      <c r="I125" s="47">
        <v>27.1239954075774</v>
      </c>
      <c r="J125" s="47">
        <v>25.861079219288101</v>
      </c>
      <c r="K125" s="47">
        <v>19.402985074626798</v>
      </c>
      <c r="L125" s="47">
        <v>12.7439724454649</v>
      </c>
      <c r="M125" s="47">
        <v>14.8679678530424</v>
      </c>
    </row>
    <row r="126" spans="1:13" x14ac:dyDescent="0.25">
      <c r="A126" t="s">
        <v>297</v>
      </c>
      <c r="B126" s="47">
        <v>3140</v>
      </c>
      <c r="C126" s="47">
        <v>633</v>
      </c>
      <c r="D126" s="47">
        <v>793</v>
      </c>
      <c r="E126" s="47">
        <v>607</v>
      </c>
      <c r="F126" s="47">
        <v>586</v>
      </c>
      <c r="G126" s="47">
        <v>520</v>
      </c>
      <c r="H126" s="47">
        <v>1</v>
      </c>
      <c r="I126" s="47">
        <v>20.165657852819301</v>
      </c>
      <c r="J126" s="47">
        <v>25.2628225549538</v>
      </c>
      <c r="K126" s="47">
        <v>19.337368588722502</v>
      </c>
      <c r="L126" s="47">
        <v>18.668365721567302</v>
      </c>
      <c r="M126" s="47">
        <v>16.5657852819369</v>
      </c>
    </row>
    <row r="127" spans="1:13" x14ac:dyDescent="0.25">
      <c r="A127" t="s">
        <v>298</v>
      </c>
      <c r="B127" s="47">
        <v>6321</v>
      </c>
      <c r="C127" s="47">
        <v>606</v>
      </c>
      <c r="D127" s="47">
        <v>1047</v>
      </c>
      <c r="E127" s="47">
        <v>1333</v>
      </c>
      <c r="F127" s="47">
        <v>1557</v>
      </c>
      <c r="G127" s="47">
        <v>1747</v>
      </c>
      <c r="H127" s="47">
        <v>31</v>
      </c>
      <c r="I127" s="47">
        <v>9.6343402225755099</v>
      </c>
      <c r="J127" s="47">
        <v>16.645468998410099</v>
      </c>
      <c r="K127" s="47">
        <v>21.192368839427601</v>
      </c>
      <c r="L127" s="47">
        <v>24.7535771065182</v>
      </c>
      <c r="M127" s="47">
        <v>27.774244833068298</v>
      </c>
    </row>
    <row r="128" spans="1:13" x14ac:dyDescent="0.25">
      <c r="A128" t="s">
        <v>299</v>
      </c>
      <c r="B128" s="47">
        <v>15426</v>
      </c>
      <c r="C128" s="47">
        <v>6377</v>
      </c>
      <c r="D128" s="47">
        <v>2889</v>
      </c>
      <c r="E128" s="47">
        <v>2302</v>
      </c>
      <c r="F128" s="47">
        <v>1838</v>
      </c>
      <c r="G128" s="47">
        <v>2002</v>
      </c>
      <c r="H128" s="47">
        <v>18</v>
      </c>
      <c r="I128" s="47">
        <v>41.387590861889898</v>
      </c>
      <c r="J128" s="47">
        <v>18.75</v>
      </c>
      <c r="K128" s="47">
        <v>14.9402907580477</v>
      </c>
      <c r="L128" s="47">
        <v>11.928868120456899</v>
      </c>
      <c r="M128" s="47">
        <v>12.993250259605301</v>
      </c>
    </row>
    <row r="129" spans="1:13" x14ac:dyDescent="0.25">
      <c r="A129" t="s">
        <v>300</v>
      </c>
      <c r="B129" s="47">
        <v>2380</v>
      </c>
      <c r="C129" s="47">
        <v>288</v>
      </c>
      <c r="D129" s="47">
        <v>553</v>
      </c>
      <c r="E129" s="47">
        <v>658</v>
      </c>
      <c r="F129" s="47">
        <v>734</v>
      </c>
      <c r="G129" s="47">
        <v>146</v>
      </c>
      <c r="H129" s="47">
        <v>1</v>
      </c>
      <c r="I129" s="47">
        <v>12.1059268600252</v>
      </c>
      <c r="J129" s="47">
        <v>23.2450609499789</v>
      </c>
      <c r="K129" s="47">
        <v>27.658680117696498</v>
      </c>
      <c r="L129" s="47">
        <v>30.853299705758701</v>
      </c>
      <c r="M129" s="47">
        <v>6.1370323665405602</v>
      </c>
    </row>
    <row r="130" spans="1:13" x14ac:dyDescent="0.25">
      <c r="A130" t="s">
        <v>301</v>
      </c>
      <c r="B130" s="47">
        <v>4766</v>
      </c>
      <c r="C130" s="47">
        <v>1645</v>
      </c>
      <c r="D130" s="47">
        <v>1293</v>
      </c>
      <c r="E130" s="47">
        <v>966</v>
      </c>
      <c r="F130" s="47">
        <v>497</v>
      </c>
      <c r="G130" s="47">
        <v>359</v>
      </c>
      <c r="H130" s="47">
        <v>6</v>
      </c>
      <c r="I130" s="47">
        <v>34.558823529411697</v>
      </c>
      <c r="J130" s="47">
        <v>27.1638655462184</v>
      </c>
      <c r="K130" s="47">
        <v>20.294117647058801</v>
      </c>
      <c r="L130" s="47">
        <v>10.4411764705882</v>
      </c>
      <c r="M130" s="47">
        <v>7.54201680672268</v>
      </c>
    </row>
    <row r="131" spans="1:13" x14ac:dyDescent="0.25">
      <c r="A131" t="s">
        <v>302</v>
      </c>
      <c r="B131" s="47">
        <v>9352</v>
      </c>
      <c r="C131" s="47">
        <v>1640</v>
      </c>
      <c r="D131" s="47">
        <v>1992</v>
      </c>
      <c r="E131" s="47">
        <v>1836</v>
      </c>
      <c r="F131" s="47">
        <v>1533</v>
      </c>
      <c r="G131" s="47">
        <v>2286</v>
      </c>
      <c r="H131" s="47">
        <v>65</v>
      </c>
      <c r="I131" s="47">
        <v>17.659093356304499</v>
      </c>
      <c r="J131" s="47">
        <v>21.449337783999098</v>
      </c>
      <c r="K131" s="47">
        <v>19.769570367179899</v>
      </c>
      <c r="L131" s="47">
        <v>16.5069451922041</v>
      </c>
      <c r="M131" s="47">
        <v>24.615053300312201</v>
      </c>
    </row>
    <row r="132" spans="1:13" x14ac:dyDescent="0.25">
      <c r="A132" t="s">
        <v>303</v>
      </c>
      <c r="B132" s="47">
        <v>143</v>
      </c>
      <c r="C132" s="47" t="s">
        <v>113</v>
      </c>
      <c r="D132" s="47">
        <v>27</v>
      </c>
      <c r="E132" s="47">
        <v>29</v>
      </c>
      <c r="F132" s="47">
        <v>83</v>
      </c>
      <c r="G132" s="47">
        <v>4</v>
      </c>
      <c r="H132" s="47" t="s">
        <v>113</v>
      </c>
      <c r="I132" s="47" t="s">
        <v>113</v>
      </c>
      <c r="J132" s="47">
        <v>18.881118881118802</v>
      </c>
      <c r="K132" s="47">
        <v>20.279720279720198</v>
      </c>
      <c r="L132" s="47">
        <v>58.041958041957997</v>
      </c>
      <c r="M132" s="47">
        <v>2.79720279720279</v>
      </c>
    </row>
    <row r="133" spans="1:13" x14ac:dyDescent="0.25">
      <c r="A133" t="s">
        <v>304</v>
      </c>
      <c r="B133" s="47">
        <v>179</v>
      </c>
      <c r="C133" s="47" t="s">
        <v>113</v>
      </c>
      <c r="D133" s="47">
        <v>16</v>
      </c>
      <c r="E133" s="47">
        <v>60</v>
      </c>
      <c r="F133" s="47">
        <v>87</v>
      </c>
      <c r="G133" s="47">
        <v>16</v>
      </c>
      <c r="H133" s="47" t="s">
        <v>113</v>
      </c>
      <c r="I133" s="47" t="s">
        <v>113</v>
      </c>
      <c r="J133" s="47">
        <v>8.9385474860335101</v>
      </c>
      <c r="K133" s="47">
        <v>33.519553072625698</v>
      </c>
      <c r="L133" s="47">
        <v>48.603351955307197</v>
      </c>
      <c r="M133" s="47">
        <v>8.9385474860335101</v>
      </c>
    </row>
    <row r="134" spans="1:13" x14ac:dyDescent="0.25">
      <c r="A134" t="s">
        <v>305</v>
      </c>
      <c r="B134" s="47">
        <v>4384</v>
      </c>
      <c r="C134" s="47">
        <v>1095</v>
      </c>
      <c r="D134" s="47">
        <v>855</v>
      </c>
      <c r="E134" s="47">
        <v>702</v>
      </c>
      <c r="F134" s="47">
        <v>1147</v>
      </c>
      <c r="G134" s="47">
        <v>583</v>
      </c>
      <c r="H134" s="47">
        <v>2</v>
      </c>
      <c r="I134" s="47">
        <v>24.988589685075301</v>
      </c>
      <c r="J134" s="47">
        <v>19.511638521223102</v>
      </c>
      <c r="K134" s="47">
        <v>16.020082154267399</v>
      </c>
      <c r="L134" s="47">
        <v>26.175262437243202</v>
      </c>
      <c r="M134" s="47">
        <v>13.3044272021907</v>
      </c>
    </row>
    <row r="135" spans="1:13" x14ac:dyDescent="0.25">
      <c r="A135" t="s">
        <v>306</v>
      </c>
      <c r="B135" s="47">
        <v>198</v>
      </c>
      <c r="C135" s="47" t="s">
        <v>113</v>
      </c>
      <c r="D135" s="47">
        <v>88</v>
      </c>
      <c r="E135" s="47">
        <v>110</v>
      </c>
      <c r="F135" s="47" t="s">
        <v>113</v>
      </c>
      <c r="G135" s="47" t="s">
        <v>113</v>
      </c>
      <c r="H135" s="47" t="s">
        <v>113</v>
      </c>
      <c r="I135" s="47" t="s">
        <v>113</v>
      </c>
      <c r="J135" s="47">
        <v>44.4444444444444</v>
      </c>
      <c r="K135" s="47">
        <v>55.5555555555555</v>
      </c>
      <c r="L135" s="47" t="s">
        <v>113</v>
      </c>
      <c r="M135" s="47" t="s">
        <v>113</v>
      </c>
    </row>
    <row r="136" spans="1:13" x14ac:dyDescent="0.25">
      <c r="A136" t="s">
        <v>307</v>
      </c>
      <c r="B136" s="47">
        <v>55820</v>
      </c>
      <c r="C136" s="47">
        <v>14849</v>
      </c>
      <c r="D136" s="47">
        <v>12038</v>
      </c>
      <c r="E136" s="47">
        <v>10507</v>
      </c>
      <c r="F136" s="47">
        <v>9559</v>
      </c>
      <c r="G136" s="47">
        <v>8608</v>
      </c>
      <c r="H136" s="47">
        <v>259</v>
      </c>
      <c r="I136" s="47">
        <v>26.725580893072401</v>
      </c>
      <c r="J136" s="47">
        <v>21.6662767048829</v>
      </c>
      <c r="K136" s="47">
        <v>18.910746746818798</v>
      </c>
      <c r="L136" s="47">
        <v>17.204513957632098</v>
      </c>
      <c r="M136" s="47">
        <v>15.492881697593599</v>
      </c>
    </row>
    <row r="137" spans="1:13" x14ac:dyDescent="0.25">
      <c r="A137" t="s">
        <v>308</v>
      </c>
      <c r="B137" s="47">
        <v>3430</v>
      </c>
      <c r="C137" s="47">
        <v>1227</v>
      </c>
      <c r="D137" s="47">
        <v>991</v>
      </c>
      <c r="E137" s="47">
        <v>464</v>
      </c>
      <c r="F137" s="47">
        <v>446</v>
      </c>
      <c r="G137" s="47">
        <v>299</v>
      </c>
      <c r="H137" s="47">
        <v>3</v>
      </c>
      <c r="I137" s="47">
        <v>35.803910125474097</v>
      </c>
      <c r="J137" s="47">
        <v>28.9174204843886</v>
      </c>
      <c r="K137" s="47">
        <v>13.5395389553545</v>
      </c>
      <c r="L137" s="47">
        <v>13.014298220017499</v>
      </c>
      <c r="M137" s="47">
        <v>8.7248322147650992</v>
      </c>
    </row>
    <row r="138" spans="1:13" x14ac:dyDescent="0.25">
      <c r="A138" t="s">
        <v>309</v>
      </c>
      <c r="B138" s="47">
        <v>1122</v>
      </c>
      <c r="C138" s="47">
        <v>117</v>
      </c>
      <c r="D138" s="47">
        <v>187</v>
      </c>
      <c r="E138" s="47">
        <v>300</v>
      </c>
      <c r="F138" s="47">
        <v>367</v>
      </c>
      <c r="G138" s="47">
        <v>66</v>
      </c>
      <c r="H138" s="47">
        <v>85</v>
      </c>
      <c r="I138" s="47">
        <v>11.282545805207301</v>
      </c>
      <c r="J138" s="47">
        <v>18.032786885245901</v>
      </c>
      <c r="K138" s="47">
        <v>28.929604628736701</v>
      </c>
      <c r="L138" s="47">
        <v>35.390549662487899</v>
      </c>
      <c r="M138" s="47">
        <v>6.3645130183220804</v>
      </c>
    </row>
    <row r="139" spans="1:13" x14ac:dyDescent="0.25">
      <c r="A139" t="s">
        <v>310</v>
      </c>
      <c r="B139" s="47">
        <v>1251</v>
      </c>
      <c r="C139" s="47">
        <v>166</v>
      </c>
      <c r="D139" s="47">
        <v>319</v>
      </c>
      <c r="E139" s="47">
        <v>446</v>
      </c>
      <c r="F139" s="47">
        <v>243</v>
      </c>
      <c r="G139" s="47">
        <v>72</v>
      </c>
      <c r="H139" s="47">
        <v>5</v>
      </c>
      <c r="I139" s="47">
        <v>13.322632423756</v>
      </c>
      <c r="J139" s="47">
        <v>25.601926163723899</v>
      </c>
      <c r="K139" s="47">
        <v>35.7945425361155</v>
      </c>
      <c r="L139" s="47">
        <v>19.5024077046548</v>
      </c>
      <c r="M139" s="47">
        <v>5.7784911717495904</v>
      </c>
    </row>
    <row r="140" spans="1:13" x14ac:dyDescent="0.25">
      <c r="A140" t="s">
        <v>311</v>
      </c>
      <c r="B140" s="47">
        <v>3436</v>
      </c>
      <c r="C140" s="47">
        <v>928</v>
      </c>
      <c r="D140" s="47">
        <v>845</v>
      </c>
      <c r="E140" s="47">
        <v>708</v>
      </c>
      <c r="F140" s="47">
        <v>422</v>
      </c>
      <c r="G140" s="47">
        <v>530</v>
      </c>
      <c r="H140" s="47">
        <v>3</v>
      </c>
      <c r="I140" s="47">
        <v>27.0317506554034</v>
      </c>
      <c r="J140" s="47">
        <v>24.614040198077401</v>
      </c>
      <c r="K140" s="47">
        <v>20.6233614914069</v>
      </c>
      <c r="L140" s="47">
        <v>12.292455578211399</v>
      </c>
      <c r="M140" s="47">
        <v>15.4383920769006</v>
      </c>
    </row>
    <row r="141" spans="1:13" x14ac:dyDescent="0.25">
      <c r="A141" t="s">
        <v>312</v>
      </c>
      <c r="B141" s="47">
        <v>3116</v>
      </c>
      <c r="C141" s="47">
        <v>619</v>
      </c>
      <c r="D141" s="47">
        <v>832</v>
      </c>
      <c r="E141" s="47">
        <v>625</v>
      </c>
      <c r="F141" s="47">
        <v>568</v>
      </c>
      <c r="G141" s="47">
        <v>472</v>
      </c>
      <c r="H141" s="47" t="s">
        <v>113</v>
      </c>
      <c r="I141" s="47">
        <v>19.865211810012799</v>
      </c>
      <c r="J141" s="47">
        <v>26.700898587933199</v>
      </c>
      <c r="K141" s="47">
        <v>20.057766367137301</v>
      </c>
      <c r="L141" s="47">
        <v>18.2284980744544</v>
      </c>
      <c r="M141" s="47">
        <v>15.1476251604621</v>
      </c>
    </row>
    <row r="142" spans="1:13" x14ac:dyDescent="0.25">
      <c r="A142" t="s">
        <v>313</v>
      </c>
      <c r="B142" s="47">
        <v>6289</v>
      </c>
      <c r="C142" s="47">
        <v>600</v>
      </c>
      <c r="D142" s="47">
        <v>868</v>
      </c>
      <c r="E142" s="47">
        <v>1358</v>
      </c>
      <c r="F142" s="47">
        <v>1596</v>
      </c>
      <c r="G142" s="47">
        <v>1821</v>
      </c>
      <c r="H142" s="47">
        <v>46</v>
      </c>
      <c r="I142" s="47">
        <v>9.6107640557424308</v>
      </c>
      <c r="J142" s="47">
        <v>13.9035720006407</v>
      </c>
      <c r="K142" s="47">
        <v>21.7523626461637</v>
      </c>
      <c r="L142" s="47">
        <v>25.564632388274799</v>
      </c>
      <c r="M142" s="47">
        <v>29.168668909178201</v>
      </c>
    </row>
    <row r="143" spans="1:13" x14ac:dyDescent="0.25">
      <c r="A143" t="s">
        <v>314</v>
      </c>
      <c r="B143" s="47">
        <v>14815</v>
      </c>
      <c r="C143" s="47">
        <v>5735</v>
      </c>
      <c r="D143" s="47">
        <v>2657</v>
      </c>
      <c r="E143" s="47">
        <v>2246</v>
      </c>
      <c r="F143" s="47">
        <v>1951</v>
      </c>
      <c r="G143" s="47">
        <v>2134</v>
      </c>
      <c r="H143" s="47">
        <v>92</v>
      </c>
      <c r="I143" s="47">
        <v>38.952659104802002</v>
      </c>
      <c r="J143" s="47">
        <v>18.0465937648577</v>
      </c>
      <c r="K143" s="47">
        <v>15.255043129796899</v>
      </c>
      <c r="L143" s="47">
        <v>13.251375399035499</v>
      </c>
      <c r="M143" s="47">
        <v>14.494328601507799</v>
      </c>
    </row>
    <row r="144" spans="1:13" x14ac:dyDescent="0.25">
      <c r="A144" t="s">
        <v>315</v>
      </c>
      <c r="B144" s="47">
        <v>2299</v>
      </c>
      <c r="C144" s="47">
        <v>286</v>
      </c>
      <c r="D144" s="47">
        <v>540</v>
      </c>
      <c r="E144" s="47">
        <v>635</v>
      </c>
      <c r="F144" s="47">
        <v>702</v>
      </c>
      <c r="G144" s="47">
        <v>133</v>
      </c>
      <c r="H144" s="47">
        <v>3</v>
      </c>
      <c r="I144" s="47">
        <v>12.4564459930313</v>
      </c>
      <c r="J144" s="47">
        <v>23.519163763066199</v>
      </c>
      <c r="K144" s="47">
        <v>27.656794425087099</v>
      </c>
      <c r="L144" s="47">
        <v>30.574912891985999</v>
      </c>
      <c r="M144" s="47">
        <v>5.7926829268292597</v>
      </c>
    </row>
    <row r="145" spans="1:13" x14ac:dyDescent="0.25">
      <c r="A145" t="s">
        <v>316</v>
      </c>
      <c r="B145" s="47">
        <v>4700</v>
      </c>
      <c r="C145" s="47">
        <v>1604</v>
      </c>
      <c r="D145" s="47">
        <v>1262</v>
      </c>
      <c r="E145" s="47">
        <v>945</v>
      </c>
      <c r="F145" s="47">
        <v>524</v>
      </c>
      <c r="G145" s="47">
        <v>359</v>
      </c>
      <c r="H145" s="47">
        <v>6</v>
      </c>
      <c r="I145" s="47">
        <v>34.171282488282898</v>
      </c>
      <c r="J145" s="47">
        <v>26.8853855986365</v>
      </c>
      <c r="K145" s="47">
        <v>20.132083510864899</v>
      </c>
      <c r="L145" s="47">
        <v>11.1631870472944</v>
      </c>
      <c r="M145" s="47">
        <v>7.64806135492117</v>
      </c>
    </row>
    <row r="146" spans="1:13" x14ac:dyDescent="0.25">
      <c r="A146" t="s">
        <v>317</v>
      </c>
      <c r="B146" s="47">
        <v>9520</v>
      </c>
      <c r="C146" s="47">
        <v>1643</v>
      </c>
      <c r="D146" s="47">
        <v>2046</v>
      </c>
      <c r="E146" s="47">
        <v>1915</v>
      </c>
      <c r="F146" s="47">
        <v>1581</v>
      </c>
      <c r="G146" s="47">
        <v>2285</v>
      </c>
      <c r="H146" s="47">
        <v>50</v>
      </c>
      <c r="I146" s="47">
        <v>17.3495248152059</v>
      </c>
      <c r="J146" s="47">
        <v>21.605068637803502</v>
      </c>
      <c r="K146" s="47">
        <v>20.221752903906999</v>
      </c>
      <c r="L146" s="47">
        <v>16.694825765575501</v>
      </c>
      <c r="M146" s="47">
        <v>24.128827877507899</v>
      </c>
    </row>
    <row r="147" spans="1:13" x14ac:dyDescent="0.25">
      <c r="A147" t="s">
        <v>318</v>
      </c>
      <c r="B147" s="47">
        <v>124</v>
      </c>
      <c r="C147" s="47">
        <v>1</v>
      </c>
      <c r="D147" s="47">
        <v>19</v>
      </c>
      <c r="E147" s="47">
        <v>16</v>
      </c>
      <c r="F147" s="47">
        <v>83</v>
      </c>
      <c r="G147" s="47">
        <v>5</v>
      </c>
      <c r="H147" s="47" t="s">
        <v>113</v>
      </c>
      <c r="I147" s="47">
        <v>0.80645161290322498</v>
      </c>
      <c r="J147" s="47">
        <v>15.322580645161199</v>
      </c>
      <c r="K147" s="47">
        <v>12.9032258064516</v>
      </c>
      <c r="L147" s="47">
        <v>66.935483870967701</v>
      </c>
      <c r="M147" s="47">
        <v>4.0322580645161201</v>
      </c>
    </row>
    <row r="148" spans="1:13" x14ac:dyDescent="0.25">
      <c r="A148" t="s">
        <v>319</v>
      </c>
      <c r="B148" s="47">
        <v>143</v>
      </c>
      <c r="C148" s="47" t="s">
        <v>113</v>
      </c>
      <c r="D148" s="47">
        <v>7</v>
      </c>
      <c r="E148" s="47">
        <v>52</v>
      </c>
      <c r="F148" s="47">
        <v>73</v>
      </c>
      <c r="G148" s="47">
        <v>11</v>
      </c>
      <c r="H148" s="47" t="s">
        <v>113</v>
      </c>
      <c r="I148" s="47" t="s">
        <v>113</v>
      </c>
      <c r="J148" s="47">
        <v>4.8951048951048897</v>
      </c>
      <c r="K148" s="47">
        <v>36.363636363636303</v>
      </c>
      <c r="L148" s="47">
        <v>51.048951048950997</v>
      </c>
      <c r="M148" s="47">
        <v>7.6923076923076898</v>
      </c>
    </row>
    <row r="149" spans="1:13" x14ac:dyDescent="0.25">
      <c r="A149" t="s">
        <v>320</v>
      </c>
      <c r="B149" s="47">
        <v>4269</v>
      </c>
      <c r="C149" s="47">
        <v>1029</v>
      </c>
      <c r="D149" s="47">
        <v>840</v>
      </c>
      <c r="E149" s="47">
        <v>682</v>
      </c>
      <c r="F149" s="47">
        <v>1144</v>
      </c>
      <c r="G149" s="47">
        <v>574</v>
      </c>
      <c r="H149" s="47" t="s">
        <v>113</v>
      </c>
      <c r="I149" s="47">
        <v>24.104005621925499</v>
      </c>
      <c r="J149" s="47">
        <v>19.676739283204402</v>
      </c>
      <c r="K149" s="47">
        <v>15.9756383227922</v>
      </c>
      <c r="L149" s="47">
        <v>26.797844928554699</v>
      </c>
      <c r="M149" s="47">
        <v>13.445771843523</v>
      </c>
    </row>
    <row r="150" spans="1:13" x14ac:dyDescent="0.25">
      <c r="A150" t="s">
        <v>321</v>
      </c>
      <c r="B150" s="47">
        <v>195</v>
      </c>
      <c r="C150" s="47" t="s">
        <v>113</v>
      </c>
      <c r="D150" s="47">
        <v>92</v>
      </c>
      <c r="E150" s="47">
        <v>102</v>
      </c>
      <c r="F150" s="47">
        <v>1</v>
      </c>
      <c r="G150" s="47" t="s">
        <v>113</v>
      </c>
      <c r="H150" s="47" t="s">
        <v>113</v>
      </c>
      <c r="I150" s="47" t="s">
        <v>113</v>
      </c>
      <c r="J150" s="47">
        <v>47.179487179487097</v>
      </c>
      <c r="K150" s="47">
        <v>52.307692307692299</v>
      </c>
      <c r="L150" s="47">
        <v>0.512820512820512</v>
      </c>
      <c r="M150" s="47" t="s">
        <v>113</v>
      </c>
    </row>
    <row r="151" spans="1:13" x14ac:dyDescent="0.25">
      <c r="A151" t="s">
        <v>322</v>
      </c>
      <c r="B151" s="47">
        <v>54709</v>
      </c>
      <c r="C151" s="47">
        <v>13955</v>
      </c>
      <c r="D151" s="47">
        <v>11505</v>
      </c>
      <c r="E151" s="47">
        <v>10494</v>
      </c>
      <c r="F151" s="47">
        <v>9701</v>
      </c>
      <c r="G151" s="47">
        <v>8761</v>
      </c>
      <c r="H151" s="47">
        <v>293</v>
      </c>
      <c r="I151" s="47">
        <v>25.6450308732725</v>
      </c>
      <c r="J151" s="47">
        <v>21.142678623934099</v>
      </c>
      <c r="K151" s="47">
        <v>19.284769185533602</v>
      </c>
      <c r="L151" s="47">
        <v>17.827477212584501</v>
      </c>
      <c r="M151" s="47">
        <v>16.100044104675</v>
      </c>
    </row>
    <row r="152" spans="1:13" x14ac:dyDescent="0.25">
      <c r="A152" t="s">
        <v>323</v>
      </c>
      <c r="B152" s="47">
        <v>3503</v>
      </c>
      <c r="C152" s="47">
        <v>1351</v>
      </c>
      <c r="D152" s="47">
        <v>838</v>
      </c>
      <c r="E152" s="47">
        <v>556</v>
      </c>
      <c r="F152" s="47">
        <v>405</v>
      </c>
      <c r="G152" s="47">
        <v>353</v>
      </c>
      <c r="H152" s="47" t="s">
        <v>113</v>
      </c>
      <c r="I152" s="47">
        <v>38.566942620610902</v>
      </c>
      <c r="J152" s="47">
        <v>23.922352269483198</v>
      </c>
      <c r="K152" s="47">
        <v>15.8721096203254</v>
      </c>
      <c r="L152" s="47">
        <v>11.561518698258601</v>
      </c>
      <c r="M152" s="47">
        <v>10.0770767913217</v>
      </c>
    </row>
    <row r="153" spans="1:13" x14ac:dyDescent="0.25">
      <c r="A153" t="s">
        <v>324</v>
      </c>
      <c r="B153" s="47">
        <v>1035</v>
      </c>
      <c r="C153" s="47">
        <v>86</v>
      </c>
      <c r="D153" s="47">
        <v>186</v>
      </c>
      <c r="E153" s="47">
        <v>339</v>
      </c>
      <c r="F153" s="47">
        <v>265</v>
      </c>
      <c r="G153" s="47">
        <v>75</v>
      </c>
      <c r="H153" s="47">
        <v>84</v>
      </c>
      <c r="I153" s="47">
        <v>9.0431125131440595</v>
      </c>
      <c r="J153" s="47">
        <v>19.5583596214511</v>
      </c>
      <c r="K153" s="47">
        <v>35.6466876971608</v>
      </c>
      <c r="L153" s="47">
        <v>27.8654048370136</v>
      </c>
      <c r="M153" s="47">
        <v>7.8864353312302802</v>
      </c>
    </row>
    <row r="154" spans="1:13" x14ac:dyDescent="0.25">
      <c r="A154" t="s">
        <v>325</v>
      </c>
      <c r="B154" s="47">
        <v>1194</v>
      </c>
      <c r="C154" s="47">
        <v>173</v>
      </c>
      <c r="D154" s="47">
        <v>369</v>
      </c>
      <c r="E154" s="47">
        <v>397</v>
      </c>
      <c r="F154" s="47">
        <v>160</v>
      </c>
      <c r="G154" s="47">
        <v>90</v>
      </c>
      <c r="H154" s="47">
        <v>5</v>
      </c>
      <c r="I154" s="47">
        <v>14.550042052144599</v>
      </c>
      <c r="J154" s="47">
        <v>31.034482758620602</v>
      </c>
      <c r="K154" s="47">
        <v>33.389402859545797</v>
      </c>
      <c r="L154" s="47">
        <v>13.4566862910008</v>
      </c>
      <c r="M154" s="47">
        <v>7.5693860386879699</v>
      </c>
    </row>
    <row r="155" spans="1:13" x14ac:dyDescent="0.25">
      <c r="A155" t="s">
        <v>326</v>
      </c>
      <c r="B155" s="47">
        <v>3435</v>
      </c>
      <c r="C155" s="47">
        <v>1026</v>
      </c>
      <c r="D155" s="47">
        <v>788</v>
      </c>
      <c r="E155" s="47">
        <v>650</v>
      </c>
      <c r="F155" s="47">
        <v>446</v>
      </c>
      <c r="G155" s="47">
        <v>524</v>
      </c>
      <c r="H155" s="47">
        <v>1</v>
      </c>
      <c r="I155" s="47">
        <v>29.877693651718101</v>
      </c>
      <c r="J155" s="47">
        <v>22.9470005824111</v>
      </c>
      <c r="K155" s="47">
        <v>18.9283634245777</v>
      </c>
      <c r="L155" s="47">
        <v>12.9877693651718</v>
      </c>
      <c r="M155" s="47">
        <v>15.2591729761211</v>
      </c>
    </row>
    <row r="156" spans="1:13" x14ac:dyDescent="0.25">
      <c r="A156" t="s">
        <v>327</v>
      </c>
      <c r="B156" s="47">
        <v>3099</v>
      </c>
      <c r="C156" s="47">
        <v>657</v>
      </c>
      <c r="D156" s="47">
        <v>784</v>
      </c>
      <c r="E156" s="47">
        <v>517</v>
      </c>
      <c r="F156" s="47">
        <v>598</v>
      </c>
      <c r="G156" s="47">
        <v>541</v>
      </c>
      <c r="H156" s="47">
        <v>2</v>
      </c>
      <c r="I156" s="47">
        <v>21.214078140135602</v>
      </c>
      <c r="J156" s="47">
        <v>25.314820794317001</v>
      </c>
      <c r="K156" s="47">
        <v>16.6935744268647</v>
      </c>
      <c r="L156" s="47">
        <v>19.309008718114299</v>
      </c>
      <c r="M156" s="47">
        <v>17.4685179205682</v>
      </c>
    </row>
    <row r="157" spans="1:13" x14ac:dyDescent="0.25">
      <c r="A157" t="s">
        <v>328</v>
      </c>
      <c r="B157" s="47">
        <v>6231</v>
      </c>
      <c r="C157" s="47">
        <v>415</v>
      </c>
      <c r="D157" s="47">
        <v>1097</v>
      </c>
      <c r="E157" s="47">
        <v>1149</v>
      </c>
      <c r="F157" s="47">
        <v>1659</v>
      </c>
      <c r="G157" s="47">
        <v>1902</v>
      </c>
      <c r="H157" s="47">
        <v>9</v>
      </c>
      <c r="I157" s="47">
        <v>6.6698810671809703</v>
      </c>
      <c r="J157" s="47">
        <v>17.630986820957801</v>
      </c>
      <c r="K157" s="47">
        <v>18.466730954676901</v>
      </c>
      <c r="L157" s="47">
        <v>26.663452266152301</v>
      </c>
      <c r="M157" s="47">
        <v>30.568948891031798</v>
      </c>
    </row>
    <row r="158" spans="1:13" x14ac:dyDescent="0.25">
      <c r="A158" t="s">
        <v>329</v>
      </c>
      <c r="B158" s="47">
        <v>15080</v>
      </c>
      <c r="C158" s="47">
        <v>5818</v>
      </c>
      <c r="D158" s="47">
        <v>2813</v>
      </c>
      <c r="E158" s="47">
        <v>2100</v>
      </c>
      <c r="F158" s="47">
        <v>2051</v>
      </c>
      <c r="G158" s="47">
        <v>2284</v>
      </c>
      <c r="H158" s="47">
        <v>14</v>
      </c>
      <c r="I158" s="47">
        <v>38.616752953670499</v>
      </c>
      <c r="J158" s="47">
        <v>18.6711801407141</v>
      </c>
      <c r="K158" s="47">
        <v>13.938669852648299</v>
      </c>
      <c r="L158" s="47">
        <v>13.613434222753201</v>
      </c>
      <c r="M158" s="47">
        <v>15.159962830213701</v>
      </c>
    </row>
    <row r="159" spans="1:13" x14ac:dyDescent="0.25">
      <c r="A159" t="s">
        <v>330</v>
      </c>
      <c r="B159" s="47">
        <v>2299</v>
      </c>
      <c r="C159" s="47">
        <v>249</v>
      </c>
      <c r="D159" s="47">
        <v>487</v>
      </c>
      <c r="E159" s="47">
        <v>656</v>
      </c>
      <c r="F159" s="47">
        <v>704</v>
      </c>
      <c r="G159" s="47">
        <v>200</v>
      </c>
      <c r="H159" s="47">
        <v>3</v>
      </c>
      <c r="I159" s="47">
        <v>10.844947735191599</v>
      </c>
      <c r="J159" s="47">
        <v>21.2108013937282</v>
      </c>
      <c r="K159" s="47">
        <v>28.571428571428498</v>
      </c>
      <c r="L159" s="47">
        <v>30.662020905923299</v>
      </c>
      <c r="M159" s="47">
        <v>8.7108013937282198</v>
      </c>
    </row>
    <row r="160" spans="1:13" x14ac:dyDescent="0.25">
      <c r="A160" t="s">
        <v>331</v>
      </c>
      <c r="B160" s="47">
        <v>4723</v>
      </c>
      <c r="C160" s="47">
        <v>1575</v>
      </c>
      <c r="D160" s="47">
        <v>1263</v>
      </c>
      <c r="E160" s="47">
        <v>840</v>
      </c>
      <c r="F160" s="47">
        <v>663</v>
      </c>
      <c r="G160" s="47">
        <v>376</v>
      </c>
      <c r="H160" s="47">
        <v>6</v>
      </c>
      <c r="I160" s="47">
        <v>33.389866440534199</v>
      </c>
      <c r="J160" s="47">
        <v>26.7754928980284</v>
      </c>
      <c r="K160" s="47">
        <v>17.807928768284899</v>
      </c>
      <c r="L160" s="47">
        <v>14.0555437778248</v>
      </c>
      <c r="M160" s="47">
        <v>7.9711681153275302</v>
      </c>
    </row>
    <row r="161" spans="1:13" x14ac:dyDescent="0.25">
      <c r="A161" t="s">
        <v>332</v>
      </c>
      <c r="B161" s="47">
        <v>9233</v>
      </c>
      <c r="C161" s="47">
        <v>1574</v>
      </c>
      <c r="D161" s="47">
        <v>2031</v>
      </c>
      <c r="E161" s="47">
        <v>1651</v>
      </c>
      <c r="F161" s="47">
        <v>1619</v>
      </c>
      <c r="G161" s="47">
        <v>2340</v>
      </c>
      <c r="H161" s="47">
        <v>18</v>
      </c>
      <c r="I161" s="47">
        <v>17.0808464460119</v>
      </c>
      <c r="J161" s="47">
        <v>22.040151926207201</v>
      </c>
      <c r="K161" s="47">
        <v>17.916440586000999</v>
      </c>
      <c r="L161" s="47">
        <v>17.569180683667899</v>
      </c>
      <c r="M161" s="47">
        <v>25.393380358111699</v>
      </c>
    </row>
    <row r="162" spans="1:13" x14ac:dyDescent="0.25">
      <c r="A162" t="s">
        <v>333</v>
      </c>
      <c r="B162" s="47">
        <v>140</v>
      </c>
      <c r="C162" s="47" t="s">
        <v>113</v>
      </c>
      <c r="D162" s="47">
        <v>20</v>
      </c>
      <c r="E162" s="47">
        <v>35</v>
      </c>
      <c r="F162" s="47">
        <v>68</v>
      </c>
      <c r="G162" s="47">
        <v>16</v>
      </c>
      <c r="H162" s="47">
        <v>1</v>
      </c>
      <c r="I162" s="47" t="s">
        <v>113</v>
      </c>
      <c r="J162" s="47">
        <v>14.388489208633001</v>
      </c>
      <c r="K162" s="47">
        <v>25.179856115107899</v>
      </c>
      <c r="L162" s="47">
        <v>48.920863309352498</v>
      </c>
      <c r="M162" s="47">
        <v>11.5107913669064</v>
      </c>
    </row>
    <row r="163" spans="1:13" x14ac:dyDescent="0.25">
      <c r="A163" t="s">
        <v>334</v>
      </c>
      <c r="B163" s="47">
        <v>153</v>
      </c>
      <c r="C163" s="47" t="s">
        <v>113</v>
      </c>
      <c r="D163" s="47">
        <v>3</v>
      </c>
      <c r="E163" s="47">
        <v>45</v>
      </c>
      <c r="F163" s="47">
        <v>105</v>
      </c>
      <c r="G163" s="47" t="s">
        <v>113</v>
      </c>
      <c r="H163" s="47" t="s">
        <v>113</v>
      </c>
      <c r="I163" s="47" t="s">
        <v>113</v>
      </c>
      <c r="J163" s="47">
        <v>1.9607843137254899</v>
      </c>
      <c r="K163" s="47">
        <v>29.411764705882302</v>
      </c>
      <c r="L163" s="47">
        <v>68.627450980392098</v>
      </c>
      <c r="M163" s="47" t="s">
        <v>113</v>
      </c>
    </row>
    <row r="164" spans="1:13" x14ac:dyDescent="0.25">
      <c r="A164" t="s">
        <v>335</v>
      </c>
      <c r="B164" s="47">
        <v>4428</v>
      </c>
      <c r="C164" s="47">
        <v>1056</v>
      </c>
      <c r="D164" s="47">
        <v>758</v>
      </c>
      <c r="E164" s="47">
        <v>927</v>
      </c>
      <c r="F164" s="47">
        <v>1052</v>
      </c>
      <c r="G164" s="47">
        <v>635</v>
      </c>
      <c r="H164" s="47" t="s">
        <v>113</v>
      </c>
      <c r="I164" s="47">
        <v>23.848238482384801</v>
      </c>
      <c r="J164" s="47">
        <v>17.118337850045101</v>
      </c>
      <c r="K164" s="47">
        <v>20.934959349593399</v>
      </c>
      <c r="L164" s="47">
        <v>23.757904245709099</v>
      </c>
      <c r="M164" s="47">
        <v>14.3405600722673</v>
      </c>
    </row>
    <row r="165" spans="1:13" x14ac:dyDescent="0.25">
      <c r="A165" t="s">
        <v>336</v>
      </c>
      <c r="B165" s="47">
        <v>172</v>
      </c>
      <c r="C165" s="47" t="s">
        <v>113</v>
      </c>
      <c r="D165" s="47">
        <v>39</v>
      </c>
      <c r="E165" s="47">
        <v>112</v>
      </c>
      <c r="F165" s="47">
        <v>21</v>
      </c>
      <c r="G165" s="47" t="s">
        <v>113</v>
      </c>
      <c r="H165" s="47" t="s">
        <v>113</v>
      </c>
      <c r="I165" s="47" t="s">
        <v>113</v>
      </c>
      <c r="J165" s="47">
        <v>22.674418604651098</v>
      </c>
      <c r="K165" s="47">
        <v>65.116279069767401</v>
      </c>
      <c r="L165" s="47">
        <v>12.2093023255813</v>
      </c>
      <c r="M165" s="47" t="s">
        <v>113</v>
      </c>
    </row>
    <row r="166" spans="1:13" x14ac:dyDescent="0.25">
      <c r="A166" t="s">
        <v>337</v>
      </c>
      <c r="B166" s="47">
        <v>54725</v>
      </c>
      <c r="C166" s="47">
        <v>13980</v>
      </c>
      <c r="D166" s="47">
        <v>11476</v>
      </c>
      <c r="E166" s="47">
        <v>9974</v>
      </c>
      <c r="F166" s="47">
        <v>9816</v>
      </c>
      <c r="G166" s="47">
        <v>9336</v>
      </c>
      <c r="H166" s="47">
        <v>143</v>
      </c>
      <c r="I166" s="47">
        <v>25.612839397603601</v>
      </c>
      <c r="J166" s="47">
        <v>21.025246418233099</v>
      </c>
      <c r="K166" s="47">
        <v>18.273423472939701</v>
      </c>
      <c r="L166" s="47">
        <v>17.983950752995401</v>
      </c>
      <c r="M166" s="47">
        <v>17.1045399582279</v>
      </c>
    </row>
    <row r="167" spans="1:13" x14ac:dyDescent="0.25">
      <c r="A167" t="s">
        <v>338</v>
      </c>
      <c r="B167" s="47">
        <v>3419</v>
      </c>
      <c r="C167" s="47">
        <v>1292</v>
      </c>
      <c r="D167" s="47">
        <v>868</v>
      </c>
      <c r="E167" s="47">
        <v>534</v>
      </c>
      <c r="F167" s="47">
        <v>393</v>
      </c>
      <c r="G167" s="47">
        <v>331</v>
      </c>
      <c r="H167" s="47">
        <v>1</v>
      </c>
      <c r="I167" s="47">
        <v>37.799882972498501</v>
      </c>
      <c r="J167" s="47">
        <v>25.394967817437099</v>
      </c>
      <c r="K167" s="47">
        <v>15.6231714452896</v>
      </c>
      <c r="L167" s="47">
        <v>11.4979520187244</v>
      </c>
      <c r="M167" s="47">
        <v>9.6840257460503203</v>
      </c>
    </row>
    <row r="168" spans="1:13" x14ac:dyDescent="0.25">
      <c r="A168" t="s">
        <v>339</v>
      </c>
      <c r="B168" s="47">
        <v>1047</v>
      </c>
      <c r="C168" s="47">
        <v>99</v>
      </c>
      <c r="D168" s="47">
        <v>213</v>
      </c>
      <c r="E168" s="47">
        <v>315</v>
      </c>
      <c r="F168" s="47">
        <v>276</v>
      </c>
      <c r="G168" s="47">
        <v>72</v>
      </c>
      <c r="H168" s="47">
        <v>72</v>
      </c>
      <c r="I168" s="47">
        <v>10.1538461538461</v>
      </c>
      <c r="J168" s="47">
        <v>21.846153846153801</v>
      </c>
      <c r="K168" s="47">
        <v>32.307692307692299</v>
      </c>
      <c r="L168" s="47">
        <v>28.307692307692299</v>
      </c>
      <c r="M168" s="47">
        <v>7.3846153846153797</v>
      </c>
    </row>
    <row r="169" spans="1:13" x14ac:dyDescent="0.25">
      <c r="A169" t="s">
        <v>340</v>
      </c>
      <c r="B169" s="47">
        <v>1253</v>
      </c>
      <c r="C169" s="47">
        <v>188</v>
      </c>
      <c r="D169" s="47">
        <v>388</v>
      </c>
      <c r="E169" s="47">
        <v>384</v>
      </c>
      <c r="F169" s="47">
        <v>178</v>
      </c>
      <c r="G169" s="47">
        <v>103</v>
      </c>
      <c r="H169" s="47">
        <v>12</v>
      </c>
      <c r="I169" s="47">
        <v>15.1490733279613</v>
      </c>
      <c r="J169" s="47">
        <v>31.265108783239299</v>
      </c>
      <c r="K169" s="47">
        <v>30.942788074133698</v>
      </c>
      <c r="L169" s="47">
        <v>14.343271555197401</v>
      </c>
      <c r="M169" s="47">
        <v>8.2997582594681703</v>
      </c>
    </row>
    <row r="170" spans="1:13" x14ac:dyDescent="0.25">
      <c r="A170" t="s">
        <v>341</v>
      </c>
      <c r="B170" s="47">
        <v>3318</v>
      </c>
      <c r="C170" s="47">
        <v>976</v>
      </c>
      <c r="D170" s="47">
        <v>760</v>
      </c>
      <c r="E170" s="47">
        <v>640</v>
      </c>
      <c r="F170" s="47">
        <v>409</v>
      </c>
      <c r="G170" s="47">
        <v>531</v>
      </c>
      <c r="H170" s="47">
        <v>2</v>
      </c>
      <c r="I170" s="47">
        <v>29.433051869722501</v>
      </c>
      <c r="J170" s="47">
        <v>22.919179734619998</v>
      </c>
      <c r="K170" s="47">
        <v>19.3003618817852</v>
      </c>
      <c r="L170" s="47">
        <v>12.3341375150784</v>
      </c>
      <c r="M170" s="47">
        <v>16.013268998793698</v>
      </c>
    </row>
    <row r="171" spans="1:13" x14ac:dyDescent="0.25">
      <c r="A171" t="s">
        <v>342</v>
      </c>
      <c r="B171" s="47">
        <v>3089</v>
      </c>
      <c r="C171" s="47">
        <v>666</v>
      </c>
      <c r="D171" s="47">
        <v>830</v>
      </c>
      <c r="E171" s="47">
        <v>499</v>
      </c>
      <c r="F171" s="47">
        <v>572</v>
      </c>
      <c r="G171" s="47">
        <v>521</v>
      </c>
      <c r="H171" s="47">
        <v>1</v>
      </c>
      <c r="I171" s="47">
        <v>21.567357512953301</v>
      </c>
      <c r="J171" s="47">
        <v>26.878238341968899</v>
      </c>
      <c r="K171" s="47">
        <v>16.1593264248704</v>
      </c>
      <c r="L171" s="47">
        <v>18.5233160621761</v>
      </c>
      <c r="M171" s="47">
        <v>16.871761658031001</v>
      </c>
    </row>
    <row r="172" spans="1:13" x14ac:dyDescent="0.25">
      <c r="A172" t="s">
        <v>343</v>
      </c>
      <c r="B172" s="47">
        <v>6416</v>
      </c>
      <c r="C172" s="47">
        <v>444</v>
      </c>
      <c r="D172" s="47">
        <v>1131</v>
      </c>
      <c r="E172" s="47">
        <v>1146</v>
      </c>
      <c r="F172" s="47">
        <v>1780</v>
      </c>
      <c r="G172" s="47">
        <v>1908</v>
      </c>
      <c r="H172" s="47">
        <v>7</v>
      </c>
      <c r="I172" s="47">
        <v>6.9277578405367404</v>
      </c>
      <c r="J172" s="47">
        <v>17.647058823529399</v>
      </c>
      <c r="K172" s="47">
        <v>17.881104696520499</v>
      </c>
      <c r="L172" s="47">
        <v>27.773443594944599</v>
      </c>
      <c r="M172" s="47">
        <v>29.770635044468701</v>
      </c>
    </row>
    <row r="173" spans="1:13" x14ac:dyDescent="0.25">
      <c r="A173" t="s">
        <v>344</v>
      </c>
      <c r="B173" s="47">
        <v>14866</v>
      </c>
      <c r="C173" s="47">
        <v>5756</v>
      </c>
      <c r="D173" s="47">
        <v>2815</v>
      </c>
      <c r="E173" s="47">
        <v>2052</v>
      </c>
      <c r="F173" s="47">
        <v>2048</v>
      </c>
      <c r="G173" s="47">
        <v>2185</v>
      </c>
      <c r="H173" s="47">
        <v>10</v>
      </c>
      <c r="I173" s="47">
        <v>38.745288099084497</v>
      </c>
      <c r="J173" s="47">
        <v>18.9485729671513</v>
      </c>
      <c r="K173" s="47">
        <v>13.812600969305301</v>
      </c>
      <c r="L173" s="47">
        <v>13.785675821217</v>
      </c>
      <c r="M173" s="47">
        <v>14.7078621432417</v>
      </c>
    </row>
    <row r="174" spans="1:13" x14ac:dyDescent="0.25">
      <c r="A174" t="s">
        <v>345</v>
      </c>
      <c r="B174" s="47">
        <v>2209</v>
      </c>
      <c r="C174" s="47">
        <v>257</v>
      </c>
      <c r="D174" s="47">
        <v>448</v>
      </c>
      <c r="E174" s="47">
        <v>637</v>
      </c>
      <c r="F174" s="47">
        <v>662</v>
      </c>
      <c r="G174" s="47">
        <v>202</v>
      </c>
      <c r="H174" s="47">
        <v>3</v>
      </c>
      <c r="I174" s="47">
        <v>11.650045330915599</v>
      </c>
      <c r="J174" s="47">
        <v>20.308250226654501</v>
      </c>
      <c r="K174" s="47">
        <v>28.875793291024401</v>
      </c>
      <c r="L174" s="47">
        <v>30.009066183136898</v>
      </c>
      <c r="M174" s="47">
        <v>9.1568449682683593</v>
      </c>
    </row>
    <row r="175" spans="1:13" x14ac:dyDescent="0.25">
      <c r="A175" t="s">
        <v>346</v>
      </c>
      <c r="B175" s="47">
        <v>4445</v>
      </c>
      <c r="C175" s="47">
        <v>1449</v>
      </c>
      <c r="D175" s="47">
        <v>1194</v>
      </c>
      <c r="E175" s="47">
        <v>847</v>
      </c>
      <c r="F175" s="47">
        <v>582</v>
      </c>
      <c r="G175" s="47">
        <v>368</v>
      </c>
      <c r="H175" s="47">
        <v>5</v>
      </c>
      <c r="I175" s="47">
        <v>32.635135135135101</v>
      </c>
      <c r="J175" s="47">
        <v>26.891891891891799</v>
      </c>
      <c r="K175" s="47">
        <v>19.0765765765765</v>
      </c>
      <c r="L175" s="47">
        <v>13.1081081081081</v>
      </c>
      <c r="M175" s="47">
        <v>8.28828828828828</v>
      </c>
    </row>
    <row r="176" spans="1:13" x14ac:dyDescent="0.25">
      <c r="A176" t="s">
        <v>347</v>
      </c>
      <c r="B176" s="47">
        <v>9308</v>
      </c>
      <c r="C176" s="47">
        <v>1588</v>
      </c>
      <c r="D176" s="47">
        <v>2049</v>
      </c>
      <c r="E176" s="47">
        <v>1528</v>
      </c>
      <c r="F176" s="47">
        <v>1713</v>
      </c>
      <c r="G176" s="47">
        <v>2412</v>
      </c>
      <c r="H176" s="47">
        <v>18</v>
      </c>
      <c r="I176" s="47">
        <v>17.093649085037601</v>
      </c>
      <c r="J176" s="47">
        <v>22.055974165769602</v>
      </c>
      <c r="K176" s="47">
        <v>16.4477933261571</v>
      </c>
      <c r="L176" s="47">
        <v>18.439181916038699</v>
      </c>
      <c r="M176" s="47">
        <v>25.9634015069967</v>
      </c>
    </row>
    <row r="177" spans="1:13" x14ac:dyDescent="0.25">
      <c r="A177" t="s">
        <v>348</v>
      </c>
      <c r="B177" s="47">
        <v>124</v>
      </c>
      <c r="C177" s="47" t="s">
        <v>113</v>
      </c>
      <c r="D177" s="47">
        <v>21</v>
      </c>
      <c r="E177" s="47">
        <v>28</v>
      </c>
      <c r="F177" s="47">
        <v>64</v>
      </c>
      <c r="G177" s="47">
        <v>11</v>
      </c>
      <c r="H177" s="47" t="s">
        <v>113</v>
      </c>
      <c r="I177" s="47" t="s">
        <v>113</v>
      </c>
      <c r="J177" s="47">
        <v>16.935483870967701</v>
      </c>
      <c r="K177" s="47">
        <v>22.580645161290299</v>
      </c>
      <c r="L177" s="47">
        <v>51.612903225806399</v>
      </c>
      <c r="M177" s="47">
        <v>8.8709677419354804</v>
      </c>
    </row>
    <row r="178" spans="1:13" x14ac:dyDescent="0.25">
      <c r="A178" t="s">
        <v>349</v>
      </c>
      <c r="B178" s="47">
        <v>125</v>
      </c>
      <c r="C178" s="47" t="s">
        <v>113</v>
      </c>
      <c r="D178" s="47">
        <v>3</v>
      </c>
      <c r="E178" s="47">
        <v>38</v>
      </c>
      <c r="F178" s="47">
        <v>83</v>
      </c>
      <c r="G178" s="47">
        <v>1</v>
      </c>
      <c r="H178" s="47" t="s">
        <v>113</v>
      </c>
      <c r="I178" s="47" t="s">
        <v>113</v>
      </c>
      <c r="J178" s="47">
        <v>2.4</v>
      </c>
      <c r="K178" s="47">
        <v>30.4</v>
      </c>
      <c r="L178" s="47">
        <v>66.400000000000006</v>
      </c>
      <c r="M178" s="47">
        <v>0.8</v>
      </c>
    </row>
    <row r="179" spans="1:13" x14ac:dyDescent="0.25">
      <c r="A179" t="s">
        <v>350</v>
      </c>
      <c r="B179" s="47">
        <v>4179</v>
      </c>
      <c r="C179" s="47">
        <v>937</v>
      </c>
      <c r="D179" s="47">
        <v>762</v>
      </c>
      <c r="E179" s="47">
        <v>845</v>
      </c>
      <c r="F179" s="47">
        <v>1012</v>
      </c>
      <c r="G179" s="47">
        <v>621</v>
      </c>
      <c r="H179" s="47">
        <v>2</v>
      </c>
      <c r="I179" s="47">
        <v>22.4323677280344</v>
      </c>
      <c r="J179" s="47">
        <v>18.242757960258501</v>
      </c>
      <c r="K179" s="47">
        <v>20.229830021546501</v>
      </c>
      <c r="L179" s="47">
        <v>24.227914771367001</v>
      </c>
      <c r="M179" s="47">
        <v>14.8671295187933</v>
      </c>
    </row>
    <row r="180" spans="1:13" x14ac:dyDescent="0.25">
      <c r="A180" t="s">
        <v>351</v>
      </c>
      <c r="B180" s="47">
        <v>183</v>
      </c>
      <c r="C180" s="47" t="s">
        <v>113</v>
      </c>
      <c r="D180" s="47">
        <v>42</v>
      </c>
      <c r="E180" s="47">
        <v>129</v>
      </c>
      <c r="F180" s="47">
        <v>12</v>
      </c>
      <c r="G180" s="47" t="s">
        <v>113</v>
      </c>
      <c r="H180" s="47" t="s">
        <v>113</v>
      </c>
      <c r="I180" s="47" t="s">
        <v>113</v>
      </c>
      <c r="J180" s="47">
        <v>22.9508196721311</v>
      </c>
      <c r="K180" s="47">
        <v>70.491803278688494</v>
      </c>
      <c r="L180" s="47">
        <v>6.55737704918032</v>
      </c>
      <c r="M180" s="47" t="s">
        <v>113</v>
      </c>
    </row>
    <row r="181" spans="1:13" x14ac:dyDescent="0.25">
      <c r="A181" t="s">
        <v>352</v>
      </c>
      <c r="B181" s="47">
        <v>53981</v>
      </c>
      <c r="C181" s="47">
        <v>13652</v>
      </c>
      <c r="D181" s="47">
        <v>11524</v>
      </c>
      <c r="E181" s="47">
        <v>9622</v>
      </c>
      <c r="F181" s="47">
        <v>9784</v>
      </c>
      <c r="G181" s="47">
        <v>9266</v>
      </c>
      <c r="H181" s="47">
        <v>133</v>
      </c>
      <c r="I181" s="47">
        <v>25.352845045312701</v>
      </c>
      <c r="J181" s="47">
        <v>21.400980537810099</v>
      </c>
      <c r="K181" s="47">
        <v>17.8688159263111</v>
      </c>
      <c r="L181" s="47">
        <v>18.1696627544198</v>
      </c>
      <c r="M181" s="47">
        <v>17.2076957361461</v>
      </c>
    </row>
    <row r="182" spans="1:13" x14ac:dyDescent="0.25">
      <c r="A182" t="s">
        <v>353</v>
      </c>
      <c r="B182" s="47">
        <v>3296</v>
      </c>
      <c r="C182" s="47">
        <v>1295</v>
      </c>
      <c r="D182" s="47">
        <v>841</v>
      </c>
      <c r="E182" s="47">
        <v>513</v>
      </c>
      <c r="F182" s="47">
        <v>362</v>
      </c>
      <c r="G182" s="47">
        <v>283</v>
      </c>
      <c r="H182" s="47">
        <v>2</v>
      </c>
      <c r="I182" s="47">
        <v>39.313904068002401</v>
      </c>
      <c r="J182" s="47">
        <v>25.531268973891901</v>
      </c>
      <c r="K182" s="47">
        <v>15.5737704918032</v>
      </c>
      <c r="L182" s="47">
        <v>10.9896782027929</v>
      </c>
      <c r="M182" s="47">
        <v>8.5913782635094105</v>
      </c>
    </row>
    <row r="183" spans="1:13" x14ac:dyDescent="0.25">
      <c r="A183" t="s">
        <v>354</v>
      </c>
      <c r="B183" s="47">
        <v>976</v>
      </c>
      <c r="C183" s="47">
        <v>79</v>
      </c>
      <c r="D183" s="47">
        <v>185</v>
      </c>
      <c r="E183" s="47">
        <v>299</v>
      </c>
      <c r="F183" s="47">
        <v>271</v>
      </c>
      <c r="G183" s="47">
        <v>72</v>
      </c>
      <c r="H183" s="47">
        <v>70</v>
      </c>
      <c r="I183" s="47">
        <v>8.7196467991169904</v>
      </c>
      <c r="J183" s="47">
        <v>20.4194260485651</v>
      </c>
      <c r="K183" s="47">
        <v>33.002207505518697</v>
      </c>
      <c r="L183" s="47">
        <v>29.9116997792494</v>
      </c>
      <c r="M183" s="47">
        <v>7.9470198675496597</v>
      </c>
    </row>
    <row r="184" spans="1:13" x14ac:dyDescent="0.25">
      <c r="A184" t="s">
        <v>355</v>
      </c>
      <c r="B184" s="47">
        <v>1221</v>
      </c>
      <c r="C184" s="47">
        <v>162</v>
      </c>
      <c r="D184" s="47">
        <v>366</v>
      </c>
      <c r="E184" s="47">
        <v>415</v>
      </c>
      <c r="F184" s="47">
        <v>184</v>
      </c>
      <c r="G184" s="47">
        <v>91</v>
      </c>
      <c r="H184" s="47">
        <v>3</v>
      </c>
      <c r="I184" s="47">
        <v>13.3004926108374</v>
      </c>
      <c r="J184" s="47">
        <v>30.049261083743801</v>
      </c>
      <c r="K184" s="47">
        <v>34.072249589490902</v>
      </c>
      <c r="L184" s="47">
        <v>15.106732348111599</v>
      </c>
      <c r="M184" s="47">
        <v>7.4712643678160902</v>
      </c>
    </row>
    <row r="185" spans="1:13" x14ac:dyDescent="0.25">
      <c r="A185" t="s">
        <v>356</v>
      </c>
      <c r="B185" s="47">
        <v>3315</v>
      </c>
      <c r="C185" s="47">
        <v>990</v>
      </c>
      <c r="D185" s="47">
        <v>754</v>
      </c>
      <c r="E185" s="47">
        <v>626</v>
      </c>
      <c r="F185" s="47">
        <v>406</v>
      </c>
      <c r="G185" s="47">
        <v>537</v>
      </c>
      <c r="H185" s="47">
        <v>2</v>
      </c>
      <c r="I185" s="47">
        <v>29.882281919710199</v>
      </c>
      <c r="J185" s="47">
        <v>22.758828856021701</v>
      </c>
      <c r="K185" s="47">
        <v>18.895261092665201</v>
      </c>
      <c r="L185" s="47">
        <v>12.2547539993963</v>
      </c>
      <c r="M185" s="47">
        <v>16.2088741322064</v>
      </c>
    </row>
    <row r="186" spans="1:13" x14ac:dyDescent="0.25">
      <c r="A186" t="s">
        <v>357</v>
      </c>
      <c r="B186" s="47">
        <v>3073</v>
      </c>
      <c r="C186" s="47">
        <v>583</v>
      </c>
      <c r="D186" s="47">
        <v>823</v>
      </c>
      <c r="E186" s="47">
        <v>518</v>
      </c>
      <c r="F186" s="47">
        <v>602</v>
      </c>
      <c r="G186" s="47">
        <v>547</v>
      </c>
      <c r="H186" s="47" t="s">
        <v>113</v>
      </c>
      <c r="I186" s="47">
        <v>18.971688903351701</v>
      </c>
      <c r="J186" s="47">
        <v>26.781646599414199</v>
      </c>
      <c r="K186" s="47">
        <v>16.856492027334799</v>
      </c>
      <c r="L186" s="47">
        <v>19.589977220956701</v>
      </c>
      <c r="M186" s="47">
        <v>17.800195248942401</v>
      </c>
    </row>
    <row r="187" spans="1:13" x14ac:dyDescent="0.25">
      <c r="A187" t="s">
        <v>358</v>
      </c>
      <c r="B187" s="47">
        <v>6223</v>
      </c>
      <c r="C187" s="47">
        <v>456</v>
      </c>
      <c r="D187" s="47">
        <v>1042</v>
      </c>
      <c r="E187" s="47">
        <v>1169</v>
      </c>
      <c r="F187" s="47">
        <v>1667</v>
      </c>
      <c r="G187" s="47">
        <v>1875</v>
      </c>
      <c r="H187" s="47">
        <v>14</v>
      </c>
      <c r="I187" s="47">
        <v>7.34417780641005</v>
      </c>
      <c r="J187" s="47">
        <v>16.782090513770299</v>
      </c>
      <c r="K187" s="47">
        <v>18.8275084554678</v>
      </c>
      <c r="L187" s="47">
        <v>26.848123691415601</v>
      </c>
      <c r="M187" s="47">
        <v>30.198099532935998</v>
      </c>
    </row>
    <row r="188" spans="1:13" x14ac:dyDescent="0.25">
      <c r="A188" t="s">
        <v>359</v>
      </c>
      <c r="B188" s="47">
        <v>14681</v>
      </c>
      <c r="C188" s="47">
        <v>5683</v>
      </c>
      <c r="D188" s="47">
        <v>2675</v>
      </c>
      <c r="E188" s="47">
        <v>2043</v>
      </c>
      <c r="F188" s="47">
        <v>2069</v>
      </c>
      <c r="G188" s="47">
        <v>2202</v>
      </c>
      <c r="H188" s="47">
        <v>9</v>
      </c>
      <c r="I188" s="47">
        <v>38.733642311886499</v>
      </c>
      <c r="J188" s="47">
        <v>18.232006543075201</v>
      </c>
      <c r="K188" s="47">
        <v>13.924482006543</v>
      </c>
      <c r="L188" s="47">
        <v>14.101690294438299</v>
      </c>
      <c r="M188" s="47">
        <v>15.008178844056699</v>
      </c>
    </row>
    <row r="189" spans="1:13" x14ac:dyDescent="0.25">
      <c r="A189" t="s">
        <v>360</v>
      </c>
      <c r="B189" s="47">
        <v>2147</v>
      </c>
      <c r="C189" s="47">
        <v>235</v>
      </c>
      <c r="D189" s="47">
        <v>436</v>
      </c>
      <c r="E189" s="47">
        <v>603</v>
      </c>
      <c r="F189" s="47">
        <v>675</v>
      </c>
      <c r="G189" s="47">
        <v>193</v>
      </c>
      <c r="H189" s="47">
        <v>5</v>
      </c>
      <c r="I189" s="47">
        <v>10.9710550887021</v>
      </c>
      <c r="J189" s="47">
        <v>20.354808590102699</v>
      </c>
      <c r="K189" s="47">
        <v>28.151260504201598</v>
      </c>
      <c r="L189" s="47">
        <v>31.512605042016801</v>
      </c>
      <c r="M189" s="47">
        <v>9.0102707749766502</v>
      </c>
    </row>
    <row r="190" spans="1:13" x14ac:dyDescent="0.25">
      <c r="A190" t="s">
        <v>361</v>
      </c>
      <c r="B190" s="47">
        <v>4435</v>
      </c>
      <c r="C190" s="47">
        <v>1467</v>
      </c>
      <c r="D190" s="47">
        <v>1208</v>
      </c>
      <c r="E190" s="47">
        <v>783</v>
      </c>
      <c r="F190" s="47">
        <v>615</v>
      </c>
      <c r="G190" s="47">
        <v>357</v>
      </c>
      <c r="H190" s="47">
        <v>5</v>
      </c>
      <c r="I190" s="47">
        <v>33.115124153498797</v>
      </c>
      <c r="J190" s="47">
        <v>27.268623024830699</v>
      </c>
      <c r="K190" s="47">
        <v>17.674943566591399</v>
      </c>
      <c r="L190" s="47">
        <v>13.882618510158</v>
      </c>
      <c r="M190" s="47">
        <v>8.0586907449209892</v>
      </c>
    </row>
    <row r="191" spans="1:13" x14ac:dyDescent="0.25">
      <c r="A191" t="s">
        <v>362</v>
      </c>
      <c r="B191" s="47">
        <v>9143</v>
      </c>
      <c r="C191" s="47">
        <v>1567</v>
      </c>
      <c r="D191" s="47">
        <v>2018</v>
      </c>
      <c r="E191" s="47">
        <v>1584</v>
      </c>
      <c r="F191" s="47">
        <v>1663</v>
      </c>
      <c r="G191" s="47">
        <v>2299</v>
      </c>
      <c r="H191" s="47">
        <v>12</v>
      </c>
      <c r="I191" s="47">
        <v>17.161318585039901</v>
      </c>
      <c r="J191" s="47">
        <v>22.100536633446499</v>
      </c>
      <c r="K191" s="47">
        <v>17.3474975358668</v>
      </c>
      <c r="L191" s="47">
        <v>18.212682072062201</v>
      </c>
      <c r="M191" s="47">
        <v>25.177965173584401</v>
      </c>
    </row>
    <row r="192" spans="1:13" x14ac:dyDescent="0.25">
      <c r="A192" t="s">
        <v>363</v>
      </c>
      <c r="B192" s="47">
        <v>111</v>
      </c>
      <c r="C192" s="47" t="s">
        <v>113</v>
      </c>
      <c r="D192" s="47">
        <v>11</v>
      </c>
      <c r="E192" s="47">
        <v>36</v>
      </c>
      <c r="F192" s="47">
        <v>46</v>
      </c>
      <c r="G192" s="47">
        <v>18</v>
      </c>
      <c r="H192" s="47" t="s">
        <v>113</v>
      </c>
      <c r="I192" s="47" t="s">
        <v>113</v>
      </c>
      <c r="J192" s="47">
        <v>9.9099099099099099</v>
      </c>
      <c r="K192" s="47">
        <v>32.4324324324324</v>
      </c>
      <c r="L192" s="47">
        <v>41.441441441441398</v>
      </c>
      <c r="M192" s="47">
        <v>16.2162162162162</v>
      </c>
    </row>
    <row r="193" spans="1:13" x14ac:dyDescent="0.25">
      <c r="A193" t="s">
        <v>364</v>
      </c>
      <c r="B193" s="47">
        <v>138</v>
      </c>
      <c r="C193" s="47" t="s">
        <v>113</v>
      </c>
      <c r="D193" s="47">
        <v>2</v>
      </c>
      <c r="E193" s="47">
        <v>37</v>
      </c>
      <c r="F193" s="47">
        <v>97</v>
      </c>
      <c r="G193" s="47">
        <v>1</v>
      </c>
      <c r="H193" s="47">
        <v>1</v>
      </c>
      <c r="I193" s="47" t="s">
        <v>113</v>
      </c>
      <c r="J193" s="47">
        <v>1.4598540145985399</v>
      </c>
      <c r="K193" s="47">
        <v>27.007299270072899</v>
      </c>
      <c r="L193" s="47">
        <v>70.802919708029194</v>
      </c>
      <c r="M193" s="47">
        <v>0.72992700729926996</v>
      </c>
    </row>
    <row r="194" spans="1:13" x14ac:dyDescent="0.25">
      <c r="A194" t="s">
        <v>365</v>
      </c>
      <c r="B194" s="47">
        <v>4098</v>
      </c>
      <c r="C194" s="47">
        <v>969</v>
      </c>
      <c r="D194" s="47">
        <v>668</v>
      </c>
      <c r="E194" s="47">
        <v>912</v>
      </c>
      <c r="F194" s="47">
        <v>990</v>
      </c>
      <c r="G194" s="47">
        <v>558</v>
      </c>
      <c r="H194" s="47">
        <v>1</v>
      </c>
      <c r="I194" s="47">
        <v>23.651452282157599</v>
      </c>
      <c r="J194" s="47">
        <v>16.304613131559599</v>
      </c>
      <c r="K194" s="47">
        <v>22.260190383207199</v>
      </c>
      <c r="L194" s="47">
        <v>24.1640224554552</v>
      </c>
      <c r="M194" s="47">
        <v>13.619721747620201</v>
      </c>
    </row>
    <row r="195" spans="1:13" x14ac:dyDescent="0.25">
      <c r="A195" t="s">
        <v>366</v>
      </c>
      <c r="B195" s="47">
        <v>184</v>
      </c>
      <c r="C195" s="47" t="s">
        <v>113</v>
      </c>
      <c r="D195" s="47">
        <v>48</v>
      </c>
      <c r="E195" s="47">
        <v>121</v>
      </c>
      <c r="F195" s="47">
        <v>15</v>
      </c>
      <c r="G195" s="47" t="s">
        <v>113</v>
      </c>
      <c r="H195" s="47" t="s">
        <v>113</v>
      </c>
      <c r="I195" s="47" t="s">
        <v>113</v>
      </c>
      <c r="J195" s="47">
        <v>26.086956521739101</v>
      </c>
      <c r="K195" s="47">
        <v>65.760869565217305</v>
      </c>
      <c r="L195" s="47">
        <v>8.1521739130434696</v>
      </c>
      <c r="M195" s="47" t="s">
        <v>113</v>
      </c>
    </row>
    <row r="196" spans="1:13" x14ac:dyDescent="0.25">
      <c r="A196" t="s">
        <v>367</v>
      </c>
      <c r="B196" s="47">
        <v>53045</v>
      </c>
      <c r="C196" s="47">
        <v>13487</v>
      </c>
      <c r="D196" s="47">
        <v>11077</v>
      </c>
      <c r="E196" s="47">
        <v>9662</v>
      </c>
      <c r="F196" s="47">
        <v>9662</v>
      </c>
      <c r="G196" s="47">
        <v>9033</v>
      </c>
      <c r="H196" s="47">
        <v>124</v>
      </c>
      <c r="I196" s="47">
        <v>25.485157120991602</v>
      </c>
      <c r="J196" s="47">
        <v>20.931199334857599</v>
      </c>
      <c r="K196" s="47">
        <v>18.257402543413701</v>
      </c>
      <c r="L196" s="47">
        <v>18.257402543413701</v>
      </c>
      <c r="M196" s="47">
        <v>17.0688384573231</v>
      </c>
    </row>
    <row r="197" spans="1:13" x14ac:dyDescent="0.25">
      <c r="A197" t="s">
        <v>368</v>
      </c>
      <c r="B197" s="47">
        <v>3198</v>
      </c>
      <c r="C197" s="47">
        <v>1242</v>
      </c>
      <c r="D197" s="47">
        <v>755</v>
      </c>
      <c r="E197" s="47">
        <v>546</v>
      </c>
      <c r="F197" s="47">
        <v>390</v>
      </c>
      <c r="G197" s="47">
        <v>264</v>
      </c>
      <c r="H197" s="47">
        <v>1</v>
      </c>
      <c r="I197" s="47">
        <v>38.848920863309303</v>
      </c>
      <c r="J197" s="47">
        <v>23.615889896778199</v>
      </c>
      <c r="K197" s="47">
        <v>17.0785111041601</v>
      </c>
      <c r="L197" s="47">
        <v>12.198936502971501</v>
      </c>
      <c r="M197" s="47">
        <v>8.2577416327807303</v>
      </c>
    </row>
    <row r="198" spans="1:13" x14ac:dyDescent="0.25">
      <c r="A198" t="s">
        <v>369</v>
      </c>
      <c r="B198" s="47">
        <v>986</v>
      </c>
      <c r="C198" s="47">
        <v>85</v>
      </c>
      <c r="D198" s="47">
        <v>210</v>
      </c>
      <c r="E198" s="47">
        <v>340</v>
      </c>
      <c r="F198" s="47">
        <v>221</v>
      </c>
      <c r="G198" s="47">
        <v>73</v>
      </c>
      <c r="H198" s="47">
        <v>57</v>
      </c>
      <c r="I198" s="47">
        <v>9.1496232508073199</v>
      </c>
      <c r="J198" s="47">
        <v>22.604951560818002</v>
      </c>
      <c r="K198" s="47">
        <v>36.598493003229201</v>
      </c>
      <c r="L198" s="47">
        <v>23.789020452098999</v>
      </c>
      <c r="M198" s="47">
        <v>7.8579117330462802</v>
      </c>
    </row>
    <row r="199" spans="1:13" x14ac:dyDescent="0.25">
      <c r="A199" t="s">
        <v>370</v>
      </c>
      <c r="B199" s="47">
        <v>1247</v>
      </c>
      <c r="C199" s="47">
        <v>149</v>
      </c>
      <c r="D199" s="47">
        <v>371</v>
      </c>
      <c r="E199" s="47">
        <v>433</v>
      </c>
      <c r="F199" s="47">
        <v>169</v>
      </c>
      <c r="G199" s="47">
        <v>119</v>
      </c>
      <c r="H199" s="47">
        <v>6</v>
      </c>
      <c r="I199" s="47">
        <v>12.006446414182101</v>
      </c>
      <c r="J199" s="47">
        <v>29.895245769540601</v>
      </c>
      <c r="K199" s="47">
        <v>34.891216760676798</v>
      </c>
      <c r="L199" s="47">
        <v>13.6180499597099</v>
      </c>
      <c r="M199" s="47">
        <v>9.5890410958904102</v>
      </c>
    </row>
    <row r="200" spans="1:13" x14ac:dyDescent="0.25">
      <c r="A200" t="s">
        <v>371</v>
      </c>
      <c r="B200" s="47">
        <v>3135</v>
      </c>
      <c r="C200" s="47">
        <v>938</v>
      </c>
      <c r="D200" s="47">
        <v>677</v>
      </c>
      <c r="E200" s="47">
        <v>622</v>
      </c>
      <c r="F200" s="47">
        <v>455</v>
      </c>
      <c r="G200" s="47">
        <v>442</v>
      </c>
      <c r="H200" s="47">
        <v>1</v>
      </c>
      <c r="I200" s="47">
        <v>29.929802169751099</v>
      </c>
      <c r="J200" s="47">
        <v>21.601786853860801</v>
      </c>
      <c r="K200" s="47">
        <v>19.846841097638801</v>
      </c>
      <c r="L200" s="47">
        <v>14.518187619655301</v>
      </c>
      <c r="M200" s="47">
        <v>14.1033822590938</v>
      </c>
    </row>
    <row r="201" spans="1:13" x14ac:dyDescent="0.25">
      <c r="A201" t="s">
        <v>372</v>
      </c>
      <c r="B201" s="47">
        <v>2986</v>
      </c>
      <c r="C201" s="47">
        <v>672</v>
      </c>
      <c r="D201" s="47">
        <v>649</v>
      </c>
      <c r="E201" s="47">
        <v>625</v>
      </c>
      <c r="F201" s="47">
        <v>532</v>
      </c>
      <c r="G201" s="47">
        <v>507</v>
      </c>
      <c r="H201" s="47">
        <v>1</v>
      </c>
      <c r="I201" s="47">
        <v>22.5125628140703</v>
      </c>
      <c r="J201" s="47">
        <v>21.742043551088699</v>
      </c>
      <c r="K201" s="47">
        <v>20.938023450586201</v>
      </c>
      <c r="L201" s="47">
        <v>17.822445561138998</v>
      </c>
      <c r="M201" s="47">
        <v>16.9849246231155</v>
      </c>
    </row>
    <row r="202" spans="1:13" x14ac:dyDescent="0.25">
      <c r="A202" t="s">
        <v>373</v>
      </c>
      <c r="B202" s="47">
        <v>5894</v>
      </c>
      <c r="C202" s="47">
        <v>517</v>
      </c>
      <c r="D202" s="47">
        <v>1127</v>
      </c>
      <c r="E202" s="47">
        <v>1127</v>
      </c>
      <c r="F202" s="47">
        <v>1624</v>
      </c>
      <c r="G202" s="47">
        <v>1494</v>
      </c>
      <c r="H202" s="47">
        <v>5</v>
      </c>
      <c r="I202" s="47">
        <v>8.7790796400067901</v>
      </c>
      <c r="J202" s="47">
        <v>19.137374766513801</v>
      </c>
      <c r="K202" s="47">
        <v>19.137374766513801</v>
      </c>
      <c r="L202" s="47">
        <v>27.576838172864601</v>
      </c>
      <c r="M202" s="47">
        <v>25.369332654100798</v>
      </c>
    </row>
    <row r="203" spans="1:13" x14ac:dyDescent="0.25">
      <c r="A203" t="s">
        <v>374</v>
      </c>
      <c r="B203" s="47">
        <v>14477</v>
      </c>
      <c r="C203" s="47">
        <v>5319</v>
      </c>
      <c r="D203" s="47">
        <v>2718</v>
      </c>
      <c r="E203" s="47">
        <v>1924</v>
      </c>
      <c r="F203" s="47">
        <v>2157</v>
      </c>
      <c r="G203" s="47">
        <v>2354</v>
      </c>
      <c r="H203" s="47">
        <v>5</v>
      </c>
      <c r="I203" s="47">
        <v>36.753731343283498</v>
      </c>
      <c r="J203" s="47">
        <v>18.781094527363098</v>
      </c>
      <c r="K203" s="47">
        <v>13.294637921503501</v>
      </c>
      <c r="L203" s="47">
        <v>14.904643449419501</v>
      </c>
      <c r="M203" s="47">
        <v>16.265892758429999</v>
      </c>
    </row>
    <row r="204" spans="1:13" x14ac:dyDescent="0.25">
      <c r="A204" t="s">
        <v>375</v>
      </c>
      <c r="B204" s="47">
        <v>2062</v>
      </c>
      <c r="C204" s="47">
        <v>307</v>
      </c>
      <c r="D204" s="47">
        <v>394</v>
      </c>
      <c r="E204" s="47">
        <v>628</v>
      </c>
      <c r="F204" s="47">
        <v>597</v>
      </c>
      <c r="G204" s="47">
        <v>133</v>
      </c>
      <c r="H204" s="47">
        <v>3</v>
      </c>
      <c r="I204" s="47">
        <v>14.910150558523499</v>
      </c>
      <c r="J204" s="47">
        <v>19.1355026711996</v>
      </c>
      <c r="K204" s="47">
        <v>30.500242836328301</v>
      </c>
      <c r="L204" s="47">
        <v>28.994657600777</v>
      </c>
      <c r="M204" s="47">
        <v>6.4594463331714396</v>
      </c>
    </row>
    <row r="205" spans="1:13" x14ac:dyDescent="0.25">
      <c r="A205" t="s">
        <v>376</v>
      </c>
      <c r="B205" s="47">
        <v>4350</v>
      </c>
      <c r="C205" s="47">
        <v>1400</v>
      </c>
      <c r="D205" s="47">
        <v>1155</v>
      </c>
      <c r="E205" s="47">
        <v>715</v>
      </c>
      <c r="F205" s="47">
        <v>683</v>
      </c>
      <c r="G205" s="47">
        <v>391</v>
      </c>
      <c r="H205" s="47">
        <v>6</v>
      </c>
      <c r="I205" s="47">
        <v>32.2283609576427</v>
      </c>
      <c r="J205" s="47">
        <v>26.5883977900552</v>
      </c>
      <c r="K205" s="47">
        <v>16.459484346224599</v>
      </c>
      <c r="L205" s="47">
        <v>15.722836095764199</v>
      </c>
      <c r="M205" s="47">
        <v>9.0009208103130707</v>
      </c>
    </row>
    <row r="206" spans="1:13" x14ac:dyDescent="0.25">
      <c r="A206" t="s">
        <v>377</v>
      </c>
      <c r="B206" s="47">
        <v>8851</v>
      </c>
      <c r="C206" s="47">
        <v>1414</v>
      </c>
      <c r="D206" s="47">
        <v>2055</v>
      </c>
      <c r="E206" s="47">
        <v>1391</v>
      </c>
      <c r="F206" s="47">
        <v>1799</v>
      </c>
      <c r="G206" s="47">
        <v>2176</v>
      </c>
      <c r="H206" s="47">
        <v>16</v>
      </c>
      <c r="I206" s="47">
        <v>16.004527447651299</v>
      </c>
      <c r="J206" s="47">
        <v>23.259762308998301</v>
      </c>
      <c r="K206" s="47">
        <v>15.7441992076966</v>
      </c>
      <c r="L206" s="47">
        <v>20.362195812110901</v>
      </c>
      <c r="M206" s="47">
        <v>24.629315223542701</v>
      </c>
    </row>
    <row r="207" spans="1:13" x14ac:dyDescent="0.25">
      <c r="A207" t="s">
        <v>378</v>
      </c>
      <c r="B207" s="47">
        <v>115</v>
      </c>
      <c r="C207" s="47" t="s">
        <v>113</v>
      </c>
      <c r="D207" s="47">
        <v>12</v>
      </c>
      <c r="E207" s="47">
        <v>19</v>
      </c>
      <c r="F207" s="47">
        <v>84</v>
      </c>
      <c r="G207" s="47" t="s">
        <v>113</v>
      </c>
      <c r="H207" s="47" t="s">
        <v>113</v>
      </c>
      <c r="I207" s="47" t="s">
        <v>113</v>
      </c>
      <c r="J207" s="47">
        <v>10.434782608695601</v>
      </c>
      <c r="K207" s="47">
        <v>16.5217391304347</v>
      </c>
      <c r="L207" s="47">
        <v>73.043478260869506</v>
      </c>
      <c r="M207" s="47" t="s">
        <v>113</v>
      </c>
    </row>
    <row r="208" spans="1:13" x14ac:dyDescent="0.25">
      <c r="A208" t="s">
        <v>379</v>
      </c>
      <c r="B208" s="47">
        <v>113</v>
      </c>
      <c r="C208" s="47" t="s">
        <v>113</v>
      </c>
      <c r="D208" s="47">
        <v>4</v>
      </c>
      <c r="E208" s="47">
        <v>38</v>
      </c>
      <c r="F208" s="47">
        <v>69</v>
      </c>
      <c r="G208" s="47" t="s">
        <v>113</v>
      </c>
      <c r="H208" s="47">
        <v>2</v>
      </c>
      <c r="I208" s="47" t="s">
        <v>113</v>
      </c>
      <c r="J208" s="47">
        <v>3.6036036036036001</v>
      </c>
      <c r="K208" s="47">
        <v>34.234234234234201</v>
      </c>
      <c r="L208" s="47">
        <v>62.162162162162097</v>
      </c>
      <c r="M208" s="47" t="s">
        <v>113</v>
      </c>
    </row>
    <row r="209" spans="1:13" x14ac:dyDescent="0.25">
      <c r="A209" t="s">
        <v>380</v>
      </c>
      <c r="B209" s="47">
        <v>3849</v>
      </c>
      <c r="C209" s="47">
        <v>939</v>
      </c>
      <c r="D209" s="47">
        <v>780</v>
      </c>
      <c r="E209" s="47">
        <v>693</v>
      </c>
      <c r="F209" s="47">
        <v>879</v>
      </c>
      <c r="G209" s="47">
        <v>557</v>
      </c>
      <c r="H209" s="47">
        <v>1</v>
      </c>
      <c r="I209" s="47">
        <v>24.4022869022869</v>
      </c>
      <c r="J209" s="47">
        <v>20.270270270270199</v>
      </c>
      <c r="K209" s="47">
        <v>18.009355509355501</v>
      </c>
      <c r="L209" s="47">
        <v>22.8430353430353</v>
      </c>
      <c r="M209" s="47">
        <v>14.475051975051899</v>
      </c>
    </row>
    <row r="210" spans="1:13" x14ac:dyDescent="0.25">
      <c r="A210" t="s">
        <v>381</v>
      </c>
      <c r="B210" s="47">
        <v>151</v>
      </c>
      <c r="C210" s="47" t="s">
        <v>113</v>
      </c>
      <c r="D210" s="47">
        <v>20</v>
      </c>
      <c r="E210" s="47">
        <v>131</v>
      </c>
      <c r="F210" s="47" t="s">
        <v>113</v>
      </c>
      <c r="G210" s="47" t="s">
        <v>113</v>
      </c>
      <c r="H210" s="47" t="s">
        <v>113</v>
      </c>
      <c r="I210" s="47" t="s">
        <v>113</v>
      </c>
      <c r="J210" s="47">
        <v>13.2450331125827</v>
      </c>
      <c r="K210" s="47">
        <v>86.754966887417197</v>
      </c>
      <c r="L210" s="47" t="s">
        <v>113</v>
      </c>
      <c r="M210" s="47" t="s">
        <v>113</v>
      </c>
    </row>
    <row r="211" spans="1:13" x14ac:dyDescent="0.25">
      <c r="A211" t="s">
        <v>382</v>
      </c>
      <c r="B211" s="47">
        <v>51415</v>
      </c>
      <c r="C211" s="47">
        <v>12982</v>
      </c>
      <c r="D211" s="47">
        <v>10927</v>
      </c>
      <c r="E211" s="47">
        <v>9233</v>
      </c>
      <c r="F211" s="47">
        <v>9659</v>
      </c>
      <c r="G211" s="47">
        <v>8510</v>
      </c>
      <c r="H211" s="47">
        <v>104</v>
      </c>
      <c r="I211" s="47">
        <v>25.3006178012511</v>
      </c>
      <c r="J211" s="47">
        <v>21.295628617645299</v>
      </c>
      <c r="K211" s="47">
        <v>17.994192278458801</v>
      </c>
      <c r="L211" s="47">
        <v>18.8244236128705</v>
      </c>
      <c r="M211" s="47">
        <v>16.585137689774101</v>
      </c>
    </row>
    <row r="212" spans="1:13" x14ac:dyDescent="0.25">
      <c r="A212" t="s">
        <v>383</v>
      </c>
      <c r="B212" s="47">
        <v>2991</v>
      </c>
      <c r="C212" s="47">
        <v>1113</v>
      </c>
      <c r="D212" s="47">
        <v>654</v>
      </c>
      <c r="E212" s="47">
        <v>519</v>
      </c>
      <c r="F212" s="47">
        <v>406</v>
      </c>
      <c r="G212" s="47">
        <v>298</v>
      </c>
      <c r="H212" s="47">
        <v>1</v>
      </c>
      <c r="I212" s="47">
        <v>37.224080267558499</v>
      </c>
      <c r="J212" s="47">
        <v>21.872909698996601</v>
      </c>
      <c r="K212" s="47">
        <v>17.357859531772501</v>
      </c>
      <c r="L212" s="47">
        <v>13.5785953177257</v>
      </c>
      <c r="M212" s="47">
        <v>9.9665551839464808</v>
      </c>
    </row>
    <row r="213" spans="1:13" x14ac:dyDescent="0.25">
      <c r="A213" t="s">
        <v>384</v>
      </c>
      <c r="B213" s="47">
        <v>967</v>
      </c>
      <c r="C213" s="47">
        <v>90</v>
      </c>
      <c r="D213" s="47">
        <v>215</v>
      </c>
      <c r="E213" s="47">
        <v>345</v>
      </c>
      <c r="F213" s="47">
        <v>208</v>
      </c>
      <c r="G213" s="47">
        <v>48</v>
      </c>
      <c r="H213" s="47">
        <v>61</v>
      </c>
      <c r="I213" s="47">
        <v>9.9337748344370809</v>
      </c>
      <c r="J213" s="47">
        <v>23.730684326710801</v>
      </c>
      <c r="K213" s="47">
        <v>38.079470198675402</v>
      </c>
      <c r="L213" s="47">
        <v>22.958057395143399</v>
      </c>
      <c r="M213" s="47">
        <v>5.2980132450331103</v>
      </c>
    </row>
    <row r="214" spans="1:13" x14ac:dyDescent="0.25">
      <c r="A214" t="s">
        <v>385</v>
      </c>
      <c r="B214" s="47">
        <v>1129</v>
      </c>
      <c r="C214" s="47">
        <v>175</v>
      </c>
      <c r="D214" s="47">
        <v>316</v>
      </c>
      <c r="E214" s="47">
        <v>381</v>
      </c>
      <c r="F214" s="47">
        <v>159</v>
      </c>
      <c r="G214" s="47">
        <v>94</v>
      </c>
      <c r="H214" s="47">
        <v>4</v>
      </c>
      <c r="I214" s="47">
        <v>15.5555555555555</v>
      </c>
      <c r="J214" s="47">
        <v>28.0888888888888</v>
      </c>
      <c r="K214" s="47">
        <v>33.866666666666603</v>
      </c>
      <c r="L214" s="47">
        <v>14.133333333333301</v>
      </c>
      <c r="M214" s="47">
        <v>8.3555555555555507</v>
      </c>
    </row>
    <row r="215" spans="1:13" x14ac:dyDescent="0.25">
      <c r="A215" t="s">
        <v>386</v>
      </c>
      <c r="B215" s="47">
        <v>3095</v>
      </c>
      <c r="C215" s="47">
        <v>876</v>
      </c>
      <c r="D215" s="47">
        <v>738</v>
      </c>
      <c r="E215" s="47">
        <v>535</v>
      </c>
      <c r="F215" s="47">
        <v>496</v>
      </c>
      <c r="G215" s="47">
        <v>448</v>
      </c>
      <c r="H215" s="47">
        <v>2</v>
      </c>
      <c r="I215" s="47">
        <v>28.3220174587778</v>
      </c>
      <c r="J215" s="47">
        <v>23.860329776915599</v>
      </c>
      <c r="K215" s="47">
        <v>17.2971225347559</v>
      </c>
      <c r="L215" s="47">
        <v>16.0362107985774</v>
      </c>
      <c r="M215" s="47">
        <v>14.4843194309731</v>
      </c>
    </row>
    <row r="216" spans="1:13" x14ac:dyDescent="0.25">
      <c r="A216" t="s">
        <v>387</v>
      </c>
      <c r="B216" s="47">
        <v>2904</v>
      </c>
      <c r="C216" s="47">
        <v>604</v>
      </c>
      <c r="D216" s="47">
        <v>664</v>
      </c>
      <c r="E216" s="47">
        <v>609</v>
      </c>
      <c r="F216" s="47">
        <v>470</v>
      </c>
      <c r="G216" s="47">
        <v>554</v>
      </c>
      <c r="H216" s="47">
        <v>3</v>
      </c>
      <c r="I216" s="47">
        <v>20.8204067562909</v>
      </c>
      <c r="J216" s="47">
        <v>22.888659083074799</v>
      </c>
      <c r="K216" s="47">
        <v>20.992761116856201</v>
      </c>
      <c r="L216" s="47">
        <v>16.201309893140198</v>
      </c>
      <c r="M216" s="47">
        <v>19.096863150637699</v>
      </c>
    </row>
    <row r="217" spans="1:13" x14ac:dyDescent="0.25">
      <c r="A217" t="s">
        <v>388</v>
      </c>
      <c r="B217" s="47">
        <v>5798</v>
      </c>
      <c r="C217" s="47">
        <v>488</v>
      </c>
      <c r="D217" s="47">
        <v>1075</v>
      </c>
      <c r="E217" s="47">
        <v>1098</v>
      </c>
      <c r="F217" s="47">
        <v>1656</v>
      </c>
      <c r="G217" s="47">
        <v>1470</v>
      </c>
      <c r="H217" s="47">
        <v>11</v>
      </c>
      <c r="I217" s="47">
        <v>8.4326939692414005</v>
      </c>
      <c r="J217" s="47">
        <v>18.576118887160799</v>
      </c>
      <c r="K217" s="47">
        <v>18.973561430793101</v>
      </c>
      <c r="L217" s="47">
        <v>28.615863141524098</v>
      </c>
      <c r="M217" s="47">
        <v>25.4017625712804</v>
      </c>
    </row>
    <row r="218" spans="1:13" x14ac:dyDescent="0.25">
      <c r="A218" t="s">
        <v>389</v>
      </c>
      <c r="B218" s="47">
        <v>14140</v>
      </c>
      <c r="C218" s="47">
        <v>5085</v>
      </c>
      <c r="D218" s="47">
        <v>2669</v>
      </c>
      <c r="E218" s="47">
        <v>1942</v>
      </c>
      <c r="F218" s="47">
        <v>2185</v>
      </c>
      <c r="G218" s="47">
        <v>2249</v>
      </c>
      <c r="H218" s="47">
        <v>10</v>
      </c>
      <c r="I218" s="47">
        <v>35.987261146496799</v>
      </c>
      <c r="J218" s="47">
        <v>18.8888888888888</v>
      </c>
      <c r="K218" s="47">
        <v>13.743807501769201</v>
      </c>
      <c r="L218" s="47">
        <v>15.4635527246992</v>
      </c>
      <c r="M218" s="47">
        <v>15.9164897381457</v>
      </c>
    </row>
    <row r="219" spans="1:13" x14ac:dyDescent="0.25">
      <c r="A219" t="s">
        <v>390</v>
      </c>
      <c r="B219" s="47">
        <v>1991</v>
      </c>
      <c r="C219" s="47">
        <v>288</v>
      </c>
      <c r="D219" s="47">
        <v>382</v>
      </c>
      <c r="E219" s="47">
        <v>609</v>
      </c>
      <c r="F219" s="47">
        <v>595</v>
      </c>
      <c r="G219" s="47">
        <v>111</v>
      </c>
      <c r="H219" s="47">
        <v>6</v>
      </c>
      <c r="I219" s="47">
        <v>14.508816120906801</v>
      </c>
      <c r="J219" s="47">
        <v>19.2443324937027</v>
      </c>
      <c r="K219" s="47">
        <v>30.6801007556675</v>
      </c>
      <c r="L219" s="47">
        <v>29.974811083123399</v>
      </c>
      <c r="M219" s="47">
        <v>5.5919395465994901</v>
      </c>
    </row>
    <row r="220" spans="1:13" x14ac:dyDescent="0.25">
      <c r="A220" t="s">
        <v>391</v>
      </c>
      <c r="B220" s="47">
        <v>4220</v>
      </c>
      <c r="C220" s="47">
        <v>1379</v>
      </c>
      <c r="D220" s="47">
        <v>1105</v>
      </c>
      <c r="E220" s="47">
        <v>640</v>
      </c>
      <c r="F220" s="47">
        <v>720</v>
      </c>
      <c r="G220" s="47">
        <v>373</v>
      </c>
      <c r="H220" s="47">
        <v>3</v>
      </c>
      <c r="I220" s="47">
        <v>32.700972255157602</v>
      </c>
      <c r="J220" s="47">
        <v>26.203462176902999</v>
      </c>
      <c r="K220" s="47">
        <v>15.176665876215299</v>
      </c>
      <c r="L220" s="47">
        <v>17.073749110742199</v>
      </c>
      <c r="M220" s="47">
        <v>8.8451505809817395</v>
      </c>
    </row>
    <row r="221" spans="1:13" x14ac:dyDescent="0.25">
      <c r="A221" t="s">
        <v>392</v>
      </c>
      <c r="B221" s="47">
        <v>8640</v>
      </c>
      <c r="C221" s="47">
        <v>1268</v>
      </c>
      <c r="D221" s="47">
        <v>1977</v>
      </c>
      <c r="E221" s="47">
        <v>1436</v>
      </c>
      <c r="F221" s="47">
        <v>1765</v>
      </c>
      <c r="G221" s="47">
        <v>2181</v>
      </c>
      <c r="H221" s="47">
        <v>13</v>
      </c>
      <c r="I221" s="47">
        <v>14.698041033963101</v>
      </c>
      <c r="J221" s="47">
        <v>22.916425176770598</v>
      </c>
      <c r="K221" s="47">
        <v>16.645415555813099</v>
      </c>
      <c r="L221" s="47">
        <v>20.459023994435999</v>
      </c>
      <c r="M221" s="47">
        <v>25.281094239017001</v>
      </c>
    </row>
    <row r="222" spans="1:13" x14ac:dyDescent="0.25">
      <c r="A222" t="s">
        <v>393</v>
      </c>
      <c r="B222" s="47">
        <v>132</v>
      </c>
      <c r="C222" s="47" t="s">
        <v>113</v>
      </c>
      <c r="D222" s="47">
        <v>17</v>
      </c>
      <c r="E222" s="47">
        <v>21</v>
      </c>
      <c r="F222" s="47">
        <v>94</v>
      </c>
      <c r="G222" s="47" t="s">
        <v>113</v>
      </c>
      <c r="H222" s="47" t="s">
        <v>113</v>
      </c>
      <c r="I222" s="47" t="s">
        <v>113</v>
      </c>
      <c r="J222" s="47">
        <v>12.878787878787801</v>
      </c>
      <c r="K222" s="47">
        <v>15.909090909090899</v>
      </c>
      <c r="L222" s="47">
        <v>71.212121212121204</v>
      </c>
      <c r="M222" s="47" t="s">
        <v>113</v>
      </c>
    </row>
    <row r="223" spans="1:13" x14ac:dyDescent="0.25">
      <c r="A223" t="s">
        <v>394</v>
      </c>
      <c r="B223" s="47">
        <v>92</v>
      </c>
      <c r="C223" s="47" t="s">
        <v>113</v>
      </c>
      <c r="D223" s="47">
        <v>7</v>
      </c>
      <c r="E223" s="47">
        <v>31</v>
      </c>
      <c r="F223" s="47">
        <v>54</v>
      </c>
      <c r="G223" s="47" t="s">
        <v>113</v>
      </c>
      <c r="H223" s="47" t="s">
        <v>113</v>
      </c>
      <c r="I223" s="47" t="s">
        <v>113</v>
      </c>
      <c r="J223" s="47">
        <v>7.6086956521739104</v>
      </c>
      <c r="K223" s="47">
        <v>33.695652173912997</v>
      </c>
      <c r="L223" s="47">
        <v>58.695652173912997</v>
      </c>
      <c r="M223" s="47" t="s">
        <v>113</v>
      </c>
    </row>
    <row r="224" spans="1:13" x14ac:dyDescent="0.25">
      <c r="A224" t="s">
        <v>395</v>
      </c>
      <c r="B224" s="47">
        <v>3714</v>
      </c>
      <c r="C224" s="47">
        <v>912</v>
      </c>
      <c r="D224" s="47">
        <v>744</v>
      </c>
      <c r="E224" s="47">
        <v>668</v>
      </c>
      <c r="F224" s="47">
        <v>861</v>
      </c>
      <c r="G224" s="47">
        <v>528</v>
      </c>
      <c r="H224" s="47">
        <v>1</v>
      </c>
      <c r="I224" s="47">
        <v>24.562348505251801</v>
      </c>
      <c r="J224" s="47">
        <v>20.037705359547498</v>
      </c>
      <c r="K224" s="47">
        <v>17.990842984109801</v>
      </c>
      <c r="L224" s="47">
        <v>23.188796121734399</v>
      </c>
      <c r="M224" s="47">
        <v>14.220307029356301</v>
      </c>
    </row>
    <row r="225" spans="1:13" x14ac:dyDescent="0.25">
      <c r="A225" t="s">
        <v>396</v>
      </c>
      <c r="B225" s="47">
        <v>161</v>
      </c>
      <c r="C225" s="47" t="s">
        <v>113</v>
      </c>
      <c r="D225" s="47">
        <v>26</v>
      </c>
      <c r="E225" s="47">
        <v>135</v>
      </c>
      <c r="F225" s="47" t="s">
        <v>113</v>
      </c>
      <c r="G225" s="47" t="s">
        <v>113</v>
      </c>
      <c r="H225" s="47" t="s">
        <v>113</v>
      </c>
      <c r="I225" s="47" t="s">
        <v>113</v>
      </c>
      <c r="J225" s="47">
        <v>16.1490683229813</v>
      </c>
      <c r="K225" s="47">
        <v>83.850931677018593</v>
      </c>
      <c r="L225" s="47" t="s">
        <v>113</v>
      </c>
      <c r="M225" s="47" t="s">
        <v>113</v>
      </c>
    </row>
    <row r="226" spans="1:13" x14ac:dyDescent="0.25">
      <c r="A226" t="s">
        <v>397</v>
      </c>
      <c r="B226" s="47">
        <v>49977</v>
      </c>
      <c r="C226" s="47">
        <v>12278</v>
      </c>
      <c r="D226" s="47">
        <v>10589</v>
      </c>
      <c r="E226" s="47">
        <v>8971</v>
      </c>
      <c r="F226" s="47">
        <v>9670</v>
      </c>
      <c r="G226" s="47">
        <v>8354</v>
      </c>
      <c r="H226" s="47">
        <v>115</v>
      </c>
      <c r="I226" s="47">
        <v>24.623962135493901</v>
      </c>
      <c r="J226" s="47">
        <v>21.2366130520235</v>
      </c>
      <c r="K226" s="47">
        <v>17.991656973246101</v>
      </c>
      <c r="L226" s="47">
        <v>19.393526132124599</v>
      </c>
      <c r="M226" s="47">
        <v>16.7542417071116</v>
      </c>
    </row>
    <row r="227" spans="1:13" x14ac:dyDescent="0.25">
      <c r="A227" t="s">
        <v>398</v>
      </c>
      <c r="B227" s="47">
        <v>3064</v>
      </c>
      <c r="C227" s="47">
        <v>1153</v>
      </c>
      <c r="D227" s="47">
        <v>735</v>
      </c>
      <c r="E227" s="47">
        <v>513</v>
      </c>
      <c r="F227" s="47">
        <v>363</v>
      </c>
      <c r="G227" s="47">
        <v>299</v>
      </c>
      <c r="H227" s="47">
        <v>1</v>
      </c>
      <c r="I227" s="47">
        <v>37.642833823049301</v>
      </c>
      <c r="J227" s="47">
        <v>23.996082272281999</v>
      </c>
      <c r="K227" s="47">
        <v>16.7482859941234</v>
      </c>
      <c r="L227" s="47">
        <v>11.8511263467189</v>
      </c>
      <c r="M227" s="47">
        <v>9.7616715638263098</v>
      </c>
    </row>
    <row r="228" spans="1:13" x14ac:dyDescent="0.25">
      <c r="A228" t="s">
        <v>399</v>
      </c>
      <c r="B228" s="47">
        <v>884</v>
      </c>
      <c r="C228" s="47">
        <v>74</v>
      </c>
      <c r="D228" s="47">
        <v>179</v>
      </c>
      <c r="E228" s="47">
        <v>323</v>
      </c>
      <c r="F228" s="47">
        <v>201</v>
      </c>
      <c r="G228" s="47">
        <v>60</v>
      </c>
      <c r="H228" s="47">
        <v>47</v>
      </c>
      <c r="I228" s="47">
        <v>8.8410991636798002</v>
      </c>
      <c r="J228" s="47">
        <v>21.385902031063299</v>
      </c>
      <c r="K228" s="47">
        <v>38.590203106332098</v>
      </c>
      <c r="L228" s="47">
        <v>24.014336917562702</v>
      </c>
      <c r="M228" s="47">
        <v>7.1684587813620002</v>
      </c>
    </row>
    <row r="229" spans="1:13" x14ac:dyDescent="0.25">
      <c r="A229" t="s">
        <v>400</v>
      </c>
      <c r="B229" s="47">
        <v>1112</v>
      </c>
      <c r="C229" s="47">
        <v>144</v>
      </c>
      <c r="D229" s="47">
        <v>308</v>
      </c>
      <c r="E229" s="47">
        <v>381</v>
      </c>
      <c r="F229" s="47">
        <v>162</v>
      </c>
      <c r="G229" s="47">
        <v>108</v>
      </c>
      <c r="H229" s="47">
        <v>9</v>
      </c>
      <c r="I229" s="47">
        <v>13.055303717135001</v>
      </c>
      <c r="J229" s="47">
        <v>27.923844061650001</v>
      </c>
      <c r="K229" s="47">
        <v>34.542157751586501</v>
      </c>
      <c r="L229" s="47">
        <v>14.687216681776899</v>
      </c>
      <c r="M229" s="47">
        <v>9.79147778785131</v>
      </c>
    </row>
    <row r="230" spans="1:13" x14ac:dyDescent="0.25">
      <c r="A230" t="s">
        <v>401</v>
      </c>
      <c r="B230" s="47">
        <v>2890</v>
      </c>
      <c r="C230" s="47">
        <v>830</v>
      </c>
      <c r="D230" s="47">
        <v>730</v>
      </c>
      <c r="E230" s="47">
        <v>537</v>
      </c>
      <c r="F230" s="47">
        <v>403</v>
      </c>
      <c r="G230" s="47">
        <v>389</v>
      </c>
      <c r="H230" s="47">
        <v>1</v>
      </c>
      <c r="I230" s="47">
        <v>28.729664243682901</v>
      </c>
      <c r="J230" s="47">
        <v>25.2682589131187</v>
      </c>
      <c r="K230" s="47">
        <v>18.5877466251298</v>
      </c>
      <c r="L230" s="47">
        <v>13.9494634821737</v>
      </c>
      <c r="M230" s="47">
        <v>13.464866735894701</v>
      </c>
    </row>
    <row r="231" spans="1:13" x14ac:dyDescent="0.25">
      <c r="A231" t="s">
        <v>402</v>
      </c>
      <c r="B231" s="47">
        <v>2779</v>
      </c>
      <c r="C231" s="47">
        <v>545</v>
      </c>
      <c r="D231" s="47">
        <v>636</v>
      </c>
      <c r="E231" s="47">
        <v>596</v>
      </c>
      <c r="F231" s="47">
        <v>508</v>
      </c>
      <c r="G231" s="47">
        <v>494</v>
      </c>
      <c r="H231" s="47" t="s">
        <v>113</v>
      </c>
      <c r="I231" s="47">
        <v>19.611370996761401</v>
      </c>
      <c r="J231" s="47">
        <v>22.885930190716</v>
      </c>
      <c r="K231" s="47">
        <v>21.446563512054599</v>
      </c>
      <c r="L231" s="47">
        <v>18.279956818999601</v>
      </c>
      <c r="M231" s="47">
        <v>17.776178481468101</v>
      </c>
    </row>
    <row r="232" spans="1:13" x14ac:dyDescent="0.25">
      <c r="A232" t="s">
        <v>403</v>
      </c>
      <c r="B232" s="47">
        <v>5364</v>
      </c>
      <c r="C232" s="47">
        <v>400</v>
      </c>
      <c r="D232" s="47">
        <v>985</v>
      </c>
      <c r="E232" s="47">
        <v>1069</v>
      </c>
      <c r="F232" s="47">
        <v>1508</v>
      </c>
      <c r="G232" s="47">
        <v>1396</v>
      </c>
      <c r="H232" s="47">
        <v>6</v>
      </c>
      <c r="I232" s="47">
        <v>7.4654721911160804</v>
      </c>
      <c r="J232" s="47">
        <v>18.383725270623302</v>
      </c>
      <c r="K232" s="47">
        <v>19.951474430757699</v>
      </c>
      <c r="L232" s="47">
        <v>28.144830160507599</v>
      </c>
      <c r="M232" s="47">
        <v>26.054497946995099</v>
      </c>
    </row>
    <row r="233" spans="1:13" x14ac:dyDescent="0.25">
      <c r="A233" t="s">
        <v>404</v>
      </c>
      <c r="B233" s="47">
        <v>13571</v>
      </c>
      <c r="C233" s="47">
        <v>4972</v>
      </c>
      <c r="D233" s="47">
        <v>2548</v>
      </c>
      <c r="E233" s="47">
        <v>1839</v>
      </c>
      <c r="F233" s="47">
        <v>2045</v>
      </c>
      <c r="G233" s="47">
        <v>2159</v>
      </c>
      <c r="H233" s="47">
        <v>8</v>
      </c>
      <c r="I233" s="47">
        <v>36.658556366585501</v>
      </c>
      <c r="J233" s="47">
        <v>18.786404187864001</v>
      </c>
      <c r="K233" s="47">
        <v>13.558947135589399</v>
      </c>
      <c r="L233" s="47">
        <v>15.0777851507778</v>
      </c>
      <c r="M233" s="47">
        <v>15.918307159183</v>
      </c>
    </row>
    <row r="234" spans="1:13" x14ac:dyDescent="0.25">
      <c r="A234" t="s">
        <v>405</v>
      </c>
      <c r="B234" s="47">
        <v>1965</v>
      </c>
      <c r="C234" s="47">
        <v>255</v>
      </c>
      <c r="D234" s="47">
        <v>365</v>
      </c>
      <c r="E234" s="47">
        <v>636</v>
      </c>
      <c r="F234" s="47">
        <v>588</v>
      </c>
      <c r="G234" s="47">
        <v>118</v>
      </c>
      <c r="H234" s="47">
        <v>3</v>
      </c>
      <c r="I234" s="47">
        <v>12.996941896024399</v>
      </c>
      <c r="J234" s="47">
        <v>18.603465851172199</v>
      </c>
      <c r="K234" s="47">
        <v>32.415902140672699</v>
      </c>
      <c r="L234" s="47">
        <v>29.9694189602446</v>
      </c>
      <c r="M234" s="47">
        <v>6.0142711518858301</v>
      </c>
    </row>
    <row r="235" spans="1:13" x14ac:dyDescent="0.25">
      <c r="A235" t="s">
        <v>406</v>
      </c>
      <c r="B235" s="47">
        <v>4165</v>
      </c>
      <c r="C235" s="47">
        <v>1354</v>
      </c>
      <c r="D235" s="47">
        <v>1048</v>
      </c>
      <c r="E235" s="47">
        <v>673</v>
      </c>
      <c r="F235" s="47">
        <v>710</v>
      </c>
      <c r="G235" s="47">
        <v>378</v>
      </c>
      <c r="H235" s="47">
        <v>2</v>
      </c>
      <c r="I235" s="47">
        <v>32.524621667067002</v>
      </c>
      <c r="J235" s="47">
        <v>25.174153254864201</v>
      </c>
      <c r="K235" s="47">
        <v>16.166226279125599</v>
      </c>
      <c r="L235" s="47">
        <v>17.0550084073985</v>
      </c>
      <c r="M235" s="47">
        <v>9.0799903915445501</v>
      </c>
    </row>
    <row r="236" spans="1:13" x14ac:dyDescent="0.25">
      <c r="A236" t="s">
        <v>407</v>
      </c>
      <c r="B236" s="47">
        <v>8166</v>
      </c>
      <c r="C236" s="47">
        <v>1207</v>
      </c>
      <c r="D236" s="47">
        <v>1926</v>
      </c>
      <c r="E236" s="47">
        <v>1310</v>
      </c>
      <c r="F236" s="47">
        <v>1715</v>
      </c>
      <c r="G236" s="47">
        <v>1984</v>
      </c>
      <c r="H236" s="47">
        <v>24</v>
      </c>
      <c r="I236" s="47">
        <v>14.824367477278299</v>
      </c>
      <c r="J236" s="47">
        <v>23.6551215917465</v>
      </c>
      <c r="K236" s="47">
        <v>16.089412920658301</v>
      </c>
      <c r="L236" s="47">
        <v>21.0636207320068</v>
      </c>
      <c r="M236" s="47">
        <v>24.367477278309899</v>
      </c>
    </row>
    <row r="237" spans="1:13" x14ac:dyDescent="0.25">
      <c r="A237" t="s">
        <v>408</v>
      </c>
      <c r="B237" s="47">
        <v>138</v>
      </c>
      <c r="C237" s="47" t="s">
        <v>113</v>
      </c>
      <c r="D237" s="47">
        <v>18</v>
      </c>
      <c r="E237" s="47">
        <v>22</v>
      </c>
      <c r="F237" s="47">
        <v>97</v>
      </c>
      <c r="G237" s="47">
        <v>1</v>
      </c>
      <c r="H237" s="47" t="s">
        <v>113</v>
      </c>
      <c r="I237" s="47" t="s">
        <v>113</v>
      </c>
      <c r="J237" s="47">
        <v>13.043478260869501</v>
      </c>
      <c r="K237" s="47">
        <v>15.9420289855072</v>
      </c>
      <c r="L237" s="47">
        <v>70.289855072463695</v>
      </c>
      <c r="M237" s="47">
        <v>0.72463768115941996</v>
      </c>
    </row>
    <row r="238" spans="1:13" x14ac:dyDescent="0.25">
      <c r="A238" t="s">
        <v>409</v>
      </c>
      <c r="B238" s="47">
        <v>114</v>
      </c>
      <c r="C238" s="47" t="s">
        <v>113</v>
      </c>
      <c r="D238" s="47">
        <v>6</v>
      </c>
      <c r="E238" s="47">
        <v>43</v>
      </c>
      <c r="F238" s="47">
        <v>63</v>
      </c>
      <c r="G238" s="47">
        <v>1</v>
      </c>
      <c r="H238" s="47">
        <v>1</v>
      </c>
      <c r="I238" s="47" t="s">
        <v>113</v>
      </c>
      <c r="J238" s="47">
        <v>5.3097345132743303</v>
      </c>
      <c r="K238" s="47">
        <v>38.053097345132699</v>
      </c>
      <c r="L238" s="47">
        <v>55.752212389380503</v>
      </c>
      <c r="M238" s="47">
        <v>0.88495575221238898</v>
      </c>
    </row>
    <row r="239" spans="1:13" x14ac:dyDescent="0.25">
      <c r="A239" t="s">
        <v>410</v>
      </c>
      <c r="B239" s="47">
        <v>3584</v>
      </c>
      <c r="C239" s="47">
        <v>842</v>
      </c>
      <c r="D239" s="47">
        <v>761</v>
      </c>
      <c r="E239" s="47">
        <v>632</v>
      </c>
      <c r="F239" s="47">
        <v>809</v>
      </c>
      <c r="G239" s="47">
        <v>535</v>
      </c>
      <c r="H239" s="47">
        <v>5</v>
      </c>
      <c r="I239" s="47">
        <v>23.5261246158144</v>
      </c>
      <c r="J239" s="47">
        <v>21.2629226040793</v>
      </c>
      <c r="K239" s="47">
        <v>17.658563844649301</v>
      </c>
      <c r="L239" s="47">
        <v>22.6040793517742</v>
      </c>
      <c r="M239" s="47">
        <v>14.9483095836825</v>
      </c>
    </row>
    <row r="240" spans="1:13" x14ac:dyDescent="0.25">
      <c r="A240" t="s">
        <v>411</v>
      </c>
      <c r="B240" s="47">
        <v>158</v>
      </c>
      <c r="C240" s="47" t="s">
        <v>113</v>
      </c>
      <c r="D240" s="47">
        <v>17</v>
      </c>
      <c r="E240" s="47">
        <v>141</v>
      </c>
      <c r="F240" s="47" t="s">
        <v>113</v>
      </c>
      <c r="G240" s="47" t="s">
        <v>113</v>
      </c>
      <c r="H240" s="47" t="s">
        <v>113</v>
      </c>
      <c r="I240" s="47" t="s">
        <v>113</v>
      </c>
      <c r="J240" s="47">
        <v>10.759493670886</v>
      </c>
      <c r="K240" s="47">
        <v>89.240506329113899</v>
      </c>
      <c r="L240" s="47" t="s">
        <v>113</v>
      </c>
      <c r="M240" s="47" t="s">
        <v>113</v>
      </c>
    </row>
    <row r="241" spans="1:13" x14ac:dyDescent="0.25">
      <c r="A241" t="s">
        <v>412</v>
      </c>
      <c r="B241" s="47">
        <v>48088</v>
      </c>
      <c r="C241" s="47">
        <v>11787</v>
      </c>
      <c r="D241" s="47">
        <v>10295</v>
      </c>
      <c r="E241" s="47">
        <v>8751</v>
      </c>
      <c r="F241" s="47">
        <v>9206</v>
      </c>
      <c r="G241" s="47">
        <v>7942</v>
      </c>
      <c r="H241" s="47">
        <v>107</v>
      </c>
      <c r="I241" s="47">
        <v>24.565974031387402</v>
      </c>
      <c r="J241" s="47">
        <v>21.4564098288906</v>
      </c>
      <c r="K241" s="47">
        <v>18.238469394135102</v>
      </c>
      <c r="L241" s="47">
        <v>19.186761426397901</v>
      </c>
      <c r="M241" s="47">
        <v>16.552385319188801</v>
      </c>
    </row>
    <row r="242" spans="1:13" x14ac:dyDescent="0.25">
      <c r="A242" t="s">
        <v>413</v>
      </c>
      <c r="B242" s="47">
        <v>2753</v>
      </c>
      <c r="C242" s="47">
        <v>1010</v>
      </c>
      <c r="D242" s="47">
        <v>619</v>
      </c>
      <c r="E242" s="47">
        <v>507</v>
      </c>
      <c r="F242" s="47">
        <v>339</v>
      </c>
      <c r="G242" s="47">
        <v>278</v>
      </c>
      <c r="H242" s="47" t="s">
        <v>113</v>
      </c>
      <c r="I242" s="47">
        <v>36.687250272429999</v>
      </c>
      <c r="J242" s="47">
        <v>22.484562295677399</v>
      </c>
      <c r="K242" s="47">
        <v>18.4162731565564</v>
      </c>
      <c r="L242" s="47">
        <v>12.313839447875001</v>
      </c>
      <c r="M242" s="47">
        <v>10.0980748274609</v>
      </c>
    </row>
    <row r="243" spans="1:13" x14ac:dyDescent="0.25">
      <c r="A243" t="s">
        <v>414</v>
      </c>
      <c r="B243" s="47">
        <v>817</v>
      </c>
      <c r="C243" s="47">
        <v>80</v>
      </c>
      <c r="D243" s="47">
        <v>151</v>
      </c>
      <c r="E243" s="47">
        <v>296</v>
      </c>
      <c r="F243" s="47">
        <v>197</v>
      </c>
      <c r="G243" s="47">
        <v>47</v>
      </c>
      <c r="H243" s="47">
        <v>46</v>
      </c>
      <c r="I243" s="47">
        <v>10.3761348897535</v>
      </c>
      <c r="J243" s="47">
        <v>19.584954604409798</v>
      </c>
      <c r="K243" s="47">
        <v>38.391699092088203</v>
      </c>
      <c r="L243" s="47">
        <v>25.551232166018099</v>
      </c>
      <c r="M243" s="47">
        <v>6.0959792477302202</v>
      </c>
    </row>
    <row r="244" spans="1:13" x14ac:dyDescent="0.25">
      <c r="A244" t="s">
        <v>415</v>
      </c>
      <c r="B244" s="47">
        <v>1083</v>
      </c>
      <c r="C244" s="47">
        <v>130</v>
      </c>
      <c r="D244" s="47">
        <v>323</v>
      </c>
      <c r="E244" s="47">
        <v>365</v>
      </c>
      <c r="F244" s="47">
        <v>163</v>
      </c>
      <c r="G244" s="47">
        <v>97</v>
      </c>
      <c r="H244" s="47">
        <v>5</v>
      </c>
      <c r="I244" s="47">
        <v>12.0593692022263</v>
      </c>
      <c r="J244" s="47">
        <v>29.962894248608499</v>
      </c>
      <c r="K244" s="47">
        <v>33.858998144712402</v>
      </c>
      <c r="L244" s="47">
        <v>15.120593692022201</v>
      </c>
      <c r="M244" s="47">
        <v>8.9981447124304204</v>
      </c>
    </row>
    <row r="245" spans="1:13" x14ac:dyDescent="0.25">
      <c r="A245" t="s">
        <v>416</v>
      </c>
      <c r="B245" s="47">
        <v>2724</v>
      </c>
      <c r="C245" s="47">
        <v>810</v>
      </c>
      <c r="D245" s="47">
        <v>622</v>
      </c>
      <c r="E245" s="47">
        <v>497</v>
      </c>
      <c r="F245" s="47">
        <v>417</v>
      </c>
      <c r="G245" s="47">
        <v>377</v>
      </c>
      <c r="H245" s="47">
        <v>1</v>
      </c>
      <c r="I245" s="47">
        <v>29.746603011384501</v>
      </c>
      <c r="J245" s="47">
        <v>22.842453176643399</v>
      </c>
      <c r="K245" s="47">
        <v>18.251928020565501</v>
      </c>
      <c r="L245" s="47">
        <v>15.313991920675701</v>
      </c>
      <c r="M245" s="47">
        <v>13.845023870730801</v>
      </c>
    </row>
    <row r="246" spans="1:13" x14ac:dyDescent="0.25">
      <c r="A246" t="s">
        <v>417</v>
      </c>
      <c r="B246" s="47">
        <v>2816</v>
      </c>
      <c r="C246" s="47">
        <v>576</v>
      </c>
      <c r="D246" s="47">
        <v>638</v>
      </c>
      <c r="E246" s="47">
        <v>615</v>
      </c>
      <c r="F246" s="47">
        <v>491</v>
      </c>
      <c r="G246" s="47">
        <v>491</v>
      </c>
      <c r="H246" s="47">
        <v>5</v>
      </c>
      <c r="I246" s="47">
        <v>20.490928495197402</v>
      </c>
      <c r="J246" s="47">
        <v>22.696549270722102</v>
      </c>
      <c r="K246" s="47">
        <v>21.878335112059698</v>
      </c>
      <c r="L246" s="47">
        <v>17.467093561010302</v>
      </c>
      <c r="M246" s="47">
        <v>17.467093561010302</v>
      </c>
    </row>
    <row r="247" spans="1:13" x14ac:dyDescent="0.25">
      <c r="A247" t="s">
        <v>418</v>
      </c>
      <c r="B247" s="47">
        <v>4928</v>
      </c>
      <c r="C247" s="47">
        <v>387</v>
      </c>
      <c r="D247" s="47">
        <v>897</v>
      </c>
      <c r="E247" s="47">
        <v>937</v>
      </c>
      <c r="F247" s="47">
        <v>1451</v>
      </c>
      <c r="G247" s="47">
        <v>1255</v>
      </c>
      <c r="H247" s="47">
        <v>1</v>
      </c>
      <c r="I247" s="47">
        <v>7.8546783032271099</v>
      </c>
      <c r="J247" s="47">
        <v>18.205804749340299</v>
      </c>
      <c r="K247" s="47">
        <v>19.0176578039374</v>
      </c>
      <c r="L247" s="47">
        <v>29.4499695555104</v>
      </c>
      <c r="M247" s="47">
        <v>25.471889587984499</v>
      </c>
    </row>
    <row r="248" spans="1:13" x14ac:dyDescent="0.25">
      <c r="A248" t="s">
        <v>419</v>
      </c>
      <c r="B248" s="47">
        <v>12768</v>
      </c>
      <c r="C248" s="47">
        <v>4642</v>
      </c>
      <c r="D248" s="47">
        <v>2226</v>
      </c>
      <c r="E248" s="47">
        <v>1715</v>
      </c>
      <c r="F248" s="47">
        <v>2041</v>
      </c>
      <c r="G248" s="47">
        <v>2139</v>
      </c>
      <c r="H248" s="47">
        <v>5</v>
      </c>
      <c r="I248" s="47">
        <v>36.370759225887298</v>
      </c>
      <c r="J248" s="47">
        <v>17.441040507717599</v>
      </c>
      <c r="K248" s="47">
        <v>13.4372796364491</v>
      </c>
      <c r="L248" s="47">
        <v>15.9915380396458</v>
      </c>
      <c r="M248" s="47">
        <v>16.7593825903</v>
      </c>
    </row>
    <row r="249" spans="1:13" x14ac:dyDescent="0.25">
      <c r="A249" t="s">
        <v>420</v>
      </c>
      <c r="B249" s="47">
        <v>1845</v>
      </c>
      <c r="C249" s="47">
        <v>233</v>
      </c>
      <c r="D249" s="47">
        <v>354</v>
      </c>
      <c r="E249" s="47">
        <v>565</v>
      </c>
      <c r="F249" s="47">
        <v>590</v>
      </c>
      <c r="G249" s="47">
        <v>101</v>
      </c>
      <c r="H249" s="47">
        <v>2</v>
      </c>
      <c r="I249" s="47">
        <v>12.642430819316299</v>
      </c>
      <c r="J249" s="47">
        <v>19.2078133478024</v>
      </c>
      <c r="K249" s="47">
        <v>30.656538252848598</v>
      </c>
      <c r="L249" s="47">
        <v>32.0130222463374</v>
      </c>
      <c r="M249" s="47">
        <v>5.4801953336950602</v>
      </c>
    </row>
    <row r="250" spans="1:13" x14ac:dyDescent="0.25">
      <c r="A250" t="s">
        <v>421</v>
      </c>
      <c r="B250" s="47">
        <v>4081</v>
      </c>
      <c r="C250" s="47">
        <v>1266</v>
      </c>
      <c r="D250" s="47">
        <v>1067</v>
      </c>
      <c r="E250" s="47">
        <v>670</v>
      </c>
      <c r="F250" s="47">
        <v>683</v>
      </c>
      <c r="G250" s="47">
        <v>393</v>
      </c>
      <c r="H250" s="47">
        <v>2</v>
      </c>
      <c r="I250" s="47">
        <v>31.037018877175701</v>
      </c>
      <c r="J250" s="47">
        <v>26.158372150036701</v>
      </c>
      <c r="K250" s="47">
        <v>16.425594508457898</v>
      </c>
      <c r="L250" s="47">
        <v>16.7443000735474</v>
      </c>
      <c r="M250" s="47">
        <v>9.6347143907820492</v>
      </c>
    </row>
    <row r="251" spans="1:13" x14ac:dyDescent="0.25">
      <c r="A251" t="s">
        <v>422</v>
      </c>
      <c r="B251" s="47">
        <v>8053</v>
      </c>
      <c r="C251" s="47">
        <v>1137</v>
      </c>
      <c r="D251" s="47">
        <v>1800</v>
      </c>
      <c r="E251" s="47">
        <v>1286</v>
      </c>
      <c r="F251" s="47">
        <v>1792</v>
      </c>
      <c r="G251" s="47">
        <v>2015</v>
      </c>
      <c r="H251" s="47">
        <v>23</v>
      </c>
      <c r="I251" s="47">
        <v>14.159402241594</v>
      </c>
      <c r="J251" s="47">
        <v>22.415940224159399</v>
      </c>
      <c r="K251" s="47">
        <v>16.014943960149399</v>
      </c>
      <c r="L251" s="47">
        <v>22.3163138231631</v>
      </c>
      <c r="M251" s="47">
        <v>25.093399750933902</v>
      </c>
    </row>
    <row r="252" spans="1:13" x14ac:dyDescent="0.25">
      <c r="A252" t="s">
        <v>423</v>
      </c>
      <c r="B252" s="47">
        <v>142</v>
      </c>
      <c r="C252" s="47" t="s">
        <v>113</v>
      </c>
      <c r="D252" s="47">
        <v>23</v>
      </c>
      <c r="E252" s="47">
        <v>16</v>
      </c>
      <c r="F252" s="47">
        <v>103</v>
      </c>
      <c r="G252" s="47" t="s">
        <v>113</v>
      </c>
      <c r="H252" s="47" t="s">
        <v>113</v>
      </c>
      <c r="I252" s="47" t="s">
        <v>113</v>
      </c>
      <c r="J252" s="47">
        <v>16.197183098591498</v>
      </c>
      <c r="K252" s="47">
        <v>11.2676056338028</v>
      </c>
      <c r="L252" s="47">
        <v>72.535211267605604</v>
      </c>
      <c r="M252" s="47" t="s">
        <v>113</v>
      </c>
    </row>
    <row r="253" spans="1:13" x14ac:dyDescent="0.25">
      <c r="A253" t="s">
        <v>424</v>
      </c>
      <c r="B253" s="47">
        <v>105</v>
      </c>
      <c r="C253" s="47" t="s">
        <v>113</v>
      </c>
      <c r="D253" s="47">
        <v>7</v>
      </c>
      <c r="E253" s="47">
        <v>39</v>
      </c>
      <c r="F253" s="47">
        <v>59</v>
      </c>
      <c r="G253" s="47" t="s">
        <v>113</v>
      </c>
      <c r="H253" s="47" t="s">
        <v>113</v>
      </c>
      <c r="I253" s="47" t="s">
        <v>113</v>
      </c>
      <c r="J253" s="47">
        <v>6.6666666666666599</v>
      </c>
      <c r="K253" s="47">
        <v>37.142857142857103</v>
      </c>
      <c r="L253" s="47">
        <v>56.190476190476097</v>
      </c>
      <c r="M253" s="47" t="s">
        <v>113</v>
      </c>
    </row>
    <row r="254" spans="1:13" x14ac:dyDescent="0.25">
      <c r="A254" t="s">
        <v>425</v>
      </c>
      <c r="B254" s="47">
        <v>3339</v>
      </c>
      <c r="C254" s="47">
        <v>779</v>
      </c>
      <c r="D254" s="47">
        <v>645</v>
      </c>
      <c r="E254" s="47">
        <v>604</v>
      </c>
      <c r="F254" s="47">
        <v>828</v>
      </c>
      <c r="G254" s="47">
        <v>479</v>
      </c>
      <c r="H254" s="47">
        <v>4</v>
      </c>
      <c r="I254" s="47">
        <v>23.358320839580198</v>
      </c>
      <c r="J254" s="47">
        <v>19.3403298350824</v>
      </c>
      <c r="K254" s="47">
        <v>18.110944527736098</v>
      </c>
      <c r="L254" s="47">
        <v>24.827586206896498</v>
      </c>
      <c r="M254" s="47">
        <v>14.362818590704601</v>
      </c>
    </row>
    <row r="255" spans="1:13" x14ac:dyDescent="0.25">
      <c r="A255" t="s">
        <v>426</v>
      </c>
      <c r="B255" s="47">
        <v>124</v>
      </c>
      <c r="C255" s="47" t="s">
        <v>113</v>
      </c>
      <c r="D255" s="47">
        <v>23</v>
      </c>
      <c r="E255" s="47">
        <v>101</v>
      </c>
      <c r="F255" s="47" t="s">
        <v>113</v>
      </c>
      <c r="G255" s="47" t="s">
        <v>113</v>
      </c>
      <c r="H255" s="47" t="s">
        <v>113</v>
      </c>
      <c r="I255" s="47" t="s">
        <v>113</v>
      </c>
      <c r="J255" s="47">
        <v>18.5483870967741</v>
      </c>
      <c r="K255" s="47">
        <v>81.451612903225794</v>
      </c>
      <c r="L255" s="47" t="s">
        <v>113</v>
      </c>
      <c r="M255" s="47" t="s">
        <v>113</v>
      </c>
    </row>
    <row r="256" spans="1:13" x14ac:dyDescent="0.25">
      <c r="A256" t="s">
        <v>427</v>
      </c>
      <c r="B256" s="47">
        <v>45715</v>
      </c>
      <c r="C256" s="47">
        <v>11078</v>
      </c>
      <c r="D256" s="47">
        <v>9420</v>
      </c>
      <c r="E256" s="47">
        <v>8241</v>
      </c>
      <c r="F256" s="47">
        <v>9183</v>
      </c>
      <c r="G256" s="47">
        <v>7699</v>
      </c>
      <c r="H256" s="47">
        <v>94</v>
      </c>
      <c r="I256" s="47">
        <v>24.282676837421299</v>
      </c>
      <c r="J256" s="47">
        <v>20.6483856118892</v>
      </c>
      <c r="K256" s="47">
        <v>18.064049450910701</v>
      </c>
      <c r="L256" s="47">
        <v>20.128888012099601</v>
      </c>
      <c r="M256" s="47">
        <v>16.8760000876789</v>
      </c>
    </row>
    <row r="257" spans="1:13" x14ac:dyDescent="0.25">
      <c r="A257" t="s">
        <v>428</v>
      </c>
      <c r="B257" s="47">
        <v>2851</v>
      </c>
      <c r="C257" s="47">
        <v>1017</v>
      </c>
      <c r="D257" s="47">
        <v>654</v>
      </c>
      <c r="E257" s="47">
        <v>485</v>
      </c>
      <c r="F257" s="47">
        <v>387</v>
      </c>
      <c r="G257" s="47">
        <v>307</v>
      </c>
      <c r="H257" s="47">
        <v>1</v>
      </c>
      <c r="I257" s="47">
        <v>35.684210526315702</v>
      </c>
      <c r="J257" s="47">
        <v>22.947368421052602</v>
      </c>
      <c r="K257" s="47">
        <v>17.017543859649098</v>
      </c>
      <c r="L257" s="47">
        <v>13.578947368421</v>
      </c>
      <c r="M257" s="47">
        <v>10.771929824561401</v>
      </c>
    </row>
    <row r="258" spans="1:13" x14ac:dyDescent="0.25">
      <c r="A258" t="s">
        <v>429</v>
      </c>
      <c r="B258" s="47">
        <v>842</v>
      </c>
      <c r="C258" s="47">
        <v>76</v>
      </c>
      <c r="D258" s="47">
        <v>184</v>
      </c>
      <c r="E258" s="47">
        <v>300</v>
      </c>
      <c r="F258" s="47">
        <v>200</v>
      </c>
      <c r="G258" s="47">
        <v>49</v>
      </c>
      <c r="H258" s="47">
        <v>33</v>
      </c>
      <c r="I258" s="47">
        <v>9.3943139678615495</v>
      </c>
      <c r="J258" s="47">
        <v>22.74412855377</v>
      </c>
      <c r="K258" s="47">
        <v>37.082818294190297</v>
      </c>
      <c r="L258" s="47">
        <v>24.721878862793499</v>
      </c>
      <c r="M258" s="47">
        <v>6.0568603213844199</v>
      </c>
    </row>
    <row r="259" spans="1:13" x14ac:dyDescent="0.25">
      <c r="A259" t="s">
        <v>430</v>
      </c>
      <c r="B259" s="47">
        <v>1076</v>
      </c>
      <c r="C259" s="47">
        <v>132</v>
      </c>
      <c r="D259" s="47">
        <v>279</v>
      </c>
      <c r="E259" s="47">
        <v>396</v>
      </c>
      <c r="F259" s="47">
        <v>153</v>
      </c>
      <c r="G259" s="47">
        <v>113</v>
      </c>
      <c r="H259" s="47">
        <v>3</v>
      </c>
      <c r="I259" s="47">
        <v>12.3019571295433</v>
      </c>
      <c r="J259" s="47">
        <v>26.001863932898399</v>
      </c>
      <c r="K259" s="47">
        <v>36.905871388629997</v>
      </c>
      <c r="L259" s="47">
        <v>14.2590866728797</v>
      </c>
      <c r="M259" s="47">
        <v>10.531220876048399</v>
      </c>
    </row>
    <row r="260" spans="1:13" x14ac:dyDescent="0.25">
      <c r="A260" t="s">
        <v>431</v>
      </c>
      <c r="B260" s="47">
        <v>2674</v>
      </c>
      <c r="C260" s="47">
        <v>697</v>
      </c>
      <c r="D260" s="47">
        <v>636</v>
      </c>
      <c r="E260" s="47">
        <v>510</v>
      </c>
      <c r="F260" s="47">
        <v>432</v>
      </c>
      <c r="G260" s="47">
        <v>398</v>
      </c>
      <c r="H260" s="47">
        <v>1</v>
      </c>
      <c r="I260" s="47">
        <v>26.0755705200149</v>
      </c>
      <c r="J260" s="47">
        <v>23.793490460157098</v>
      </c>
      <c r="K260" s="47">
        <v>19.0796857463524</v>
      </c>
      <c r="L260" s="47">
        <v>16.161616161616099</v>
      </c>
      <c r="M260" s="47">
        <v>14.889637111859299</v>
      </c>
    </row>
    <row r="261" spans="1:13" x14ac:dyDescent="0.25">
      <c r="A261" t="s">
        <v>432</v>
      </c>
      <c r="B261" s="47">
        <v>2861</v>
      </c>
      <c r="C261" s="47">
        <v>561</v>
      </c>
      <c r="D261" s="47">
        <v>639</v>
      </c>
      <c r="E261" s="47">
        <v>631</v>
      </c>
      <c r="F261" s="47">
        <v>475</v>
      </c>
      <c r="G261" s="47">
        <v>552</v>
      </c>
      <c r="H261" s="47">
        <v>3</v>
      </c>
      <c r="I261" s="47">
        <v>19.629111266620001</v>
      </c>
      <c r="J261" s="47">
        <v>22.358292512246301</v>
      </c>
      <c r="K261" s="47">
        <v>22.078376487053799</v>
      </c>
      <c r="L261" s="47">
        <v>16.620013995801202</v>
      </c>
      <c r="M261" s="47">
        <v>19.314205738278499</v>
      </c>
    </row>
    <row r="262" spans="1:13" x14ac:dyDescent="0.25">
      <c r="A262" t="s">
        <v>433</v>
      </c>
      <c r="B262" s="47">
        <v>5132</v>
      </c>
      <c r="C262" s="47">
        <v>356</v>
      </c>
      <c r="D262" s="47">
        <v>912</v>
      </c>
      <c r="E262" s="47">
        <v>1012</v>
      </c>
      <c r="F262" s="47">
        <v>1503</v>
      </c>
      <c r="G262" s="47">
        <v>1343</v>
      </c>
      <c r="H262" s="47">
        <v>6</v>
      </c>
      <c r="I262" s="47">
        <v>6.9449863441279698</v>
      </c>
      <c r="J262" s="47">
        <v>17.791650409676102</v>
      </c>
      <c r="K262" s="47">
        <v>19.742489270386201</v>
      </c>
      <c r="L262" s="47">
        <v>29.3211080764728</v>
      </c>
      <c r="M262" s="47">
        <v>26.1997658993367</v>
      </c>
    </row>
    <row r="263" spans="1:13" x14ac:dyDescent="0.25">
      <c r="A263" t="s">
        <v>434</v>
      </c>
      <c r="B263" s="47">
        <v>13073</v>
      </c>
      <c r="C263" s="47">
        <v>4705</v>
      </c>
      <c r="D263" s="47">
        <v>2451</v>
      </c>
      <c r="E263" s="47">
        <v>1771</v>
      </c>
      <c r="F263" s="47">
        <v>2012</v>
      </c>
      <c r="G263" s="47">
        <v>2129</v>
      </c>
      <c r="H263" s="47">
        <v>5</v>
      </c>
      <c r="I263" s="47">
        <v>36.003979185797299</v>
      </c>
      <c r="J263" s="47">
        <v>18.755739210284599</v>
      </c>
      <c r="K263" s="47">
        <v>13.5521885521885</v>
      </c>
      <c r="L263" s="47">
        <v>15.396388123660801</v>
      </c>
      <c r="M263" s="47">
        <v>16.291704928068501</v>
      </c>
    </row>
    <row r="264" spans="1:13" x14ac:dyDescent="0.25">
      <c r="A264" t="s">
        <v>435</v>
      </c>
      <c r="B264" s="47">
        <v>1884</v>
      </c>
      <c r="C264" s="47">
        <v>219</v>
      </c>
      <c r="D264" s="47">
        <v>307</v>
      </c>
      <c r="E264" s="47">
        <v>660</v>
      </c>
      <c r="F264" s="47">
        <v>575</v>
      </c>
      <c r="G264" s="47">
        <v>121</v>
      </c>
      <c r="H264" s="47">
        <v>2</v>
      </c>
      <c r="I264" s="47">
        <v>11.6365568544102</v>
      </c>
      <c r="J264" s="47">
        <v>16.3124335812964</v>
      </c>
      <c r="K264" s="47">
        <v>35.069075451647102</v>
      </c>
      <c r="L264" s="47">
        <v>30.5526036131774</v>
      </c>
      <c r="M264" s="47">
        <v>6.4293304994686498</v>
      </c>
    </row>
    <row r="265" spans="1:13" x14ac:dyDescent="0.25">
      <c r="A265" t="s">
        <v>436</v>
      </c>
      <c r="B265" s="47">
        <v>4166</v>
      </c>
      <c r="C265" s="47">
        <v>1285</v>
      </c>
      <c r="D265" s="47">
        <v>1075</v>
      </c>
      <c r="E265" s="47">
        <v>632</v>
      </c>
      <c r="F265" s="47">
        <v>781</v>
      </c>
      <c r="G265" s="47">
        <v>389</v>
      </c>
      <c r="H265" s="47">
        <v>4</v>
      </c>
      <c r="I265" s="47">
        <v>30.874579529072498</v>
      </c>
      <c r="J265" s="47">
        <v>25.828928399807701</v>
      </c>
      <c r="K265" s="47">
        <v>15.185007208072999</v>
      </c>
      <c r="L265" s="47">
        <v>18.765016818837001</v>
      </c>
      <c r="M265" s="47">
        <v>9.3464680442095105</v>
      </c>
    </row>
    <row r="266" spans="1:13" x14ac:dyDescent="0.25">
      <c r="A266" t="s">
        <v>437</v>
      </c>
      <c r="B266" s="47">
        <v>8413</v>
      </c>
      <c r="C266" s="47">
        <v>1168</v>
      </c>
      <c r="D266" s="47">
        <v>1861</v>
      </c>
      <c r="E266" s="47">
        <v>1339</v>
      </c>
      <c r="F266" s="47">
        <v>1946</v>
      </c>
      <c r="G266" s="47">
        <v>2071</v>
      </c>
      <c r="H266" s="47">
        <v>28</v>
      </c>
      <c r="I266" s="47">
        <v>13.9296362552176</v>
      </c>
      <c r="J266" s="47">
        <v>22.194394752534201</v>
      </c>
      <c r="K266" s="47">
        <v>15.968992248061999</v>
      </c>
      <c r="L266" s="47">
        <v>23.2081097197376</v>
      </c>
      <c r="M266" s="47">
        <v>24.698867024448401</v>
      </c>
    </row>
    <row r="267" spans="1:13" x14ac:dyDescent="0.25">
      <c r="A267" t="s">
        <v>438</v>
      </c>
      <c r="B267" s="47">
        <v>143</v>
      </c>
      <c r="C267" s="47" t="s">
        <v>113</v>
      </c>
      <c r="D267" s="47">
        <v>11</v>
      </c>
      <c r="E267" s="47">
        <v>26</v>
      </c>
      <c r="F267" s="47">
        <v>105</v>
      </c>
      <c r="G267" s="47">
        <v>1</v>
      </c>
      <c r="H267" s="47" t="s">
        <v>113</v>
      </c>
      <c r="I267" s="47" t="s">
        <v>113</v>
      </c>
      <c r="J267" s="47">
        <v>7.6923076923076898</v>
      </c>
      <c r="K267" s="47">
        <v>18.181818181818102</v>
      </c>
      <c r="L267" s="47">
        <v>73.426573426573398</v>
      </c>
      <c r="M267" s="47">
        <v>0.69930069930069905</v>
      </c>
    </row>
    <row r="268" spans="1:13" x14ac:dyDescent="0.25">
      <c r="A268" t="s">
        <v>439</v>
      </c>
      <c r="B268" s="47">
        <v>84</v>
      </c>
      <c r="C268" s="47" t="s">
        <v>113</v>
      </c>
      <c r="D268" s="47">
        <v>6</v>
      </c>
      <c r="E268" s="47">
        <v>32</v>
      </c>
      <c r="F268" s="47">
        <v>46</v>
      </c>
      <c r="G268" s="47" t="s">
        <v>113</v>
      </c>
      <c r="H268" s="47" t="s">
        <v>113</v>
      </c>
      <c r="I268" s="47" t="s">
        <v>113</v>
      </c>
      <c r="J268" s="47">
        <v>7.1428571428571397</v>
      </c>
      <c r="K268" s="47">
        <v>38.095238095238003</v>
      </c>
      <c r="L268" s="47">
        <v>54.761904761904702</v>
      </c>
      <c r="M268" s="47" t="s">
        <v>113</v>
      </c>
    </row>
    <row r="269" spans="1:13" x14ac:dyDescent="0.25">
      <c r="A269" t="s">
        <v>440</v>
      </c>
      <c r="B269" s="47">
        <v>3532</v>
      </c>
      <c r="C269" s="47">
        <v>756</v>
      </c>
      <c r="D269" s="47">
        <v>696</v>
      </c>
      <c r="E269" s="47">
        <v>644</v>
      </c>
      <c r="F269" s="47">
        <v>877</v>
      </c>
      <c r="G269" s="47">
        <v>557</v>
      </c>
      <c r="H269" s="47">
        <v>2</v>
      </c>
      <c r="I269" s="47">
        <v>21.416430594900799</v>
      </c>
      <c r="J269" s="47">
        <v>19.7167138810198</v>
      </c>
      <c r="K269" s="47">
        <v>18.2436260623229</v>
      </c>
      <c r="L269" s="47">
        <v>24.844192634560901</v>
      </c>
      <c r="M269" s="47">
        <v>15.7790368271954</v>
      </c>
    </row>
    <row r="270" spans="1:13" x14ac:dyDescent="0.25">
      <c r="A270" t="s">
        <v>441</v>
      </c>
      <c r="B270" s="47">
        <v>157</v>
      </c>
      <c r="C270" s="47" t="s">
        <v>113</v>
      </c>
      <c r="D270" s="47">
        <v>25</v>
      </c>
      <c r="E270" s="47">
        <v>132</v>
      </c>
      <c r="F270" s="47" t="s">
        <v>113</v>
      </c>
      <c r="G270" s="47" t="s">
        <v>113</v>
      </c>
      <c r="H270" s="47" t="s">
        <v>113</v>
      </c>
      <c r="I270" s="47" t="s">
        <v>113</v>
      </c>
      <c r="J270" s="47">
        <v>15.9235668789808</v>
      </c>
      <c r="K270" s="47">
        <v>84.076433121019093</v>
      </c>
      <c r="L270" s="47" t="s">
        <v>113</v>
      </c>
      <c r="M270" s="47" t="s">
        <v>113</v>
      </c>
    </row>
    <row r="271" spans="1:13" x14ac:dyDescent="0.25">
      <c r="A271" t="s">
        <v>442</v>
      </c>
      <c r="B271" s="47">
        <v>47113</v>
      </c>
      <c r="C271" s="47">
        <v>11012</v>
      </c>
      <c r="D271" s="47">
        <v>9782</v>
      </c>
      <c r="E271" s="47">
        <v>8621</v>
      </c>
      <c r="F271" s="47">
        <v>9543</v>
      </c>
      <c r="G271" s="47">
        <v>8067</v>
      </c>
      <c r="H271" s="47">
        <v>88</v>
      </c>
      <c r="I271" s="47">
        <v>23.4173312068048</v>
      </c>
      <c r="J271" s="47">
        <v>20.801701222753799</v>
      </c>
      <c r="K271" s="47">
        <v>18.332801701222699</v>
      </c>
      <c r="L271" s="47">
        <v>20.293460925039799</v>
      </c>
      <c r="M271" s="47">
        <v>17.154704944178601</v>
      </c>
    </row>
    <row r="272" spans="1:13" x14ac:dyDescent="0.25">
      <c r="A272" t="s">
        <v>443</v>
      </c>
      <c r="B272" s="47">
        <v>2644</v>
      </c>
      <c r="C272" s="47">
        <v>973</v>
      </c>
      <c r="D272" s="47">
        <v>605</v>
      </c>
      <c r="E272" s="47">
        <v>464</v>
      </c>
      <c r="F272" s="47">
        <v>344</v>
      </c>
      <c r="G272" s="47">
        <v>257</v>
      </c>
      <c r="H272" s="47">
        <v>1</v>
      </c>
      <c r="I272" s="47">
        <v>36.814226258040101</v>
      </c>
      <c r="J272" s="47">
        <v>22.890654559213001</v>
      </c>
      <c r="K272" s="47">
        <v>17.555807794173202</v>
      </c>
      <c r="L272" s="47">
        <v>13.0155126749905</v>
      </c>
      <c r="M272" s="47">
        <v>9.7237987135830402</v>
      </c>
    </row>
    <row r="273" spans="1:13" x14ac:dyDescent="0.25">
      <c r="A273" t="s">
        <v>444</v>
      </c>
      <c r="B273" s="47">
        <v>666</v>
      </c>
      <c r="C273" s="47">
        <v>59</v>
      </c>
      <c r="D273" s="47">
        <v>134</v>
      </c>
      <c r="E273" s="47">
        <v>258</v>
      </c>
      <c r="F273" s="47">
        <v>142</v>
      </c>
      <c r="G273" s="47">
        <v>41</v>
      </c>
      <c r="H273" s="47">
        <v>32</v>
      </c>
      <c r="I273" s="47">
        <v>9.3059936908517304</v>
      </c>
      <c r="J273" s="47">
        <v>21.135646687697101</v>
      </c>
      <c r="K273" s="47">
        <v>40.6940063091482</v>
      </c>
      <c r="L273" s="47">
        <v>22.397476340693999</v>
      </c>
      <c r="M273" s="47">
        <v>6.4668769716088299</v>
      </c>
    </row>
    <row r="274" spans="1:13" x14ac:dyDescent="0.25">
      <c r="A274" t="s">
        <v>445</v>
      </c>
      <c r="B274" s="47">
        <v>1064</v>
      </c>
      <c r="C274" s="47">
        <v>119</v>
      </c>
      <c r="D274" s="47">
        <v>314</v>
      </c>
      <c r="E274" s="47">
        <v>370</v>
      </c>
      <c r="F274" s="47">
        <v>155</v>
      </c>
      <c r="G274" s="47">
        <v>98</v>
      </c>
      <c r="H274" s="47">
        <v>8</v>
      </c>
      <c r="I274" s="47">
        <v>11.2689393939393</v>
      </c>
      <c r="J274" s="47">
        <v>29.734848484848399</v>
      </c>
      <c r="K274" s="47">
        <v>35.037878787878697</v>
      </c>
      <c r="L274" s="47">
        <v>14.678030303030299</v>
      </c>
      <c r="M274" s="47">
        <v>9.2803030303030294</v>
      </c>
    </row>
    <row r="275" spans="1:13" x14ac:dyDescent="0.25">
      <c r="A275" t="s">
        <v>446</v>
      </c>
      <c r="B275" s="47">
        <v>2538</v>
      </c>
      <c r="C275" s="47">
        <v>725</v>
      </c>
      <c r="D275" s="47">
        <v>594</v>
      </c>
      <c r="E275" s="47">
        <v>475</v>
      </c>
      <c r="F275" s="47">
        <v>359</v>
      </c>
      <c r="G275" s="47">
        <v>385</v>
      </c>
      <c r="H275" s="47" t="s">
        <v>113</v>
      </c>
      <c r="I275" s="47">
        <v>28.565799842395499</v>
      </c>
      <c r="J275" s="47">
        <v>23.404255319148898</v>
      </c>
      <c r="K275" s="47">
        <v>18.715524034672899</v>
      </c>
      <c r="L275" s="47">
        <v>14.1449960598896</v>
      </c>
      <c r="M275" s="47">
        <v>15.169424743892799</v>
      </c>
    </row>
    <row r="276" spans="1:13" x14ac:dyDescent="0.25">
      <c r="A276" t="s">
        <v>447</v>
      </c>
      <c r="B276" s="47">
        <v>2749</v>
      </c>
      <c r="C276" s="47">
        <v>569</v>
      </c>
      <c r="D276" s="47">
        <v>630</v>
      </c>
      <c r="E276" s="47">
        <v>609</v>
      </c>
      <c r="F276" s="47">
        <v>433</v>
      </c>
      <c r="G276" s="47">
        <v>506</v>
      </c>
      <c r="H276" s="47">
        <v>2</v>
      </c>
      <c r="I276" s="47">
        <v>20.713505642519099</v>
      </c>
      <c r="J276" s="47">
        <v>22.9341099381143</v>
      </c>
      <c r="K276" s="47">
        <v>22.169639606843798</v>
      </c>
      <c r="L276" s="47">
        <v>15.762650163815</v>
      </c>
      <c r="M276" s="47">
        <v>18.4200946487076</v>
      </c>
    </row>
    <row r="277" spans="1:13" x14ac:dyDescent="0.25">
      <c r="A277" t="s">
        <v>448</v>
      </c>
      <c r="B277" s="47">
        <v>4704</v>
      </c>
      <c r="C277" s="47">
        <v>297</v>
      </c>
      <c r="D277" s="47">
        <v>774</v>
      </c>
      <c r="E277" s="47">
        <v>916</v>
      </c>
      <c r="F277" s="47">
        <v>1451</v>
      </c>
      <c r="G277" s="47">
        <v>1265</v>
      </c>
      <c r="H277" s="47">
        <v>1</v>
      </c>
      <c r="I277" s="47">
        <v>6.3151180097809902</v>
      </c>
      <c r="J277" s="47">
        <v>16.4575802679141</v>
      </c>
      <c r="K277" s="47">
        <v>19.4769296193918</v>
      </c>
      <c r="L277" s="47">
        <v>30.852647246438401</v>
      </c>
      <c r="M277" s="47">
        <v>26.8977248564745</v>
      </c>
    </row>
    <row r="278" spans="1:13" x14ac:dyDescent="0.25">
      <c r="A278" t="s">
        <v>449</v>
      </c>
      <c r="B278" s="47">
        <v>12803</v>
      </c>
      <c r="C278" s="47">
        <v>4791</v>
      </c>
      <c r="D278" s="47">
        <v>2323</v>
      </c>
      <c r="E278" s="47">
        <v>1768</v>
      </c>
      <c r="F278" s="47">
        <v>1942</v>
      </c>
      <c r="G278" s="47">
        <v>1977</v>
      </c>
      <c r="H278" s="47">
        <v>2</v>
      </c>
      <c r="I278" s="47">
        <v>37.426763534098903</v>
      </c>
      <c r="J278" s="47">
        <v>18.147019764080898</v>
      </c>
      <c r="K278" s="47">
        <v>13.811420982735701</v>
      </c>
      <c r="L278" s="47">
        <v>15.1706897898601</v>
      </c>
      <c r="M278" s="47">
        <v>15.4441059292242</v>
      </c>
    </row>
    <row r="279" spans="1:13" x14ac:dyDescent="0.25">
      <c r="A279" t="s">
        <v>450</v>
      </c>
      <c r="B279" s="47">
        <v>1864</v>
      </c>
      <c r="C279" s="47">
        <v>230</v>
      </c>
      <c r="D279" s="47">
        <v>314</v>
      </c>
      <c r="E279" s="47">
        <v>588</v>
      </c>
      <c r="F279" s="47">
        <v>632</v>
      </c>
      <c r="G279" s="47">
        <v>97</v>
      </c>
      <c r="H279" s="47">
        <v>3</v>
      </c>
      <c r="I279" s="47">
        <v>12.358946802794099</v>
      </c>
      <c r="J279" s="47">
        <v>16.8726491133799</v>
      </c>
      <c r="K279" s="47">
        <v>31.595916174099901</v>
      </c>
      <c r="L279" s="47">
        <v>33.960236432025702</v>
      </c>
      <c r="M279" s="47">
        <v>5.2122514777001596</v>
      </c>
    </row>
    <row r="280" spans="1:13" x14ac:dyDescent="0.25">
      <c r="A280" t="s">
        <v>451</v>
      </c>
      <c r="B280" s="47">
        <v>4005</v>
      </c>
      <c r="C280" s="47">
        <v>1203</v>
      </c>
      <c r="D280" s="47">
        <v>1056</v>
      </c>
      <c r="E280" s="47">
        <v>632</v>
      </c>
      <c r="F280" s="47">
        <v>739</v>
      </c>
      <c r="G280" s="47">
        <v>372</v>
      </c>
      <c r="H280" s="47">
        <v>3</v>
      </c>
      <c r="I280" s="47">
        <v>30.059970014992501</v>
      </c>
      <c r="J280" s="47">
        <v>26.3868065967016</v>
      </c>
      <c r="K280" s="47">
        <v>15.7921039480259</v>
      </c>
      <c r="L280" s="47">
        <v>18.4657671164417</v>
      </c>
      <c r="M280" s="47">
        <v>9.2953523238380793</v>
      </c>
    </row>
    <row r="281" spans="1:13" x14ac:dyDescent="0.25">
      <c r="A281" t="s">
        <v>452</v>
      </c>
      <c r="B281" s="47">
        <v>7778</v>
      </c>
      <c r="C281" s="47">
        <v>1087</v>
      </c>
      <c r="D281" s="47">
        <v>1700</v>
      </c>
      <c r="E281" s="47">
        <v>1323</v>
      </c>
      <c r="F281" s="47">
        <v>1838</v>
      </c>
      <c r="G281" s="47">
        <v>1795</v>
      </c>
      <c r="H281" s="47">
        <v>35</v>
      </c>
      <c r="I281" s="47">
        <v>14.0384863747901</v>
      </c>
      <c r="J281" s="47">
        <v>21.955314477592601</v>
      </c>
      <c r="K281" s="47">
        <v>17.086400619914698</v>
      </c>
      <c r="L281" s="47">
        <v>23.737569417538399</v>
      </c>
      <c r="M281" s="47">
        <v>23.182229110163998</v>
      </c>
    </row>
    <row r="282" spans="1:13" x14ac:dyDescent="0.25">
      <c r="A282" t="s">
        <v>453</v>
      </c>
      <c r="B282" s="47">
        <v>124</v>
      </c>
      <c r="C282" s="47" t="s">
        <v>113</v>
      </c>
      <c r="D282" s="47">
        <v>19</v>
      </c>
      <c r="E282" s="47">
        <v>25</v>
      </c>
      <c r="F282" s="47">
        <v>79</v>
      </c>
      <c r="G282" s="47">
        <v>1</v>
      </c>
      <c r="H282" s="47" t="s">
        <v>113</v>
      </c>
      <c r="I282" s="47" t="s">
        <v>113</v>
      </c>
      <c r="J282" s="47">
        <v>15.322580645161199</v>
      </c>
      <c r="K282" s="47">
        <v>20.161290322580601</v>
      </c>
      <c r="L282" s="47">
        <v>63.709677419354797</v>
      </c>
      <c r="M282" s="47">
        <v>0.80645161290322498</v>
      </c>
    </row>
    <row r="283" spans="1:13" x14ac:dyDescent="0.25">
      <c r="A283" t="s">
        <v>454</v>
      </c>
      <c r="B283" s="47">
        <v>101</v>
      </c>
      <c r="C283" s="47" t="s">
        <v>113</v>
      </c>
      <c r="D283" s="47">
        <v>5</v>
      </c>
      <c r="E283" s="47">
        <v>29</v>
      </c>
      <c r="F283" s="47">
        <v>67</v>
      </c>
      <c r="G283" s="47" t="s">
        <v>113</v>
      </c>
      <c r="H283" s="47" t="s">
        <v>113</v>
      </c>
      <c r="I283" s="47" t="s">
        <v>113</v>
      </c>
      <c r="J283" s="47">
        <v>4.9504950495049496</v>
      </c>
      <c r="K283" s="47">
        <v>28.712871287128699</v>
      </c>
      <c r="L283" s="47">
        <v>66.3366336633663</v>
      </c>
      <c r="M283" s="47" t="s">
        <v>113</v>
      </c>
    </row>
    <row r="284" spans="1:13" x14ac:dyDescent="0.25">
      <c r="A284" t="s">
        <v>455</v>
      </c>
      <c r="B284" s="47">
        <v>3343</v>
      </c>
      <c r="C284" s="47">
        <v>746</v>
      </c>
      <c r="D284" s="47">
        <v>662</v>
      </c>
      <c r="E284" s="47">
        <v>560</v>
      </c>
      <c r="F284" s="47">
        <v>853</v>
      </c>
      <c r="G284" s="47">
        <v>512</v>
      </c>
      <c r="H284" s="47">
        <v>10</v>
      </c>
      <c r="I284" s="47">
        <v>22.382238223822299</v>
      </c>
      <c r="J284" s="47">
        <v>19.8619861986198</v>
      </c>
      <c r="K284" s="47">
        <v>16.801680168016802</v>
      </c>
      <c r="L284" s="47">
        <v>25.592559255925501</v>
      </c>
      <c r="M284" s="47">
        <v>15.361536153615299</v>
      </c>
    </row>
    <row r="285" spans="1:13" x14ac:dyDescent="0.25">
      <c r="A285" t="s">
        <v>456</v>
      </c>
      <c r="B285" s="47">
        <v>120</v>
      </c>
      <c r="C285" s="47" t="s">
        <v>113</v>
      </c>
      <c r="D285" s="47">
        <v>16</v>
      </c>
      <c r="E285" s="47">
        <v>104</v>
      </c>
      <c r="F285" s="47" t="s">
        <v>113</v>
      </c>
      <c r="G285" s="47" t="s">
        <v>113</v>
      </c>
      <c r="H285" s="47" t="s">
        <v>113</v>
      </c>
      <c r="I285" s="47" t="s">
        <v>113</v>
      </c>
      <c r="J285" s="47">
        <v>13.3333333333333</v>
      </c>
      <c r="K285" s="47">
        <v>86.6666666666666</v>
      </c>
      <c r="L285" s="47" t="s">
        <v>113</v>
      </c>
      <c r="M285" s="47" t="s">
        <v>113</v>
      </c>
    </row>
    <row r="286" spans="1:13" x14ac:dyDescent="0.25">
      <c r="A286" t="s">
        <v>457</v>
      </c>
      <c r="B286" s="47">
        <v>44714</v>
      </c>
      <c r="C286" s="47">
        <v>10836</v>
      </c>
      <c r="D286" s="47">
        <v>9188</v>
      </c>
      <c r="E286" s="47">
        <v>8174</v>
      </c>
      <c r="F286" s="47">
        <v>9079</v>
      </c>
      <c r="G286" s="47">
        <v>7340</v>
      </c>
      <c r="H286" s="47">
        <v>97</v>
      </c>
      <c r="I286" s="47">
        <v>24.286706860613599</v>
      </c>
      <c r="J286" s="47">
        <v>20.593047493107999</v>
      </c>
      <c r="K286" s="47">
        <v>18.320371158975199</v>
      </c>
      <c r="L286" s="47">
        <v>20.348745993679501</v>
      </c>
      <c r="M286" s="47">
        <v>16.4511284936235</v>
      </c>
    </row>
    <row r="287" spans="1:13" x14ac:dyDescent="0.25">
      <c r="A287" t="s">
        <v>493</v>
      </c>
      <c r="B287" s="47">
        <v>2652</v>
      </c>
      <c r="C287" s="47">
        <v>931</v>
      </c>
      <c r="D287" s="47">
        <v>562</v>
      </c>
      <c r="E287" s="47">
        <v>534</v>
      </c>
      <c r="F287" s="47">
        <v>372</v>
      </c>
      <c r="G287" s="47">
        <v>253</v>
      </c>
      <c r="H287" s="47" t="s">
        <v>113</v>
      </c>
      <c r="I287" s="47">
        <v>35.105580693815902</v>
      </c>
      <c r="J287" s="47">
        <v>21.191553544494699</v>
      </c>
      <c r="K287" s="47">
        <v>20.135746606334799</v>
      </c>
      <c r="L287" s="47">
        <v>14.027149321266901</v>
      </c>
      <c r="M287" s="47">
        <v>9.5399698340874792</v>
      </c>
    </row>
    <row r="288" spans="1:13" x14ac:dyDescent="0.25">
      <c r="A288" t="s">
        <v>494</v>
      </c>
      <c r="B288" s="47">
        <v>615</v>
      </c>
      <c r="C288" s="47">
        <v>45</v>
      </c>
      <c r="D288" s="47">
        <v>129</v>
      </c>
      <c r="E288" s="47">
        <v>229</v>
      </c>
      <c r="F288" s="47">
        <v>151</v>
      </c>
      <c r="G288" s="47">
        <v>29</v>
      </c>
      <c r="H288" s="47">
        <v>32</v>
      </c>
      <c r="I288" s="47">
        <v>7.7186963979416801</v>
      </c>
      <c r="J288" s="47">
        <v>22.126929674099401</v>
      </c>
      <c r="K288" s="47">
        <v>39.279588336192099</v>
      </c>
      <c r="L288" s="47">
        <v>25.9005145797598</v>
      </c>
      <c r="M288" s="47">
        <v>4.9742710120068603</v>
      </c>
    </row>
    <row r="289" spans="1:13" x14ac:dyDescent="0.25">
      <c r="A289" t="s">
        <v>495</v>
      </c>
      <c r="B289" s="47">
        <v>1079</v>
      </c>
      <c r="C289" s="47">
        <v>146</v>
      </c>
      <c r="D289" s="47">
        <v>299</v>
      </c>
      <c r="E289" s="47">
        <v>390</v>
      </c>
      <c r="F289" s="47">
        <v>132</v>
      </c>
      <c r="G289" s="47">
        <v>108</v>
      </c>
      <c r="H289" s="47">
        <v>4</v>
      </c>
      <c r="I289" s="47">
        <v>13.5813953488372</v>
      </c>
      <c r="J289" s="47">
        <v>27.813953488372</v>
      </c>
      <c r="K289" s="47">
        <v>36.279069767441797</v>
      </c>
      <c r="L289" s="47">
        <v>12.279069767441801</v>
      </c>
      <c r="M289" s="47">
        <v>10.0465116279069</v>
      </c>
    </row>
    <row r="290" spans="1:13" x14ac:dyDescent="0.25">
      <c r="A290" t="s">
        <v>496</v>
      </c>
      <c r="B290" s="47">
        <v>2654</v>
      </c>
      <c r="C290" s="47">
        <v>743</v>
      </c>
      <c r="D290" s="47">
        <v>640</v>
      </c>
      <c r="E290" s="47">
        <v>462</v>
      </c>
      <c r="F290" s="47">
        <v>398</v>
      </c>
      <c r="G290" s="47">
        <v>411</v>
      </c>
      <c r="H290" s="47" t="s">
        <v>113</v>
      </c>
      <c r="I290" s="47">
        <v>27.995478522984101</v>
      </c>
      <c r="J290" s="47">
        <v>24.114544084400901</v>
      </c>
      <c r="K290" s="47">
        <v>17.407686510926901</v>
      </c>
      <c r="L290" s="47">
        <v>14.9962321024868</v>
      </c>
      <c r="M290" s="47">
        <v>15.486058779201199</v>
      </c>
    </row>
    <row r="291" spans="1:13" x14ac:dyDescent="0.25">
      <c r="A291" t="s">
        <v>497</v>
      </c>
      <c r="B291" s="47">
        <v>2672</v>
      </c>
      <c r="C291" s="47">
        <v>541</v>
      </c>
      <c r="D291" s="47">
        <v>603</v>
      </c>
      <c r="E291" s="47">
        <v>596</v>
      </c>
      <c r="F291" s="47">
        <v>454</v>
      </c>
      <c r="G291" s="47">
        <v>470</v>
      </c>
      <c r="H291" s="47">
        <v>8</v>
      </c>
      <c r="I291" s="47">
        <v>20.307807807807801</v>
      </c>
      <c r="J291" s="47">
        <v>22.635135135135101</v>
      </c>
      <c r="K291" s="47">
        <v>22.3723723723723</v>
      </c>
      <c r="L291" s="47">
        <v>17.042042042041999</v>
      </c>
      <c r="M291" s="47">
        <v>17.642642642642599</v>
      </c>
    </row>
    <row r="292" spans="1:13" x14ac:dyDescent="0.25">
      <c r="A292" t="s">
        <v>498</v>
      </c>
      <c r="B292" s="47">
        <v>4613</v>
      </c>
      <c r="C292" s="47">
        <v>274</v>
      </c>
      <c r="D292" s="47">
        <v>742</v>
      </c>
      <c r="E292" s="47">
        <v>957</v>
      </c>
      <c r="F292" s="47">
        <v>1464</v>
      </c>
      <c r="G292" s="47">
        <v>1174</v>
      </c>
      <c r="H292" s="47">
        <v>2</v>
      </c>
      <c r="I292" s="47">
        <v>5.9423118629364504</v>
      </c>
      <c r="J292" s="47">
        <v>16.091954022988499</v>
      </c>
      <c r="K292" s="47">
        <v>20.754716981131999</v>
      </c>
      <c r="L292" s="47">
        <v>31.750162654521699</v>
      </c>
      <c r="M292" s="47">
        <v>25.460854478421101</v>
      </c>
    </row>
    <row r="293" spans="1:13" x14ac:dyDescent="0.25">
      <c r="A293" t="s">
        <v>499</v>
      </c>
      <c r="B293" s="47">
        <v>13268</v>
      </c>
      <c r="C293" s="47">
        <v>4833</v>
      </c>
      <c r="D293" s="47">
        <v>2437</v>
      </c>
      <c r="E293" s="47">
        <v>1850</v>
      </c>
      <c r="F293" s="47">
        <v>1988</v>
      </c>
      <c r="G293" s="47">
        <v>2153</v>
      </c>
      <c r="H293" s="47">
        <v>7</v>
      </c>
      <c r="I293" s="47">
        <v>36.445215292964299</v>
      </c>
      <c r="J293" s="47">
        <v>18.377196289872501</v>
      </c>
      <c r="K293" s="47">
        <v>13.950682452303701</v>
      </c>
      <c r="L293" s="47">
        <v>14.991327954151201</v>
      </c>
      <c r="M293" s="47">
        <v>16.235578010708</v>
      </c>
    </row>
    <row r="294" spans="1:13" x14ac:dyDescent="0.25">
      <c r="A294" t="s">
        <v>500</v>
      </c>
      <c r="B294" s="47">
        <v>1785</v>
      </c>
      <c r="C294" s="47">
        <v>216</v>
      </c>
      <c r="D294" s="47">
        <v>326</v>
      </c>
      <c r="E294" s="47">
        <v>594</v>
      </c>
      <c r="F294" s="47">
        <v>553</v>
      </c>
      <c r="G294" s="47">
        <v>96</v>
      </c>
      <c r="H294" s="47" t="s">
        <v>113</v>
      </c>
      <c r="I294" s="47">
        <v>12.1008403361344</v>
      </c>
      <c r="J294" s="47">
        <v>18.263305322128801</v>
      </c>
      <c r="K294" s="47">
        <v>33.277310924369701</v>
      </c>
      <c r="L294" s="47">
        <v>30.980392156862699</v>
      </c>
      <c r="M294" s="47">
        <v>5.3781512605042003</v>
      </c>
    </row>
    <row r="295" spans="1:13" x14ac:dyDescent="0.25">
      <c r="A295" t="s">
        <v>501</v>
      </c>
      <c r="B295" s="47">
        <v>3957</v>
      </c>
      <c r="C295" s="47">
        <v>1194</v>
      </c>
      <c r="D295" s="47">
        <v>1026</v>
      </c>
      <c r="E295" s="47">
        <v>608</v>
      </c>
      <c r="F295" s="47">
        <v>777</v>
      </c>
      <c r="G295" s="47">
        <v>351</v>
      </c>
      <c r="H295" s="47">
        <v>1</v>
      </c>
      <c r="I295" s="47">
        <v>30.1820020222446</v>
      </c>
      <c r="J295" s="47">
        <v>25.9352881698685</v>
      </c>
      <c r="K295" s="47">
        <v>15.369059656218401</v>
      </c>
      <c r="L295" s="47">
        <v>19.6410515672396</v>
      </c>
      <c r="M295" s="47">
        <v>8.8725985844287099</v>
      </c>
    </row>
    <row r="296" spans="1:13" x14ac:dyDescent="0.25">
      <c r="A296" t="s">
        <v>502</v>
      </c>
      <c r="B296" s="47">
        <v>7396</v>
      </c>
      <c r="C296" s="47">
        <v>1066</v>
      </c>
      <c r="D296" s="47">
        <v>1642</v>
      </c>
      <c r="E296" s="47">
        <v>1151</v>
      </c>
      <c r="F296" s="47">
        <v>1782</v>
      </c>
      <c r="G296" s="47">
        <v>1734</v>
      </c>
      <c r="H296" s="47">
        <v>21</v>
      </c>
      <c r="I296" s="47">
        <v>14.4542372881355</v>
      </c>
      <c r="J296" s="47">
        <v>22.264406779661002</v>
      </c>
      <c r="K296" s="47">
        <v>15.606779661016899</v>
      </c>
      <c r="L296" s="47">
        <v>24.162711864406699</v>
      </c>
      <c r="M296" s="47">
        <v>23.511864406779601</v>
      </c>
    </row>
    <row r="297" spans="1:13" x14ac:dyDescent="0.25">
      <c r="A297" t="s">
        <v>503</v>
      </c>
      <c r="B297" s="47">
        <v>107</v>
      </c>
      <c r="C297" s="47" t="s">
        <v>113</v>
      </c>
      <c r="D297" s="47">
        <v>9</v>
      </c>
      <c r="E297" s="47">
        <v>11</v>
      </c>
      <c r="F297" s="47">
        <v>87</v>
      </c>
      <c r="G297" s="47" t="s">
        <v>113</v>
      </c>
      <c r="H297" s="47" t="s">
        <v>113</v>
      </c>
      <c r="I297" s="47" t="s">
        <v>113</v>
      </c>
      <c r="J297" s="47">
        <v>8.4112149532710205</v>
      </c>
      <c r="K297" s="47">
        <v>10.2803738317757</v>
      </c>
      <c r="L297" s="47">
        <v>81.308411214953196</v>
      </c>
      <c r="M297" s="47" t="s">
        <v>113</v>
      </c>
    </row>
    <row r="298" spans="1:13" x14ac:dyDescent="0.25">
      <c r="A298" t="s">
        <v>504</v>
      </c>
      <c r="B298" s="47">
        <v>65</v>
      </c>
      <c r="C298" s="47" t="s">
        <v>113</v>
      </c>
      <c r="D298" s="47">
        <v>2</v>
      </c>
      <c r="E298" s="47">
        <v>21</v>
      </c>
      <c r="F298" s="47">
        <v>42</v>
      </c>
      <c r="G298" s="47" t="s">
        <v>113</v>
      </c>
      <c r="H298" s="47" t="s">
        <v>113</v>
      </c>
      <c r="I298" s="47" t="s">
        <v>113</v>
      </c>
      <c r="J298" s="47">
        <v>3.07692307692307</v>
      </c>
      <c r="K298" s="47">
        <v>32.307692307692299</v>
      </c>
      <c r="L298" s="47">
        <v>64.615384615384599</v>
      </c>
      <c r="M298" s="47" t="s">
        <v>113</v>
      </c>
    </row>
    <row r="299" spans="1:13" x14ac:dyDescent="0.25">
      <c r="A299" t="s">
        <v>505</v>
      </c>
      <c r="B299" s="47">
        <v>3175</v>
      </c>
      <c r="C299" s="47">
        <v>792</v>
      </c>
      <c r="D299" s="47">
        <v>615</v>
      </c>
      <c r="E299" s="47">
        <v>590</v>
      </c>
      <c r="F299" s="47">
        <v>740</v>
      </c>
      <c r="G299" s="47">
        <v>434</v>
      </c>
      <c r="H299" s="47">
        <v>4</v>
      </c>
      <c r="I299" s="47">
        <v>24.976348155156099</v>
      </c>
      <c r="J299" s="47">
        <v>19.394512771996201</v>
      </c>
      <c r="K299" s="47">
        <v>18.606117943866199</v>
      </c>
      <c r="L299" s="47">
        <v>23.3364869126458</v>
      </c>
      <c r="M299" s="47">
        <v>13.686534216335501</v>
      </c>
    </row>
    <row r="300" spans="1:13" x14ac:dyDescent="0.25">
      <c r="A300" t="s">
        <v>506</v>
      </c>
      <c r="B300" s="47">
        <v>136</v>
      </c>
      <c r="C300" s="47" t="s">
        <v>113</v>
      </c>
      <c r="D300" s="47">
        <v>28</v>
      </c>
      <c r="E300" s="47">
        <v>107</v>
      </c>
      <c r="F300" s="47">
        <v>1</v>
      </c>
      <c r="G300" s="47" t="s">
        <v>113</v>
      </c>
      <c r="H300" s="47" t="s">
        <v>113</v>
      </c>
      <c r="I300" s="47" t="s">
        <v>113</v>
      </c>
      <c r="J300" s="47">
        <v>20.588235294117599</v>
      </c>
      <c r="K300" s="47">
        <v>78.676470588235205</v>
      </c>
      <c r="L300" s="47">
        <v>0.73529411764705799</v>
      </c>
      <c r="M300" s="47" t="s">
        <v>113</v>
      </c>
    </row>
    <row r="301" spans="1:13" x14ac:dyDescent="0.25">
      <c r="A301" t="s">
        <v>507</v>
      </c>
      <c r="B301" s="47">
        <v>44383</v>
      </c>
      <c r="C301" s="47">
        <v>10817</v>
      </c>
      <c r="D301" s="47">
        <v>9091</v>
      </c>
      <c r="E301" s="47">
        <v>8154</v>
      </c>
      <c r="F301" s="47">
        <v>8988</v>
      </c>
      <c r="G301" s="47">
        <v>7253</v>
      </c>
      <c r="H301" s="47">
        <v>80</v>
      </c>
      <c r="I301" s="47">
        <v>24.415953772882101</v>
      </c>
      <c r="J301" s="47">
        <v>20.520055075277</v>
      </c>
      <c r="K301" s="47">
        <v>18.4050741484775</v>
      </c>
      <c r="L301" s="47">
        <v>20.2875651761731</v>
      </c>
      <c r="M301" s="47">
        <v>16.371351827190001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AEC6E-EF38-44FD-BDA4-7881B4859917}">
  <dimension ref="A1:H41"/>
  <sheetViews>
    <sheetView zoomScale="95" zoomScaleNormal="95" workbookViewId="0">
      <selection activeCell="A3" sqref="A3"/>
    </sheetView>
  </sheetViews>
  <sheetFormatPr defaultRowHeight="14.25" x14ac:dyDescent="0.2"/>
  <cols>
    <col min="1" max="1" width="10.85546875" style="7" customWidth="1"/>
    <col min="2" max="16384" width="9.140625" style="7"/>
  </cols>
  <sheetData>
    <row r="1" spans="1:8" ht="15.75" x14ac:dyDescent="0.25">
      <c r="A1" s="8" t="s">
        <v>480</v>
      </c>
    </row>
    <row r="2" spans="1:8" ht="15.75" x14ac:dyDescent="0.25">
      <c r="A2" s="8" t="s">
        <v>491</v>
      </c>
    </row>
    <row r="3" spans="1:8" s="17" customFormat="1" ht="12.75" x14ac:dyDescent="0.2"/>
    <row r="4" spans="1:8" s="17" customFormat="1" ht="12.75" x14ac:dyDescent="0.2">
      <c r="B4" s="19" t="s">
        <v>0</v>
      </c>
    </row>
    <row r="5" spans="1:8" s="17" customFormat="1" ht="25.5" x14ac:dyDescent="0.2">
      <c r="A5" s="35" t="s">
        <v>32</v>
      </c>
      <c r="B5" s="36" t="s">
        <v>18</v>
      </c>
      <c r="C5" s="37" t="s">
        <v>25</v>
      </c>
      <c r="D5" s="37">
        <v>2</v>
      </c>
      <c r="E5" s="37">
        <v>3</v>
      </c>
      <c r="F5" s="37">
        <v>4</v>
      </c>
      <c r="G5" s="37" t="s">
        <v>26</v>
      </c>
      <c r="H5" s="38" t="s">
        <v>112</v>
      </c>
    </row>
    <row r="6" spans="1:8" s="17" customFormat="1" ht="12.75" x14ac:dyDescent="0.2">
      <c r="A6" s="9" t="s">
        <v>471</v>
      </c>
      <c r="B6" s="1">
        <v>25</v>
      </c>
      <c r="C6" s="1">
        <v>15</v>
      </c>
      <c r="D6" s="1">
        <v>5</v>
      </c>
      <c r="E6" s="1">
        <v>1</v>
      </c>
      <c r="F6" s="1">
        <v>2</v>
      </c>
      <c r="G6" s="1">
        <v>2</v>
      </c>
      <c r="H6" s="1" t="s">
        <v>113</v>
      </c>
    </row>
    <row r="7" spans="1:8" s="17" customFormat="1" ht="12.75" x14ac:dyDescent="0.2">
      <c r="A7" s="9">
        <v>16</v>
      </c>
      <c r="B7" s="1">
        <v>53</v>
      </c>
      <c r="C7" s="1">
        <v>22</v>
      </c>
      <c r="D7" s="1">
        <v>17</v>
      </c>
      <c r="E7" s="1">
        <v>7</v>
      </c>
      <c r="F7" s="1">
        <v>6</v>
      </c>
      <c r="G7" s="1">
        <v>1</v>
      </c>
      <c r="H7" s="1" t="s">
        <v>113</v>
      </c>
    </row>
    <row r="8" spans="1:8" s="17" customFormat="1" ht="12.75" x14ac:dyDescent="0.2">
      <c r="A8" s="9">
        <v>17</v>
      </c>
      <c r="B8" s="1">
        <v>168</v>
      </c>
      <c r="C8" s="1">
        <v>87</v>
      </c>
      <c r="D8" s="1">
        <v>52</v>
      </c>
      <c r="E8" s="1">
        <v>10</v>
      </c>
      <c r="F8" s="1">
        <v>11</v>
      </c>
      <c r="G8" s="1">
        <v>8</v>
      </c>
      <c r="H8" s="1" t="s">
        <v>113</v>
      </c>
    </row>
    <row r="9" spans="1:8" s="17" customFormat="1" ht="12.75" x14ac:dyDescent="0.2">
      <c r="A9" s="9">
        <v>18</v>
      </c>
      <c r="B9" s="1">
        <v>291</v>
      </c>
      <c r="C9" s="1">
        <v>119</v>
      </c>
      <c r="D9" s="1">
        <v>85</v>
      </c>
      <c r="E9" s="1">
        <v>47</v>
      </c>
      <c r="F9" s="1">
        <v>24</v>
      </c>
      <c r="G9" s="1">
        <v>15</v>
      </c>
      <c r="H9" s="1">
        <v>1</v>
      </c>
    </row>
    <row r="10" spans="1:8" s="17" customFormat="1" ht="12.75" x14ac:dyDescent="0.2">
      <c r="A10" s="9">
        <v>19</v>
      </c>
      <c r="B10" s="1">
        <v>453</v>
      </c>
      <c r="C10" s="1">
        <v>201</v>
      </c>
      <c r="D10" s="1">
        <v>128</v>
      </c>
      <c r="E10" s="1">
        <v>69</v>
      </c>
      <c r="F10" s="1">
        <v>38</v>
      </c>
      <c r="G10" s="1">
        <v>16</v>
      </c>
      <c r="H10" s="1">
        <v>1</v>
      </c>
    </row>
    <row r="11" spans="1:8" s="17" customFormat="1" ht="12.75" x14ac:dyDescent="0.2">
      <c r="A11" s="9">
        <v>20</v>
      </c>
      <c r="B11" s="1">
        <v>572</v>
      </c>
      <c r="C11" s="1">
        <v>243</v>
      </c>
      <c r="D11" s="1">
        <v>162</v>
      </c>
      <c r="E11" s="1">
        <v>92</v>
      </c>
      <c r="F11" s="1">
        <v>52</v>
      </c>
      <c r="G11" s="1">
        <v>22</v>
      </c>
      <c r="H11" s="1">
        <v>1</v>
      </c>
    </row>
    <row r="12" spans="1:8" s="17" customFormat="1" ht="12.75" x14ac:dyDescent="0.2">
      <c r="A12" s="9">
        <v>21</v>
      </c>
      <c r="B12" s="1">
        <v>594</v>
      </c>
      <c r="C12" s="1">
        <v>234</v>
      </c>
      <c r="D12" s="1">
        <v>158</v>
      </c>
      <c r="E12" s="1">
        <v>102</v>
      </c>
      <c r="F12" s="1">
        <v>73</v>
      </c>
      <c r="G12" s="1">
        <v>26</v>
      </c>
      <c r="H12" s="1">
        <v>1</v>
      </c>
    </row>
    <row r="13" spans="1:8" s="17" customFormat="1" ht="12.75" x14ac:dyDescent="0.2">
      <c r="A13" s="9">
        <v>22</v>
      </c>
      <c r="B13" s="1">
        <v>642</v>
      </c>
      <c r="C13" s="1">
        <v>254</v>
      </c>
      <c r="D13" s="1">
        <v>158</v>
      </c>
      <c r="E13" s="1">
        <v>109</v>
      </c>
      <c r="F13" s="1">
        <v>76</v>
      </c>
      <c r="G13" s="1">
        <v>45</v>
      </c>
      <c r="H13" s="1" t="s">
        <v>113</v>
      </c>
    </row>
    <row r="14" spans="1:8" s="17" customFormat="1" ht="12.75" x14ac:dyDescent="0.2">
      <c r="A14" s="9">
        <v>23</v>
      </c>
      <c r="B14" s="1">
        <v>742</v>
      </c>
      <c r="C14" s="1">
        <v>280</v>
      </c>
      <c r="D14" s="1">
        <v>182</v>
      </c>
      <c r="E14" s="1">
        <v>139</v>
      </c>
      <c r="F14" s="1">
        <v>93</v>
      </c>
      <c r="G14" s="1">
        <v>46</v>
      </c>
      <c r="H14" s="1">
        <v>2</v>
      </c>
    </row>
    <row r="15" spans="1:8" s="17" customFormat="1" ht="12.75" x14ac:dyDescent="0.2">
      <c r="A15" s="9">
        <v>24</v>
      </c>
      <c r="B15" s="1">
        <v>852</v>
      </c>
      <c r="C15" s="1">
        <v>292</v>
      </c>
      <c r="D15" s="1">
        <v>216</v>
      </c>
      <c r="E15" s="1">
        <v>166</v>
      </c>
      <c r="F15" s="1">
        <v>118</v>
      </c>
      <c r="G15" s="1">
        <v>58</v>
      </c>
      <c r="H15" s="1">
        <v>2</v>
      </c>
    </row>
    <row r="16" spans="1:8" s="17" customFormat="1" ht="12.75" x14ac:dyDescent="0.2">
      <c r="A16" s="9">
        <v>25</v>
      </c>
      <c r="B16" s="1">
        <v>984</v>
      </c>
      <c r="C16" s="1">
        <v>312</v>
      </c>
      <c r="D16" s="1">
        <v>219</v>
      </c>
      <c r="E16" s="1">
        <v>206</v>
      </c>
      <c r="F16" s="1">
        <v>163</v>
      </c>
      <c r="G16" s="1">
        <v>81</v>
      </c>
      <c r="H16" s="1">
        <v>3</v>
      </c>
    </row>
    <row r="17" spans="1:8" s="17" customFormat="1" ht="12.75" x14ac:dyDescent="0.2">
      <c r="A17" s="9">
        <v>26</v>
      </c>
      <c r="B17" s="1">
        <v>1110</v>
      </c>
      <c r="C17" s="1">
        <v>304</v>
      </c>
      <c r="D17" s="1">
        <v>269</v>
      </c>
      <c r="E17" s="1">
        <v>208</v>
      </c>
      <c r="F17" s="1">
        <v>194</v>
      </c>
      <c r="G17" s="1">
        <v>135</v>
      </c>
      <c r="H17" s="1" t="s">
        <v>113</v>
      </c>
    </row>
    <row r="18" spans="1:8" s="17" customFormat="1" ht="12.75" x14ac:dyDescent="0.2">
      <c r="A18" s="9">
        <v>27</v>
      </c>
      <c r="B18" s="1">
        <v>1205</v>
      </c>
      <c r="C18" s="1">
        <v>298</v>
      </c>
      <c r="D18" s="1">
        <v>250</v>
      </c>
      <c r="E18" s="1">
        <v>239</v>
      </c>
      <c r="F18" s="1">
        <v>261</v>
      </c>
      <c r="G18" s="1">
        <v>153</v>
      </c>
      <c r="H18" s="1">
        <v>4</v>
      </c>
    </row>
    <row r="19" spans="1:8" s="17" customFormat="1" ht="12.75" x14ac:dyDescent="0.2">
      <c r="A19" s="9">
        <v>28</v>
      </c>
      <c r="B19" s="1">
        <v>1391</v>
      </c>
      <c r="C19" s="1">
        <v>312</v>
      </c>
      <c r="D19" s="1">
        <v>253</v>
      </c>
      <c r="E19" s="1">
        <v>294</v>
      </c>
      <c r="F19" s="1">
        <v>303</v>
      </c>
      <c r="G19" s="1">
        <v>225</v>
      </c>
      <c r="H19" s="1">
        <v>4</v>
      </c>
    </row>
    <row r="20" spans="1:8" s="17" customFormat="1" ht="12.75" x14ac:dyDescent="0.2">
      <c r="A20" s="9">
        <v>29</v>
      </c>
      <c r="B20" s="1">
        <v>1571</v>
      </c>
      <c r="C20" s="1">
        <v>268</v>
      </c>
      <c r="D20" s="1">
        <v>322</v>
      </c>
      <c r="E20" s="1">
        <v>330</v>
      </c>
      <c r="F20" s="1">
        <v>381</v>
      </c>
      <c r="G20" s="1">
        <v>267</v>
      </c>
      <c r="H20" s="1">
        <v>3</v>
      </c>
    </row>
    <row r="21" spans="1:8" s="17" customFormat="1" ht="12.75" x14ac:dyDescent="0.2">
      <c r="A21" s="9">
        <v>30</v>
      </c>
      <c r="B21" s="1">
        <v>1635</v>
      </c>
      <c r="C21" s="1">
        <v>254</v>
      </c>
      <c r="D21" s="1">
        <v>310</v>
      </c>
      <c r="E21" s="1">
        <v>318</v>
      </c>
      <c r="F21" s="1">
        <v>436</v>
      </c>
      <c r="G21" s="1">
        <v>316</v>
      </c>
      <c r="H21" s="1">
        <v>1</v>
      </c>
    </row>
    <row r="22" spans="1:8" s="17" customFormat="1" ht="12.75" x14ac:dyDescent="0.2">
      <c r="A22" s="9">
        <v>31</v>
      </c>
      <c r="B22" s="1">
        <v>1600</v>
      </c>
      <c r="C22" s="1">
        <v>224</v>
      </c>
      <c r="D22" s="1">
        <v>252</v>
      </c>
      <c r="E22" s="1">
        <v>333</v>
      </c>
      <c r="F22" s="1">
        <v>395</v>
      </c>
      <c r="G22" s="1">
        <v>394</v>
      </c>
      <c r="H22" s="1">
        <v>2</v>
      </c>
    </row>
    <row r="23" spans="1:8" s="17" customFormat="1" ht="12.75" x14ac:dyDescent="0.2">
      <c r="A23" s="9">
        <v>32</v>
      </c>
      <c r="B23" s="1">
        <v>1437</v>
      </c>
      <c r="C23" s="1">
        <v>204</v>
      </c>
      <c r="D23" s="1">
        <v>245</v>
      </c>
      <c r="E23" s="1">
        <v>275</v>
      </c>
      <c r="F23" s="1">
        <v>364</v>
      </c>
      <c r="G23" s="1">
        <v>344</v>
      </c>
      <c r="H23" s="1">
        <v>5</v>
      </c>
    </row>
    <row r="24" spans="1:8" s="17" customFormat="1" ht="12.75" x14ac:dyDescent="0.2">
      <c r="A24" s="9">
        <v>33</v>
      </c>
      <c r="B24" s="1">
        <v>1212</v>
      </c>
      <c r="C24" s="1">
        <v>161</v>
      </c>
      <c r="D24" s="1">
        <v>193</v>
      </c>
      <c r="E24" s="1">
        <v>209</v>
      </c>
      <c r="F24" s="1">
        <v>349</v>
      </c>
      <c r="G24" s="1">
        <v>297</v>
      </c>
      <c r="H24" s="1">
        <v>3</v>
      </c>
    </row>
    <row r="25" spans="1:8" s="17" customFormat="1" ht="12.75" x14ac:dyDescent="0.2">
      <c r="A25" s="9">
        <v>34</v>
      </c>
      <c r="B25" s="1">
        <v>1047</v>
      </c>
      <c r="C25" s="1">
        <v>156</v>
      </c>
      <c r="D25" s="1">
        <v>158</v>
      </c>
      <c r="E25" s="1">
        <v>196</v>
      </c>
      <c r="F25" s="1">
        <v>265</v>
      </c>
      <c r="G25" s="1">
        <v>267</v>
      </c>
      <c r="H25" s="1">
        <v>5</v>
      </c>
    </row>
    <row r="26" spans="1:8" s="17" customFormat="1" ht="12.75" x14ac:dyDescent="0.2">
      <c r="A26" s="9">
        <v>35</v>
      </c>
      <c r="B26" s="1">
        <v>903</v>
      </c>
      <c r="C26" s="1">
        <v>107</v>
      </c>
      <c r="D26" s="1">
        <v>146</v>
      </c>
      <c r="E26" s="1">
        <v>191</v>
      </c>
      <c r="F26" s="1">
        <v>224</v>
      </c>
      <c r="G26" s="1">
        <v>234</v>
      </c>
      <c r="H26" s="1">
        <v>1</v>
      </c>
    </row>
    <row r="27" spans="1:8" s="17" customFormat="1" ht="12.75" x14ac:dyDescent="0.2">
      <c r="A27" s="9">
        <v>36</v>
      </c>
      <c r="B27" s="1">
        <v>699</v>
      </c>
      <c r="C27" s="1">
        <v>103</v>
      </c>
      <c r="D27" s="1">
        <v>99</v>
      </c>
      <c r="E27" s="1">
        <v>132</v>
      </c>
      <c r="F27" s="1">
        <v>171</v>
      </c>
      <c r="G27" s="1">
        <v>192</v>
      </c>
      <c r="H27" s="1">
        <v>2</v>
      </c>
    </row>
    <row r="28" spans="1:8" s="17" customFormat="1" ht="12.75" x14ac:dyDescent="0.2">
      <c r="A28" s="9">
        <v>37</v>
      </c>
      <c r="B28" s="1">
        <v>499</v>
      </c>
      <c r="C28" s="1">
        <v>58</v>
      </c>
      <c r="D28" s="1">
        <v>81</v>
      </c>
      <c r="E28" s="1">
        <v>117</v>
      </c>
      <c r="F28" s="1">
        <v>124</v>
      </c>
      <c r="G28" s="1">
        <v>119</v>
      </c>
      <c r="H28" s="1" t="s">
        <v>113</v>
      </c>
    </row>
    <row r="29" spans="1:8" s="17" customFormat="1" ht="12.75" x14ac:dyDescent="0.2">
      <c r="A29" s="9">
        <v>38</v>
      </c>
      <c r="B29" s="1">
        <v>394</v>
      </c>
      <c r="C29" s="1">
        <v>60</v>
      </c>
      <c r="D29" s="1">
        <v>59</v>
      </c>
      <c r="E29" s="1">
        <v>74</v>
      </c>
      <c r="F29" s="1">
        <v>105</v>
      </c>
      <c r="G29" s="1">
        <v>95</v>
      </c>
      <c r="H29" s="1">
        <v>1</v>
      </c>
    </row>
    <row r="30" spans="1:8" s="17" customFormat="1" ht="12.75" x14ac:dyDescent="0.2">
      <c r="A30" s="9">
        <v>39</v>
      </c>
      <c r="B30" s="1">
        <v>317</v>
      </c>
      <c r="C30" s="1">
        <v>51</v>
      </c>
      <c r="D30" s="1">
        <v>48</v>
      </c>
      <c r="E30" s="1">
        <v>62</v>
      </c>
      <c r="F30" s="1">
        <v>91</v>
      </c>
      <c r="G30" s="1">
        <v>63</v>
      </c>
      <c r="H30" s="1">
        <v>2</v>
      </c>
    </row>
    <row r="31" spans="1:8" s="17" customFormat="1" ht="12.75" x14ac:dyDescent="0.2">
      <c r="A31" s="9">
        <v>40</v>
      </c>
      <c r="B31" s="1">
        <v>220</v>
      </c>
      <c r="C31" s="1">
        <v>35</v>
      </c>
      <c r="D31" s="1">
        <v>43</v>
      </c>
      <c r="E31" s="1">
        <v>39</v>
      </c>
      <c r="F31" s="1">
        <v>53</v>
      </c>
      <c r="G31" s="1">
        <v>50</v>
      </c>
      <c r="H31" s="1" t="s">
        <v>113</v>
      </c>
    </row>
    <row r="32" spans="1:8" s="17" customFormat="1" ht="12.75" x14ac:dyDescent="0.2">
      <c r="A32" s="9">
        <v>41</v>
      </c>
      <c r="B32" s="1">
        <v>153</v>
      </c>
      <c r="C32" s="1">
        <v>15</v>
      </c>
      <c r="D32" s="1">
        <v>18</v>
      </c>
      <c r="E32" s="1">
        <v>34</v>
      </c>
      <c r="F32" s="1">
        <v>39</v>
      </c>
      <c r="G32" s="1">
        <v>47</v>
      </c>
      <c r="H32" s="1" t="s">
        <v>113</v>
      </c>
    </row>
    <row r="33" spans="1:8" s="17" customFormat="1" ht="12.75" x14ac:dyDescent="0.2">
      <c r="A33" s="9">
        <v>42</v>
      </c>
      <c r="B33" s="1">
        <v>76</v>
      </c>
      <c r="C33" s="1">
        <v>11</v>
      </c>
      <c r="D33" s="1">
        <v>17</v>
      </c>
      <c r="E33" s="1">
        <v>14</v>
      </c>
      <c r="F33" s="1">
        <v>19</v>
      </c>
      <c r="G33" s="1">
        <v>15</v>
      </c>
      <c r="H33" s="1" t="s">
        <v>113</v>
      </c>
    </row>
    <row r="34" spans="1:8" s="17" customFormat="1" ht="12.75" x14ac:dyDescent="0.2">
      <c r="A34" s="9">
        <v>43</v>
      </c>
      <c r="B34" s="1">
        <v>58</v>
      </c>
      <c r="C34" s="1">
        <v>10</v>
      </c>
      <c r="D34" s="1">
        <v>9</v>
      </c>
      <c r="E34" s="1">
        <v>9</v>
      </c>
      <c r="F34" s="1">
        <v>13</v>
      </c>
      <c r="G34" s="1">
        <v>17</v>
      </c>
      <c r="H34" s="1" t="s">
        <v>113</v>
      </c>
    </row>
    <row r="35" spans="1:8" s="17" customFormat="1" ht="12.75" x14ac:dyDescent="0.2">
      <c r="A35" s="9">
        <v>44</v>
      </c>
      <c r="B35" s="1">
        <v>40</v>
      </c>
      <c r="C35" s="1">
        <v>3</v>
      </c>
      <c r="D35" s="1">
        <v>7</v>
      </c>
      <c r="E35" s="1">
        <v>5</v>
      </c>
      <c r="F35" s="1">
        <v>9</v>
      </c>
      <c r="G35" s="1">
        <v>14</v>
      </c>
      <c r="H35" s="1">
        <v>2</v>
      </c>
    </row>
    <row r="36" spans="1:8" s="17" customFormat="1" ht="12.75" x14ac:dyDescent="0.2">
      <c r="A36" s="9" t="s">
        <v>114</v>
      </c>
      <c r="B36" s="1">
        <v>43</v>
      </c>
      <c r="C36" s="1">
        <v>4</v>
      </c>
      <c r="D36" s="1">
        <v>9</v>
      </c>
      <c r="E36" s="1">
        <v>14</v>
      </c>
      <c r="F36" s="1">
        <v>8</v>
      </c>
      <c r="G36" s="1">
        <v>8</v>
      </c>
      <c r="H36" s="1" t="s">
        <v>113</v>
      </c>
    </row>
    <row r="37" spans="1:8" s="17" customFormat="1" ht="12.75" x14ac:dyDescent="0.2">
      <c r="A37" s="9" t="s">
        <v>112</v>
      </c>
      <c r="B37" s="1" t="s">
        <v>113</v>
      </c>
      <c r="C37" s="1" t="s">
        <v>113</v>
      </c>
      <c r="D37" s="1" t="s">
        <v>113</v>
      </c>
      <c r="E37" s="1" t="s">
        <v>113</v>
      </c>
      <c r="F37" s="1" t="s">
        <v>113</v>
      </c>
      <c r="G37" s="1" t="s">
        <v>113</v>
      </c>
      <c r="H37" s="1" t="s">
        <v>113</v>
      </c>
    </row>
    <row r="38" spans="1:8" s="17" customFormat="1" ht="12.75" x14ac:dyDescent="0.2">
      <c r="A38" s="2" t="s">
        <v>32</v>
      </c>
      <c r="B38" s="3"/>
      <c r="C38" s="3"/>
      <c r="D38" s="3"/>
      <c r="E38" s="3"/>
      <c r="F38" s="3"/>
      <c r="G38" s="3"/>
      <c r="H38" s="3"/>
    </row>
    <row r="39" spans="1:8" x14ac:dyDescent="0.2">
      <c r="A39" s="10" t="s">
        <v>492</v>
      </c>
      <c r="B39" s="1"/>
      <c r="C39" s="1"/>
      <c r="D39" s="1"/>
      <c r="E39" s="1"/>
      <c r="F39" s="1"/>
      <c r="G39" s="1"/>
      <c r="H39" s="1"/>
    </row>
    <row r="40" spans="1:8" x14ac:dyDescent="0.2">
      <c r="A40" s="10" t="s">
        <v>117</v>
      </c>
    </row>
    <row r="41" spans="1:8" x14ac:dyDescent="0.2">
      <c r="A41" s="9" t="s">
        <v>32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A190E-E367-4D1F-A31E-B66EC4D81FF6}">
  <dimension ref="A1:Q27"/>
  <sheetViews>
    <sheetView zoomScale="95" zoomScaleNormal="95" workbookViewId="0">
      <selection activeCell="A3" sqref="A3"/>
    </sheetView>
  </sheetViews>
  <sheetFormatPr defaultRowHeight="14.25" x14ac:dyDescent="0.2"/>
  <cols>
    <col min="1" max="1" width="23.7109375" style="7" customWidth="1"/>
    <col min="2" max="2" width="9.140625" style="7"/>
    <col min="3" max="3" width="9.7109375" style="7" customWidth="1"/>
    <col min="4" max="4" width="11.7109375" style="7" customWidth="1"/>
    <col min="5" max="5" width="12.7109375" style="7" customWidth="1"/>
    <col min="6" max="6" width="9.7109375" style="7" customWidth="1"/>
    <col min="7" max="7" width="11.7109375" style="7" customWidth="1"/>
    <col min="8" max="8" width="9.7109375" style="7" customWidth="1"/>
    <col min="9" max="9" width="11.7109375" style="7" customWidth="1"/>
    <col min="10" max="10" width="9.7109375" style="7" customWidth="1"/>
    <col min="11" max="11" width="2.7109375" style="7" customWidth="1"/>
    <col min="12" max="12" width="9.7109375" style="7" customWidth="1"/>
    <col min="13" max="13" width="11.7109375" style="7" customWidth="1"/>
    <col min="14" max="14" width="12.7109375" style="7" customWidth="1"/>
    <col min="15" max="15" width="9.7109375" style="7" customWidth="1"/>
    <col min="16" max="16" width="11.7109375" style="7" customWidth="1"/>
    <col min="17" max="17" width="9.7109375" style="7" customWidth="1"/>
    <col min="18" max="16384" width="9.140625" style="7"/>
  </cols>
  <sheetData>
    <row r="1" spans="1:17" ht="15.75" x14ac:dyDescent="0.25">
      <c r="A1" s="8" t="s">
        <v>514</v>
      </c>
    </row>
    <row r="2" spans="1:17" ht="15.75" x14ac:dyDescent="0.25">
      <c r="A2" s="8" t="s">
        <v>491</v>
      </c>
    </row>
    <row r="3" spans="1:17" s="17" customFormat="1" ht="12.75" x14ac:dyDescent="0.2">
      <c r="A3" s="19"/>
    </row>
    <row r="4" spans="1:17" s="17" customFormat="1" ht="12.75" x14ac:dyDescent="0.2">
      <c r="B4" s="19" t="s">
        <v>0</v>
      </c>
      <c r="L4" s="19" t="s">
        <v>1</v>
      </c>
    </row>
    <row r="5" spans="1:17" s="17" customFormat="1" ht="51" x14ac:dyDescent="0.2">
      <c r="B5" s="25" t="s">
        <v>18</v>
      </c>
      <c r="C5" s="25" t="s">
        <v>482</v>
      </c>
      <c r="D5" s="25" t="s">
        <v>483</v>
      </c>
      <c r="E5" s="25" t="s">
        <v>27</v>
      </c>
      <c r="F5" s="25" t="s">
        <v>28</v>
      </c>
      <c r="G5" s="25" t="s">
        <v>487</v>
      </c>
      <c r="H5" s="25" t="s">
        <v>484</v>
      </c>
      <c r="I5" s="25" t="s">
        <v>485</v>
      </c>
      <c r="J5" s="25" t="s">
        <v>486</v>
      </c>
      <c r="K5" s="33"/>
      <c r="L5" s="25" t="s">
        <v>482</v>
      </c>
      <c r="M5" s="25" t="s">
        <v>483</v>
      </c>
      <c r="N5" s="25" t="s">
        <v>27</v>
      </c>
      <c r="O5" s="25" t="s">
        <v>28</v>
      </c>
      <c r="P5" s="25" t="s">
        <v>487</v>
      </c>
      <c r="Q5" s="25" t="s">
        <v>484</v>
      </c>
    </row>
    <row r="6" spans="1:17" s="17" customFormat="1" ht="12.75" x14ac:dyDescent="0.2">
      <c r="A6" s="17" t="s">
        <v>4</v>
      </c>
      <c r="B6" s="27">
        <v>2652</v>
      </c>
      <c r="C6" s="27">
        <v>2514</v>
      </c>
      <c r="D6" s="48" t="s">
        <v>515</v>
      </c>
      <c r="E6" s="27">
        <v>65</v>
      </c>
      <c r="F6" s="27">
        <v>19</v>
      </c>
      <c r="G6" s="48" t="s">
        <v>515</v>
      </c>
      <c r="H6" s="27">
        <v>20</v>
      </c>
      <c r="I6" s="27">
        <v>2</v>
      </c>
      <c r="J6" s="27">
        <v>11</v>
      </c>
      <c r="K6" s="26"/>
      <c r="L6" s="28">
        <v>95.263357332322798</v>
      </c>
      <c r="M6" s="57" t="s">
        <v>515</v>
      </c>
      <c r="N6" s="28">
        <v>2.4630541871921099</v>
      </c>
      <c r="O6" s="28">
        <v>0.71996968548692597</v>
      </c>
      <c r="P6" s="57" t="s">
        <v>515</v>
      </c>
      <c r="Q6" s="28">
        <v>0.75786282682834405</v>
      </c>
    </row>
    <row r="7" spans="1:17" s="17" customFormat="1" ht="12.75" x14ac:dyDescent="0.2">
      <c r="A7" s="17" t="s">
        <v>5</v>
      </c>
      <c r="B7" s="27">
        <v>615</v>
      </c>
      <c r="C7" s="27">
        <v>478</v>
      </c>
      <c r="D7" s="48" t="s">
        <v>515</v>
      </c>
      <c r="E7" s="27">
        <v>5</v>
      </c>
      <c r="F7" s="48" t="s">
        <v>515</v>
      </c>
      <c r="G7" s="27" t="s">
        <v>113</v>
      </c>
      <c r="H7" s="27">
        <v>12</v>
      </c>
      <c r="I7" s="27" t="s">
        <v>113</v>
      </c>
      <c r="J7" s="27">
        <v>117</v>
      </c>
      <c r="K7" s="26"/>
      <c r="L7" s="28">
        <v>95.983935742971795</v>
      </c>
      <c r="M7" s="57" t="s">
        <v>515</v>
      </c>
      <c r="N7" s="28">
        <v>1.0040160642570199</v>
      </c>
      <c r="O7" s="57" t="s">
        <v>515</v>
      </c>
      <c r="P7" s="28" t="s">
        <v>113</v>
      </c>
      <c r="Q7" s="28">
        <v>2.4096385542168601</v>
      </c>
    </row>
    <row r="8" spans="1:17" s="17" customFormat="1" ht="12.75" x14ac:dyDescent="0.2">
      <c r="A8" s="17" t="s">
        <v>6</v>
      </c>
      <c r="B8" s="27">
        <v>1079</v>
      </c>
      <c r="C8" s="27">
        <v>871</v>
      </c>
      <c r="D8" s="27">
        <v>5</v>
      </c>
      <c r="E8" s="27">
        <v>5</v>
      </c>
      <c r="F8" s="48" t="s">
        <v>515</v>
      </c>
      <c r="G8" s="48" t="s">
        <v>515</v>
      </c>
      <c r="H8" s="27" t="s">
        <v>113</v>
      </c>
      <c r="I8" s="27" t="s">
        <v>113</v>
      </c>
      <c r="J8" s="27">
        <v>195</v>
      </c>
      <c r="K8" s="26"/>
      <c r="L8" s="28">
        <v>98.529411764705799</v>
      </c>
      <c r="M8" s="28">
        <v>0.565610859728506</v>
      </c>
      <c r="N8" s="28">
        <v>0.565610859728506</v>
      </c>
      <c r="O8" s="57" t="s">
        <v>515</v>
      </c>
      <c r="P8" s="57" t="s">
        <v>515</v>
      </c>
      <c r="Q8" s="28" t="s">
        <v>113</v>
      </c>
    </row>
    <row r="9" spans="1:17" s="17" customFormat="1" ht="12.75" x14ac:dyDescent="0.2">
      <c r="A9" s="17" t="s">
        <v>7</v>
      </c>
      <c r="B9" s="27">
        <v>2654</v>
      </c>
      <c r="C9" s="27">
        <v>2045</v>
      </c>
      <c r="D9" s="27">
        <v>18</v>
      </c>
      <c r="E9" s="27">
        <v>55</v>
      </c>
      <c r="F9" s="27">
        <v>17</v>
      </c>
      <c r="G9" s="48" t="s">
        <v>515</v>
      </c>
      <c r="H9" s="48" t="s">
        <v>515</v>
      </c>
      <c r="I9" s="27">
        <v>6</v>
      </c>
      <c r="J9" s="27">
        <v>495</v>
      </c>
      <c r="K9" s="26"/>
      <c r="L9" s="28">
        <v>94.983743613562396</v>
      </c>
      <c r="M9" s="28">
        <v>0.83604273107292104</v>
      </c>
      <c r="N9" s="28">
        <v>2.5545750116116999</v>
      </c>
      <c r="O9" s="28">
        <v>0.78959591267998097</v>
      </c>
      <c r="P9" s="57" t="s">
        <v>515</v>
      </c>
      <c r="Q9" s="57" t="s">
        <v>515</v>
      </c>
    </row>
    <row r="10" spans="1:17" s="17" customFormat="1" ht="12.75" x14ac:dyDescent="0.2">
      <c r="A10" s="17" t="s">
        <v>8</v>
      </c>
      <c r="B10" s="27">
        <v>2672</v>
      </c>
      <c r="C10" s="27">
        <v>2085</v>
      </c>
      <c r="D10" s="48" t="s">
        <v>515</v>
      </c>
      <c r="E10" s="27">
        <v>97</v>
      </c>
      <c r="F10" s="27">
        <v>28</v>
      </c>
      <c r="G10" s="48" t="s">
        <v>515</v>
      </c>
      <c r="H10" s="27">
        <v>25</v>
      </c>
      <c r="I10" s="27">
        <v>2</v>
      </c>
      <c r="J10" s="27">
        <v>427</v>
      </c>
      <c r="K10" s="26"/>
      <c r="L10" s="28">
        <v>92.955862683905494</v>
      </c>
      <c r="M10" s="57" t="s">
        <v>515</v>
      </c>
      <c r="N10" s="28">
        <v>4.3245653143111902</v>
      </c>
      <c r="O10" s="28">
        <v>1.2483281319661099</v>
      </c>
      <c r="P10" s="57" t="s">
        <v>515</v>
      </c>
      <c r="Q10" s="28">
        <v>1.1145786892554601</v>
      </c>
    </row>
    <row r="11" spans="1:17" s="17" customFormat="1" ht="12.75" x14ac:dyDescent="0.2">
      <c r="A11" s="17" t="s">
        <v>9</v>
      </c>
      <c r="B11" s="27">
        <v>4613</v>
      </c>
      <c r="C11" s="27">
        <v>3800</v>
      </c>
      <c r="D11" s="27">
        <v>33</v>
      </c>
      <c r="E11" s="27">
        <v>204</v>
      </c>
      <c r="F11" s="27">
        <v>234</v>
      </c>
      <c r="G11" s="27">
        <v>13</v>
      </c>
      <c r="H11" s="27">
        <v>106</v>
      </c>
      <c r="I11" s="27">
        <v>57</v>
      </c>
      <c r="J11" s="27">
        <v>166</v>
      </c>
      <c r="K11" s="26"/>
      <c r="L11" s="28">
        <v>86.560364464692398</v>
      </c>
      <c r="M11" s="28">
        <v>0.75170842824601303</v>
      </c>
      <c r="N11" s="28">
        <v>4.6469248291571699</v>
      </c>
      <c r="O11" s="28">
        <v>5.3302961275626402</v>
      </c>
      <c r="P11" s="28">
        <v>0.296127562642369</v>
      </c>
      <c r="Q11" s="28">
        <v>2.4145785876993102</v>
      </c>
    </row>
    <row r="12" spans="1:17" s="17" customFormat="1" ht="12.75" x14ac:dyDescent="0.2">
      <c r="A12" s="17" t="s">
        <v>10</v>
      </c>
      <c r="B12" s="27">
        <v>13268</v>
      </c>
      <c r="C12" s="27">
        <v>9427</v>
      </c>
      <c r="D12" s="27">
        <v>441</v>
      </c>
      <c r="E12" s="27">
        <v>1155</v>
      </c>
      <c r="F12" s="27">
        <v>401</v>
      </c>
      <c r="G12" s="27">
        <v>49</v>
      </c>
      <c r="H12" s="27">
        <v>362</v>
      </c>
      <c r="I12" s="27">
        <v>15</v>
      </c>
      <c r="J12" s="27">
        <v>1418</v>
      </c>
      <c r="K12" s="26"/>
      <c r="L12" s="28">
        <v>79.653569919729605</v>
      </c>
      <c r="M12" s="28">
        <v>3.7262357414448601</v>
      </c>
      <c r="N12" s="28">
        <v>9.7591888466413099</v>
      </c>
      <c r="O12" s="28">
        <v>3.3882551753274099</v>
      </c>
      <c r="P12" s="28">
        <v>0.41402619349387398</v>
      </c>
      <c r="Q12" s="28">
        <v>3.0587241233629001</v>
      </c>
    </row>
    <row r="13" spans="1:17" s="17" customFormat="1" ht="12.75" x14ac:dyDescent="0.2">
      <c r="A13" s="17" t="s">
        <v>11</v>
      </c>
      <c r="B13" s="27">
        <v>1785</v>
      </c>
      <c r="C13" s="27">
        <v>1516</v>
      </c>
      <c r="D13" s="27">
        <v>13</v>
      </c>
      <c r="E13" s="27">
        <v>35</v>
      </c>
      <c r="F13" s="48" t="s">
        <v>515</v>
      </c>
      <c r="G13" s="48" t="s">
        <v>515</v>
      </c>
      <c r="H13" s="27">
        <v>14</v>
      </c>
      <c r="I13" s="27">
        <v>164</v>
      </c>
      <c r="J13" s="27">
        <v>37</v>
      </c>
      <c r="K13" s="26"/>
      <c r="L13" s="28">
        <v>95.707070707070699</v>
      </c>
      <c r="M13" s="28">
        <v>0.82070707070707005</v>
      </c>
      <c r="N13" s="28">
        <v>2.2095959595959598</v>
      </c>
      <c r="O13" s="57" t="s">
        <v>515</v>
      </c>
      <c r="P13" s="57" t="s">
        <v>515</v>
      </c>
      <c r="Q13" s="28">
        <v>0.88383838383838298</v>
      </c>
    </row>
    <row r="14" spans="1:17" s="17" customFormat="1" ht="12.75" x14ac:dyDescent="0.2">
      <c r="A14" s="17" t="s">
        <v>12</v>
      </c>
      <c r="B14" s="27">
        <v>3957</v>
      </c>
      <c r="C14" s="27">
        <v>3443</v>
      </c>
      <c r="D14" s="48" t="s">
        <v>515</v>
      </c>
      <c r="E14" s="27">
        <v>179</v>
      </c>
      <c r="F14" s="27">
        <v>68</v>
      </c>
      <c r="G14" s="48" t="s">
        <v>515</v>
      </c>
      <c r="H14" s="27">
        <v>25</v>
      </c>
      <c r="I14" s="27">
        <v>3</v>
      </c>
      <c r="J14" s="27">
        <v>225</v>
      </c>
      <c r="K14" s="26"/>
      <c r="L14" s="28">
        <v>92.330383480825901</v>
      </c>
      <c r="M14" s="57" t="s">
        <v>515</v>
      </c>
      <c r="N14" s="28">
        <v>4.8002145347278002</v>
      </c>
      <c r="O14" s="28">
        <v>1.82354518637704</v>
      </c>
      <c r="P14" s="57" t="s">
        <v>515</v>
      </c>
      <c r="Q14" s="28">
        <v>0.67042102440332496</v>
      </c>
    </row>
    <row r="15" spans="1:17" s="17" customFormat="1" ht="12.75" x14ac:dyDescent="0.2">
      <c r="A15" s="17" t="s">
        <v>13</v>
      </c>
      <c r="B15" s="27">
        <v>7396</v>
      </c>
      <c r="C15" s="27">
        <v>5699</v>
      </c>
      <c r="D15" s="27">
        <v>100</v>
      </c>
      <c r="E15" s="27">
        <v>648</v>
      </c>
      <c r="F15" s="27">
        <v>295</v>
      </c>
      <c r="G15" s="27">
        <v>25</v>
      </c>
      <c r="H15" s="27">
        <v>103</v>
      </c>
      <c r="I15" s="27">
        <v>114</v>
      </c>
      <c r="J15" s="27">
        <v>412</v>
      </c>
      <c r="K15" s="26"/>
      <c r="L15" s="28">
        <v>82.954876273653497</v>
      </c>
      <c r="M15" s="28">
        <v>1.4556040756914099</v>
      </c>
      <c r="N15" s="28">
        <v>9.43231441048035</v>
      </c>
      <c r="O15" s="28">
        <v>4.2940320232896596</v>
      </c>
      <c r="P15" s="28">
        <v>0.36390101892285298</v>
      </c>
      <c r="Q15" s="28">
        <v>1.4992721979621499</v>
      </c>
    </row>
    <row r="16" spans="1:17" s="17" customFormat="1" ht="12.75" x14ac:dyDescent="0.2">
      <c r="A16" s="17" t="s">
        <v>14</v>
      </c>
      <c r="B16" s="27">
        <v>107</v>
      </c>
      <c r="C16" s="27">
        <v>70</v>
      </c>
      <c r="D16" s="48" t="s">
        <v>515</v>
      </c>
      <c r="E16" s="48" t="s">
        <v>515</v>
      </c>
      <c r="F16" s="48" t="s">
        <v>515</v>
      </c>
      <c r="G16" s="48" t="s">
        <v>515</v>
      </c>
      <c r="H16" s="48" t="s">
        <v>515</v>
      </c>
      <c r="I16" s="27">
        <v>2</v>
      </c>
      <c r="J16" s="27">
        <v>35</v>
      </c>
      <c r="K16" s="26"/>
      <c r="L16" s="28">
        <v>100</v>
      </c>
      <c r="M16" s="57" t="s">
        <v>515</v>
      </c>
      <c r="N16" s="57" t="s">
        <v>515</v>
      </c>
      <c r="O16" s="57" t="s">
        <v>515</v>
      </c>
      <c r="P16" s="57" t="s">
        <v>515</v>
      </c>
      <c r="Q16" s="57" t="s">
        <v>515</v>
      </c>
    </row>
    <row r="17" spans="1:17" s="17" customFormat="1" ht="12.75" x14ac:dyDescent="0.2">
      <c r="A17" s="17" t="s">
        <v>15</v>
      </c>
      <c r="B17" s="27">
        <v>65</v>
      </c>
      <c r="C17" s="27">
        <v>29</v>
      </c>
      <c r="D17" s="48" t="s">
        <v>515</v>
      </c>
      <c r="E17" s="48" t="s">
        <v>515</v>
      </c>
      <c r="F17" s="48" t="s">
        <v>515</v>
      </c>
      <c r="G17" s="48" t="s">
        <v>515</v>
      </c>
      <c r="H17" s="48" t="s">
        <v>515</v>
      </c>
      <c r="I17" s="27">
        <v>20</v>
      </c>
      <c r="J17" s="27">
        <v>16</v>
      </c>
      <c r="K17" s="26"/>
      <c r="L17" s="28">
        <v>100</v>
      </c>
      <c r="M17" s="57" t="s">
        <v>515</v>
      </c>
      <c r="N17" s="57" t="s">
        <v>515</v>
      </c>
      <c r="O17" s="57" t="s">
        <v>515</v>
      </c>
      <c r="P17" s="57" t="s">
        <v>515</v>
      </c>
      <c r="Q17" s="57" t="s">
        <v>515</v>
      </c>
    </row>
    <row r="18" spans="1:17" s="17" customFormat="1" ht="12.75" x14ac:dyDescent="0.2">
      <c r="A18" s="17" t="s">
        <v>16</v>
      </c>
      <c r="B18" s="27">
        <v>3175</v>
      </c>
      <c r="C18" s="27">
        <v>2067</v>
      </c>
      <c r="D18" s="48" t="s">
        <v>515</v>
      </c>
      <c r="E18" s="27">
        <v>79</v>
      </c>
      <c r="F18" s="27">
        <v>18</v>
      </c>
      <c r="G18" s="48" t="s">
        <v>515</v>
      </c>
      <c r="H18" s="27">
        <v>77</v>
      </c>
      <c r="I18" s="27">
        <v>37</v>
      </c>
      <c r="J18" s="27">
        <v>889</v>
      </c>
      <c r="K18" s="26"/>
      <c r="L18" s="28">
        <v>91.907514450866998</v>
      </c>
      <c r="M18" s="57" t="s">
        <v>515</v>
      </c>
      <c r="N18" s="28">
        <v>3.5126722987994601</v>
      </c>
      <c r="O18" s="28">
        <v>0.80035571365051095</v>
      </c>
      <c r="P18" s="57" t="s">
        <v>515</v>
      </c>
      <c r="Q18" s="28">
        <v>3.4237438861716298</v>
      </c>
    </row>
    <row r="19" spans="1:17" s="17" customFormat="1" ht="12.75" x14ac:dyDescent="0.2">
      <c r="A19" s="17" t="s">
        <v>17</v>
      </c>
      <c r="B19" s="27">
        <v>136</v>
      </c>
      <c r="C19" s="27">
        <v>67</v>
      </c>
      <c r="D19" s="48" t="s">
        <v>515</v>
      </c>
      <c r="E19" s="48" t="s">
        <v>515</v>
      </c>
      <c r="F19" s="48" t="s">
        <v>515</v>
      </c>
      <c r="G19" s="48" t="s">
        <v>515</v>
      </c>
      <c r="H19" s="48" t="s">
        <v>515</v>
      </c>
      <c r="I19" s="27">
        <v>13</v>
      </c>
      <c r="J19" s="27">
        <v>55</v>
      </c>
      <c r="K19" s="26"/>
      <c r="L19" s="28">
        <v>98.529411764705799</v>
      </c>
      <c r="M19" s="57" t="s">
        <v>515</v>
      </c>
      <c r="N19" s="57" t="s">
        <v>515</v>
      </c>
      <c r="O19" s="57" t="s">
        <v>515</v>
      </c>
      <c r="P19" s="57" t="s">
        <v>515</v>
      </c>
      <c r="Q19" s="57" t="s">
        <v>515</v>
      </c>
    </row>
    <row r="20" spans="1:17" s="17" customFormat="1" ht="12.75" x14ac:dyDescent="0.2">
      <c r="A20" s="19" t="s">
        <v>3</v>
      </c>
      <c r="B20" s="29">
        <v>44383</v>
      </c>
      <c r="C20" s="29">
        <v>34288</v>
      </c>
      <c r="D20" s="29">
        <v>658</v>
      </c>
      <c r="E20" s="29">
        <v>2530</v>
      </c>
      <c r="F20" s="29">
        <v>1089</v>
      </c>
      <c r="G20" s="29">
        <v>100</v>
      </c>
      <c r="H20" s="29">
        <v>761</v>
      </c>
      <c r="I20" s="29">
        <v>435</v>
      </c>
      <c r="J20" s="29">
        <v>4522</v>
      </c>
      <c r="K20" s="30"/>
      <c r="L20" s="31">
        <v>86.967990666057901</v>
      </c>
      <c r="M20" s="31">
        <v>1.66894942423781</v>
      </c>
      <c r="N20" s="31">
        <v>6.4170851722213698</v>
      </c>
      <c r="O20" s="31">
        <v>2.7621366610865898</v>
      </c>
      <c r="P20" s="31">
        <v>0.25363973012732699</v>
      </c>
      <c r="Q20" s="31">
        <v>1.93019834626895</v>
      </c>
    </row>
    <row r="21" spans="1:17" s="17" customFormat="1" ht="12.75" x14ac:dyDescent="0.2">
      <c r="A21" s="32" t="s">
        <v>32</v>
      </c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</row>
    <row r="22" spans="1:17" x14ac:dyDescent="0.2">
      <c r="A22" s="10" t="s">
        <v>492</v>
      </c>
    </row>
    <row r="23" spans="1:17" x14ac:dyDescent="0.2">
      <c r="A23" s="10" t="s">
        <v>94</v>
      </c>
    </row>
    <row r="24" spans="1:17" x14ac:dyDescent="0.2">
      <c r="A24" s="10" t="s">
        <v>95</v>
      </c>
    </row>
    <row r="25" spans="1:17" x14ac:dyDescent="0.2">
      <c r="A25" s="10" t="s">
        <v>90</v>
      </c>
    </row>
    <row r="26" spans="1:17" x14ac:dyDescent="0.2">
      <c r="A26" s="10" t="s">
        <v>115</v>
      </c>
    </row>
    <row r="27" spans="1:17" x14ac:dyDescent="0.2">
      <c r="A27" s="10" t="s">
        <v>117</v>
      </c>
    </row>
  </sheetData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CC55C-24E5-4635-BD1C-2D814002F7B8}">
  <dimension ref="A2:F23"/>
  <sheetViews>
    <sheetView zoomScale="90" zoomScaleNormal="90" workbookViewId="0">
      <selection activeCell="J23" sqref="J23"/>
    </sheetView>
  </sheetViews>
  <sheetFormatPr defaultRowHeight="15" x14ac:dyDescent="0.25"/>
  <cols>
    <col min="2" max="2" width="14.28515625" bestFit="1" customWidth="1"/>
  </cols>
  <sheetData>
    <row r="2" spans="1:6" x14ac:dyDescent="0.25">
      <c r="A2">
        <v>1</v>
      </c>
      <c r="B2" t="str">
        <f>VLOOKUP(A2,A4:B6,2,0)</f>
        <v>All maternities</v>
      </c>
      <c r="E2">
        <v>20</v>
      </c>
      <c r="F2" t="str">
        <f>VLOOKUP(E2,E4:F23,2,0)</f>
        <v>2023/24</v>
      </c>
    </row>
    <row r="4" spans="1:6" x14ac:dyDescent="0.25">
      <c r="A4">
        <v>1</v>
      </c>
      <c r="B4" t="s">
        <v>96</v>
      </c>
      <c r="C4" t="s">
        <v>32</v>
      </c>
      <c r="E4">
        <v>1</v>
      </c>
      <c r="F4" t="s">
        <v>119</v>
      </c>
    </row>
    <row r="5" spans="1:6" x14ac:dyDescent="0.25">
      <c r="A5">
        <v>2</v>
      </c>
      <c r="B5" t="s">
        <v>31</v>
      </c>
      <c r="E5">
        <v>2</v>
      </c>
      <c r="F5" t="s">
        <v>120</v>
      </c>
    </row>
    <row r="6" spans="1:6" x14ac:dyDescent="0.25">
      <c r="A6">
        <v>3</v>
      </c>
      <c r="B6" t="s">
        <v>29</v>
      </c>
      <c r="E6">
        <v>3</v>
      </c>
      <c r="F6" t="s">
        <v>121</v>
      </c>
    </row>
    <row r="7" spans="1:6" x14ac:dyDescent="0.25">
      <c r="E7">
        <v>4</v>
      </c>
      <c r="F7" t="s">
        <v>122</v>
      </c>
    </row>
    <row r="8" spans="1:6" x14ac:dyDescent="0.25">
      <c r="E8">
        <v>5</v>
      </c>
      <c r="F8" t="s">
        <v>123</v>
      </c>
    </row>
    <row r="9" spans="1:6" x14ac:dyDescent="0.25">
      <c r="E9">
        <v>6</v>
      </c>
      <c r="F9" t="s">
        <v>124</v>
      </c>
    </row>
    <row r="10" spans="1:6" x14ac:dyDescent="0.25">
      <c r="E10">
        <v>7</v>
      </c>
      <c r="F10" t="s">
        <v>125</v>
      </c>
    </row>
    <row r="11" spans="1:6" x14ac:dyDescent="0.25">
      <c r="E11">
        <v>8</v>
      </c>
      <c r="F11" t="s">
        <v>126</v>
      </c>
    </row>
    <row r="12" spans="1:6" x14ac:dyDescent="0.25">
      <c r="E12">
        <v>9</v>
      </c>
      <c r="F12" t="s">
        <v>127</v>
      </c>
    </row>
    <row r="13" spans="1:6" x14ac:dyDescent="0.25">
      <c r="E13">
        <v>10</v>
      </c>
      <c r="F13" t="s">
        <v>128</v>
      </c>
    </row>
    <row r="14" spans="1:6" x14ac:dyDescent="0.25">
      <c r="E14">
        <v>11</v>
      </c>
      <c r="F14" t="s">
        <v>129</v>
      </c>
    </row>
    <row r="15" spans="1:6" x14ac:dyDescent="0.25">
      <c r="E15">
        <v>12</v>
      </c>
      <c r="F15" t="s">
        <v>130</v>
      </c>
    </row>
    <row r="16" spans="1:6" x14ac:dyDescent="0.25">
      <c r="E16">
        <v>13</v>
      </c>
      <c r="F16" t="s">
        <v>131</v>
      </c>
    </row>
    <row r="17" spans="5:6" x14ac:dyDescent="0.25">
      <c r="E17">
        <v>14</v>
      </c>
      <c r="F17" t="s">
        <v>132</v>
      </c>
    </row>
    <row r="18" spans="5:6" x14ac:dyDescent="0.25">
      <c r="E18">
        <v>15</v>
      </c>
      <c r="F18" t="s">
        <v>133</v>
      </c>
    </row>
    <row r="19" spans="5:6" x14ac:dyDescent="0.25">
      <c r="E19">
        <v>16</v>
      </c>
      <c r="F19" t="s">
        <v>134</v>
      </c>
    </row>
    <row r="20" spans="5:6" x14ac:dyDescent="0.25">
      <c r="E20">
        <v>17</v>
      </c>
      <c r="F20" t="s">
        <v>135</v>
      </c>
    </row>
    <row r="21" spans="5:6" x14ac:dyDescent="0.25">
      <c r="E21">
        <v>18</v>
      </c>
      <c r="F21" t="s">
        <v>136</v>
      </c>
    </row>
    <row r="22" spans="5:6" x14ac:dyDescent="0.25">
      <c r="E22">
        <v>19</v>
      </c>
      <c r="F22" t="s">
        <v>137</v>
      </c>
    </row>
    <row r="23" spans="5:6" x14ac:dyDescent="0.25">
      <c r="E23">
        <v>20</v>
      </c>
      <c r="F23" t="s">
        <v>488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A600C-1EEC-4379-9402-042A6A7C426E}">
  <dimension ref="A1:X45"/>
  <sheetViews>
    <sheetView topLeftCell="B1" zoomScale="95" zoomScaleNormal="95" workbookViewId="0">
      <selection activeCell="B3" sqref="B3"/>
    </sheetView>
  </sheetViews>
  <sheetFormatPr defaultRowHeight="14.25" x14ac:dyDescent="0.2"/>
  <cols>
    <col min="1" max="1" width="14.5703125" style="4" hidden="1" customWidth="1"/>
    <col min="2" max="2" width="23.7109375" style="4" customWidth="1"/>
    <col min="3" max="22" width="8.28515625" style="4" customWidth="1"/>
    <col min="23" max="16384" width="9.140625" style="4"/>
  </cols>
  <sheetData>
    <row r="1" spans="1:24" ht="15.75" x14ac:dyDescent="0.25">
      <c r="B1" s="5" t="s">
        <v>510</v>
      </c>
    </row>
    <row r="2" spans="1:24" ht="15.75" x14ac:dyDescent="0.25">
      <c r="B2" s="5" t="s">
        <v>89</v>
      </c>
    </row>
    <row r="3" spans="1:24" s="6" customFormat="1" ht="12.75" x14ac:dyDescent="0.2">
      <c r="B3" s="11"/>
    </row>
    <row r="4" spans="1:24" s="6" customFormat="1" ht="12.75" x14ac:dyDescent="0.2">
      <c r="C4" s="11" t="s">
        <v>0</v>
      </c>
    </row>
    <row r="5" spans="1:24" s="6" customFormat="1" ht="12.75" x14ac:dyDescent="0.2">
      <c r="B5" s="11" t="s">
        <v>32</v>
      </c>
      <c r="C5" s="12" t="s">
        <v>119</v>
      </c>
      <c r="D5" s="12" t="s">
        <v>120</v>
      </c>
      <c r="E5" s="12" t="s">
        <v>121</v>
      </c>
      <c r="F5" s="12" t="s">
        <v>122</v>
      </c>
      <c r="G5" s="12" t="s">
        <v>123</v>
      </c>
      <c r="H5" s="12" t="s">
        <v>124</v>
      </c>
      <c r="I5" s="12" t="s">
        <v>125</v>
      </c>
      <c r="J5" s="12" t="s">
        <v>126</v>
      </c>
      <c r="K5" s="12" t="s">
        <v>127</v>
      </c>
      <c r="L5" s="12" t="s">
        <v>128</v>
      </c>
      <c r="M5" s="12" t="s">
        <v>129</v>
      </c>
      <c r="N5" s="12" t="s">
        <v>130</v>
      </c>
      <c r="O5" s="12" t="s">
        <v>131</v>
      </c>
      <c r="P5" s="12" t="s">
        <v>132</v>
      </c>
      <c r="Q5" s="12" t="s">
        <v>133</v>
      </c>
      <c r="R5" s="12" t="s">
        <v>134</v>
      </c>
      <c r="S5" s="12" t="s">
        <v>135</v>
      </c>
      <c r="T5" s="12" t="s">
        <v>136</v>
      </c>
      <c r="U5" s="12" t="s">
        <v>137</v>
      </c>
      <c r="V5" s="12" t="s">
        <v>488</v>
      </c>
    </row>
    <row r="6" spans="1:24" s="6" customFormat="1" ht="12.75" x14ac:dyDescent="0.2">
      <c r="A6" s="6" t="s">
        <v>34</v>
      </c>
      <c r="B6" s="6" t="s">
        <v>4</v>
      </c>
      <c r="C6" s="13">
        <f t="shared" ref="C6:C20" si="0">VLOOKUP(A6, t1.1, 2,0)</f>
        <v>3541</v>
      </c>
      <c r="D6" s="13">
        <f t="shared" ref="D6:D20" si="1">VLOOKUP(A6, t1.1, 3,0)</f>
        <v>3524</v>
      </c>
      <c r="E6" s="13">
        <f t="shared" ref="E6:E20" si="2">VLOOKUP(A6, t1.1, 4,0)</f>
        <v>3694</v>
      </c>
      <c r="F6" s="13">
        <f t="shared" ref="F6:F20" si="3">VLOOKUP(A6, t1.1, 5,0)</f>
        <v>3761</v>
      </c>
      <c r="G6" s="13">
        <f t="shared" ref="G6:G20" si="4">VLOOKUP(A6, t1.1, 6,0)</f>
        <v>3778</v>
      </c>
      <c r="H6" s="13">
        <f t="shared" ref="H6:H20" si="5">VLOOKUP(A6, t1.1, 7,0)</f>
        <v>3692</v>
      </c>
      <c r="I6" s="13">
        <f t="shared" ref="I6:I20" si="6">VLOOKUP(A6, t1.1, 8,0)</f>
        <v>3796</v>
      </c>
      <c r="J6" s="13">
        <f t="shared" ref="J6:J20" si="7">VLOOKUP(A6, t1.1, 9,0)</f>
        <v>3739</v>
      </c>
      <c r="K6" s="13">
        <f t="shared" ref="K6:K20" si="8">VLOOKUP(A6, t1.1, 10,0)</f>
        <v>3553</v>
      </c>
      <c r="L6" s="13">
        <f t="shared" ref="L6:L20" si="9">VLOOKUP(A6, t1.1, 11,0)</f>
        <v>3430</v>
      </c>
      <c r="M6" s="13">
        <f t="shared" ref="M6:M20" si="10">VLOOKUP(A6, t1.1, 12,0)</f>
        <v>3503</v>
      </c>
      <c r="N6" s="13">
        <f t="shared" ref="N6:N20" si="11">VLOOKUP(A6, t1.1, 13,0)</f>
        <v>3419</v>
      </c>
      <c r="O6" s="13">
        <f t="shared" ref="O6:O20" si="12">VLOOKUP(A6, t1.1, 14,0)</f>
        <v>3296</v>
      </c>
      <c r="P6" s="13">
        <f t="shared" ref="P6:P20" si="13">VLOOKUP(A6, t1.1, 15,0)</f>
        <v>3198</v>
      </c>
      <c r="Q6" s="13">
        <f t="shared" ref="Q6:Q20" si="14">VLOOKUP(A6, t1.1, 16,0)</f>
        <v>2991</v>
      </c>
      <c r="R6" s="13">
        <f t="shared" ref="R6:R20" si="15">VLOOKUP(A6, t1.1, 17,0)</f>
        <v>3064</v>
      </c>
      <c r="S6" s="13">
        <f t="shared" ref="S6:S20" si="16">VLOOKUP(A6, t1.1, 18,0)</f>
        <v>2753</v>
      </c>
      <c r="T6" s="13">
        <f t="shared" ref="T6:T20" si="17">VLOOKUP(A6, t1.1, 19,0)</f>
        <v>2851</v>
      </c>
      <c r="U6" s="13">
        <f t="shared" ref="U6:U20" si="18">VLOOKUP(A6, t1.1, 20,0)</f>
        <v>2644</v>
      </c>
      <c r="V6" s="13">
        <f t="shared" ref="V6:V20" si="19">VLOOKUP(A6, t1.1, 21,0)</f>
        <v>2652</v>
      </c>
    </row>
    <row r="7" spans="1:24" s="6" customFormat="1" ht="12.75" x14ac:dyDescent="0.2">
      <c r="A7" s="6" t="s">
        <v>35</v>
      </c>
      <c r="B7" s="6" t="s">
        <v>5</v>
      </c>
      <c r="C7" s="13">
        <f t="shared" si="0"/>
        <v>1019</v>
      </c>
      <c r="D7" s="13">
        <f t="shared" si="1"/>
        <v>979</v>
      </c>
      <c r="E7" s="13">
        <f t="shared" si="2"/>
        <v>1095</v>
      </c>
      <c r="F7" s="13">
        <f t="shared" si="3"/>
        <v>1132</v>
      </c>
      <c r="G7" s="13">
        <f t="shared" si="4"/>
        <v>1190</v>
      </c>
      <c r="H7" s="13">
        <f t="shared" si="5"/>
        <v>1204</v>
      </c>
      <c r="I7" s="13">
        <f t="shared" si="6"/>
        <v>1177</v>
      </c>
      <c r="J7" s="13">
        <f t="shared" si="7"/>
        <v>1129</v>
      </c>
      <c r="K7" s="13">
        <f t="shared" si="8"/>
        <v>1161</v>
      </c>
      <c r="L7" s="13">
        <f t="shared" si="9"/>
        <v>1122</v>
      </c>
      <c r="M7" s="13">
        <f t="shared" si="10"/>
        <v>1035</v>
      </c>
      <c r="N7" s="13">
        <f t="shared" si="11"/>
        <v>1047</v>
      </c>
      <c r="O7" s="13">
        <f t="shared" si="12"/>
        <v>976</v>
      </c>
      <c r="P7" s="13">
        <f t="shared" si="13"/>
        <v>986</v>
      </c>
      <c r="Q7" s="13">
        <f t="shared" si="14"/>
        <v>967</v>
      </c>
      <c r="R7" s="13">
        <f t="shared" si="15"/>
        <v>884</v>
      </c>
      <c r="S7" s="13">
        <f t="shared" si="16"/>
        <v>817</v>
      </c>
      <c r="T7" s="13">
        <f t="shared" si="17"/>
        <v>842</v>
      </c>
      <c r="U7" s="13">
        <f t="shared" si="18"/>
        <v>666</v>
      </c>
      <c r="V7" s="13">
        <f t="shared" si="19"/>
        <v>615</v>
      </c>
    </row>
    <row r="8" spans="1:24" s="6" customFormat="1" ht="12.75" x14ac:dyDescent="0.2">
      <c r="A8" s="6" t="s">
        <v>36</v>
      </c>
      <c r="B8" s="6" t="s">
        <v>6</v>
      </c>
      <c r="C8" s="13">
        <f t="shared" si="0"/>
        <v>1363</v>
      </c>
      <c r="D8" s="13">
        <f t="shared" si="1"/>
        <v>1377</v>
      </c>
      <c r="E8" s="13">
        <f t="shared" si="2"/>
        <v>1424</v>
      </c>
      <c r="F8" s="13">
        <f t="shared" si="3"/>
        <v>1437</v>
      </c>
      <c r="G8" s="13">
        <f t="shared" si="4"/>
        <v>1391</v>
      </c>
      <c r="H8" s="13">
        <f t="shared" si="5"/>
        <v>1438</v>
      </c>
      <c r="I8" s="13">
        <f t="shared" si="6"/>
        <v>1383</v>
      </c>
      <c r="J8" s="13">
        <f t="shared" si="7"/>
        <v>1363</v>
      </c>
      <c r="K8" s="13">
        <f t="shared" si="8"/>
        <v>1331</v>
      </c>
      <c r="L8" s="13">
        <f t="shared" si="9"/>
        <v>1251</v>
      </c>
      <c r="M8" s="13">
        <f t="shared" si="10"/>
        <v>1194</v>
      </c>
      <c r="N8" s="13">
        <f t="shared" si="11"/>
        <v>1253</v>
      </c>
      <c r="O8" s="13">
        <f t="shared" si="12"/>
        <v>1221</v>
      </c>
      <c r="P8" s="13">
        <f t="shared" si="13"/>
        <v>1247</v>
      </c>
      <c r="Q8" s="13">
        <f t="shared" si="14"/>
        <v>1129</v>
      </c>
      <c r="R8" s="13">
        <f t="shared" si="15"/>
        <v>1112</v>
      </c>
      <c r="S8" s="13">
        <f t="shared" si="16"/>
        <v>1083</v>
      </c>
      <c r="T8" s="13">
        <f t="shared" si="17"/>
        <v>1076</v>
      </c>
      <c r="U8" s="13">
        <f t="shared" si="18"/>
        <v>1064</v>
      </c>
      <c r="V8" s="13">
        <f t="shared" si="19"/>
        <v>1079</v>
      </c>
      <c r="X8" s="6" t="s">
        <v>32</v>
      </c>
    </row>
    <row r="9" spans="1:24" s="6" customFormat="1" ht="12.75" x14ac:dyDescent="0.2">
      <c r="A9" s="6" t="s">
        <v>37</v>
      </c>
      <c r="B9" s="6" t="s">
        <v>7</v>
      </c>
      <c r="C9" s="13">
        <f t="shared" si="0"/>
        <v>3290</v>
      </c>
      <c r="D9" s="13">
        <f t="shared" si="1"/>
        <v>3315</v>
      </c>
      <c r="E9" s="13">
        <f t="shared" si="2"/>
        <v>3487</v>
      </c>
      <c r="F9" s="13">
        <f t="shared" si="3"/>
        <v>3672</v>
      </c>
      <c r="G9" s="13">
        <f t="shared" si="4"/>
        <v>3798</v>
      </c>
      <c r="H9" s="13">
        <f t="shared" si="5"/>
        <v>3752</v>
      </c>
      <c r="I9" s="13">
        <f t="shared" si="6"/>
        <v>3721</v>
      </c>
      <c r="J9" s="13">
        <f t="shared" si="7"/>
        <v>3733</v>
      </c>
      <c r="K9" s="13">
        <f t="shared" si="8"/>
        <v>3486</v>
      </c>
      <c r="L9" s="13">
        <f t="shared" si="9"/>
        <v>3436</v>
      </c>
      <c r="M9" s="13">
        <f t="shared" si="10"/>
        <v>3435</v>
      </c>
      <c r="N9" s="13">
        <f t="shared" si="11"/>
        <v>3318</v>
      </c>
      <c r="O9" s="13">
        <f t="shared" si="12"/>
        <v>3315</v>
      </c>
      <c r="P9" s="13">
        <f t="shared" si="13"/>
        <v>3135</v>
      </c>
      <c r="Q9" s="13">
        <f t="shared" si="14"/>
        <v>3095</v>
      </c>
      <c r="R9" s="13">
        <f t="shared" si="15"/>
        <v>2890</v>
      </c>
      <c r="S9" s="13">
        <f t="shared" si="16"/>
        <v>2724</v>
      </c>
      <c r="T9" s="13">
        <f t="shared" si="17"/>
        <v>2674</v>
      </c>
      <c r="U9" s="13">
        <f t="shared" si="18"/>
        <v>2538</v>
      </c>
      <c r="V9" s="13">
        <f t="shared" si="19"/>
        <v>2654</v>
      </c>
    </row>
    <row r="10" spans="1:24" s="6" customFormat="1" ht="12.75" x14ac:dyDescent="0.2">
      <c r="A10" s="6" t="s">
        <v>38</v>
      </c>
      <c r="B10" s="6" t="s">
        <v>8</v>
      </c>
      <c r="C10" s="13">
        <f t="shared" si="0"/>
        <v>3098</v>
      </c>
      <c r="D10" s="13">
        <f t="shared" si="1"/>
        <v>3134</v>
      </c>
      <c r="E10" s="13">
        <f t="shared" si="2"/>
        <v>3185</v>
      </c>
      <c r="F10" s="13">
        <f t="shared" si="3"/>
        <v>3286</v>
      </c>
      <c r="G10" s="13">
        <f t="shared" si="4"/>
        <v>3228</v>
      </c>
      <c r="H10" s="13">
        <f t="shared" si="5"/>
        <v>3288</v>
      </c>
      <c r="I10" s="13">
        <f t="shared" si="6"/>
        <v>3182</v>
      </c>
      <c r="J10" s="13">
        <f t="shared" si="7"/>
        <v>3178</v>
      </c>
      <c r="K10" s="13">
        <f t="shared" si="8"/>
        <v>3140</v>
      </c>
      <c r="L10" s="13">
        <f t="shared" si="9"/>
        <v>3116</v>
      </c>
      <c r="M10" s="13">
        <f t="shared" si="10"/>
        <v>3099</v>
      </c>
      <c r="N10" s="13">
        <f t="shared" si="11"/>
        <v>3089</v>
      </c>
      <c r="O10" s="13">
        <f t="shared" si="12"/>
        <v>3073</v>
      </c>
      <c r="P10" s="13">
        <f t="shared" si="13"/>
        <v>2986</v>
      </c>
      <c r="Q10" s="13">
        <f t="shared" si="14"/>
        <v>2904</v>
      </c>
      <c r="R10" s="13">
        <f t="shared" si="15"/>
        <v>2779</v>
      </c>
      <c r="S10" s="13">
        <f t="shared" si="16"/>
        <v>2816</v>
      </c>
      <c r="T10" s="13">
        <f t="shared" si="17"/>
        <v>2861</v>
      </c>
      <c r="U10" s="13">
        <f t="shared" si="18"/>
        <v>2749</v>
      </c>
      <c r="V10" s="13">
        <f t="shared" si="19"/>
        <v>2672</v>
      </c>
    </row>
    <row r="11" spans="1:24" s="6" customFormat="1" ht="12.75" x14ac:dyDescent="0.2">
      <c r="A11" s="6" t="s">
        <v>39</v>
      </c>
      <c r="B11" s="6" t="s">
        <v>9</v>
      </c>
      <c r="C11" s="13">
        <f t="shared" si="0"/>
        <v>5371</v>
      </c>
      <c r="D11" s="13">
        <f t="shared" si="1"/>
        <v>5389</v>
      </c>
      <c r="E11" s="13">
        <f t="shared" si="2"/>
        <v>5887</v>
      </c>
      <c r="F11" s="13">
        <f t="shared" si="3"/>
        <v>6080</v>
      </c>
      <c r="G11" s="13">
        <f t="shared" si="4"/>
        <v>6220</v>
      </c>
      <c r="H11" s="13">
        <f t="shared" si="5"/>
        <v>6390</v>
      </c>
      <c r="I11" s="13">
        <f t="shared" si="6"/>
        <v>6161</v>
      </c>
      <c r="J11" s="13">
        <f t="shared" si="7"/>
        <v>6237</v>
      </c>
      <c r="K11" s="13">
        <f t="shared" si="8"/>
        <v>6321</v>
      </c>
      <c r="L11" s="13">
        <f t="shared" si="9"/>
        <v>6289</v>
      </c>
      <c r="M11" s="13">
        <f t="shared" si="10"/>
        <v>6231</v>
      </c>
      <c r="N11" s="13">
        <f t="shared" si="11"/>
        <v>6416</v>
      </c>
      <c r="O11" s="13">
        <f t="shared" si="12"/>
        <v>6223</v>
      </c>
      <c r="P11" s="13">
        <f t="shared" si="13"/>
        <v>5894</v>
      </c>
      <c r="Q11" s="13">
        <f t="shared" si="14"/>
        <v>5798</v>
      </c>
      <c r="R11" s="13">
        <f t="shared" si="15"/>
        <v>5364</v>
      </c>
      <c r="S11" s="13">
        <f t="shared" si="16"/>
        <v>4928</v>
      </c>
      <c r="T11" s="13">
        <f t="shared" si="17"/>
        <v>5132</v>
      </c>
      <c r="U11" s="13">
        <f t="shared" si="18"/>
        <v>4704</v>
      </c>
      <c r="V11" s="13">
        <f t="shared" si="19"/>
        <v>4613</v>
      </c>
    </row>
    <row r="12" spans="1:24" s="6" customFormat="1" ht="12.75" x14ac:dyDescent="0.2">
      <c r="A12" s="6" t="s">
        <v>40</v>
      </c>
      <c r="B12" s="6" t="s">
        <v>10</v>
      </c>
      <c r="C12" s="13">
        <f t="shared" si="0"/>
        <v>15065</v>
      </c>
      <c r="D12" s="13">
        <f t="shared" si="1"/>
        <v>14756</v>
      </c>
      <c r="E12" s="13">
        <f t="shared" si="2"/>
        <v>15151</v>
      </c>
      <c r="F12" s="13">
        <f t="shared" si="3"/>
        <v>15970</v>
      </c>
      <c r="G12" s="13">
        <f t="shared" si="4"/>
        <v>15991</v>
      </c>
      <c r="H12" s="13">
        <f t="shared" si="5"/>
        <v>15986</v>
      </c>
      <c r="I12" s="13">
        <f t="shared" si="6"/>
        <v>15636</v>
      </c>
      <c r="J12" s="13">
        <f t="shared" si="7"/>
        <v>15828</v>
      </c>
      <c r="K12" s="13">
        <f t="shared" si="8"/>
        <v>15426</v>
      </c>
      <c r="L12" s="13">
        <f t="shared" si="9"/>
        <v>14815</v>
      </c>
      <c r="M12" s="13">
        <f t="shared" si="10"/>
        <v>15080</v>
      </c>
      <c r="N12" s="13">
        <f t="shared" si="11"/>
        <v>14866</v>
      </c>
      <c r="O12" s="13">
        <f t="shared" si="12"/>
        <v>14681</v>
      </c>
      <c r="P12" s="13">
        <f t="shared" si="13"/>
        <v>14477</v>
      </c>
      <c r="Q12" s="13">
        <f t="shared" si="14"/>
        <v>14140</v>
      </c>
      <c r="R12" s="13">
        <f t="shared" si="15"/>
        <v>13571</v>
      </c>
      <c r="S12" s="13">
        <f t="shared" si="16"/>
        <v>12768</v>
      </c>
      <c r="T12" s="13">
        <f t="shared" si="17"/>
        <v>13073</v>
      </c>
      <c r="U12" s="13">
        <f t="shared" si="18"/>
        <v>12803</v>
      </c>
      <c r="V12" s="13">
        <f t="shared" si="19"/>
        <v>13268</v>
      </c>
    </row>
    <row r="13" spans="1:24" s="6" customFormat="1" ht="12.75" x14ac:dyDescent="0.2">
      <c r="A13" s="6" t="s">
        <v>41</v>
      </c>
      <c r="B13" s="6" t="s">
        <v>11</v>
      </c>
      <c r="C13" s="13">
        <f t="shared" si="0"/>
        <v>2241</v>
      </c>
      <c r="D13" s="13">
        <f t="shared" si="1"/>
        <v>2266</v>
      </c>
      <c r="E13" s="13">
        <f t="shared" si="2"/>
        <v>2242</v>
      </c>
      <c r="F13" s="13">
        <f t="shared" si="3"/>
        <v>2401</v>
      </c>
      <c r="G13" s="13">
        <f t="shared" si="4"/>
        <v>2565</v>
      </c>
      <c r="H13" s="13">
        <f t="shared" si="5"/>
        <v>2420</v>
      </c>
      <c r="I13" s="13">
        <f t="shared" si="6"/>
        <v>2491</v>
      </c>
      <c r="J13" s="13">
        <f t="shared" si="7"/>
        <v>2476</v>
      </c>
      <c r="K13" s="13">
        <f t="shared" si="8"/>
        <v>2380</v>
      </c>
      <c r="L13" s="13">
        <f t="shared" si="9"/>
        <v>2299</v>
      </c>
      <c r="M13" s="13">
        <f t="shared" si="10"/>
        <v>2299</v>
      </c>
      <c r="N13" s="13">
        <f t="shared" si="11"/>
        <v>2209</v>
      </c>
      <c r="O13" s="13">
        <f t="shared" si="12"/>
        <v>2147</v>
      </c>
      <c r="P13" s="13">
        <f t="shared" si="13"/>
        <v>2062</v>
      </c>
      <c r="Q13" s="13">
        <f t="shared" si="14"/>
        <v>1991</v>
      </c>
      <c r="R13" s="13">
        <f t="shared" si="15"/>
        <v>1965</v>
      </c>
      <c r="S13" s="13">
        <f t="shared" si="16"/>
        <v>1845</v>
      </c>
      <c r="T13" s="13">
        <f t="shared" si="17"/>
        <v>1884</v>
      </c>
      <c r="U13" s="13">
        <f t="shared" si="18"/>
        <v>1864</v>
      </c>
      <c r="V13" s="13">
        <f t="shared" si="19"/>
        <v>1785</v>
      </c>
    </row>
    <row r="14" spans="1:24" s="6" customFormat="1" ht="12.75" x14ac:dyDescent="0.2">
      <c r="A14" s="6" t="s">
        <v>42</v>
      </c>
      <c r="B14" s="6" t="s">
        <v>12</v>
      </c>
      <c r="C14" s="13">
        <f t="shared" si="0"/>
        <v>4720</v>
      </c>
      <c r="D14" s="13">
        <f t="shared" si="1"/>
        <v>4499</v>
      </c>
      <c r="E14" s="13">
        <f t="shared" si="2"/>
        <v>4846</v>
      </c>
      <c r="F14" s="13">
        <f t="shared" si="3"/>
        <v>4781</v>
      </c>
      <c r="G14" s="13">
        <f t="shared" si="4"/>
        <v>4881</v>
      </c>
      <c r="H14" s="13">
        <f t="shared" si="5"/>
        <v>4743</v>
      </c>
      <c r="I14" s="13">
        <f t="shared" si="6"/>
        <v>4883</v>
      </c>
      <c r="J14" s="13">
        <f t="shared" si="7"/>
        <v>4952</v>
      </c>
      <c r="K14" s="13">
        <f t="shared" si="8"/>
        <v>4766</v>
      </c>
      <c r="L14" s="13">
        <f t="shared" si="9"/>
        <v>4700</v>
      </c>
      <c r="M14" s="13">
        <f t="shared" si="10"/>
        <v>4723</v>
      </c>
      <c r="N14" s="13">
        <f t="shared" si="11"/>
        <v>4445</v>
      </c>
      <c r="O14" s="13">
        <f t="shared" si="12"/>
        <v>4435</v>
      </c>
      <c r="P14" s="13">
        <f t="shared" si="13"/>
        <v>4350</v>
      </c>
      <c r="Q14" s="13">
        <f t="shared" si="14"/>
        <v>4220</v>
      </c>
      <c r="R14" s="13">
        <f t="shared" si="15"/>
        <v>4165</v>
      </c>
      <c r="S14" s="13">
        <f t="shared" si="16"/>
        <v>4081</v>
      </c>
      <c r="T14" s="13">
        <f t="shared" si="17"/>
        <v>4166</v>
      </c>
      <c r="U14" s="13">
        <f t="shared" si="18"/>
        <v>4005</v>
      </c>
      <c r="V14" s="13">
        <f t="shared" si="19"/>
        <v>3957</v>
      </c>
    </row>
    <row r="15" spans="1:24" s="6" customFormat="1" ht="12.75" x14ac:dyDescent="0.2">
      <c r="A15" s="6" t="s">
        <v>43</v>
      </c>
      <c r="B15" s="6" t="s">
        <v>13</v>
      </c>
      <c r="C15" s="13">
        <f t="shared" si="0"/>
        <v>8453</v>
      </c>
      <c r="D15" s="13">
        <f t="shared" si="1"/>
        <v>8592</v>
      </c>
      <c r="E15" s="13">
        <f t="shared" si="2"/>
        <v>8833</v>
      </c>
      <c r="F15" s="13">
        <f t="shared" si="3"/>
        <v>9570</v>
      </c>
      <c r="G15" s="13">
        <f t="shared" si="4"/>
        <v>9633</v>
      </c>
      <c r="H15" s="13">
        <f t="shared" si="5"/>
        <v>9371</v>
      </c>
      <c r="I15" s="13">
        <f t="shared" si="6"/>
        <v>9583</v>
      </c>
      <c r="J15" s="13">
        <f t="shared" si="7"/>
        <v>9586</v>
      </c>
      <c r="K15" s="13">
        <f t="shared" si="8"/>
        <v>9352</v>
      </c>
      <c r="L15" s="13">
        <f t="shared" si="9"/>
        <v>9520</v>
      </c>
      <c r="M15" s="13">
        <f t="shared" si="10"/>
        <v>9233</v>
      </c>
      <c r="N15" s="13">
        <f t="shared" si="11"/>
        <v>9308</v>
      </c>
      <c r="O15" s="13">
        <f t="shared" si="12"/>
        <v>9143</v>
      </c>
      <c r="P15" s="13">
        <f t="shared" si="13"/>
        <v>8851</v>
      </c>
      <c r="Q15" s="13">
        <f t="shared" si="14"/>
        <v>8640</v>
      </c>
      <c r="R15" s="13">
        <f t="shared" si="15"/>
        <v>8166</v>
      </c>
      <c r="S15" s="13">
        <f t="shared" si="16"/>
        <v>8053</v>
      </c>
      <c r="T15" s="13">
        <f t="shared" si="17"/>
        <v>8413</v>
      </c>
      <c r="U15" s="13">
        <f t="shared" si="18"/>
        <v>7778</v>
      </c>
      <c r="V15" s="13">
        <f t="shared" si="19"/>
        <v>7396</v>
      </c>
    </row>
    <row r="16" spans="1:24" s="6" customFormat="1" ht="12.75" x14ac:dyDescent="0.2">
      <c r="A16" s="6" t="s">
        <v>44</v>
      </c>
      <c r="B16" s="6" t="s">
        <v>14</v>
      </c>
      <c r="C16" s="13">
        <f t="shared" si="0"/>
        <v>127</v>
      </c>
      <c r="D16" s="13">
        <f t="shared" si="1"/>
        <v>136</v>
      </c>
      <c r="E16" s="13">
        <f t="shared" si="2"/>
        <v>140</v>
      </c>
      <c r="F16" s="13">
        <f t="shared" si="3"/>
        <v>133</v>
      </c>
      <c r="G16" s="13">
        <f t="shared" si="4"/>
        <v>144</v>
      </c>
      <c r="H16" s="13">
        <f t="shared" si="5"/>
        <v>128</v>
      </c>
      <c r="I16" s="13">
        <f t="shared" si="6"/>
        <v>126</v>
      </c>
      <c r="J16" s="13">
        <f t="shared" si="7"/>
        <v>139</v>
      </c>
      <c r="K16" s="13">
        <f t="shared" si="8"/>
        <v>143</v>
      </c>
      <c r="L16" s="13">
        <f t="shared" si="9"/>
        <v>124</v>
      </c>
      <c r="M16" s="13">
        <f t="shared" si="10"/>
        <v>140</v>
      </c>
      <c r="N16" s="13">
        <f t="shared" si="11"/>
        <v>124</v>
      </c>
      <c r="O16" s="13">
        <f t="shared" si="12"/>
        <v>111</v>
      </c>
      <c r="P16" s="13">
        <f t="shared" si="13"/>
        <v>115</v>
      </c>
      <c r="Q16" s="13">
        <f t="shared" si="14"/>
        <v>132</v>
      </c>
      <c r="R16" s="13">
        <f t="shared" si="15"/>
        <v>138</v>
      </c>
      <c r="S16" s="13">
        <f t="shared" si="16"/>
        <v>142</v>
      </c>
      <c r="T16" s="13">
        <f t="shared" si="17"/>
        <v>143</v>
      </c>
      <c r="U16" s="13">
        <f t="shared" si="18"/>
        <v>124</v>
      </c>
      <c r="V16" s="13">
        <f t="shared" si="19"/>
        <v>107</v>
      </c>
    </row>
    <row r="17" spans="1:22" s="6" customFormat="1" ht="12.75" x14ac:dyDescent="0.2">
      <c r="A17" s="6" t="s">
        <v>45</v>
      </c>
      <c r="B17" s="6" t="s">
        <v>15</v>
      </c>
      <c r="C17" s="13">
        <f t="shared" si="0"/>
        <v>154</v>
      </c>
      <c r="D17" s="13">
        <f t="shared" si="1"/>
        <v>128</v>
      </c>
      <c r="E17" s="13">
        <f t="shared" si="2"/>
        <v>163</v>
      </c>
      <c r="F17" s="13">
        <f t="shared" si="3"/>
        <v>131</v>
      </c>
      <c r="G17" s="13">
        <f t="shared" si="4"/>
        <v>143</v>
      </c>
      <c r="H17" s="13">
        <f t="shared" si="5"/>
        <v>157</v>
      </c>
      <c r="I17" s="13">
        <f t="shared" si="6"/>
        <v>147</v>
      </c>
      <c r="J17" s="13">
        <f t="shared" si="7"/>
        <v>141</v>
      </c>
      <c r="K17" s="13">
        <f t="shared" si="8"/>
        <v>179</v>
      </c>
      <c r="L17" s="13">
        <f t="shared" si="9"/>
        <v>143</v>
      </c>
      <c r="M17" s="13">
        <f t="shared" si="10"/>
        <v>153</v>
      </c>
      <c r="N17" s="13">
        <f t="shared" si="11"/>
        <v>125</v>
      </c>
      <c r="O17" s="13">
        <f t="shared" si="12"/>
        <v>138</v>
      </c>
      <c r="P17" s="13">
        <f t="shared" si="13"/>
        <v>113</v>
      </c>
      <c r="Q17" s="13">
        <f t="shared" si="14"/>
        <v>92</v>
      </c>
      <c r="R17" s="13">
        <f t="shared" si="15"/>
        <v>114</v>
      </c>
      <c r="S17" s="13">
        <f t="shared" si="16"/>
        <v>105</v>
      </c>
      <c r="T17" s="13">
        <f t="shared" si="17"/>
        <v>84</v>
      </c>
      <c r="U17" s="13">
        <f t="shared" si="18"/>
        <v>101</v>
      </c>
      <c r="V17" s="13">
        <f t="shared" si="19"/>
        <v>65</v>
      </c>
    </row>
    <row r="18" spans="1:22" s="6" customFormat="1" ht="12.75" x14ac:dyDescent="0.2">
      <c r="A18" s="6" t="s">
        <v>46</v>
      </c>
      <c r="B18" s="6" t="s">
        <v>16</v>
      </c>
      <c r="C18" s="13">
        <f t="shared" si="0"/>
        <v>4054</v>
      </c>
      <c r="D18" s="13">
        <f t="shared" si="1"/>
        <v>3997</v>
      </c>
      <c r="E18" s="13">
        <f t="shared" si="2"/>
        <v>3913</v>
      </c>
      <c r="F18" s="13">
        <f t="shared" si="3"/>
        <v>4651</v>
      </c>
      <c r="G18" s="13">
        <f t="shared" si="4"/>
        <v>4613</v>
      </c>
      <c r="H18" s="13">
        <f t="shared" si="5"/>
        <v>4592</v>
      </c>
      <c r="I18" s="13">
        <f t="shared" si="6"/>
        <v>4547</v>
      </c>
      <c r="J18" s="13">
        <f t="shared" si="7"/>
        <v>4657</v>
      </c>
      <c r="K18" s="13">
        <f t="shared" si="8"/>
        <v>4384</v>
      </c>
      <c r="L18" s="13">
        <f t="shared" si="9"/>
        <v>4269</v>
      </c>
      <c r="M18" s="13">
        <f t="shared" si="10"/>
        <v>4428</v>
      </c>
      <c r="N18" s="13">
        <f t="shared" si="11"/>
        <v>4179</v>
      </c>
      <c r="O18" s="13">
        <f t="shared" si="12"/>
        <v>4098</v>
      </c>
      <c r="P18" s="13">
        <f t="shared" si="13"/>
        <v>3849</v>
      </c>
      <c r="Q18" s="13">
        <f t="shared" si="14"/>
        <v>3714</v>
      </c>
      <c r="R18" s="13">
        <f t="shared" si="15"/>
        <v>3584</v>
      </c>
      <c r="S18" s="13">
        <f t="shared" si="16"/>
        <v>3339</v>
      </c>
      <c r="T18" s="13">
        <f t="shared" si="17"/>
        <v>3532</v>
      </c>
      <c r="U18" s="13">
        <f t="shared" si="18"/>
        <v>3343</v>
      </c>
      <c r="V18" s="13">
        <f t="shared" si="19"/>
        <v>3175</v>
      </c>
    </row>
    <row r="19" spans="1:22" s="6" customFormat="1" ht="12.75" x14ac:dyDescent="0.2">
      <c r="A19" s="6" t="s">
        <v>47</v>
      </c>
      <c r="B19" s="6" t="s">
        <v>17</v>
      </c>
      <c r="C19" s="13">
        <f t="shared" si="0"/>
        <v>178</v>
      </c>
      <c r="D19" s="13">
        <f t="shared" si="1"/>
        <v>178</v>
      </c>
      <c r="E19" s="13">
        <f t="shared" si="2"/>
        <v>240</v>
      </c>
      <c r="F19" s="13">
        <f t="shared" si="3"/>
        <v>217</v>
      </c>
      <c r="G19" s="13">
        <f t="shared" si="4"/>
        <v>204</v>
      </c>
      <c r="H19" s="13">
        <f t="shared" si="5"/>
        <v>182</v>
      </c>
      <c r="I19" s="13">
        <f t="shared" si="6"/>
        <v>181</v>
      </c>
      <c r="J19" s="13">
        <f t="shared" si="7"/>
        <v>206</v>
      </c>
      <c r="K19" s="13">
        <f t="shared" si="8"/>
        <v>198</v>
      </c>
      <c r="L19" s="13">
        <f t="shared" si="9"/>
        <v>195</v>
      </c>
      <c r="M19" s="13">
        <f t="shared" si="10"/>
        <v>172</v>
      </c>
      <c r="N19" s="13">
        <f t="shared" si="11"/>
        <v>183</v>
      </c>
      <c r="O19" s="13">
        <f t="shared" si="12"/>
        <v>184</v>
      </c>
      <c r="P19" s="13">
        <f t="shared" si="13"/>
        <v>151</v>
      </c>
      <c r="Q19" s="13">
        <f t="shared" si="14"/>
        <v>161</v>
      </c>
      <c r="R19" s="13">
        <f t="shared" si="15"/>
        <v>158</v>
      </c>
      <c r="S19" s="13">
        <f t="shared" si="16"/>
        <v>124</v>
      </c>
      <c r="T19" s="13">
        <f t="shared" si="17"/>
        <v>157</v>
      </c>
      <c r="U19" s="13">
        <f t="shared" si="18"/>
        <v>120</v>
      </c>
      <c r="V19" s="13">
        <f t="shared" si="19"/>
        <v>136</v>
      </c>
    </row>
    <row r="20" spans="1:22" s="6" customFormat="1" ht="12.75" x14ac:dyDescent="0.2">
      <c r="A20" s="6" t="s">
        <v>3</v>
      </c>
      <c r="B20" s="11" t="s">
        <v>3</v>
      </c>
      <c r="C20" s="14">
        <f t="shared" si="0"/>
        <v>52878</v>
      </c>
      <c r="D20" s="14">
        <f t="shared" si="1"/>
        <v>52447</v>
      </c>
      <c r="E20" s="14">
        <f t="shared" si="2"/>
        <v>54467</v>
      </c>
      <c r="F20" s="14">
        <f t="shared" si="3"/>
        <v>57358</v>
      </c>
      <c r="G20" s="14">
        <f t="shared" si="4"/>
        <v>57917</v>
      </c>
      <c r="H20" s="14">
        <f t="shared" si="5"/>
        <v>57418</v>
      </c>
      <c r="I20" s="14">
        <f t="shared" si="6"/>
        <v>57041</v>
      </c>
      <c r="J20" s="14">
        <f t="shared" si="7"/>
        <v>57371</v>
      </c>
      <c r="K20" s="14">
        <f t="shared" si="8"/>
        <v>55820</v>
      </c>
      <c r="L20" s="14">
        <f t="shared" si="9"/>
        <v>54709</v>
      </c>
      <c r="M20" s="14">
        <f t="shared" si="10"/>
        <v>54725</v>
      </c>
      <c r="N20" s="14">
        <f t="shared" si="11"/>
        <v>53981</v>
      </c>
      <c r="O20" s="14">
        <f t="shared" si="12"/>
        <v>53045</v>
      </c>
      <c r="P20" s="14">
        <f t="shared" si="13"/>
        <v>51415</v>
      </c>
      <c r="Q20" s="14">
        <f t="shared" si="14"/>
        <v>49977</v>
      </c>
      <c r="R20" s="14">
        <f t="shared" si="15"/>
        <v>48088</v>
      </c>
      <c r="S20" s="14">
        <f t="shared" si="16"/>
        <v>45715</v>
      </c>
      <c r="T20" s="14">
        <f t="shared" si="17"/>
        <v>47113</v>
      </c>
      <c r="U20" s="14">
        <f t="shared" si="18"/>
        <v>44714</v>
      </c>
      <c r="V20" s="14">
        <f t="shared" si="19"/>
        <v>44383</v>
      </c>
    </row>
    <row r="21" spans="1:22" s="6" customFormat="1" ht="12.75" x14ac:dyDescent="0.2"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</row>
    <row r="22" spans="1:22" s="6" customFormat="1" ht="12.75" x14ac:dyDescent="0.2">
      <c r="B22" s="11" t="s">
        <v>32</v>
      </c>
      <c r="C22" s="11" t="s">
        <v>91</v>
      </c>
    </row>
    <row r="23" spans="1:22" s="6" customFormat="1" ht="12.75" x14ac:dyDescent="0.2">
      <c r="B23" s="11" t="s">
        <v>32</v>
      </c>
      <c r="C23" s="12" t="s">
        <v>119</v>
      </c>
      <c r="D23" s="12" t="s">
        <v>120</v>
      </c>
      <c r="E23" s="12" t="s">
        <v>121</v>
      </c>
      <c r="F23" s="12" t="s">
        <v>122</v>
      </c>
      <c r="G23" s="12" t="s">
        <v>123</v>
      </c>
      <c r="H23" s="12" t="s">
        <v>124</v>
      </c>
      <c r="I23" s="12" t="s">
        <v>125</v>
      </c>
      <c r="J23" s="12" t="s">
        <v>126</v>
      </c>
      <c r="K23" s="12" t="s">
        <v>127</v>
      </c>
      <c r="L23" s="12" t="s">
        <v>128</v>
      </c>
      <c r="M23" s="12" t="s">
        <v>129</v>
      </c>
      <c r="N23" s="12" t="s">
        <v>130</v>
      </c>
      <c r="O23" s="12" t="s">
        <v>131</v>
      </c>
      <c r="P23" s="12" t="s">
        <v>132</v>
      </c>
      <c r="Q23" s="12" t="s">
        <v>133</v>
      </c>
      <c r="R23" s="12" t="s">
        <v>134</v>
      </c>
      <c r="S23" s="12" t="s">
        <v>135</v>
      </c>
      <c r="T23" s="12" t="s">
        <v>136</v>
      </c>
      <c r="U23" s="12" t="s">
        <v>137</v>
      </c>
      <c r="V23" s="12" t="s">
        <v>488</v>
      </c>
    </row>
    <row r="24" spans="1:22" s="6" customFormat="1" ht="12.75" x14ac:dyDescent="0.2">
      <c r="A24" s="6" t="s">
        <v>34</v>
      </c>
      <c r="B24" s="6" t="s">
        <v>4</v>
      </c>
      <c r="C24" s="15">
        <f t="shared" ref="C24:C38" si="20">VLOOKUP(A24, t1.1, 22,0)</f>
        <v>48.837337599646901</v>
      </c>
      <c r="D24" s="15">
        <f t="shared" ref="D24:D38" si="21">VLOOKUP(A24, t1.1, 23,0)</f>
        <v>48.8711377378376</v>
      </c>
      <c r="E24" s="15">
        <f t="shared" ref="E24:E38" si="22">VLOOKUP(A24, t1.1, 24,0)</f>
        <v>51.536755165534203</v>
      </c>
      <c r="F24" s="15">
        <f t="shared" ref="F24:F38" si="23">VLOOKUP(A24, t1.1, 25,0)</f>
        <v>52.6654810748743</v>
      </c>
      <c r="G24" s="15">
        <f t="shared" ref="G24:G38" si="24">VLOOKUP(A24, t1.1, 26,0)</f>
        <v>53.3209134276117</v>
      </c>
      <c r="H24" s="15">
        <f t="shared" ref="H24:H38" si="25">VLOOKUP(A24, t1.1, 27,0)</f>
        <v>52.593341785495497</v>
      </c>
      <c r="I24" s="15">
        <f t="shared" ref="I24:I38" si="26">VLOOKUP(A24, t1.1, 28,0)</f>
        <v>54.736052832691598</v>
      </c>
      <c r="J24" s="15">
        <f t="shared" ref="J24:J38" si="27">VLOOKUP(A24, t1.1, 29,0)</f>
        <v>54.456743373142999</v>
      </c>
      <c r="K24" s="15">
        <f t="shared" ref="K24:K38" si="28">VLOOKUP(A24, t1.1, 30,0)</f>
        <v>52.686992111038599</v>
      </c>
      <c r="L24" s="15">
        <f t="shared" ref="L24:L38" si="29">VLOOKUP(A24, t1.1, 31,0)</f>
        <v>51.813471502590602</v>
      </c>
      <c r="M24" s="15">
        <f t="shared" ref="M24:M38" si="30">VLOOKUP(A24, t1.1, 32,0)</f>
        <v>53.872416338582603</v>
      </c>
      <c r="N24" s="15">
        <f t="shared" ref="N24:N38" si="31">VLOOKUP(A24, t1.1, 33,0)</f>
        <v>53.547376664056301</v>
      </c>
      <c r="O24" s="15">
        <f t="shared" ref="O24:O38" si="32">VLOOKUP(A24, t1.1, 34,0)</f>
        <v>52.560238562247797</v>
      </c>
      <c r="P24" s="15">
        <f t="shared" ref="P24:P38" si="33">VLOOKUP(A24, t1.1, 35,0)</f>
        <v>51.8608611043541</v>
      </c>
      <c r="Q24" s="15">
        <f t="shared" ref="Q24:Q38" si="34">VLOOKUP(A24, t1.1, 36,0)</f>
        <v>49.265384108578203</v>
      </c>
      <c r="R24" s="15">
        <f t="shared" ref="R24:R38" si="35">VLOOKUP(A24, t1.1, 37,0)</f>
        <v>50.973215771086302</v>
      </c>
      <c r="S24" s="15">
        <f t="shared" ref="S24:S38" si="36">VLOOKUP(A24, t1.1, 38,0)</f>
        <v>46.361630824674499</v>
      </c>
      <c r="T24" s="15">
        <f t="shared" ref="T24:T38" si="37">VLOOKUP(A24, t1.1, 39,0)</f>
        <v>47.895037462621303</v>
      </c>
      <c r="U24" s="15">
        <f t="shared" ref="U24:U38" si="38">VLOOKUP(A24, t1.1, 40,0)</f>
        <v>44.428761069382098</v>
      </c>
      <c r="V24" s="15">
        <f t="shared" ref="V24:V38" si="39">VLOOKUP(A24, t1.1, 41,0)</f>
        <v>44.563189998487601</v>
      </c>
    </row>
    <row r="25" spans="1:22" s="6" customFormat="1" ht="12.75" x14ac:dyDescent="0.2">
      <c r="A25" s="6" t="s">
        <v>35</v>
      </c>
      <c r="B25" s="6" t="s">
        <v>5</v>
      </c>
      <c r="C25" s="15">
        <f t="shared" si="20"/>
        <v>51.778455284552798</v>
      </c>
      <c r="D25" s="15">
        <f t="shared" si="21"/>
        <v>49.670218163368801</v>
      </c>
      <c r="E25" s="15">
        <f t="shared" si="22"/>
        <v>55.8873066911652</v>
      </c>
      <c r="F25" s="15">
        <f t="shared" si="23"/>
        <v>57.3193579421742</v>
      </c>
      <c r="G25" s="15">
        <f t="shared" si="24"/>
        <v>59.979838709677402</v>
      </c>
      <c r="H25" s="15">
        <f t="shared" si="25"/>
        <v>61.488177314743801</v>
      </c>
      <c r="I25" s="15">
        <f t="shared" si="26"/>
        <v>61.136505298150801</v>
      </c>
      <c r="J25" s="15">
        <f t="shared" si="27"/>
        <v>59.599852188143302</v>
      </c>
      <c r="K25" s="15">
        <f t="shared" si="28"/>
        <v>62.489907960600597</v>
      </c>
      <c r="L25" s="15">
        <f t="shared" si="29"/>
        <v>61.114439784301901</v>
      </c>
      <c r="M25" s="15">
        <f t="shared" si="30"/>
        <v>57.163371258146398</v>
      </c>
      <c r="N25" s="15">
        <f t="shared" si="31"/>
        <v>58.354698472856903</v>
      </c>
      <c r="O25" s="15">
        <f t="shared" si="32"/>
        <v>55.072790881390297</v>
      </c>
      <c r="P25" s="15">
        <f t="shared" si="33"/>
        <v>56.025910563100098</v>
      </c>
      <c r="Q25" s="15">
        <f t="shared" si="34"/>
        <v>55.6066705002875</v>
      </c>
      <c r="R25" s="15">
        <f t="shared" si="35"/>
        <v>51.216685979142497</v>
      </c>
      <c r="S25" s="15">
        <f t="shared" si="36"/>
        <v>47.613497290051797</v>
      </c>
      <c r="T25" s="15">
        <f t="shared" si="37"/>
        <v>48.902311534440699</v>
      </c>
      <c r="U25" s="15">
        <f t="shared" si="38"/>
        <v>38.763750654793</v>
      </c>
      <c r="V25" s="15">
        <f t="shared" si="39"/>
        <v>35.795355334381</v>
      </c>
    </row>
    <row r="26" spans="1:22" s="6" customFormat="1" ht="12.75" x14ac:dyDescent="0.2">
      <c r="A26" s="6" t="s">
        <v>36</v>
      </c>
      <c r="B26" s="6" t="s">
        <v>6</v>
      </c>
      <c r="C26" s="15">
        <f t="shared" si="20"/>
        <v>51.525346841568002</v>
      </c>
      <c r="D26" s="15">
        <f t="shared" si="21"/>
        <v>52.264014878354203</v>
      </c>
      <c r="E26" s="15">
        <f t="shared" si="22"/>
        <v>54.330408241129298</v>
      </c>
      <c r="F26" s="15">
        <f t="shared" si="23"/>
        <v>55.271356590638099</v>
      </c>
      <c r="G26" s="15">
        <f t="shared" si="24"/>
        <v>53.781317661614601</v>
      </c>
      <c r="H26" s="15">
        <f t="shared" si="25"/>
        <v>56.114883321626401</v>
      </c>
      <c r="I26" s="15">
        <f t="shared" si="26"/>
        <v>54.631641319375802</v>
      </c>
      <c r="J26" s="15">
        <f t="shared" si="27"/>
        <v>54.246597150362099</v>
      </c>
      <c r="K26" s="15">
        <f t="shared" si="28"/>
        <v>53.956542889573498</v>
      </c>
      <c r="L26" s="15">
        <f t="shared" si="29"/>
        <v>51.523887973640797</v>
      </c>
      <c r="M26" s="15">
        <f t="shared" si="30"/>
        <v>50.273684210526298</v>
      </c>
      <c r="N26" s="15">
        <f t="shared" si="31"/>
        <v>53.709974709588899</v>
      </c>
      <c r="O26" s="15">
        <f t="shared" si="32"/>
        <v>53.479917655818802</v>
      </c>
      <c r="P26" s="15">
        <f t="shared" si="33"/>
        <v>55.664672797071603</v>
      </c>
      <c r="Q26" s="15">
        <f t="shared" si="34"/>
        <v>51.4913800966888</v>
      </c>
      <c r="R26" s="15">
        <f t="shared" si="35"/>
        <v>51.322287349425302</v>
      </c>
      <c r="S26" s="15">
        <f t="shared" si="36"/>
        <v>50.343994049832602</v>
      </c>
      <c r="T26" s="15">
        <f t="shared" si="37"/>
        <v>49.821734500162002</v>
      </c>
      <c r="U26" s="15">
        <f t="shared" si="38"/>
        <v>49.2524186455584</v>
      </c>
      <c r="V26" s="15">
        <f t="shared" si="39"/>
        <v>49.946766652779701</v>
      </c>
    </row>
    <row r="27" spans="1:22" s="6" customFormat="1" ht="12.75" x14ac:dyDescent="0.2">
      <c r="A27" s="6" t="s">
        <v>37</v>
      </c>
      <c r="B27" s="6" t="s">
        <v>7</v>
      </c>
      <c r="C27" s="15">
        <f t="shared" si="20"/>
        <v>45.529400368109997</v>
      </c>
      <c r="D27" s="15">
        <f t="shared" si="21"/>
        <v>45.738017053450697</v>
      </c>
      <c r="E27" s="15">
        <f t="shared" si="22"/>
        <v>48.199599142995297</v>
      </c>
      <c r="F27" s="15">
        <f t="shared" si="23"/>
        <v>51.026221808429298</v>
      </c>
      <c r="G27" s="15">
        <f t="shared" si="24"/>
        <v>53.182104599873902</v>
      </c>
      <c r="H27" s="15">
        <f t="shared" si="25"/>
        <v>52.776683733753401</v>
      </c>
      <c r="I27" s="15">
        <f t="shared" si="26"/>
        <v>52.583977502366999</v>
      </c>
      <c r="J27" s="15">
        <f t="shared" si="27"/>
        <v>52.896332823215999</v>
      </c>
      <c r="K27" s="15">
        <f t="shared" si="28"/>
        <v>49.844147673653801</v>
      </c>
      <c r="L27" s="15">
        <f t="shared" si="29"/>
        <v>49.808651281456498</v>
      </c>
      <c r="M27" s="15">
        <f t="shared" si="30"/>
        <v>50.589846684045398</v>
      </c>
      <c r="N27" s="15">
        <f t="shared" si="31"/>
        <v>49.2416372324953</v>
      </c>
      <c r="O27" s="15">
        <f t="shared" si="32"/>
        <v>49.570093457943898</v>
      </c>
      <c r="P27" s="15">
        <f t="shared" si="33"/>
        <v>47.156330380108599</v>
      </c>
      <c r="Q27" s="15">
        <f t="shared" si="34"/>
        <v>46.978643311425103</v>
      </c>
      <c r="R27" s="15">
        <f t="shared" si="35"/>
        <v>43.839689329814</v>
      </c>
      <c r="S27" s="15">
        <f t="shared" si="36"/>
        <v>41.464342796255401</v>
      </c>
      <c r="T27" s="15">
        <f t="shared" si="37"/>
        <v>40.692100497618398</v>
      </c>
      <c r="U27" s="15">
        <f t="shared" si="38"/>
        <v>38.184362164683201</v>
      </c>
      <c r="V27" s="15">
        <f t="shared" si="39"/>
        <v>39.929589119412597</v>
      </c>
    </row>
    <row r="28" spans="1:22" s="6" customFormat="1" ht="12.75" x14ac:dyDescent="0.2">
      <c r="A28" s="6" t="s">
        <v>38</v>
      </c>
      <c r="B28" s="6" t="s">
        <v>8</v>
      </c>
      <c r="C28" s="15">
        <f t="shared" si="20"/>
        <v>52.286919831223599</v>
      </c>
      <c r="D28" s="15">
        <f t="shared" si="21"/>
        <v>52.264692148622501</v>
      </c>
      <c r="E28" s="15">
        <f t="shared" si="22"/>
        <v>52.933355492770403</v>
      </c>
      <c r="F28" s="15">
        <f t="shared" si="23"/>
        <v>54.475224217105101</v>
      </c>
      <c r="G28" s="15">
        <f t="shared" si="24"/>
        <v>53.910516558945801</v>
      </c>
      <c r="H28" s="15">
        <f t="shared" si="25"/>
        <v>55.465587044534402</v>
      </c>
      <c r="I28" s="15">
        <f t="shared" si="26"/>
        <v>53.913014011961799</v>
      </c>
      <c r="J28" s="15">
        <f t="shared" si="27"/>
        <v>53.901864007191399</v>
      </c>
      <c r="K28" s="15">
        <f t="shared" si="28"/>
        <v>54.1799672159434</v>
      </c>
      <c r="L28" s="15">
        <f t="shared" si="29"/>
        <v>54.731960935853301</v>
      </c>
      <c r="M28" s="15">
        <f t="shared" si="30"/>
        <v>55.207182812555601</v>
      </c>
      <c r="N28" s="15">
        <f t="shared" si="31"/>
        <v>55.318767908309397</v>
      </c>
      <c r="O28" s="15">
        <f t="shared" si="32"/>
        <v>55.151743570415803</v>
      </c>
      <c r="P28" s="15">
        <f t="shared" si="33"/>
        <v>53.939809964232801</v>
      </c>
      <c r="Q28" s="15">
        <f t="shared" si="34"/>
        <v>52.857662904987201</v>
      </c>
      <c r="R28" s="15">
        <f t="shared" si="35"/>
        <v>50.840635919576997</v>
      </c>
      <c r="S28" s="15">
        <f t="shared" si="36"/>
        <v>51.646981145917302</v>
      </c>
      <c r="T28" s="15">
        <f t="shared" si="37"/>
        <v>52.681974699394097</v>
      </c>
      <c r="U28" s="15">
        <f t="shared" si="38"/>
        <v>50.1267300012764</v>
      </c>
      <c r="V28" s="15">
        <f t="shared" si="39"/>
        <v>48.722670994329</v>
      </c>
    </row>
    <row r="29" spans="1:22" s="6" customFormat="1" ht="12.75" x14ac:dyDescent="0.2">
      <c r="A29" s="6" t="s">
        <v>39</v>
      </c>
      <c r="B29" s="6" t="s">
        <v>9</v>
      </c>
      <c r="C29" s="15">
        <f t="shared" si="20"/>
        <v>48.8805970149253</v>
      </c>
      <c r="D29" s="15">
        <f t="shared" si="21"/>
        <v>48.716766559090203</v>
      </c>
      <c r="E29" s="15">
        <f t="shared" si="22"/>
        <v>52.915426999721298</v>
      </c>
      <c r="F29" s="15">
        <f t="shared" si="23"/>
        <v>53.962421563667597</v>
      </c>
      <c r="G29" s="15">
        <f t="shared" si="24"/>
        <v>54.998983137771503</v>
      </c>
      <c r="H29" s="15">
        <f t="shared" si="25"/>
        <v>56.081656295802198</v>
      </c>
      <c r="I29" s="15">
        <f t="shared" si="26"/>
        <v>53.703267871307403</v>
      </c>
      <c r="J29" s="15">
        <f t="shared" si="27"/>
        <v>54.110563575791197</v>
      </c>
      <c r="K29" s="15">
        <f t="shared" si="28"/>
        <v>54.873602333495299</v>
      </c>
      <c r="L29" s="15">
        <f t="shared" si="29"/>
        <v>54.474270023993199</v>
      </c>
      <c r="M29" s="15">
        <f t="shared" si="30"/>
        <v>53.872024761591803</v>
      </c>
      <c r="N29" s="15">
        <f t="shared" si="31"/>
        <v>55.453280438371301</v>
      </c>
      <c r="O29" s="15">
        <f t="shared" si="32"/>
        <v>54.653399260514803</v>
      </c>
      <c r="P29" s="15">
        <f t="shared" si="33"/>
        <v>52.802264745932703</v>
      </c>
      <c r="Q29" s="15">
        <f t="shared" si="34"/>
        <v>52.6526090194155</v>
      </c>
      <c r="R29" s="15">
        <f t="shared" si="35"/>
        <v>49.115481815185099</v>
      </c>
      <c r="S29" s="15">
        <f t="shared" si="36"/>
        <v>45.493150179092297</v>
      </c>
      <c r="T29" s="15">
        <f t="shared" si="37"/>
        <v>47.742643707032002</v>
      </c>
      <c r="U29" s="15">
        <f t="shared" si="38"/>
        <v>43.480270272768401</v>
      </c>
      <c r="V29" s="15">
        <f t="shared" si="39"/>
        <v>42.639134091896402</v>
      </c>
    </row>
    <row r="30" spans="1:22" s="6" customFormat="1" ht="12.75" x14ac:dyDescent="0.2">
      <c r="A30" s="6" t="s">
        <v>40</v>
      </c>
      <c r="B30" s="6" t="s">
        <v>10</v>
      </c>
      <c r="C30" s="15">
        <f t="shared" si="20"/>
        <v>60.942063575537397</v>
      </c>
      <c r="D30" s="15">
        <f t="shared" si="21"/>
        <v>60.039386097684002</v>
      </c>
      <c r="E30" s="15">
        <f t="shared" si="22"/>
        <v>62.139593637981797</v>
      </c>
      <c r="F30" s="15">
        <f t="shared" si="23"/>
        <v>65.547260108109796</v>
      </c>
      <c r="G30" s="15">
        <f t="shared" si="24"/>
        <v>65.704647522156904</v>
      </c>
      <c r="H30" s="15">
        <f t="shared" si="25"/>
        <v>65.962451000618898</v>
      </c>
      <c r="I30" s="15">
        <f t="shared" si="26"/>
        <v>64.646297597883105</v>
      </c>
      <c r="J30" s="15">
        <f t="shared" si="27"/>
        <v>65.327213894208498</v>
      </c>
      <c r="K30" s="15">
        <f t="shared" si="28"/>
        <v>64.359740324760907</v>
      </c>
      <c r="L30" s="15">
        <f t="shared" si="29"/>
        <v>62.759999661100203</v>
      </c>
      <c r="M30" s="15">
        <f t="shared" si="30"/>
        <v>64.420218037661002</v>
      </c>
      <c r="N30" s="15">
        <f t="shared" si="31"/>
        <v>63.677952162291803</v>
      </c>
      <c r="O30" s="15">
        <f t="shared" si="32"/>
        <v>62.5945996648773</v>
      </c>
      <c r="P30" s="15">
        <f t="shared" si="33"/>
        <v>61.552917566625197</v>
      </c>
      <c r="Q30" s="15">
        <f t="shared" si="34"/>
        <v>59.691915418160001</v>
      </c>
      <c r="R30" s="15">
        <f t="shared" si="35"/>
        <v>56.878572985297303</v>
      </c>
      <c r="S30" s="15">
        <f t="shared" si="36"/>
        <v>53.339349049391501</v>
      </c>
      <c r="T30" s="15">
        <f t="shared" si="37"/>
        <v>54.441117556666903</v>
      </c>
      <c r="U30" s="15">
        <f t="shared" si="38"/>
        <v>52.303682460311599</v>
      </c>
      <c r="V30" s="15">
        <f t="shared" si="39"/>
        <v>54.203331944342303</v>
      </c>
    </row>
    <row r="31" spans="1:22" s="6" customFormat="1" ht="12.75" x14ac:dyDescent="0.2">
      <c r="A31" s="6" t="s">
        <v>41</v>
      </c>
      <c r="B31" s="6" t="s">
        <v>11</v>
      </c>
      <c r="C31" s="15">
        <f t="shared" si="20"/>
        <v>40.446153013157101</v>
      </c>
      <c r="D31" s="15">
        <f t="shared" si="21"/>
        <v>40.612230267402602</v>
      </c>
      <c r="E31" s="15">
        <f t="shared" si="22"/>
        <v>40.160498692365501</v>
      </c>
      <c r="F31" s="15">
        <f t="shared" si="23"/>
        <v>42.827583746566297</v>
      </c>
      <c r="G31" s="15">
        <f t="shared" si="24"/>
        <v>45.810933900091001</v>
      </c>
      <c r="H31" s="15">
        <f t="shared" si="25"/>
        <v>43.460302067058102</v>
      </c>
      <c r="I31" s="15">
        <f t="shared" si="26"/>
        <v>45.111284159437801</v>
      </c>
      <c r="J31" s="15">
        <f t="shared" si="27"/>
        <v>45.018181818181802</v>
      </c>
      <c r="K31" s="15">
        <f t="shared" si="28"/>
        <v>43.967412388465</v>
      </c>
      <c r="L31" s="15">
        <f t="shared" si="29"/>
        <v>43.000093519124597</v>
      </c>
      <c r="M31" s="15">
        <f t="shared" si="30"/>
        <v>43.625116226114301</v>
      </c>
      <c r="N31" s="15">
        <f t="shared" si="31"/>
        <v>42.444038812565999</v>
      </c>
      <c r="O31" s="15">
        <f t="shared" si="32"/>
        <v>41.6367691263453</v>
      </c>
      <c r="P31" s="15">
        <f t="shared" si="33"/>
        <v>40.5108055009823</v>
      </c>
      <c r="Q31" s="15">
        <f t="shared" si="34"/>
        <v>39.646348991417497</v>
      </c>
      <c r="R31" s="15">
        <f t="shared" si="35"/>
        <v>39.5133722099336</v>
      </c>
      <c r="S31" s="15">
        <f t="shared" si="36"/>
        <v>37.516012932349099</v>
      </c>
      <c r="T31" s="15">
        <f t="shared" si="37"/>
        <v>37.787315977375698</v>
      </c>
      <c r="U31" s="15">
        <f t="shared" si="38"/>
        <v>37.633757318796597</v>
      </c>
      <c r="V31" s="15">
        <f t="shared" si="39"/>
        <v>36.038764385221</v>
      </c>
    </row>
    <row r="32" spans="1:22" s="6" customFormat="1" ht="12.75" x14ac:dyDescent="0.2">
      <c r="A32" s="6" t="s">
        <v>42</v>
      </c>
      <c r="B32" s="6" t="s">
        <v>12</v>
      </c>
      <c r="C32" s="15">
        <f t="shared" si="20"/>
        <v>35.1774149071748</v>
      </c>
      <c r="D32" s="15">
        <f t="shared" si="21"/>
        <v>33.6507176675617</v>
      </c>
      <c r="E32" s="15">
        <f t="shared" si="22"/>
        <v>36.328742887557802</v>
      </c>
      <c r="F32" s="15">
        <f t="shared" si="23"/>
        <v>35.856513945866404</v>
      </c>
      <c r="G32" s="15">
        <f t="shared" si="24"/>
        <v>36.7988540410132</v>
      </c>
      <c r="H32" s="15">
        <f t="shared" si="25"/>
        <v>36.084905660377302</v>
      </c>
      <c r="I32" s="15">
        <f t="shared" si="26"/>
        <v>37.577725789570799</v>
      </c>
      <c r="J32" s="15">
        <f t="shared" si="27"/>
        <v>38.471697820040703</v>
      </c>
      <c r="K32" s="15">
        <f t="shared" si="28"/>
        <v>37.391242948934199</v>
      </c>
      <c r="L32" s="15">
        <f t="shared" si="29"/>
        <v>37.346343634037602</v>
      </c>
      <c r="M32" s="15">
        <f t="shared" si="30"/>
        <v>37.925994924999202</v>
      </c>
      <c r="N32" s="15">
        <f t="shared" si="31"/>
        <v>35.987823242709297</v>
      </c>
      <c r="O32" s="15">
        <f t="shared" si="32"/>
        <v>36.209697830683901</v>
      </c>
      <c r="P32" s="15">
        <f t="shared" si="33"/>
        <v>35.743044485711003</v>
      </c>
      <c r="Q32" s="15">
        <f t="shared" si="34"/>
        <v>34.835727257718297</v>
      </c>
      <c r="R32" s="15">
        <f t="shared" si="35"/>
        <v>34.318532007283899</v>
      </c>
      <c r="S32" s="15">
        <f t="shared" si="36"/>
        <v>33.721698892745003</v>
      </c>
      <c r="T32" s="15">
        <f t="shared" si="37"/>
        <v>34.270577976670303</v>
      </c>
      <c r="U32" s="15">
        <f t="shared" si="38"/>
        <v>32.736635605689003</v>
      </c>
      <c r="V32" s="15">
        <f t="shared" si="39"/>
        <v>32.344286414909199</v>
      </c>
    </row>
    <row r="33" spans="1:22" s="6" customFormat="1" ht="12.75" x14ac:dyDescent="0.2">
      <c r="A33" s="6" t="s">
        <v>43</v>
      </c>
      <c r="B33" s="6" t="s">
        <v>13</v>
      </c>
      <c r="C33" s="15">
        <f t="shared" si="20"/>
        <v>47.597596752124197</v>
      </c>
      <c r="D33" s="15">
        <f t="shared" si="21"/>
        <v>47.998659255328</v>
      </c>
      <c r="E33" s="15">
        <f t="shared" si="22"/>
        <v>49.156334171805</v>
      </c>
      <c r="F33" s="15">
        <f t="shared" si="23"/>
        <v>52.869130946396098</v>
      </c>
      <c r="G33" s="15">
        <f t="shared" si="24"/>
        <v>53.134101138469603</v>
      </c>
      <c r="H33" s="15">
        <f t="shared" si="25"/>
        <v>51.651913176722097</v>
      </c>
      <c r="I33" s="15">
        <f t="shared" si="26"/>
        <v>52.5323290629916</v>
      </c>
      <c r="J33" s="15">
        <f t="shared" si="27"/>
        <v>52.049454039995403</v>
      </c>
      <c r="K33" s="15">
        <f t="shared" si="28"/>
        <v>50.9904202129689</v>
      </c>
      <c r="L33" s="15">
        <f t="shared" si="29"/>
        <v>52.285858652430797</v>
      </c>
      <c r="M33" s="15">
        <f t="shared" si="30"/>
        <v>50.776803145709003</v>
      </c>
      <c r="N33" s="15">
        <f t="shared" si="31"/>
        <v>50.5732138005976</v>
      </c>
      <c r="O33" s="15">
        <f t="shared" si="32"/>
        <v>49.214654049456797</v>
      </c>
      <c r="P33" s="15">
        <f t="shared" si="33"/>
        <v>47.260028940159998</v>
      </c>
      <c r="Q33" s="15">
        <f t="shared" si="34"/>
        <v>45.733401792283502</v>
      </c>
      <c r="R33" s="15">
        <f t="shared" si="35"/>
        <v>42.848372590894002</v>
      </c>
      <c r="S33" s="15">
        <f t="shared" si="36"/>
        <v>42.1223866388396</v>
      </c>
      <c r="T33" s="15">
        <f t="shared" si="37"/>
        <v>44.1173385912656</v>
      </c>
      <c r="U33" s="15">
        <f t="shared" si="38"/>
        <v>39.689748430882197</v>
      </c>
      <c r="V33" s="15">
        <f t="shared" si="39"/>
        <v>37.740470480175503</v>
      </c>
    </row>
    <row r="34" spans="1:22" s="6" customFormat="1" ht="12.75" x14ac:dyDescent="0.2">
      <c r="A34" s="6" t="s">
        <v>44</v>
      </c>
      <c r="B34" s="6" t="s">
        <v>14</v>
      </c>
      <c r="C34" s="15">
        <f t="shared" si="20"/>
        <v>35.484772282760503</v>
      </c>
      <c r="D34" s="15">
        <f t="shared" si="21"/>
        <v>37.840845854201397</v>
      </c>
      <c r="E34" s="15">
        <f t="shared" si="22"/>
        <v>38.440417353102603</v>
      </c>
      <c r="F34" s="15">
        <f t="shared" si="23"/>
        <v>36.289222373806197</v>
      </c>
      <c r="G34" s="15">
        <f t="shared" si="24"/>
        <v>39.141070943191004</v>
      </c>
      <c r="H34" s="15">
        <f t="shared" si="25"/>
        <v>34.380875637926401</v>
      </c>
      <c r="I34" s="15">
        <f t="shared" si="26"/>
        <v>33.466135458167301</v>
      </c>
      <c r="J34" s="15">
        <f t="shared" si="27"/>
        <v>37.425955842757098</v>
      </c>
      <c r="K34" s="15">
        <f t="shared" si="28"/>
        <v>38.911564625850303</v>
      </c>
      <c r="L34" s="15">
        <f t="shared" si="29"/>
        <v>34.368070953436799</v>
      </c>
      <c r="M34" s="15">
        <f t="shared" si="30"/>
        <v>39.281705948372597</v>
      </c>
      <c r="N34" s="15">
        <f t="shared" si="31"/>
        <v>35.277382645803698</v>
      </c>
      <c r="O34" s="15">
        <f t="shared" si="32"/>
        <v>31.988472622478302</v>
      </c>
      <c r="P34" s="15">
        <f t="shared" si="33"/>
        <v>33.294730746959999</v>
      </c>
      <c r="Q34" s="15">
        <f t="shared" si="34"/>
        <v>38.562664329535401</v>
      </c>
      <c r="R34" s="15">
        <f t="shared" si="35"/>
        <v>40.9131337088645</v>
      </c>
      <c r="S34" s="15">
        <f t="shared" si="36"/>
        <v>42.489527229204</v>
      </c>
      <c r="T34" s="15">
        <f t="shared" si="37"/>
        <v>42.071197411003197</v>
      </c>
      <c r="U34" s="15">
        <f t="shared" si="38"/>
        <v>36.806173938854201</v>
      </c>
      <c r="V34" s="15">
        <f t="shared" si="39"/>
        <v>31.760166221430602</v>
      </c>
    </row>
    <row r="35" spans="1:22" s="6" customFormat="1" ht="12.75" x14ac:dyDescent="0.2">
      <c r="A35" s="6" t="s">
        <v>45</v>
      </c>
      <c r="B35" s="6" t="s">
        <v>15</v>
      </c>
      <c r="C35" s="15">
        <f t="shared" si="20"/>
        <v>36.719122556032403</v>
      </c>
      <c r="D35" s="15">
        <f t="shared" si="21"/>
        <v>30.181560952605501</v>
      </c>
      <c r="E35" s="15">
        <f t="shared" si="22"/>
        <v>38.717339667458397</v>
      </c>
      <c r="F35" s="15">
        <f t="shared" si="23"/>
        <v>31.3022700119474</v>
      </c>
      <c r="G35" s="15">
        <f t="shared" si="24"/>
        <v>34.549408069582</v>
      </c>
      <c r="H35" s="15">
        <f t="shared" si="25"/>
        <v>37.876960193003598</v>
      </c>
      <c r="I35" s="15">
        <f t="shared" si="26"/>
        <v>35.108669691903501</v>
      </c>
      <c r="J35" s="15">
        <f t="shared" si="27"/>
        <v>33.691756272401399</v>
      </c>
      <c r="K35" s="15">
        <f t="shared" si="28"/>
        <v>43.080625752105803</v>
      </c>
      <c r="L35" s="15">
        <f t="shared" si="29"/>
        <v>34.7171643602816</v>
      </c>
      <c r="M35" s="15">
        <f t="shared" si="30"/>
        <v>37.335285505124403</v>
      </c>
      <c r="N35" s="15">
        <f t="shared" si="31"/>
        <v>30.554876558298702</v>
      </c>
      <c r="O35" s="15">
        <f t="shared" si="32"/>
        <v>34.534534534534501</v>
      </c>
      <c r="P35" s="15">
        <f t="shared" si="33"/>
        <v>29.063786008230402</v>
      </c>
      <c r="Q35" s="15">
        <f t="shared" si="34"/>
        <v>24.312896405919599</v>
      </c>
      <c r="R35" s="15">
        <f t="shared" si="35"/>
        <v>30.9278350515463</v>
      </c>
      <c r="S35" s="15">
        <f t="shared" si="36"/>
        <v>28.563656147986901</v>
      </c>
      <c r="T35" s="15">
        <f t="shared" si="37"/>
        <v>22.459893048128301</v>
      </c>
      <c r="U35" s="15">
        <f t="shared" si="38"/>
        <v>27.216383724063501</v>
      </c>
      <c r="V35" s="15">
        <f t="shared" si="39"/>
        <v>17.515494475882502</v>
      </c>
    </row>
    <row r="36" spans="1:22" s="6" customFormat="1" ht="12.75" x14ac:dyDescent="0.2">
      <c r="A36" s="6" t="s">
        <v>46</v>
      </c>
      <c r="B36" s="6" t="s">
        <v>16</v>
      </c>
      <c r="C36" s="15">
        <f t="shared" si="20"/>
        <v>52.707534291100501</v>
      </c>
      <c r="D36" s="15">
        <f t="shared" si="21"/>
        <v>51.792725435061399</v>
      </c>
      <c r="E36" s="15">
        <f t="shared" si="22"/>
        <v>50.5522899037529</v>
      </c>
      <c r="F36" s="15">
        <f t="shared" si="23"/>
        <v>59.823782879927897</v>
      </c>
      <c r="G36" s="15">
        <f t="shared" si="24"/>
        <v>59.155435298341899</v>
      </c>
      <c r="H36" s="15">
        <f t="shared" si="25"/>
        <v>58.806203337303202</v>
      </c>
      <c r="I36" s="15">
        <f t="shared" si="26"/>
        <v>58.290387918877997</v>
      </c>
      <c r="J36" s="15">
        <f t="shared" si="27"/>
        <v>59.396722147822203</v>
      </c>
      <c r="K36" s="15">
        <f t="shared" si="28"/>
        <v>56.275111356430401</v>
      </c>
      <c r="L36" s="15">
        <f t="shared" si="29"/>
        <v>55.508601297671198</v>
      </c>
      <c r="M36" s="15">
        <f t="shared" si="30"/>
        <v>58.187361200541403</v>
      </c>
      <c r="N36" s="15">
        <f t="shared" si="31"/>
        <v>55.302649339650102</v>
      </c>
      <c r="O36" s="15">
        <f t="shared" si="32"/>
        <v>54.711489679848299</v>
      </c>
      <c r="P36" s="15">
        <f t="shared" si="33"/>
        <v>51.561997642267698</v>
      </c>
      <c r="Q36" s="15">
        <f t="shared" si="34"/>
        <v>50.0721286721583</v>
      </c>
      <c r="R36" s="15">
        <f t="shared" si="35"/>
        <v>48.420654435407599</v>
      </c>
      <c r="S36" s="15">
        <f t="shared" si="36"/>
        <v>45.221230548370002</v>
      </c>
      <c r="T36" s="15">
        <f t="shared" si="37"/>
        <v>47.912964445107598</v>
      </c>
      <c r="U36" s="15">
        <f t="shared" si="38"/>
        <v>44.900809906921097</v>
      </c>
      <c r="V36" s="15">
        <f t="shared" si="39"/>
        <v>42.644352813184099</v>
      </c>
    </row>
    <row r="37" spans="1:22" s="6" customFormat="1" ht="12.75" x14ac:dyDescent="0.2">
      <c r="A37" s="6" t="s">
        <v>47</v>
      </c>
      <c r="B37" s="6" t="s">
        <v>17</v>
      </c>
      <c r="C37" s="15">
        <f t="shared" si="20"/>
        <v>38.975257280490403</v>
      </c>
      <c r="D37" s="15">
        <f t="shared" si="21"/>
        <v>39.0522158841597</v>
      </c>
      <c r="E37" s="15">
        <f t="shared" si="22"/>
        <v>52.805280528052798</v>
      </c>
      <c r="F37" s="15">
        <f t="shared" si="23"/>
        <v>47.755281690140798</v>
      </c>
      <c r="G37" s="15">
        <f t="shared" si="24"/>
        <v>45.383759733036698</v>
      </c>
      <c r="H37" s="15">
        <f t="shared" si="25"/>
        <v>40.534521158129103</v>
      </c>
      <c r="I37" s="15">
        <f t="shared" si="26"/>
        <v>40.338756407399103</v>
      </c>
      <c r="J37" s="15">
        <f t="shared" si="27"/>
        <v>46.167637830569198</v>
      </c>
      <c r="K37" s="15">
        <f t="shared" si="28"/>
        <v>44.928522804628997</v>
      </c>
      <c r="L37" s="15">
        <f t="shared" si="29"/>
        <v>45.024243823597303</v>
      </c>
      <c r="M37" s="15">
        <f t="shared" si="30"/>
        <v>40.991420400381301</v>
      </c>
      <c r="N37" s="15">
        <f t="shared" si="31"/>
        <v>44.996311777723101</v>
      </c>
      <c r="O37" s="15">
        <f t="shared" si="32"/>
        <v>45.908183632734499</v>
      </c>
      <c r="P37" s="15">
        <f t="shared" si="33"/>
        <v>38.3540767081534</v>
      </c>
      <c r="Q37" s="15">
        <f t="shared" si="34"/>
        <v>41.829046505585801</v>
      </c>
      <c r="R37" s="15">
        <f t="shared" si="35"/>
        <v>41.458934662818102</v>
      </c>
      <c r="S37" s="15">
        <f t="shared" si="36"/>
        <v>33.351264120494797</v>
      </c>
      <c r="T37" s="15">
        <f t="shared" si="37"/>
        <v>42.158968850698102</v>
      </c>
      <c r="U37" s="15">
        <f t="shared" si="38"/>
        <v>32.4236692785733</v>
      </c>
      <c r="V37" s="15">
        <f t="shared" si="39"/>
        <v>36.746825182383098</v>
      </c>
    </row>
    <row r="38" spans="1:22" s="6" customFormat="1" ht="12.75" x14ac:dyDescent="0.2">
      <c r="A38" s="6" t="s">
        <v>3</v>
      </c>
      <c r="B38" s="11" t="s">
        <v>3</v>
      </c>
      <c r="C38" s="16">
        <f t="shared" si="20"/>
        <v>49.713067284405597</v>
      </c>
      <c r="D38" s="16">
        <f t="shared" si="21"/>
        <v>49.243142652728103</v>
      </c>
      <c r="E38" s="16">
        <f t="shared" si="22"/>
        <v>51.2012318301758</v>
      </c>
      <c r="F38" s="16">
        <f t="shared" si="23"/>
        <v>53.791212295134201</v>
      </c>
      <c r="G38" s="16">
        <f t="shared" si="24"/>
        <v>54.405607675044898</v>
      </c>
      <c r="H38" s="16">
        <f t="shared" si="25"/>
        <v>54.113657718721697</v>
      </c>
      <c r="I38" s="16">
        <f t="shared" si="26"/>
        <v>53.897483190402902</v>
      </c>
      <c r="J38" s="16">
        <f t="shared" si="27"/>
        <v>54.201973231097398</v>
      </c>
      <c r="K38" s="16">
        <f t="shared" si="28"/>
        <v>53.233237299886603</v>
      </c>
      <c r="L38" s="16">
        <f t="shared" si="29"/>
        <v>52.7765344158299</v>
      </c>
      <c r="M38" s="16">
        <f t="shared" si="30"/>
        <v>53.2506492735628</v>
      </c>
      <c r="N38" s="16">
        <f t="shared" si="31"/>
        <v>52.697911256721298</v>
      </c>
      <c r="O38" s="16">
        <f t="shared" si="32"/>
        <v>51.981459341865403</v>
      </c>
      <c r="P38" s="16">
        <f t="shared" si="33"/>
        <v>50.598492132458503</v>
      </c>
      <c r="Q38" s="16">
        <f t="shared" si="34"/>
        <v>49.318158717690302</v>
      </c>
      <c r="R38" s="16">
        <f t="shared" si="35"/>
        <v>47.424624354528802</v>
      </c>
      <c r="S38" s="16">
        <f t="shared" si="36"/>
        <v>45.176451521413199</v>
      </c>
      <c r="T38" s="16">
        <f t="shared" si="37"/>
        <v>46.523041313108401</v>
      </c>
      <c r="U38" s="16">
        <f t="shared" si="38"/>
        <v>43.595938559697899</v>
      </c>
      <c r="V38" s="16">
        <f t="shared" si="39"/>
        <v>43.273215124906599</v>
      </c>
    </row>
    <row r="39" spans="1:22" s="6" customFormat="1" ht="12.75" x14ac:dyDescent="0.2"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</row>
    <row r="40" spans="1:22" x14ac:dyDescent="0.2">
      <c r="B40" s="10" t="s">
        <v>492</v>
      </c>
    </row>
    <row r="41" spans="1:22" x14ac:dyDescent="0.2">
      <c r="B41" s="10" t="s">
        <v>509</v>
      </c>
    </row>
    <row r="42" spans="1:22" x14ac:dyDescent="0.2">
      <c r="B42" s="10" t="s">
        <v>90</v>
      </c>
    </row>
    <row r="43" spans="1:22" x14ac:dyDescent="0.2">
      <c r="B43" s="10" t="s">
        <v>115</v>
      </c>
    </row>
    <row r="44" spans="1:22" x14ac:dyDescent="0.2">
      <c r="B44" s="10" t="s">
        <v>117</v>
      </c>
    </row>
    <row r="45" spans="1:22" x14ac:dyDescent="0.2">
      <c r="B45" s="4" t="s">
        <v>32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3841CB-54D5-432F-97D8-0385230898F3}">
  <dimension ref="A1:AO16"/>
  <sheetViews>
    <sheetView zoomScale="80" zoomScaleNormal="80" workbookViewId="0">
      <selection sqref="A1:XFD1048576"/>
    </sheetView>
  </sheetViews>
  <sheetFormatPr defaultRowHeight="15" x14ac:dyDescent="0.25"/>
  <cols>
    <col min="1" max="1" width="32.85546875" bestFit="1" customWidth="1"/>
  </cols>
  <sheetData>
    <row r="1" spans="1:41" x14ac:dyDescent="0.25">
      <c r="A1" t="s">
        <v>138</v>
      </c>
      <c r="B1">
        <v>200405</v>
      </c>
      <c r="C1">
        <v>200506</v>
      </c>
      <c r="D1">
        <v>200607</v>
      </c>
      <c r="E1">
        <v>200708</v>
      </c>
      <c r="F1">
        <v>200809</v>
      </c>
      <c r="G1">
        <v>200910</v>
      </c>
      <c r="H1">
        <v>201011</v>
      </c>
      <c r="I1">
        <v>201112</v>
      </c>
      <c r="J1">
        <v>201213</v>
      </c>
      <c r="K1">
        <v>201314</v>
      </c>
      <c r="L1">
        <v>201415</v>
      </c>
      <c r="M1">
        <v>201516</v>
      </c>
      <c r="N1">
        <v>201617</v>
      </c>
      <c r="O1">
        <v>201718</v>
      </c>
      <c r="P1">
        <v>201819</v>
      </c>
      <c r="Q1">
        <v>201920</v>
      </c>
      <c r="R1">
        <v>202021</v>
      </c>
      <c r="S1">
        <v>202122</v>
      </c>
      <c r="T1">
        <v>202223</v>
      </c>
      <c r="U1">
        <v>202324</v>
      </c>
      <c r="V1" t="s">
        <v>139</v>
      </c>
      <c r="W1" t="s">
        <v>140</v>
      </c>
      <c r="X1" t="s">
        <v>141</v>
      </c>
      <c r="Y1" t="s">
        <v>142</v>
      </c>
      <c r="Z1" t="s">
        <v>143</v>
      </c>
      <c r="AA1" t="s">
        <v>144</v>
      </c>
      <c r="AB1" t="s">
        <v>145</v>
      </c>
      <c r="AC1" t="s">
        <v>146</v>
      </c>
      <c r="AD1" t="s">
        <v>147</v>
      </c>
      <c r="AE1" t="s">
        <v>148</v>
      </c>
      <c r="AF1" t="s">
        <v>149</v>
      </c>
      <c r="AG1" t="s">
        <v>150</v>
      </c>
      <c r="AH1" t="s">
        <v>151</v>
      </c>
      <c r="AI1" t="s">
        <v>152</v>
      </c>
      <c r="AJ1" t="s">
        <v>153</v>
      </c>
      <c r="AK1" t="s">
        <v>154</v>
      </c>
      <c r="AL1" t="s">
        <v>155</v>
      </c>
      <c r="AM1" t="s">
        <v>156</v>
      </c>
      <c r="AN1" t="s">
        <v>157</v>
      </c>
      <c r="AO1" t="s">
        <v>489</v>
      </c>
    </row>
    <row r="2" spans="1:41" x14ac:dyDescent="0.25">
      <c r="A2" t="s">
        <v>34</v>
      </c>
      <c r="B2">
        <v>3541</v>
      </c>
      <c r="C2">
        <v>3524</v>
      </c>
      <c r="D2">
        <v>3694</v>
      </c>
      <c r="E2">
        <v>3761</v>
      </c>
      <c r="F2">
        <v>3778</v>
      </c>
      <c r="G2">
        <v>3692</v>
      </c>
      <c r="H2">
        <v>3796</v>
      </c>
      <c r="I2">
        <v>3739</v>
      </c>
      <c r="J2">
        <v>3553</v>
      </c>
      <c r="K2">
        <v>3430</v>
      </c>
      <c r="L2">
        <v>3503</v>
      </c>
      <c r="M2">
        <v>3419</v>
      </c>
      <c r="N2">
        <v>3296</v>
      </c>
      <c r="O2">
        <v>3198</v>
      </c>
      <c r="P2">
        <v>2991</v>
      </c>
      <c r="Q2">
        <v>3064</v>
      </c>
      <c r="R2">
        <v>2753</v>
      </c>
      <c r="S2">
        <v>2851</v>
      </c>
      <c r="T2">
        <v>2644</v>
      </c>
      <c r="U2">
        <v>2652</v>
      </c>
      <c r="V2">
        <v>48.837337599646901</v>
      </c>
      <c r="W2">
        <v>48.8711377378376</v>
      </c>
      <c r="X2">
        <v>51.536755165534203</v>
      </c>
      <c r="Y2">
        <v>52.6654810748743</v>
      </c>
      <c r="Z2">
        <v>53.3209134276117</v>
      </c>
      <c r="AA2">
        <v>52.593341785495497</v>
      </c>
      <c r="AB2">
        <v>54.736052832691598</v>
      </c>
      <c r="AC2">
        <v>54.456743373142999</v>
      </c>
      <c r="AD2">
        <v>52.686992111038599</v>
      </c>
      <c r="AE2">
        <v>51.813471502590602</v>
      </c>
      <c r="AF2">
        <v>53.872416338582603</v>
      </c>
      <c r="AG2">
        <v>53.547376664056301</v>
      </c>
      <c r="AH2">
        <v>52.560238562247797</v>
      </c>
      <c r="AI2">
        <v>51.8608611043541</v>
      </c>
      <c r="AJ2">
        <v>49.265384108578203</v>
      </c>
      <c r="AK2">
        <v>50.973215771086302</v>
      </c>
      <c r="AL2">
        <v>46.361630824674499</v>
      </c>
      <c r="AM2">
        <v>47.895037462621303</v>
      </c>
      <c r="AN2">
        <v>44.428761069382098</v>
      </c>
      <c r="AO2">
        <v>44.563189998487601</v>
      </c>
    </row>
    <row r="3" spans="1:41" x14ac:dyDescent="0.25">
      <c r="A3" t="s">
        <v>35</v>
      </c>
      <c r="B3">
        <v>1019</v>
      </c>
      <c r="C3">
        <v>979</v>
      </c>
      <c r="D3">
        <v>1095</v>
      </c>
      <c r="E3">
        <v>1132</v>
      </c>
      <c r="F3">
        <v>1190</v>
      </c>
      <c r="G3">
        <v>1204</v>
      </c>
      <c r="H3">
        <v>1177</v>
      </c>
      <c r="I3">
        <v>1129</v>
      </c>
      <c r="J3">
        <v>1161</v>
      </c>
      <c r="K3">
        <v>1122</v>
      </c>
      <c r="L3">
        <v>1035</v>
      </c>
      <c r="M3">
        <v>1047</v>
      </c>
      <c r="N3">
        <v>976</v>
      </c>
      <c r="O3">
        <v>986</v>
      </c>
      <c r="P3">
        <v>967</v>
      </c>
      <c r="Q3">
        <v>884</v>
      </c>
      <c r="R3">
        <v>817</v>
      </c>
      <c r="S3">
        <v>842</v>
      </c>
      <c r="T3">
        <v>666</v>
      </c>
      <c r="U3">
        <v>615</v>
      </c>
      <c r="V3">
        <v>51.778455284552798</v>
      </c>
      <c r="W3">
        <v>49.670218163368801</v>
      </c>
      <c r="X3">
        <v>55.8873066911652</v>
      </c>
      <c r="Y3">
        <v>57.3193579421742</v>
      </c>
      <c r="Z3">
        <v>59.979838709677402</v>
      </c>
      <c r="AA3">
        <v>61.488177314743801</v>
      </c>
      <c r="AB3">
        <v>61.136505298150801</v>
      </c>
      <c r="AC3">
        <v>59.599852188143302</v>
      </c>
      <c r="AD3">
        <v>62.489907960600597</v>
      </c>
      <c r="AE3">
        <v>61.114439784301901</v>
      </c>
      <c r="AF3">
        <v>57.163371258146398</v>
      </c>
      <c r="AG3">
        <v>58.354698472856903</v>
      </c>
      <c r="AH3">
        <v>55.072790881390297</v>
      </c>
      <c r="AI3">
        <v>56.025910563100098</v>
      </c>
      <c r="AJ3">
        <v>55.6066705002875</v>
      </c>
      <c r="AK3">
        <v>51.216685979142497</v>
      </c>
      <c r="AL3">
        <v>47.613497290051797</v>
      </c>
      <c r="AM3">
        <v>48.902311534440699</v>
      </c>
      <c r="AN3">
        <v>38.763750654793</v>
      </c>
      <c r="AO3">
        <v>35.795355334381</v>
      </c>
    </row>
    <row r="4" spans="1:41" x14ac:dyDescent="0.25">
      <c r="A4" t="s">
        <v>36</v>
      </c>
      <c r="B4">
        <v>1363</v>
      </c>
      <c r="C4">
        <v>1377</v>
      </c>
      <c r="D4">
        <v>1424</v>
      </c>
      <c r="E4">
        <v>1437</v>
      </c>
      <c r="F4">
        <v>1391</v>
      </c>
      <c r="G4">
        <v>1438</v>
      </c>
      <c r="H4">
        <v>1383</v>
      </c>
      <c r="I4">
        <v>1363</v>
      </c>
      <c r="J4">
        <v>1331</v>
      </c>
      <c r="K4">
        <v>1251</v>
      </c>
      <c r="L4">
        <v>1194</v>
      </c>
      <c r="M4">
        <v>1253</v>
      </c>
      <c r="N4">
        <v>1221</v>
      </c>
      <c r="O4">
        <v>1247</v>
      </c>
      <c r="P4">
        <v>1129</v>
      </c>
      <c r="Q4">
        <v>1112</v>
      </c>
      <c r="R4">
        <v>1083</v>
      </c>
      <c r="S4">
        <v>1076</v>
      </c>
      <c r="T4">
        <v>1064</v>
      </c>
      <c r="U4">
        <v>1079</v>
      </c>
      <c r="V4">
        <v>51.525346841568002</v>
      </c>
      <c r="W4">
        <v>52.264014878354203</v>
      </c>
      <c r="X4">
        <v>54.330408241129298</v>
      </c>
      <c r="Y4">
        <v>55.271356590638099</v>
      </c>
      <c r="Z4">
        <v>53.781317661614601</v>
      </c>
      <c r="AA4">
        <v>56.114883321626401</v>
      </c>
      <c r="AB4">
        <v>54.631641319375802</v>
      </c>
      <c r="AC4">
        <v>54.246597150362099</v>
      </c>
      <c r="AD4">
        <v>53.956542889573498</v>
      </c>
      <c r="AE4">
        <v>51.523887973640797</v>
      </c>
      <c r="AF4">
        <v>50.273684210526298</v>
      </c>
      <c r="AG4">
        <v>53.709974709588899</v>
      </c>
      <c r="AH4">
        <v>53.479917655818802</v>
      </c>
      <c r="AI4">
        <v>55.664672797071603</v>
      </c>
      <c r="AJ4">
        <v>51.4913800966888</v>
      </c>
      <c r="AK4">
        <v>51.322287349425302</v>
      </c>
      <c r="AL4">
        <v>50.343994049832602</v>
      </c>
      <c r="AM4">
        <v>49.821734500162002</v>
      </c>
      <c r="AN4">
        <v>49.2524186455584</v>
      </c>
      <c r="AO4">
        <v>49.946766652779701</v>
      </c>
    </row>
    <row r="5" spans="1:41" x14ac:dyDescent="0.25">
      <c r="A5" t="s">
        <v>37</v>
      </c>
      <c r="B5">
        <v>3290</v>
      </c>
      <c r="C5">
        <v>3315</v>
      </c>
      <c r="D5">
        <v>3487</v>
      </c>
      <c r="E5">
        <v>3672</v>
      </c>
      <c r="F5">
        <v>3798</v>
      </c>
      <c r="G5">
        <v>3752</v>
      </c>
      <c r="H5">
        <v>3721</v>
      </c>
      <c r="I5">
        <v>3733</v>
      </c>
      <c r="J5">
        <v>3486</v>
      </c>
      <c r="K5">
        <v>3436</v>
      </c>
      <c r="L5">
        <v>3435</v>
      </c>
      <c r="M5">
        <v>3318</v>
      </c>
      <c r="N5">
        <v>3315</v>
      </c>
      <c r="O5">
        <v>3135</v>
      </c>
      <c r="P5">
        <v>3095</v>
      </c>
      <c r="Q5">
        <v>2890</v>
      </c>
      <c r="R5">
        <v>2724</v>
      </c>
      <c r="S5">
        <v>2674</v>
      </c>
      <c r="T5">
        <v>2538</v>
      </c>
      <c r="U5">
        <v>2654</v>
      </c>
      <c r="V5">
        <v>45.529400368109997</v>
      </c>
      <c r="W5">
        <v>45.738017053450697</v>
      </c>
      <c r="X5">
        <v>48.199599142995297</v>
      </c>
      <c r="Y5">
        <v>51.026221808429298</v>
      </c>
      <c r="Z5">
        <v>53.182104599873902</v>
      </c>
      <c r="AA5">
        <v>52.776683733753401</v>
      </c>
      <c r="AB5">
        <v>52.583977502366999</v>
      </c>
      <c r="AC5">
        <v>52.896332823215999</v>
      </c>
      <c r="AD5">
        <v>49.844147673653801</v>
      </c>
      <c r="AE5">
        <v>49.808651281456498</v>
      </c>
      <c r="AF5">
        <v>50.589846684045398</v>
      </c>
      <c r="AG5">
        <v>49.2416372324953</v>
      </c>
      <c r="AH5">
        <v>49.570093457943898</v>
      </c>
      <c r="AI5">
        <v>47.156330380108599</v>
      </c>
      <c r="AJ5">
        <v>46.978643311425103</v>
      </c>
      <c r="AK5">
        <v>43.839689329814</v>
      </c>
      <c r="AL5">
        <v>41.464342796255401</v>
      </c>
      <c r="AM5">
        <v>40.692100497618398</v>
      </c>
      <c r="AN5">
        <v>38.184362164683201</v>
      </c>
      <c r="AO5">
        <v>39.929589119412597</v>
      </c>
    </row>
    <row r="6" spans="1:41" x14ac:dyDescent="0.25">
      <c r="A6" t="s">
        <v>38</v>
      </c>
      <c r="B6">
        <v>3098</v>
      </c>
      <c r="C6">
        <v>3134</v>
      </c>
      <c r="D6">
        <v>3185</v>
      </c>
      <c r="E6">
        <v>3286</v>
      </c>
      <c r="F6">
        <v>3228</v>
      </c>
      <c r="G6">
        <v>3288</v>
      </c>
      <c r="H6">
        <v>3182</v>
      </c>
      <c r="I6">
        <v>3178</v>
      </c>
      <c r="J6">
        <v>3140</v>
      </c>
      <c r="K6">
        <v>3116</v>
      </c>
      <c r="L6">
        <v>3099</v>
      </c>
      <c r="M6">
        <v>3089</v>
      </c>
      <c r="N6">
        <v>3073</v>
      </c>
      <c r="O6">
        <v>2986</v>
      </c>
      <c r="P6">
        <v>2904</v>
      </c>
      <c r="Q6">
        <v>2779</v>
      </c>
      <c r="R6">
        <v>2816</v>
      </c>
      <c r="S6">
        <v>2861</v>
      </c>
      <c r="T6">
        <v>2749</v>
      </c>
      <c r="U6">
        <v>2672</v>
      </c>
      <c r="V6">
        <v>52.286919831223599</v>
      </c>
      <c r="W6">
        <v>52.264692148622501</v>
      </c>
      <c r="X6">
        <v>52.933355492770403</v>
      </c>
      <c r="Y6">
        <v>54.475224217105101</v>
      </c>
      <c r="Z6">
        <v>53.910516558945801</v>
      </c>
      <c r="AA6">
        <v>55.465587044534402</v>
      </c>
      <c r="AB6">
        <v>53.913014011961799</v>
      </c>
      <c r="AC6">
        <v>53.901864007191399</v>
      </c>
      <c r="AD6">
        <v>54.1799672159434</v>
      </c>
      <c r="AE6">
        <v>54.731960935853301</v>
      </c>
      <c r="AF6">
        <v>55.207182812555601</v>
      </c>
      <c r="AG6">
        <v>55.318767908309397</v>
      </c>
      <c r="AH6">
        <v>55.151743570415803</v>
      </c>
      <c r="AI6">
        <v>53.939809964232801</v>
      </c>
      <c r="AJ6">
        <v>52.857662904987201</v>
      </c>
      <c r="AK6">
        <v>50.840635919576997</v>
      </c>
      <c r="AL6">
        <v>51.646981145917302</v>
      </c>
      <c r="AM6">
        <v>52.681974699394097</v>
      </c>
      <c r="AN6">
        <v>50.1267300012764</v>
      </c>
      <c r="AO6">
        <v>48.722670994329</v>
      </c>
    </row>
    <row r="7" spans="1:41" x14ac:dyDescent="0.25">
      <c r="A7" t="s">
        <v>39</v>
      </c>
      <c r="B7">
        <v>5371</v>
      </c>
      <c r="C7">
        <v>5389</v>
      </c>
      <c r="D7">
        <v>5887</v>
      </c>
      <c r="E7">
        <v>6080</v>
      </c>
      <c r="F7">
        <v>6220</v>
      </c>
      <c r="G7">
        <v>6390</v>
      </c>
      <c r="H7">
        <v>6161</v>
      </c>
      <c r="I7">
        <v>6237</v>
      </c>
      <c r="J7">
        <v>6321</v>
      </c>
      <c r="K7">
        <v>6289</v>
      </c>
      <c r="L7">
        <v>6231</v>
      </c>
      <c r="M7">
        <v>6416</v>
      </c>
      <c r="N7">
        <v>6223</v>
      </c>
      <c r="O7">
        <v>5894</v>
      </c>
      <c r="P7">
        <v>5798</v>
      </c>
      <c r="Q7">
        <v>5364</v>
      </c>
      <c r="R7">
        <v>4928</v>
      </c>
      <c r="S7">
        <v>5132</v>
      </c>
      <c r="T7">
        <v>4704</v>
      </c>
      <c r="U7">
        <v>4613</v>
      </c>
      <c r="V7">
        <v>48.8805970149253</v>
      </c>
      <c r="W7">
        <v>48.716766559090203</v>
      </c>
      <c r="X7">
        <v>52.915426999721298</v>
      </c>
      <c r="Y7">
        <v>53.962421563667597</v>
      </c>
      <c r="Z7">
        <v>54.998983137771503</v>
      </c>
      <c r="AA7">
        <v>56.081656295802198</v>
      </c>
      <c r="AB7">
        <v>53.703267871307403</v>
      </c>
      <c r="AC7">
        <v>54.110563575791197</v>
      </c>
      <c r="AD7">
        <v>54.873602333495299</v>
      </c>
      <c r="AE7">
        <v>54.474270023993199</v>
      </c>
      <c r="AF7">
        <v>53.872024761591803</v>
      </c>
      <c r="AG7">
        <v>55.453280438371301</v>
      </c>
      <c r="AH7">
        <v>54.653399260514803</v>
      </c>
      <c r="AI7">
        <v>52.802264745932703</v>
      </c>
      <c r="AJ7">
        <v>52.6526090194155</v>
      </c>
      <c r="AK7">
        <v>49.115481815185099</v>
      </c>
      <c r="AL7">
        <v>45.493150179092297</v>
      </c>
      <c r="AM7">
        <v>47.742643707032002</v>
      </c>
      <c r="AN7">
        <v>43.480270272768401</v>
      </c>
      <c r="AO7">
        <v>42.639134091896402</v>
      </c>
    </row>
    <row r="8" spans="1:41" x14ac:dyDescent="0.25">
      <c r="A8" t="s">
        <v>40</v>
      </c>
      <c r="B8">
        <v>15065</v>
      </c>
      <c r="C8">
        <v>14756</v>
      </c>
      <c r="D8">
        <v>15151</v>
      </c>
      <c r="E8">
        <v>15970</v>
      </c>
      <c r="F8">
        <v>15991</v>
      </c>
      <c r="G8">
        <v>15986</v>
      </c>
      <c r="H8">
        <v>15636</v>
      </c>
      <c r="I8">
        <v>15828</v>
      </c>
      <c r="J8">
        <v>15426</v>
      </c>
      <c r="K8">
        <v>14815</v>
      </c>
      <c r="L8">
        <v>15080</v>
      </c>
      <c r="M8">
        <v>14866</v>
      </c>
      <c r="N8">
        <v>14681</v>
      </c>
      <c r="O8">
        <v>14477</v>
      </c>
      <c r="P8">
        <v>14140</v>
      </c>
      <c r="Q8">
        <v>13571</v>
      </c>
      <c r="R8">
        <v>12768</v>
      </c>
      <c r="S8">
        <v>13073</v>
      </c>
      <c r="T8">
        <v>12803</v>
      </c>
      <c r="U8">
        <v>13268</v>
      </c>
      <c r="V8">
        <v>60.942063575537397</v>
      </c>
      <c r="W8">
        <v>60.039386097684002</v>
      </c>
      <c r="X8">
        <v>62.139593637981797</v>
      </c>
      <c r="Y8">
        <v>65.547260108109796</v>
      </c>
      <c r="Z8">
        <v>65.704647522156904</v>
      </c>
      <c r="AA8">
        <v>65.962451000618898</v>
      </c>
      <c r="AB8">
        <v>64.646297597883105</v>
      </c>
      <c r="AC8">
        <v>65.327213894208498</v>
      </c>
      <c r="AD8">
        <v>64.359740324760907</v>
      </c>
      <c r="AE8">
        <v>62.759999661100203</v>
      </c>
      <c r="AF8">
        <v>64.420218037661002</v>
      </c>
      <c r="AG8">
        <v>63.677952162291803</v>
      </c>
      <c r="AH8">
        <v>62.5945996648773</v>
      </c>
      <c r="AI8">
        <v>61.552917566625197</v>
      </c>
      <c r="AJ8">
        <v>59.691915418160001</v>
      </c>
      <c r="AK8">
        <v>56.878572985297303</v>
      </c>
      <c r="AL8">
        <v>53.339349049391501</v>
      </c>
      <c r="AM8">
        <v>54.441117556666903</v>
      </c>
      <c r="AN8">
        <v>52.303682460311599</v>
      </c>
      <c r="AO8">
        <v>54.203331944342303</v>
      </c>
    </row>
    <row r="9" spans="1:41" x14ac:dyDescent="0.25">
      <c r="A9" t="s">
        <v>41</v>
      </c>
      <c r="B9">
        <v>2241</v>
      </c>
      <c r="C9">
        <v>2266</v>
      </c>
      <c r="D9">
        <v>2242</v>
      </c>
      <c r="E9">
        <v>2401</v>
      </c>
      <c r="F9">
        <v>2565</v>
      </c>
      <c r="G9">
        <v>2420</v>
      </c>
      <c r="H9">
        <v>2491</v>
      </c>
      <c r="I9">
        <v>2476</v>
      </c>
      <c r="J9">
        <v>2380</v>
      </c>
      <c r="K9">
        <v>2299</v>
      </c>
      <c r="L9">
        <v>2299</v>
      </c>
      <c r="M9">
        <v>2209</v>
      </c>
      <c r="N9">
        <v>2147</v>
      </c>
      <c r="O9">
        <v>2062</v>
      </c>
      <c r="P9">
        <v>1991</v>
      </c>
      <c r="Q9">
        <v>1965</v>
      </c>
      <c r="R9">
        <v>1845</v>
      </c>
      <c r="S9">
        <v>1884</v>
      </c>
      <c r="T9">
        <v>1864</v>
      </c>
      <c r="U9">
        <v>1785</v>
      </c>
      <c r="V9">
        <v>40.446153013157101</v>
      </c>
      <c r="W9">
        <v>40.612230267402602</v>
      </c>
      <c r="X9">
        <v>40.160498692365501</v>
      </c>
      <c r="Y9">
        <v>42.827583746566297</v>
      </c>
      <c r="Z9">
        <v>45.810933900091001</v>
      </c>
      <c r="AA9">
        <v>43.460302067058102</v>
      </c>
      <c r="AB9">
        <v>45.111284159437801</v>
      </c>
      <c r="AC9">
        <v>45.018181818181802</v>
      </c>
      <c r="AD9">
        <v>43.967412388465</v>
      </c>
      <c r="AE9">
        <v>43.000093519124597</v>
      </c>
      <c r="AF9">
        <v>43.625116226114301</v>
      </c>
      <c r="AG9">
        <v>42.444038812565999</v>
      </c>
      <c r="AH9">
        <v>41.6367691263453</v>
      </c>
      <c r="AI9">
        <v>40.5108055009823</v>
      </c>
      <c r="AJ9">
        <v>39.646348991417497</v>
      </c>
      <c r="AK9">
        <v>39.5133722099336</v>
      </c>
      <c r="AL9">
        <v>37.516012932349099</v>
      </c>
      <c r="AM9">
        <v>37.787315977375698</v>
      </c>
      <c r="AN9">
        <v>37.633757318796597</v>
      </c>
      <c r="AO9">
        <v>36.038764385221</v>
      </c>
    </row>
    <row r="10" spans="1:41" x14ac:dyDescent="0.25">
      <c r="A10" t="s">
        <v>42</v>
      </c>
      <c r="B10">
        <v>4720</v>
      </c>
      <c r="C10">
        <v>4499</v>
      </c>
      <c r="D10">
        <v>4846</v>
      </c>
      <c r="E10">
        <v>4781</v>
      </c>
      <c r="F10">
        <v>4881</v>
      </c>
      <c r="G10">
        <v>4743</v>
      </c>
      <c r="H10">
        <v>4883</v>
      </c>
      <c r="I10">
        <v>4952</v>
      </c>
      <c r="J10">
        <v>4766</v>
      </c>
      <c r="K10">
        <v>4700</v>
      </c>
      <c r="L10">
        <v>4723</v>
      </c>
      <c r="M10">
        <v>4445</v>
      </c>
      <c r="N10">
        <v>4435</v>
      </c>
      <c r="O10">
        <v>4350</v>
      </c>
      <c r="P10">
        <v>4220</v>
      </c>
      <c r="Q10">
        <v>4165</v>
      </c>
      <c r="R10">
        <v>4081</v>
      </c>
      <c r="S10">
        <v>4166</v>
      </c>
      <c r="T10">
        <v>4005</v>
      </c>
      <c r="U10">
        <v>3957</v>
      </c>
      <c r="V10">
        <v>35.1774149071748</v>
      </c>
      <c r="W10">
        <v>33.6507176675617</v>
      </c>
      <c r="X10">
        <v>36.328742887557802</v>
      </c>
      <c r="Y10">
        <v>35.856513945866404</v>
      </c>
      <c r="Z10">
        <v>36.7988540410132</v>
      </c>
      <c r="AA10">
        <v>36.084905660377302</v>
      </c>
      <c r="AB10">
        <v>37.577725789570799</v>
      </c>
      <c r="AC10">
        <v>38.471697820040703</v>
      </c>
      <c r="AD10">
        <v>37.391242948934199</v>
      </c>
      <c r="AE10">
        <v>37.346343634037602</v>
      </c>
      <c r="AF10">
        <v>37.925994924999202</v>
      </c>
      <c r="AG10">
        <v>35.987823242709297</v>
      </c>
      <c r="AH10">
        <v>36.209697830683901</v>
      </c>
      <c r="AI10">
        <v>35.743044485711003</v>
      </c>
      <c r="AJ10">
        <v>34.835727257718297</v>
      </c>
      <c r="AK10">
        <v>34.318532007283899</v>
      </c>
      <c r="AL10">
        <v>33.721698892745003</v>
      </c>
      <c r="AM10">
        <v>34.270577976670303</v>
      </c>
      <c r="AN10">
        <v>32.736635605689003</v>
      </c>
      <c r="AO10">
        <v>32.344286414909199</v>
      </c>
    </row>
    <row r="11" spans="1:41" x14ac:dyDescent="0.25">
      <c r="A11" t="s">
        <v>43</v>
      </c>
      <c r="B11">
        <v>8453</v>
      </c>
      <c r="C11">
        <v>8592</v>
      </c>
      <c r="D11">
        <v>8833</v>
      </c>
      <c r="E11">
        <v>9570</v>
      </c>
      <c r="F11">
        <v>9633</v>
      </c>
      <c r="G11">
        <v>9371</v>
      </c>
      <c r="H11">
        <v>9583</v>
      </c>
      <c r="I11">
        <v>9586</v>
      </c>
      <c r="J11">
        <v>9352</v>
      </c>
      <c r="K11">
        <v>9520</v>
      </c>
      <c r="L11">
        <v>9233</v>
      </c>
      <c r="M11">
        <v>9308</v>
      </c>
      <c r="N11">
        <v>9143</v>
      </c>
      <c r="O11">
        <v>8851</v>
      </c>
      <c r="P11">
        <v>8640</v>
      </c>
      <c r="Q11">
        <v>8166</v>
      </c>
      <c r="R11">
        <v>8053</v>
      </c>
      <c r="S11">
        <v>8413</v>
      </c>
      <c r="T11">
        <v>7778</v>
      </c>
      <c r="U11">
        <v>7396</v>
      </c>
      <c r="V11">
        <v>47.597596752124197</v>
      </c>
      <c r="W11">
        <v>47.998659255328</v>
      </c>
      <c r="X11">
        <v>49.156334171805</v>
      </c>
      <c r="Y11">
        <v>52.869130946396098</v>
      </c>
      <c r="Z11">
        <v>53.134101138469603</v>
      </c>
      <c r="AA11">
        <v>51.651913176722097</v>
      </c>
      <c r="AB11">
        <v>52.5323290629916</v>
      </c>
      <c r="AC11">
        <v>52.049454039995403</v>
      </c>
      <c r="AD11">
        <v>50.9904202129689</v>
      </c>
      <c r="AE11">
        <v>52.285858652430797</v>
      </c>
      <c r="AF11">
        <v>50.776803145709003</v>
      </c>
      <c r="AG11">
        <v>50.5732138005976</v>
      </c>
      <c r="AH11">
        <v>49.214654049456797</v>
      </c>
      <c r="AI11">
        <v>47.260028940159998</v>
      </c>
      <c r="AJ11">
        <v>45.733401792283502</v>
      </c>
      <c r="AK11">
        <v>42.848372590894002</v>
      </c>
      <c r="AL11">
        <v>42.1223866388396</v>
      </c>
      <c r="AM11">
        <v>44.1173385912656</v>
      </c>
      <c r="AN11">
        <v>39.689748430882197</v>
      </c>
      <c r="AO11">
        <v>37.740470480175503</v>
      </c>
    </row>
    <row r="12" spans="1:41" x14ac:dyDescent="0.25">
      <c r="A12" t="s">
        <v>44</v>
      </c>
      <c r="B12">
        <v>127</v>
      </c>
      <c r="C12">
        <v>136</v>
      </c>
      <c r="D12">
        <v>140</v>
      </c>
      <c r="E12">
        <v>133</v>
      </c>
      <c r="F12">
        <v>144</v>
      </c>
      <c r="G12">
        <v>128</v>
      </c>
      <c r="H12">
        <v>126</v>
      </c>
      <c r="I12">
        <v>139</v>
      </c>
      <c r="J12">
        <v>143</v>
      </c>
      <c r="K12">
        <v>124</v>
      </c>
      <c r="L12">
        <v>140</v>
      </c>
      <c r="M12">
        <v>124</v>
      </c>
      <c r="N12">
        <v>111</v>
      </c>
      <c r="O12">
        <v>115</v>
      </c>
      <c r="P12">
        <v>132</v>
      </c>
      <c r="Q12">
        <v>138</v>
      </c>
      <c r="R12">
        <v>142</v>
      </c>
      <c r="S12">
        <v>143</v>
      </c>
      <c r="T12">
        <v>124</v>
      </c>
      <c r="U12">
        <v>107</v>
      </c>
      <c r="V12">
        <v>35.484772282760503</v>
      </c>
      <c r="W12">
        <v>37.840845854201397</v>
      </c>
      <c r="X12">
        <v>38.440417353102603</v>
      </c>
      <c r="Y12">
        <v>36.289222373806197</v>
      </c>
      <c r="Z12">
        <v>39.141070943191004</v>
      </c>
      <c r="AA12">
        <v>34.380875637926401</v>
      </c>
      <c r="AB12">
        <v>33.466135458167301</v>
      </c>
      <c r="AC12">
        <v>37.425955842757098</v>
      </c>
      <c r="AD12">
        <v>38.911564625850303</v>
      </c>
      <c r="AE12">
        <v>34.368070953436799</v>
      </c>
      <c r="AF12">
        <v>39.281705948372597</v>
      </c>
      <c r="AG12">
        <v>35.277382645803698</v>
      </c>
      <c r="AH12">
        <v>31.988472622478302</v>
      </c>
      <c r="AI12">
        <v>33.294730746959999</v>
      </c>
      <c r="AJ12">
        <v>38.562664329535401</v>
      </c>
      <c r="AK12">
        <v>40.9131337088645</v>
      </c>
      <c r="AL12">
        <v>42.489527229204</v>
      </c>
      <c r="AM12">
        <v>42.071197411003197</v>
      </c>
      <c r="AN12">
        <v>36.806173938854201</v>
      </c>
      <c r="AO12">
        <v>31.760166221430602</v>
      </c>
    </row>
    <row r="13" spans="1:41" x14ac:dyDescent="0.25">
      <c r="A13" t="s">
        <v>45</v>
      </c>
      <c r="B13">
        <v>154</v>
      </c>
      <c r="C13">
        <v>128</v>
      </c>
      <c r="D13">
        <v>163</v>
      </c>
      <c r="E13">
        <v>131</v>
      </c>
      <c r="F13">
        <v>143</v>
      </c>
      <c r="G13">
        <v>157</v>
      </c>
      <c r="H13">
        <v>147</v>
      </c>
      <c r="I13">
        <v>141</v>
      </c>
      <c r="J13">
        <v>179</v>
      </c>
      <c r="K13">
        <v>143</v>
      </c>
      <c r="L13">
        <v>153</v>
      </c>
      <c r="M13">
        <v>125</v>
      </c>
      <c r="N13">
        <v>138</v>
      </c>
      <c r="O13">
        <v>113</v>
      </c>
      <c r="P13">
        <v>92</v>
      </c>
      <c r="Q13">
        <v>114</v>
      </c>
      <c r="R13">
        <v>105</v>
      </c>
      <c r="S13">
        <v>84</v>
      </c>
      <c r="T13">
        <v>101</v>
      </c>
      <c r="U13">
        <v>65</v>
      </c>
      <c r="V13">
        <v>36.719122556032403</v>
      </c>
      <c r="W13">
        <v>30.181560952605501</v>
      </c>
      <c r="X13">
        <v>38.717339667458397</v>
      </c>
      <c r="Y13">
        <v>31.3022700119474</v>
      </c>
      <c r="Z13">
        <v>34.549408069582</v>
      </c>
      <c r="AA13">
        <v>37.876960193003598</v>
      </c>
      <c r="AB13">
        <v>35.108669691903501</v>
      </c>
      <c r="AC13">
        <v>33.691756272401399</v>
      </c>
      <c r="AD13">
        <v>43.080625752105803</v>
      </c>
      <c r="AE13">
        <v>34.7171643602816</v>
      </c>
      <c r="AF13">
        <v>37.335285505124403</v>
      </c>
      <c r="AG13">
        <v>30.554876558298702</v>
      </c>
      <c r="AH13">
        <v>34.534534534534501</v>
      </c>
      <c r="AI13">
        <v>29.063786008230402</v>
      </c>
      <c r="AJ13">
        <v>24.312896405919599</v>
      </c>
      <c r="AK13">
        <v>30.9278350515463</v>
      </c>
      <c r="AL13">
        <v>28.563656147986901</v>
      </c>
      <c r="AM13">
        <v>22.459893048128301</v>
      </c>
      <c r="AN13">
        <v>27.216383724063501</v>
      </c>
      <c r="AO13">
        <v>17.515494475882502</v>
      </c>
    </row>
    <row r="14" spans="1:41" x14ac:dyDescent="0.25">
      <c r="A14" t="s">
        <v>46</v>
      </c>
      <c r="B14">
        <v>4054</v>
      </c>
      <c r="C14">
        <v>3997</v>
      </c>
      <c r="D14">
        <v>3913</v>
      </c>
      <c r="E14">
        <v>4651</v>
      </c>
      <c r="F14">
        <v>4613</v>
      </c>
      <c r="G14">
        <v>4592</v>
      </c>
      <c r="H14">
        <v>4547</v>
      </c>
      <c r="I14">
        <v>4657</v>
      </c>
      <c r="J14">
        <v>4384</v>
      </c>
      <c r="K14">
        <v>4269</v>
      </c>
      <c r="L14">
        <v>4428</v>
      </c>
      <c r="M14">
        <v>4179</v>
      </c>
      <c r="N14">
        <v>4098</v>
      </c>
      <c r="O14">
        <v>3849</v>
      </c>
      <c r="P14">
        <v>3714</v>
      </c>
      <c r="Q14">
        <v>3584</v>
      </c>
      <c r="R14">
        <v>3339</v>
      </c>
      <c r="S14">
        <v>3532</v>
      </c>
      <c r="T14">
        <v>3343</v>
      </c>
      <c r="U14">
        <v>3175</v>
      </c>
      <c r="V14">
        <v>52.707534291100501</v>
      </c>
      <c r="W14">
        <v>51.792725435061399</v>
      </c>
      <c r="X14">
        <v>50.5522899037529</v>
      </c>
      <c r="Y14">
        <v>59.823782879927897</v>
      </c>
      <c r="Z14">
        <v>59.155435298341899</v>
      </c>
      <c r="AA14">
        <v>58.806203337303202</v>
      </c>
      <c r="AB14">
        <v>58.290387918877997</v>
      </c>
      <c r="AC14">
        <v>59.396722147822203</v>
      </c>
      <c r="AD14">
        <v>56.275111356430401</v>
      </c>
      <c r="AE14">
        <v>55.508601297671198</v>
      </c>
      <c r="AF14">
        <v>58.187361200541403</v>
      </c>
      <c r="AG14">
        <v>55.302649339650102</v>
      </c>
      <c r="AH14">
        <v>54.711489679848299</v>
      </c>
      <c r="AI14">
        <v>51.561997642267698</v>
      </c>
      <c r="AJ14">
        <v>50.0721286721583</v>
      </c>
      <c r="AK14">
        <v>48.420654435407599</v>
      </c>
      <c r="AL14">
        <v>45.221230548370002</v>
      </c>
      <c r="AM14">
        <v>47.912964445107598</v>
      </c>
      <c r="AN14">
        <v>44.900809906921097</v>
      </c>
      <c r="AO14">
        <v>42.644352813184099</v>
      </c>
    </row>
    <row r="15" spans="1:41" x14ac:dyDescent="0.25">
      <c r="A15" t="s">
        <v>47</v>
      </c>
      <c r="B15">
        <v>178</v>
      </c>
      <c r="C15">
        <v>178</v>
      </c>
      <c r="D15">
        <v>240</v>
      </c>
      <c r="E15">
        <v>217</v>
      </c>
      <c r="F15">
        <v>204</v>
      </c>
      <c r="G15">
        <v>182</v>
      </c>
      <c r="H15">
        <v>181</v>
      </c>
      <c r="I15">
        <v>206</v>
      </c>
      <c r="J15">
        <v>198</v>
      </c>
      <c r="K15">
        <v>195</v>
      </c>
      <c r="L15">
        <v>172</v>
      </c>
      <c r="M15">
        <v>183</v>
      </c>
      <c r="N15">
        <v>184</v>
      </c>
      <c r="O15">
        <v>151</v>
      </c>
      <c r="P15">
        <v>161</v>
      </c>
      <c r="Q15">
        <v>158</v>
      </c>
      <c r="R15">
        <v>124</v>
      </c>
      <c r="S15">
        <v>157</v>
      </c>
      <c r="T15">
        <v>120</v>
      </c>
      <c r="U15">
        <v>136</v>
      </c>
      <c r="V15">
        <v>38.975257280490403</v>
      </c>
      <c r="W15">
        <v>39.0522158841597</v>
      </c>
      <c r="X15">
        <v>52.805280528052798</v>
      </c>
      <c r="Y15">
        <v>47.755281690140798</v>
      </c>
      <c r="Z15">
        <v>45.383759733036698</v>
      </c>
      <c r="AA15">
        <v>40.534521158129103</v>
      </c>
      <c r="AB15">
        <v>40.338756407399103</v>
      </c>
      <c r="AC15">
        <v>46.167637830569198</v>
      </c>
      <c r="AD15">
        <v>44.928522804628997</v>
      </c>
      <c r="AE15">
        <v>45.024243823597303</v>
      </c>
      <c r="AF15">
        <v>40.991420400381301</v>
      </c>
      <c r="AG15">
        <v>44.996311777723101</v>
      </c>
      <c r="AH15">
        <v>45.908183632734499</v>
      </c>
      <c r="AI15">
        <v>38.3540767081534</v>
      </c>
      <c r="AJ15">
        <v>41.829046505585801</v>
      </c>
      <c r="AK15">
        <v>41.458934662818102</v>
      </c>
      <c r="AL15">
        <v>33.351264120494797</v>
      </c>
      <c r="AM15">
        <v>42.158968850698102</v>
      </c>
      <c r="AN15">
        <v>32.4236692785733</v>
      </c>
      <c r="AO15">
        <v>36.746825182383098</v>
      </c>
    </row>
    <row r="16" spans="1:41" x14ac:dyDescent="0.25">
      <c r="A16" t="s">
        <v>3</v>
      </c>
      <c r="B16">
        <v>52878</v>
      </c>
      <c r="C16">
        <v>52447</v>
      </c>
      <c r="D16">
        <v>54467</v>
      </c>
      <c r="E16">
        <v>57358</v>
      </c>
      <c r="F16">
        <v>57917</v>
      </c>
      <c r="G16">
        <v>57418</v>
      </c>
      <c r="H16">
        <v>57041</v>
      </c>
      <c r="I16">
        <v>57371</v>
      </c>
      <c r="J16">
        <v>55820</v>
      </c>
      <c r="K16">
        <v>54709</v>
      </c>
      <c r="L16">
        <v>54725</v>
      </c>
      <c r="M16">
        <v>53981</v>
      </c>
      <c r="N16">
        <v>53045</v>
      </c>
      <c r="O16">
        <v>51415</v>
      </c>
      <c r="P16">
        <v>49977</v>
      </c>
      <c r="Q16">
        <v>48088</v>
      </c>
      <c r="R16">
        <v>45715</v>
      </c>
      <c r="S16">
        <v>47113</v>
      </c>
      <c r="T16">
        <v>44714</v>
      </c>
      <c r="U16">
        <v>44383</v>
      </c>
      <c r="V16">
        <v>49.713067284405597</v>
      </c>
      <c r="W16">
        <v>49.243142652728103</v>
      </c>
      <c r="X16">
        <v>51.2012318301758</v>
      </c>
      <c r="Y16">
        <v>53.791212295134201</v>
      </c>
      <c r="Z16">
        <v>54.405607675044898</v>
      </c>
      <c r="AA16">
        <v>54.113657718721697</v>
      </c>
      <c r="AB16">
        <v>53.897483190402902</v>
      </c>
      <c r="AC16">
        <v>54.201973231097398</v>
      </c>
      <c r="AD16">
        <v>53.233237299886603</v>
      </c>
      <c r="AE16">
        <v>52.7765344158299</v>
      </c>
      <c r="AF16">
        <v>53.2506492735628</v>
      </c>
      <c r="AG16">
        <v>52.697911256721298</v>
      </c>
      <c r="AH16">
        <v>51.981459341865403</v>
      </c>
      <c r="AI16">
        <v>50.598492132458503</v>
      </c>
      <c r="AJ16">
        <v>49.318158717690302</v>
      </c>
      <c r="AK16">
        <v>47.424624354528802</v>
      </c>
      <c r="AL16">
        <v>45.176451521413199</v>
      </c>
      <c r="AM16">
        <v>46.523041313108401</v>
      </c>
      <c r="AN16">
        <v>43.595938559697899</v>
      </c>
      <c r="AO16">
        <v>43.273215124906599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BBBAD-57EC-4860-99CF-107E82631424}">
  <dimension ref="A1:G18"/>
  <sheetViews>
    <sheetView zoomScale="90" zoomScaleNormal="90" workbookViewId="0">
      <selection activeCell="A2" sqref="A2"/>
    </sheetView>
  </sheetViews>
  <sheetFormatPr defaultRowHeight="15" x14ac:dyDescent="0.25"/>
  <cols>
    <col min="1" max="1" width="23.28515625" style="49" bestFit="1" customWidth="1"/>
    <col min="2" max="5" width="9.140625" style="49"/>
    <col min="6" max="6" width="23.28515625" style="49" bestFit="1" customWidth="1"/>
    <col min="7" max="7" width="24.28515625" style="50" customWidth="1"/>
    <col min="8" max="16384" width="9.140625" style="49"/>
  </cols>
  <sheetData>
    <row r="1" spans="1:7" x14ac:dyDescent="0.25">
      <c r="A1" s="54" t="s">
        <v>158</v>
      </c>
      <c r="B1" s="49" t="s">
        <v>0</v>
      </c>
      <c r="C1" s="49" t="s">
        <v>118</v>
      </c>
      <c r="F1" s="54" t="s">
        <v>159</v>
      </c>
      <c r="G1" s="50" t="s">
        <v>118</v>
      </c>
    </row>
    <row r="2" spans="1:7" x14ac:dyDescent="0.25">
      <c r="A2" s="49" t="s">
        <v>32</v>
      </c>
      <c r="B2" s="56" t="s">
        <v>488</v>
      </c>
      <c r="C2" s="56"/>
      <c r="G2" s="51" t="s">
        <v>490</v>
      </c>
    </row>
    <row r="3" spans="1:7" x14ac:dyDescent="0.25">
      <c r="A3" s="49" t="s">
        <v>10</v>
      </c>
      <c r="B3" s="49">
        <v>13268</v>
      </c>
      <c r="C3" s="52">
        <v>30.0357676461267</v>
      </c>
      <c r="F3" s="49" t="s">
        <v>14</v>
      </c>
      <c r="G3" s="50" t="s">
        <v>113</v>
      </c>
    </row>
    <row r="4" spans="1:7" x14ac:dyDescent="0.25">
      <c r="A4" s="49" t="s">
        <v>13</v>
      </c>
      <c r="B4" s="49">
        <v>7396</v>
      </c>
      <c r="C4" s="52">
        <v>16.742880427400735</v>
      </c>
      <c r="F4" s="49" t="s">
        <v>15</v>
      </c>
      <c r="G4" s="50" t="s">
        <v>113</v>
      </c>
    </row>
    <row r="5" spans="1:7" x14ac:dyDescent="0.25">
      <c r="A5" s="49" t="s">
        <v>9</v>
      </c>
      <c r="B5" s="49">
        <v>4613</v>
      </c>
      <c r="C5" s="52">
        <v>10.442794403948023</v>
      </c>
      <c r="F5" s="49" t="s">
        <v>17</v>
      </c>
      <c r="G5" s="50" t="s">
        <v>113</v>
      </c>
    </row>
    <row r="6" spans="1:7" x14ac:dyDescent="0.25">
      <c r="A6" s="49" t="s">
        <v>12</v>
      </c>
      <c r="B6" s="49">
        <v>3957</v>
      </c>
      <c r="C6" s="52">
        <v>8.9577579571693757</v>
      </c>
      <c r="F6" s="49" t="s">
        <v>10</v>
      </c>
      <c r="G6" s="53">
        <v>36.445215292964299</v>
      </c>
    </row>
    <row r="7" spans="1:7" x14ac:dyDescent="0.25">
      <c r="A7" s="49" t="s">
        <v>16</v>
      </c>
      <c r="B7" s="49">
        <v>3175</v>
      </c>
      <c r="C7" s="52">
        <v>7.1874858514058042</v>
      </c>
      <c r="F7" s="49" t="s">
        <v>4</v>
      </c>
      <c r="G7" s="53">
        <v>35.105580693815902</v>
      </c>
    </row>
    <row r="8" spans="1:7" x14ac:dyDescent="0.25">
      <c r="A8" s="49" t="s">
        <v>8</v>
      </c>
      <c r="B8" s="49">
        <v>2672</v>
      </c>
      <c r="C8" s="52">
        <v>6.0488069905374209</v>
      </c>
      <c r="F8" s="49" t="s">
        <v>12</v>
      </c>
      <c r="G8" s="53">
        <v>30.1820020222446</v>
      </c>
    </row>
    <row r="9" spans="1:7" x14ac:dyDescent="0.25">
      <c r="A9" s="49" t="s">
        <v>7</v>
      </c>
      <c r="B9" s="49">
        <v>2654</v>
      </c>
      <c r="C9" s="52">
        <v>6.0080590392538591</v>
      </c>
      <c r="F9" s="49" t="s">
        <v>7</v>
      </c>
      <c r="G9" s="53">
        <v>27.995478522984101</v>
      </c>
    </row>
    <row r="10" spans="1:7" x14ac:dyDescent="0.25">
      <c r="A10" s="49" t="s">
        <v>4</v>
      </c>
      <c r="B10" s="49">
        <v>2652</v>
      </c>
      <c r="C10" s="52">
        <v>6.0035314891112419</v>
      </c>
      <c r="F10" s="49" t="s">
        <v>16</v>
      </c>
      <c r="G10" s="53">
        <v>24.976348155156099</v>
      </c>
    </row>
    <row r="11" spans="1:7" x14ac:dyDescent="0.25">
      <c r="A11" s="49" t="s">
        <v>11</v>
      </c>
      <c r="B11" s="49">
        <v>1785</v>
      </c>
      <c r="C11" s="52">
        <v>4.0408385022864124</v>
      </c>
      <c r="F11" s="49" t="s">
        <v>3</v>
      </c>
      <c r="G11" s="53">
        <v>24.415953772882101</v>
      </c>
    </row>
    <row r="12" spans="1:7" x14ac:dyDescent="0.25">
      <c r="A12" s="49" t="s">
        <v>6</v>
      </c>
      <c r="B12" s="49">
        <v>1079</v>
      </c>
      <c r="C12" s="52">
        <v>2.4426133019423193</v>
      </c>
      <c r="F12" s="49" t="s">
        <v>8</v>
      </c>
      <c r="G12" s="53">
        <v>20.307807807807801</v>
      </c>
    </row>
    <row r="13" spans="1:7" x14ac:dyDescent="0.25">
      <c r="A13" s="49" t="s">
        <v>5</v>
      </c>
      <c r="B13" s="49">
        <v>615</v>
      </c>
      <c r="C13" s="52">
        <v>1.3922216688549827</v>
      </c>
      <c r="F13" s="49" t="s">
        <v>13</v>
      </c>
      <c r="G13" s="53">
        <v>14.4542372881355</v>
      </c>
    </row>
    <row r="14" spans="1:7" x14ac:dyDescent="0.25">
      <c r="A14" s="49" t="s">
        <v>17</v>
      </c>
      <c r="B14" s="49">
        <v>136</v>
      </c>
      <c r="C14" s="52">
        <v>0.30787340969801241</v>
      </c>
      <c r="F14" s="49" t="s">
        <v>6</v>
      </c>
      <c r="G14" s="53">
        <v>13.5813953488372</v>
      </c>
    </row>
    <row r="15" spans="1:7" x14ac:dyDescent="0.25">
      <c r="A15" s="49" t="s">
        <v>14</v>
      </c>
      <c r="B15" s="49">
        <v>107</v>
      </c>
      <c r="C15" s="52">
        <v>0.24222393263005387</v>
      </c>
      <c r="F15" s="49" t="s">
        <v>11</v>
      </c>
      <c r="G15" s="53">
        <v>12.1008403361344</v>
      </c>
    </row>
    <row r="16" spans="1:7" x14ac:dyDescent="0.25">
      <c r="A16" s="49" t="s">
        <v>15</v>
      </c>
      <c r="B16" s="49">
        <v>65</v>
      </c>
      <c r="C16" s="52">
        <v>0.14714537963507945</v>
      </c>
      <c r="F16" s="49" t="s">
        <v>5</v>
      </c>
      <c r="G16" s="53">
        <v>7.7186963979416801</v>
      </c>
    </row>
    <row r="17" spans="1:7" x14ac:dyDescent="0.25">
      <c r="A17" s="49" t="s">
        <v>481</v>
      </c>
      <c r="B17" s="54">
        <v>44174</v>
      </c>
      <c r="C17" s="55">
        <v>100</v>
      </c>
      <c r="F17" s="49" t="s">
        <v>9</v>
      </c>
      <c r="G17" s="53">
        <v>5.9423118629364504</v>
      </c>
    </row>
    <row r="18" spans="1:7" x14ac:dyDescent="0.25">
      <c r="A18" s="49" t="s">
        <v>32</v>
      </c>
    </row>
  </sheetData>
  <sortState xmlns:xlrd2="http://schemas.microsoft.com/office/spreadsheetml/2017/richdata2" ref="A20:B33">
    <sortCondition descending="1" ref="B33"/>
  </sortState>
  <mergeCells count="1">
    <mergeCell ref="B2:C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A4DC0-C4A8-4BC3-A8AF-F06EFF2C808A}">
  <dimension ref="A1:V64"/>
  <sheetViews>
    <sheetView topLeftCell="B1" zoomScale="95" zoomScaleNormal="95" workbookViewId="0">
      <selection activeCell="B3" sqref="B3"/>
    </sheetView>
  </sheetViews>
  <sheetFormatPr defaultRowHeight="14.25" x14ac:dyDescent="0.2"/>
  <cols>
    <col min="1" max="1" width="4.140625" style="7" hidden="1" customWidth="1"/>
    <col min="2" max="2" width="23.7109375" style="7" customWidth="1"/>
    <col min="3" max="22" width="8.28515625" style="7" customWidth="1"/>
    <col min="23" max="16384" width="9.140625" style="7"/>
  </cols>
  <sheetData>
    <row r="1" spans="1:22" ht="15.75" x14ac:dyDescent="0.25">
      <c r="B1" s="5" t="s">
        <v>511</v>
      </c>
      <c r="R1" s="5" t="s">
        <v>32</v>
      </c>
    </row>
    <row r="2" spans="1:22" ht="15.75" x14ac:dyDescent="0.25">
      <c r="B2" s="8" t="s">
        <v>89</v>
      </c>
    </row>
    <row r="3" spans="1:22" s="17" customFormat="1" ht="12.75" x14ac:dyDescent="0.2"/>
    <row r="4" spans="1:22" s="17" customFormat="1" ht="12.75" x14ac:dyDescent="0.2">
      <c r="B4" s="18" t="s">
        <v>30</v>
      </c>
      <c r="C4" s="19" t="s">
        <v>0</v>
      </c>
    </row>
    <row r="5" spans="1:22" s="17" customFormat="1" ht="12.75" x14ac:dyDescent="0.2">
      <c r="C5" s="12" t="s">
        <v>119</v>
      </c>
      <c r="D5" s="12" t="s">
        <v>120</v>
      </c>
      <c r="E5" s="12" t="s">
        <v>121</v>
      </c>
      <c r="F5" s="12" t="s">
        <v>122</v>
      </c>
      <c r="G5" s="12" t="s">
        <v>123</v>
      </c>
      <c r="H5" s="12" t="s">
        <v>124</v>
      </c>
      <c r="I5" s="12" t="s">
        <v>125</v>
      </c>
      <c r="J5" s="12" t="s">
        <v>126</v>
      </c>
      <c r="K5" s="12" t="s">
        <v>127</v>
      </c>
      <c r="L5" s="12" t="s">
        <v>128</v>
      </c>
      <c r="M5" s="12" t="s">
        <v>129</v>
      </c>
      <c r="N5" s="12" t="s">
        <v>130</v>
      </c>
      <c r="O5" s="12" t="s">
        <v>131</v>
      </c>
      <c r="P5" s="12" t="s">
        <v>132</v>
      </c>
      <c r="Q5" s="12" t="s">
        <v>133</v>
      </c>
      <c r="R5" s="12" t="s">
        <v>134</v>
      </c>
      <c r="S5" s="12" t="s">
        <v>135</v>
      </c>
      <c r="T5" s="12" t="s">
        <v>136</v>
      </c>
      <c r="U5" s="12" t="s">
        <v>137</v>
      </c>
      <c r="V5" s="12" t="s">
        <v>488</v>
      </c>
    </row>
    <row r="6" spans="1:22" s="17" customFormat="1" ht="12.75" x14ac:dyDescent="0.2">
      <c r="A6" s="17" t="s">
        <v>34</v>
      </c>
      <c r="B6" s="17" t="s">
        <v>4</v>
      </c>
      <c r="C6" s="27">
        <f>VLOOKUP(CONCATENATE($A6,Lookup!$B$2),t1.2, 2,0)</f>
        <v>3541</v>
      </c>
      <c r="D6" s="27">
        <f>VLOOKUP(CONCATENATE($A6,Lookup!$B$2),t1.2, 3,0)</f>
        <v>3524</v>
      </c>
      <c r="E6" s="27">
        <f>VLOOKUP(CONCATENATE($A6,Lookup!$B$2),t1.2, 4,0)</f>
        <v>3694</v>
      </c>
      <c r="F6" s="27">
        <f>VLOOKUP(CONCATENATE($A6,Lookup!$B$2),t1.2, 5,0)</f>
        <v>3761</v>
      </c>
      <c r="G6" s="27">
        <f>VLOOKUP(CONCATENATE($A6,Lookup!$B$2),t1.2, 6,0)</f>
        <v>3778</v>
      </c>
      <c r="H6" s="27">
        <f>VLOOKUP(CONCATENATE($A6,Lookup!$B$2),t1.2, 7,0)</f>
        <v>3692</v>
      </c>
      <c r="I6" s="27">
        <f>VLOOKUP(CONCATENATE($A6,Lookup!$B$2),t1.2, 8,0)</f>
        <v>3796</v>
      </c>
      <c r="J6" s="27">
        <f>VLOOKUP(CONCATENATE($A6,Lookup!$B$2),t1.2, 9,0)</f>
        <v>3739</v>
      </c>
      <c r="K6" s="27">
        <f>VLOOKUP(CONCATENATE($A6,Lookup!$B$2),t1.2, 10,0)</f>
        <v>3553</v>
      </c>
      <c r="L6" s="27">
        <f>VLOOKUP(CONCATENATE($A6,Lookup!$B$2),t1.2, 11,0)</f>
        <v>3430</v>
      </c>
      <c r="M6" s="27">
        <f>VLOOKUP(CONCATENATE($A6,Lookup!$B$2),t1.2, 12,0)</f>
        <v>3503</v>
      </c>
      <c r="N6" s="27">
        <f>VLOOKUP(CONCATENATE($A6,Lookup!$B$2),t1.2, 13,0)</f>
        <v>3419</v>
      </c>
      <c r="O6" s="27">
        <f>VLOOKUP(CONCATENATE($A6,Lookup!$B$2),t1.2, 14,0)</f>
        <v>3296</v>
      </c>
      <c r="P6" s="27">
        <f>VLOOKUP(CONCATENATE($A6,Lookup!$B$2),t1.2, 15,0)</f>
        <v>3198</v>
      </c>
      <c r="Q6" s="27">
        <f>VLOOKUP(CONCATENATE($A6,Lookup!$B$2),t1.2, 16,0)</f>
        <v>2991</v>
      </c>
      <c r="R6" s="27">
        <f>VLOOKUP(CONCATENATE($A6,Lookup!$B$2),t1.2, 17,0)</f>
        <v>3064</v>
      </c>
      <c r="S6" s="27">
        <f>VLOOKUP(CONCATENATE($A6,Lookup!$B$2),t1.2, 18,0)</f>
        <v>2753</v>
      </c>
      <c r="T6" s="27">
        <f>VLOOKUP(CONCATENATE($A6,Lookup!$B$2),t1.2, 19,0)</f>
        <v>2851</v>
      </c>
      <c r="U6" s="27">
        <f>VLOOKUP(CONCATENATE($A6,Lookup!$B$2),t1.2, 20,0)</f>
        <v>2644</v>
      </c>
      <c r="V6" s="27">
        <f>VLOOKUP(CONCATENATE($A6,Lookup!$B$2),t1.2, 21,0)</f>
        <v>2652</v>
      </c>
    </row>
    <row r="7" spans="1:22" s="17" customFormat="1" ht="12.75" x14ac:dyDescent="0.2">
      <c r="A7" s="17" t="s">
        <v>35</v>
      </c>
      <c r="B7" s="17" t="s">
        <v>5</v>
      </c>
      <c r="C7" s="27">
        <f>VLOOKUP(CONCATENATE($A7,Lookup!$B$2),t1.2, 2,0)</f>
        <v>1019</v>
      </c>
      <c r="D7" s="27">
        <f>VLOOKUP(CONCATENATE($A7,Lookup!$B$2),t1.2, 3,0)</f>
        <v>979</v>
      </c>
      <c r="E7" s="27">
        <f>VLOOKUP(CONCATENATE($A7,Lookup!$B$2),t1.2, 4,0)</f>
        <v>1095</v>
      </c>
      <c r="F7" s="27">
        <f>VLOOKUP(CONCATENATE($A7,Lookup!$B$2),t1.2, 5,0)</f>
        <v>1132</v>
      </c>
      <c r="G7" s="27">
        <f>VLOOKUP(CONCATENATE($A7,Lookup!$B$2),t1.2, 6,0)</f>
        <v>1190</v>
      </c>
      <c r="H7" s="27">
        <f>VLOOKUP(CONCATENATE($A7,Lookup!$B$2),t1.2, 7,0)</f>
        <v>1204</v>
      </c>
      <c r="I7" s="27">
        <f>VLOOKUP(CONCATENATE($A7,Lookup!$B$2),t1.2, 8,0)</f>
        <v>1177</v>
      </c>
      <c r="J7" s="27">
        <f>VLOOKUP(CONCATENATE($A7,Lookup!$B$2),t1.2, 9,0)</f>
        <v>1129</v>
      </c>
      <c r="K7" s="27">
        <f>VLOOKUP(CONCATENATE($A7,Lookup!$B$2),t1.2, 10,0)</f>
        <v>1161</v>
      </c>
      <c r="L7" s="27">
        <f>VLOOKUP(CONCATENATE($A7,Lookup!$B$2),t1.2, 11,0)</f>
        <v>1122</v>
      </c>
      <c r="M7" s="27">
        <f>VLOOKUP(CONCATENATE($A7,Lookup!$B$2),t1.2, 12,0)</f>
        <v>1035</v>
      </c>
      <c r="N7" s="27">
        <f>VLOOKUP(CONCATENATE($A7,Lookup!$B$2),t1.2, 13,0)</f>
        <v>1047</v>
      </c>
      <c r="O7" s="27">
        <f>VLOOKUP(CONCATENATE($A7,Lookup!$B$2),t1.2, 14,0)</f>
        <v>976</v>
      </c>
      <c r="P7" s="27">
        <f>VLOOKUP(CONCATENATE($A7,Lookup!$B$2),t1.2, 15,0)</f>
        <v>986</v>
      </c>
      <c r="Q7" s="27">
        <f>VLOOKUP(CONCATENATE($A7,Lookup!$B$2),t1.2, 16,0)</f>
        <v>967</v>
      </c>
      <c r="R7" s="27">
        <f>VLOOKUP(CONCATENATE($A7,Lookup!$B$2),t1.2, 17,0)</f>
        <v>884</v>
      </c>
      <c r="S7" s="27">
        <f>VLOOKUP(CONCATENATE($A7,Lookup!$B$2),t1.2, 18,0)</f>
        <v>817</v>
      </c>
      <c r="T7" s="27">
        <f>VLOOKUP(CONCATENATE($A7,Lookup!$B$2),t1.2, 19,0)</f>
        <v>842</v>
      </c>
      <c r="U7" s="27">
        <f>VLOOKUP(CONCATENATE($A7,Lookup!$B$2),t1.2, 20,0)</f>
        <v>666</v>
      </c>
      <c r="V7" s="27">
        <f>VLOOKUP(CONCATENATE($A7,Lookup!$B$2),t1.2, 21,0)</f>
        <v>615</v>
      </c>
    </row>
    <row r="8" spans="1:22" s="17" customFormat="1" ht="12.75" x14ac:dyDescent="0.2">
      <c r="A8" s="17" t="s">
        <v>36</v>
      </c>
      <c r="B8" s="17" t="s">
        <v>6</v>
      </c>
      <c r="C8" s="27">
        <f>VLOOKUP(CONCATENATE($A8,Lookup!$B$2),t1.2, 2,0)</f>
        <v>1363</v>
      </c>
      <c r="D8" s="27">
        <f>VLOOKUP(CONCATENATE($A8,Lookup!$B$2),t1.2, 3,0)</f>
        <v>1377</v>
      </c>
      <c r="E8" s="27">
        <f>VLOOKUP(CONCATENATE($A8,Lookup!$B$2),t1.2, 4,0)</f>
        <v>1424</v>
      </c>
      <c r="F8" s="27">
        <f>VLOOKUP(CONCATENATE($A8,Lookup!$B$2),t1.2, 5,0)</f>
        <v>1437</v>
      </c>
      <c r="G8" s="27">
        <f>VLOOKUP(CONCATENATE($A8,Lookup!$B$2),t1.2, 6,0)</f>
        <v>1391</v>
      </c>
      <c r="H8" s="27">
        <f>VLOOKUP(CONCATENATE($A8,Lookup!$B$2),t1.2, 7,0)</f>
        <v>1438</v>
      </c>
      <c r="I8" s="27">
        <f>VLOOKUP(CONCATENATE($A8,Lookup!$B$2),t1.2, 8,0)</f>
        <v>1383</v>
      </c>
      <c r="J8" s="27">
        <f>VLOOKUP(CONCATENATE($A8,Lookup!$B$2),t1.2, 9,0)</f>
        <v>1363</v>
      </c>
      <c r="K8" s="27">
        <f>VLOOKUP(CONCATENATE($A8,Lookup!$B$2),t1.2, 10,0)</f>
        <v>1331</v>
      </c>
      <c r="L8" s="27">
        <f>VLOOKUP(CONCATENATE($A8,Lookup!$B$2),t1.2, 11,0)</f>
        <v>1251</v>
      </c>
      <c r="M8" s="27">
        <f>VLOOKUP(CONCATENATE($A8,Lookup!$B$2),t1.2, 12,0)</f>
        <v>1194</v>
      </c>
      <c r="N8" s="27">
        <f>VLOOKUP(CONCATENATE($A8,Lookup!$B$2),t1.2, 13,0)</f>
        <v>1253</v>
      </c>
      <c r="O8" s="27">
        <f>VLOOKUP(CONCATENATE($A8,Lookup!$B$2),t1.2, 14,0)</f>
        <v>1221</v>
      </c>
      <c r="P8" s="27">
        <f>VLOOKUP(CONCATENATE($A8,Lookup!$B$2),t1.2, 15,0)</f>
        <v>1247</v>
      </c>
      <c r="Q8" s="27">
        <f>VLOOKUP(CONCATENATE($A8,Lookup!$B$2),t1.2, 16,0)</f>
        <v>1129</v>
      </c>
      <c r="R8" s="27">
        <f>VLOOKUP(CONCATENATE($A8,Lookup!$B$2),t1.2, 17,0)</f>
        <v>1112</v>
      </c>
      <c r="S8" s="27">
        <f>VLOOKUP(CONCATENATE($A8,Lookup!$B$2),t1.2, 18,0)</f>
        <v>1083</v>
      </c>
      <c r="T8" s="27">
        <f>VLOOKUP(CONCATENATE($A8,Lookup!$B$2),t1.2, 19,0)</f>
        <v>1076</v>
      </c>
      <c r="U8" s="27">
        <f>VLOOKUP(CONCATENATE($A8,Lookup!$B$2),t1.2, 20,0)</f>
        <v>1064</v>
      </c>
      <c r="V8" s="27">
        <f>VLOOKUP(CONCATENATE($A8,Lookup!$B$2),t1.2, 21,0)</f>
        <v>1079</v>
      </c>
    </row>
    <row r="9" spans="1:22" s="17" customFormat="1" ht="12.75" x14ac:dyDescent="0.2">
      <c r="A9" s="17" t="s">
        <v>37</v>
      </c>
      <c r="B9" s="17" t="s">
        <v>7</v>
      </c>
      <c r="C9" s="27">
        <f>VLOOKUP(CONCATENATE($A9,Lookup!$B$2),t1.2, 2,0)</f>
        <v>3290</v>
      </c>
      <c r="D9" s="27">
        <f>VLOOKUP(CONCATENATE($A9,Lookup!$B$2),t1.2, 3,0)</f>
        <v>3315</v>
      </c>
      <c r="E9" s="27">
        <f>VLOOKUP(CONCATENATE($A9,Lookup!$B$2),t1.2, 4,0)</f>
        <v>3487</v>
      </c>
      <c r="F9" s="27">
        <f>VLOOKUP(CONCATENATE($A9,Lookup!$B$2),t1.2, 5,0)</f>
        <v>3672</v>
      </c>
      <c r="G9" s="27">
        <f>VLOOKUP(CONCATENATE($A9,Lookup!$B$2),t1.2, 6,0)</f>
        <v>3798</v>
      </c>
      <c r="H9" s="27">
        <f>VLOOKUP(CONCATENATE($A9,Lookup!$B$2),t1.2, 7,0)</f>
        <v>3752</v>
      </c>
      <c r="I9" s="27">
        <f>VLOOKUP(CONCATENATE($A9,Lookup!$B$2),t1.2, 8,0)</f>
        <v>3721</v>
      </c>
      <c r="J9" s="27">
        <f>VLOOKUP(CONCATENATE($A9,Lookup!$B$2),t1.2, 9,0)</f>
        <v>3733</v>
      </c>
      <c r="K9" s="27">
        <f>VLOOKUP(CONCATENATE($A9,Lookup!$B$2),t1.2, 10,0)</f>
        <v>3486</v>
      </c>
      <c r="L9" s="27">
        <f>VLOOKUP(CONCATENATE($A9,Lookup!$B$2),t1.2, 11,0)</f>
        <v>3436</v>
      </c>
      <c r="M9" s="27">
        <f>VLOOKUP(CONCATENATE($A9,Lookup!$B$2),t1.2, 12,0)</f>
        <v>3435</v>
      </c>
      <c r="N9" s="27">
        <f>VLOOKUP(CONCATENATE($A9,Lookup!$B$2),t1.2, 13,0)</f>
        <v>3318</v>
      </c>
      <c r="O9" s="27">
        <f>VLOOKUP(CONCATENATE($A9,Lookup!$B$2),t1.2, 14,0)</f>
        <v>3315</v>
      </c>
      <c r="P9" s="27">
        <f>VLOOKUP(CONCATENATE($A9,Lookup!$B$2),t1.2, 15,0)</f>
        <v>3135</v>
      </c>
      <c r="Q9" s="27">
        <f>VLOOKUP(CONCATENATE($A9,Lookup!$B$2),t1.2, 16,0)</f>
        <v>3095</v>
      </c>
      <c r="R9" s="27">
        <f>VLOOKUP(CONCATENATE($A9,Lookup!$B$2),t1.2, 17,0)</f>
        <v>2890</v>
      </c>
      <c r="S9" s="27">
        <f>VLOOKUP(CONCATENATE($A9,Lookup!$B$2),t1.2, 18,0)</f>
        <v>2724</v>
      </c>
      <c r="T9" s="27">
        <f>VLOOKUP(CONCATENATE($A9,Lookup!$B$2),t1.2, 19,0)</f>
        <v>2674</v>
      </c>
      <c r="U9" s="27">
        <f>VLOOKUP(CONCATENATE($A9,Lookup!$B$2),t1.2, 20,0)</f>
        <v>2538</v>
      </c>
      <c r="V9" s="27">
        <f>VLOOKUP(CONCATENATE($A9,Lookup!$B$2),t1.2, 21,0)</f>
        <v>2654</v>
      </c>
    </row>
    <row r="10" spans="1:22" s="17" customFormat="1" ht="12.75" x14ac:dyDescent="0.2">
      <c r="A10" s="17" t="s">
        <v>38</v>
      </c>
      <c r="B10" s="17" t="s">
        <v>8</v>
      </c>
      <c r="C10" s="27">
        <f>VLOOKUP(CONCATENATE($A10,Lookup!$B$2),t1.2, 2,0)</f>
        <v>3098</v>
      </c>
      <c r="D10" s="27">
        <f>VLOOKUP(CONCATENATE($A10,Lookup!$B$2),t1.2, 3,0)</f>
        <v>3134</v>
      </c>
      <c r="E10" s="27">
        <f>VLOOKUP(CONCATENATE($A10,Lookup!$B$2),t1.2, 4,0)</f>
        <v>3185</v>
      </c>
      <c r="F10" s="27">
        <f>VLOOKUP(CONCATENATE($A10,Lookup!$B$2),t1.2, 5,0)</f>
        <v>3286</v>
      </c>
      <c r="G10" s="27">
        <f>VLOOKUP(CONCATENATE($A10,Lookup!$B$2),t1.2, 6,0)</f>
        <v>3228</v>
      </c>
      <c r="H10" s="27">
        <f>VLOOKUP(CONCATENATE($A10,Lookup!$B$2),t1.2, 7,0)</f>
        <v>3288</v>
      </c>
      <c r="I10" s="27">
        <f>VLOOKUP(CONCATENATE($A10,Lookup!$B$2),t1.2, 8,0)</f>
        <v>3182</v>
      </c>
      <c r="J10" s="27">
        <f>VLOOKUP(CONCATENATE($A10,Lookup!$B$2),t1.2, 9,0)</f>
        <v>3178</v>
      </c>
      <c r="K10" s="27">
        <f>VLOOKUP(CONCATENATE($A10,Lookup!$B$2),t1.2, 10,0)</f>
        <v>3140</v>
      </c>
      <c r="L10" s="27">
        <f>VLOOKUP(CONCATENATE($A10,Lookup!$B$2),t1.2, 11,0)</f>
        <v>3116</v>
      </c>
      <c r="M10" s="27">
        <f>VLOOKUP(CONCATENATE($A10,Lookup!$B$2),t1.2, 12,0)</f>
        <v>3099</v>
      </c>
      <c r="N10" s="27">
        <f>VLOOKUP(CONCATENATE($A10,Lookup!$B$2),t1.2, 13,0)</f>
        <v>3089</v>
      </c>
      <c r="O10" s="27">
        <f>VLOOKUP(CONCATENATE($A10,Lookup!$B$2),t1.2, 14,0)</f>
        <v>3073</v>
      </c>
      <c r="P10" s="27">
        <f>VLOOKUP(CONCATENATE($A10,Lookup!$B$2),t1.2, 15,0)</f>
        <v>2986</v>
      </c>
      <c r="Q10" s="27">
        <f>VLOOKUP(CONCATENATE($A10,Lookup!$B$2),t1.2, 16,0)</f>
        <v>2904</v>
      </c>
      <c r="R10" s="27">
        <f>VLOOKUP(CONCATENATE($A10,Lookup!$B$2),t1.2, 17,0)</f>
        <v>2779</v>
      </c>
      <c r="S10" s="27">
        <f>VLOOKUP(CONCATENATE($A10,Lookup!$B$2),t1.2, 18,0)</f>
        <v>2816</v>
      </c>
      <c r="T10" s="27">
        <f>VLOOKUP(CONCATENATE($A10,Lookup!$B$2),t1.2, 19,0)</f>
        <v>2861</v>
      </c>
      <c r="U10" s="27">
        <f>VLOOKUP(CONCATENATE($A10,Lookup!$B$2),t1.2, 20,0)</f>
        <v>2749</v>
      </c>
      <c r="V10" s="27">
        <f>VLOOKUP(CONCATENATE($A10,Lookup!$B$2),t1.2, 21,0)</f>
        <v>2672</v>
      </c>
    </row>
    <row r="11" spans="1:22" s="17" customFormat="1" ht="12.75" x14ac:dyDescent="0.2">
      <c r="A11" s="17" t="s">
        <v>39</v>
      </c>
      <c r="B11" s="17" t="s">
        <v>9</v>
      </c>
      <c r="C11" s="27">
        <f>VLOOKUP(CONCATENATE($A11,Lookup!$B$2),t1.2, 2,0)</f>
        <v>5371</v>
      </c>
      <c r="D11" s="27">
        <f>VLOOKUP(CONCATENATE($A11,Lookup!$B$2),t1.2, 3,0)</f>
        <v>5389</v>
      </c>
      <c r="E11" s="27">
        <f>VLOOKUP(CONCATENATE($A11,Lookup!$B$2),t1.2, 4,0)</f>
        <v>5887</v>
      </c>
      <c r="F11" s="27">
        <f>VLOOKUP(CONCATENATE($A11,Lookup!$B$2),t1.2, 5,0)</f>
        <v>6080</v>
      </c>
      <c r="G11" s="27">
        <f>VLOOKUP(CONCATENATE($A11,Lookup!$B$2),t1.2, 6,0)</f>
        <v>6220</v>
      </c>
      <c r="H11" s="27">
        <f>VLOOKUP(CONCATENATE($A11,Lookup!$B$2),t1.2, 7,0)</f>
        <v>6390</v>
      </c>
      <c r="I11" s="27">
        <f>VLOOKUP(CONCATENATE($A11,Lookup!$B$2),t1.2, 8,0)</f>
        <v>6161</v>
      </c>
      <c r="J11" s="27">
        <f>VLOOKUP(CONCATENATE($A11,Lookup!$B$2),t1.2, 9,0)</f>
        <v>6237</v>
      </c>
      <c r="K11" s="27">
        <f>VLOOKUP(CONCATENATE($A11,Lookup!$B$2),t1.2, 10,0)</f>
        <v>6321</v>
      </c>
      <c r="L11" s="27">
        <f>VLOOKUP(CONCATENATE($A11,Lookup!$B$2),t1.2, 11,0)</f>
        <v>6289</v>
      </c>
      <c r="M11" s="27">
        <f>VLOOKUP(CONCATENATE($A11,Lookup!$B$2),t1.2, 12,0)</f>
        <v>6231</v>
      </c>
      <c r="N11" s="27">
        <f>VLOOKUP(CONCATENATE($A11,Lookup!$B$2),t1.2, 13,0)</f>
        <v>6416</v>
      </c>
      <c r="O11" s="27">
        <f>VLOOKUP(CONCATENATE($A11,Lookup!$B$2),t1.2, 14,0)</f>
        <v>6223</v>
      </c>
      <c r="P11" s="27">
        <f>VLOOKUP(CONCATENATE($A11,Lookup!$B$2),t1.2, 15,0)</f>
        <v>5894</v>
      </c>
      <c r="Q11" s="27">
        <f>VLOOKUP(CONCATENATE($A11,Lookup!$B$2),t1.2, 16,0)</f>
        <v>5798</v>
      </c>
      <c r="R11" s="27">
        <f>VLOOKUP(CONCATENATE($A11,Lookup!$B$2),t1.2, 17,0)</f>
        <v>5364</v>
      </c>
      <c r="S11" s="27">
        <f>VLOOKUP(CONCATENATE($A11,Lookup!$B$2),t1.2, 18,0)</f>
        <v>4928</v>
      </c>
      <c r="T11" s="27">
        <f>VLOOKUP(CONCATENATE($A11,Lookup!$B$2),t1.2, 19,0)</f>
        <v>5132</v>
      </c>
      <c r="U11" s="27">
        <f>VLOOKUP(CONCATENATE($A11,Lookup!$B$2),t1.2, 20,0)</f>
        <v>4704</v>
      </c>
      <c r="V11" s="27">
        <f>VLOOKUP(CONCATENATE($A11,Lookup!$B$2),t1.2, 21,0)</f>
        <v>4613</v>
      </c>
    </row>
    <row r="12" spans="1:22" s="17" customFormat="1" ht="12.75" x14ac:dyDescent="0.2">
      <c r="A12" s="17" t="s">
        <v>40</v>
      </c>
      <c r="B12" s="17" t="s">
        <v>10</v>
      </c>
      <c r="C12" s="27">
        <f>VLOOKUP(CONCATENATE($A12,Lookup!$B$2),t1.2, 2,0)</f>
        <v>15065</v>
      </c>
      <c r="D12" s="27">
        <f>VLOOKUP(CONCATENATE($A12,Lookup!$B$2),t1.2, 3,0)</f>
        <v>14756</v>
      </c>
      <c r="E12" s="27">
        <f>VLOOKUP(CONCATENATE($A12,Lookup!$B$2),t1.2, 4,0)</f>
        <v>15151</v>
      </c>
      <c r="F12" s="27">
        <f>VLOOKUP(CONCATENATE($A12,Lookup!$B$2),t1.2, 5,0)</f>
        <v>15970</v>
      </c>
      <c r="G12" s="27">
        <f>VLOOKUP(CONCATENATE($A12,Lookup!$B$2),t1.2, 6,0)</f>
        <v>15991</v>
      </c>
      <c r="H12" s="27">
        <f>VLOOKUP(CONCATENATE($A12,Lookup!$B$2),t1.2, 7,0)</f>
        <v>15986</v>
      </c>
      <c r="I12" s="27">
        <f>VLOOKUP(CONCATENATE($A12,Lookup!$B$2),t1.2, 8,0)</f>
        <v>15636</v>
      </c>
      <c r="J12" s="27">
        <f>VLOOKUP(CONCATENATE($A12,Lookup!$B$2),t1.2, 9,0)</f>
        <v>15828</v>
      </c>
      <c r="K12" s="27">
        <f>VLOOKUP(CONCATENATE($A12,Lookup!$B$2),t1.2, 10,0)</f>
        <v>15426</v>
      </c>
      <c r="L12" s="27">
        <f>VLOOKUP(CONCATENATE($A12,Lookup!$B$2),t1.2, 11,0)</f>
        <v>14815</v>
      </c>
      <c r="M12" s="27">
        <f>VLOOKUP(CONCATENATE($A12,Lookup!$B$2),t1.2, 12,0)</f>
        <v>15080</v>
      </c>
      <c r="N12" s="27">
        <f>VLOOKUP(CONCATENATE($A12,Lookup!$B$2),t1.2, 13,0)</f>
        <v>14866</v>
      </c>
      <c r="O12" s="27">
        <f>VLOOKUP(CONCATENATE($A12,Lookup!$B$2),t1.2, 14,0)</f>
        <v>14681</v>
      </c>
      <c r="P12" s="27">
        <f>VLOOKUP(CONCATENATE($A12,Lookup!$B$2),t1.2, 15,0)</f>
        <v>14477</v>
      </c>
      <c r="Q12" s="27">
        <f>VLOOKUP(CONCATENATE($A12,Lookup!$B$2),t1.2, 16,0)</f>
        <v>14140</v>
      </c>
      <c r="R12" s="27">
        <f>VLOOKUP(CONCATENATE($A12,Lookup!$B$2),t1.2, 17,0)</f>
        <v>13571</v>
      </c>
      <c r="S12" s="27">
        <f>VLOOKUP(CONCATENATE($A12,Lookup!$B$2),t1.2, 18,0)</f>
        <v>12768</v>
      </c>
      <c r="T12" s="27">
        <f>VLOOKUP(CONCATENATE($A12,Lookup!$B$2),t1.2, 19,0)</f>
        <v>13073</v>
      </c>
      <c r="U12" s="27">
        <f>VLOOKUP(CONCATENATE($A12,Lookup!$B$2),t1.2, 20,0)</f>
        <v>12803</v>
      </c>
      <c r="V12" s="27">
        <f>VLOOKUP(CONCATENATE($A12,Lookup!$B$2),t1.2, 21,0)</f>
        <v>13268</v>
      </c>
    </row>
    <row r="13" spans="1:22" s="17" customFormat="1" ht="12.75" x14ac:dyDescent="0.2">
      <c r="A13" s="17" t="s">
        <v>41</v>
      </c>
      <c r="B13" s="17" t="s">
        <v>11</v>
      </c>
      <c r="C13" s="27">
        <f>VLOOKUP(CONCATENATE($A13,Lookup!$B$2),t1.2, 2,0)</f>
        <v>2241</v>
      </c>
      <c r="D13" s="27">
        <f>VLOOKUP(CONCATENATE($A13,Lookup!$B$2),t1.2, 3,0)</f>
        <v>2266</v>
      </c>
      <c r="E13" s="27">
        <f>VLOOKUP(CONCATENATE($A13,Lookup!$B$2),t1.2, 4,0)</f>
        <v>2242</v>
      </c>
      <c r="F13" s="27">
        <f>VLOOKUP(CONCATENATE($A13,Lookup!$B$2),t1.2, 5,0)</f>
        <v>2401</v>
      </c>
      <c r="G13" s="27">
        <f>VLOOKUP(CONCATENATE($A13,Lookup!$B$2),t1.2, 6,0)</f>
        <v>2565</v>
      </c>
      <c r="H13" s="27">
        <f>VLOOKUP(CONCATENATE($A13,Lookup!$B$2),t1.2, 7,0)</f>
        <v>2420</v>
      </c>
      <c r="I13" s="27">
        <f>VLOOKUP(CONCATENATE($A13,Lookup!$B$2),t1.2, 8,0)</f>
        <v>2491</v>
      </c>
      <c r="J13" s="27">
        <f>VLOOKUP(CONCATENATE($A13,Lookup!$B$2),t1.2, 9,0)</f>
        <v>2476</v>
      </c>
      <c r="K13" s="27">
        <f>VLOOKUP(CONCATENATE($A13,Lookup!$B$2),t1.2, 10,0)</f>
        <v>2380</v>
      </c>
      <c r="L13" s="27">
        <f>VLOOKUP(CONCATENATE($A13,Lookup!$B$2),t1.2, 11,0)</f>
        <v>2299</v>
      </c>
      <c r="M13" s="27">
        <f>VLOOKUP(CONCATENATE($A13,Lookup!$B$2),t1.2, 12,0)</f>
        <v>2299</v>
      </c>
      <c r="N13" s="27">
        <f>VLOOKUP(CONCATENATE($A13,Lookup!$B$2),t1.2, 13,0)</f>
        <v>2209</v>
      </c>
      <c r="O13" s="27">
        <f>VLOOKUP(CONCATENATE($A13,Lookup!$B$2),t1.2, 14,0)</f>
        <v>2147</v>
      </c>
      <c r="P13" s="27">
        <f>VLOOKUP(CONCATENATE($A13,Lookup!$B$2),t1.2, 15,0)</f>
        <v>2062</v>
      </c>
      <c r="Q13" s="27">
        <f>VLOOKUP(CONCATENATE($A13,Lookup!$B$2),t1.2, 16,0)</f>
        <v>1991</v>
      </c>
      <c r="R13" s="27">
        <f>VLOOKUP(CONCATENATE($A13,Lookup!$B$2),t1.2, 17,0)</f>
        <v>1965</v>
      </c>
      <c r="S13" s="27">
        <f>VLOOKUP(CONCATENATE($A13,Lookup!$B$2),t1.2, 18,0)</f>
        <v>1845</v>
      </c>
      <c r="T13" s="27">
        <f>VLOOKUP(CONCATENATE($A13,Lookup!$B$2),t1.2, 19,0)</f>
        <v>1884</v>
      </c>
      <c r="U13" s="27">
        <f>VLOOKUP(CONCATENATE($A13,Lookup!$B$2),t1.2, 20,0)</f>
        <v>1864</v>
      </c>
      <c r="V13" s="27">
        <f>VLOOKUP(CONCATENATE($A13,Lookup!$B$2),t1.2, 21,0)</f>
        <v>1785</v>
      </c>
    </row>
    <row r="14" spans="1:22" s="17" customFormat="1" ht="12.75" x14ac:dyDescent="0.2">
      <c r="A14" s="17" t="s">
        <v>42</v>
      </c>
      <c r="B14" s="17" t="s">
        <v>12</v>
      </c>
      <c r="C14" s="27">
        <f>VLOOKUP(CONCATENATE($A14,Lookup!$B$2),t1.2, 2,0)</f>
        <v>4720</v>
      </c>
      <c r="D14" s="27">
        <f>VLOOKUP(CONCATENATE($A14,Lookup!$B$2),t1.2, 3,0)</f>
        <v>4499</v>
      </c>
      <c r="E14" s="27">
        <f>VLOOKUP(CONCATENATE($A14,Lookup!$B$2),t1.2, 4,0)</f>
        <v>4846</v>
      </c>
      <c r="F14" s="27">
        <f>VLOOKUP(CONCATENATE($A14,Lookup!$B$2),t1.2, 5,0)</f>
        <v>4781</v>
      </c>
      <c r="G14" s="27">
        <f>VLOOKUP(CONCATENATE($A14,Lookup!$B$2),t1.2, 6,0)</f>
        <v>4881</v>
      </c>
      <c r="H14" s="27">
        <f>VLOOKUP(CONCATENATE($A14,Lookup!$B$2),t1.2, 7,0)</f>
        <v>4743</v>
      </c>
      <c r="I14" s="27">
        <f>VLOOKUP(CONCATENATE($A14,Lookup!$B$2),t1.2, 8,0)</f>
        <v>4883</v>
      </c>
      <c r="J14" s="27">
        <f>VLOOKUP(CONCATENATE($A14,Lookup!$B$2),t1.2, 9,0)</f>
        <v>4952</v>
      </c>
      <c r="K14" s="27">
        <f>VLOOKUP(CONCATENATE($A14,Lookup!$B$2),t1.2, 10,0)</f>
        <v>4766</v>
      </c>
      <c r="L14" s="27">
        <f>VLOOKUP(CONCATENATE($A14,Lookup!$B$2),t1.2, 11,0)</f>
        <v>4700</v>
      </c>
      <c r="M14" s="27">
        <f>VLOOKUP(CONCATENATE($A14,Lookup!$B$2),t1.2, 12,0)</f>
        <v>4723</v>
      </c>
      <c r="N14" s="27">
        <f>VLOOKUP(CONCATENATE($A14,Lookup!$B$2),t1.2, 13,0)</f>
        <v>4445</v>
      </c>
      <c r="O14" s="27">
        <f>VLOOKUP(CONCATENATE($A14,Lookup!$B$2),t1.2, 14,0)</f>
        <v>4435</v>
      </c>
      <c r="P14" s="27">
        <f>VLOOKUP(CONCATENATE($A14,Lookup!$B$2),t1.2, 15,0)</f>
        <v>4350</v>
      </c>
      <c r="Q14" s="27">
        <f>VLOOKUP(CONCATENATE($A14,Lookup!$B$2),t1.2, 16,0)</f>
        <v>4220</v>
      </c>
      <c r="R14" s="27">
        <f>VLOOKUP(CONCATENATE($A14,Lookup!$B$2),t1.2, 17,0)</f>
        <v>4165</v>
      </c>
      <c r="S14" s="27">
        <f>VLOOKUP(CONCATENATE($A14,Lookup!$B$2),t1.2, 18,0)</f>
        <v>4081</v>
      </c>
      <c r="T14" s="27">
        <f>VLOOKUP(CONCATENATE($A14,Lookup!$B$2),t1.2, 19,0)</f>
        <v>4166</v>
      </c>
      <c r="U14" s="27">
        <f>VLOOKUP(CONCATENATE($A14,Lookup!$B$2),t1.2, 20,0)</f>
        <v>4005</v>
      </c>
      <c r="V14" s="27">
        <f>VLOOKUP(CONCATENATE($A14,Lookup!$B$2),t1.2, 21,0)</f>
        <v>3957</v>
      </c>
    </row>
    <row r="15" spans="1:22" s="17" customFormat="1" ht="12.75" x14ac:dyDescent="0.2">
      <c r="A15" s="17" t="s">
        <v>43</v>
      </c>
      <c r="B15" s="17" t="s">
        <v>13</v>
      </c>
      <c r="C15" s="27">
        <f>VLOOKUP(CONCATENATE($A15,Lookup!$B$2),t1.2, 2,0)</f>
        <v>8453</v>
      </c>
      <c r="D15" s="27">
        <f>VLOOKUP(CONCATENATE($A15,Lookup!$B$2),t1.2, 3,0)</f>
        <v>8592</v>
      </c>
      <c r="E15" s="27">
        <f>VLOOKUP(CONCATENATE($A15,Lookup!$B$2),t1.2, 4,0)</f>
        <v>8833</v>
      </c>
      <c r="F15" s="27">
        <f>VLOOKUP(CONCATENATE($A15,Lookup!$B$2),t1.2, 5,0)</f>
        <v>9570</v>
      </c>
      <c r="G15" s="27">
        <f>VLOOKUP(CONCATENATE($A15,Lookup!$B$2),t1.2, 6,0)</f>
        <v>9633</v>
      </c>
      <c r="H15" s="27">
        <f>VLOOKUP(CONCATENATE($A15,Lookup!$B$2),t1.2, 7,0)</f>
        <v>9371</v>
      </c>
      <c r="I15" s="27">
        <f>VLOOKUP(CONCATENATE($A15,Lookup!$B$2),t1.2, 8,0)</f>
        <v>9583</v>
      </c>
      <c r="J15" s="27">
        <f>VLOOKUP(CONCATENATE($A15,Lookup!$B$2),t1.2, 9,0)</f>
        <v>9586</v>
      </c>
      <c r="K15" s="27">
        <f>VLOOKUP(CONCATENATE($A15,Lookup!$B$2),t1.2, 10,0)</f>
        <v>9352</v>
      </c>
      <c r="L15" s="27">
        <f>VLOOKUP(CONCATENATE($A15,Lookup!$B$2),t1.2, 11,0)</f>
        <v>9520</v>
      </c>
      <c r="M15" s="27">
        <f>VLOOKUP(CONCATENATE($A15,Lookup!$B$2),t1.2, 12,0)</f>
        <v>9233</v>
      </c>
      <c r="N15" s="27">
        <f>VLOOKUP(CONCATENATE($A15,Lookup!$B$2),t1.2, 13,0)</f>
        <v>9308</v>
      </c>
      <c r="O15" s="27">
        <f>VLOOKUP(CONCATENATE($A15,Lookup!$B$2),t1.2, 14,0)</f>
        <v>9143</v>
      </c>
      <c r="P15" s="27">
        <f>VLOOKUP(CONCATENATE($A15,Lookup!$B$2),t1.2, 15,0)</f>
        <v>8851</v>
      </c>
      <c r="Q15" s="27">
        <f>VLOOKUP(CONCATENATE($A15,Lookup!$B$2),t1.2, 16,0)</f>
        <v>8640</v>
      </c>
      <c r="R15" s="27">
        <f>VLOOKUP(CONCATENATE($A15,Lookup!$B$2),t1.2, 17,0)</f>
        <v>8166</v>
      </c>
      <c r="S15" s="27">
        <f>VLOOKUP(CONCATENATE($A15,Lookup!$B$2),t1.2, 18,0)</f>
        <v>8053</v>
      </c>
      <c r="T15" s="27">
        <f>VLOOKUP(CONCATENATE($A15,Lookup!$B$2),t1.2, 19,0)</f>
        <v>8413</v>
      </c>
      <c r="U15" s="27">
        <f>VLOOKUP(CONCATENATE($A15,Lookup!$B$2),t1.2, 20,0)</f>
        <v>7778</v>
      </c>
      <c r="V15" s="27">
        <f>VLOOKUP(CONCATENATE($A15,Lookup!$B$2),t1.2, 21,0)</f>
        <v>7396</v>
      </c>
    </row>
    <row r="16" spans="1:22" s="17" customFormat="1" ht="12.75" x14ac:dyDescent="0.2">
      <c r="A16" s="17" t="s">
        <v>44</v>
      </c>
      <c r="B16" s="17" t="s">
        <v>14</v>
      </c>
      <c r="C16" s="27">
        <f>VLOOKUP(CONCATENATE($A16,Lookup!$B$2),t1.2, 2,0)</f>
        <v>127</v>
      </c>
      <c r="D16" s="27">
        <f>VLOOKUP(CONCATENATE($A16,Lookup!$B$2),t1.2, 3,0)</f>
        <v>136</v>
      </c>
      <c r="E16" s="27">
        <f>VLOOKUP(CONCATENATE($A16,Lookup!$B$2),t1.2, 4,0)</f>
        <v>140</v>
      </c>
      <c r="F16" s="27">
        <f>VLOOKUP(CONCATENATE($A16,Lookup!$B$2),t1.2, 5,0)</f>
        <v>133</v>
      </c>
      <c r="G16" s="27">
        <f>VLOOKUP(CONCATENATE($A16,Lookup!$B$2),t1.2, 6,0)</f>
        <v>144</v>
      </c>
      <c r="H16" s="27">
        <f>VLOOKUP(CONCATENATE($A16,Lookup!$B$2),t1.2, 7,0)</f>
        <v>128</v>
      </c>
      <c r="I16" s="27">
        <f>VLOOKUP(CONCATENATE($A16,Lookup!$B$2),t1.2, 8,0)</f>
        <v>126</v>
      </c>
      <c r="J16" s="27">
        <f>VLOOKUP(CONCATENATE($A16,Lookup!$B$2),t1.2, 9,0)</f>
        <v>139</v>
      </c>
      <c r="K16" s="27">
        <f>VLOOKUP(CONCATENATE($A16,Lookup!$B$2),t1.2, 10,0)</f>
        <v>143</v>
      </c>
      <c r="L16" s="27">
        <f>VLOOKUP(CONCATENATE($A16,Lookup!$B$2),t1.2, 11,0)</f>
        <v>124</v>
      </c>
      <c r="M16" s="27">
        <f>VLOOKUP(CONCATENATE($A16,Lookup!$B$2),t1.2, 12,0)</f>
        <v>140</v>
      </c>
      <c r="N16" s="27">
        <f>VLOOKUP(CONCATENATE($A16,Lookup!$B$2),t1.2, 13,0)</f>
        <v>124</v>
      </c>
      <c r="O16" s="27">
        <f>VLOOKUP(CONCATENATE($A16,Lookup!$B$2),t1.2, 14,0)</f>
        <v>111</v>
      </c>
      <c r="P16" s="27">
        <f>VLOOKUP(CONCATENATE($A16,Lookup!$B$2),t1.2, 15,0)</f>
        <v>115</v>
      </c>
      <c r="Q16" s="27">
        <f>VLOOKUP(CONCATENATE($A16,Lookup!$B$2),t1.2, 16,0)</f>
        <v>132</v>
      </c>
      <c r="R16" s="27">
        <f>VLOOKUP(CONCATENATE($A16,Lookup!$B$2),t1.2, 17,0)</f>
        <v>138</v>
      </c>
      <c r="S16" s="27">
        <f>VLOOKUP(CONCATENATE($A16,Lookup!$B$2),t1.2, 18,0)</f>
        <v>142</v>
      </c>
      <c r="T16" s="27">
        <f>VLOOKUP(CONCATENATE($A16,Lookup!$B$2),t1.2, 19,0)</f>
        <v>143</v>
      </c>
      <c r="U16" s="27">
        <f>VLOOKUP(CONCATENATE($A16,Lookup!$B$2),t1.2, 20,0)</f>
        <v>124</v>
      </c>
      <c r="V16" s="27">
        <f>VLOOKUP(CONCATENATE($A16,Lookup!$B$2),t1.2, 21,0)</f>
        <v>107</v>
      </c>
    </row>
    <row r="17" spans="1:22" s="17" customFormat="1" ht="12.75" x14ac:dyDescent="0.2">
      <c r="A17" s="17" t="s">
        <v>45</v>
      </c>
      <c r="B17" s="17" t="s">
        <v>15</v>
      </c>
      <c r="C17" s="27">
        <f>VLOOKUP(CONCATENATE($A17,Lookup!$B$2),t1.2, 2,0)</f>
        <v>154</v>
      </c>
      <c r="D17" s="27">
        <f>VLOOKUP(CONCATENATE($A17,Lookup!$B$2),t1.2, 3,0)</f>
        <v>128</v>
      </c>
      <c r="E17" s="27">
        <f>VLOOKUP(CONCATENATE($A17,Lookup!$B$2),t1.2, 4,0)</f>
        <v>163</v>
      </c>
      <c r="F17" s="27">
        <f>VLOOKUP(CONCATENATE($A17,Lookup!$B$2),t1.2, 5,0)</f>
        <v>131</v>
      </c>
      <c r="G17" s="27">
        <f>VLOOKUP(CONCATENATE($A17,Lookup!$B$2),t1.2, 6,0)</f>
        <v>143</v>
      </c>
      <c r="H17" s="27">
        <f>VLOOKUP(CONCATENATE($A17,Lookup!$B$2),t1.2, 7,0)</f>
        <v>157</v>
      </c>
      <c r="I17" s="27">
        <f>VLOOKUP(CONCATENATE($A17,Lookup!$B$2),t1.2, 8,0)</f>
        <v>147</v>
      </c>
      <c r="J17" s="27">
        <f>VLOOKUP(CONCATENATE($A17,Lookup!$B$2),t1.2, 9,0)</f>
        <v>141</v>
      </c>
      <c r="K17" s="27">
        <f>VLOOKUP(CONCATENATE($A17,Lookup!$B$2),t1.2, 10,0)</f>
        <v>179</v>
      </c>
      <c r="L17" s="27">
        <f>VLOOKUP(CONCATENATE($A17,Lookup!$B$2),t1.2, 11,0)</f>
        <v>143</v>
      </c>
      <c r="M17" s="27">
        <f>VLOOKUP(CONCATENATE($A17,Lookup!$B$2),t1.2, 12,0)</f>
        <v>153</v>
      </c>
      <c r="N17" s="27">
        <f>VLOOKUP(CONCATENATE($A17,Lookup!$B$2),t1.2, 13,0)</f>
        <v>125</v>
      </c>
      <c r="O17" s="27">
        <f>VLOOKUP(CONCATENATE($A17,Lookup!$B$2),t1.2, 14,0)</f>
        <v>138</v>
      </c>
      <c r="P17" s="27">
        <f>VLOOKUP(CONCATENATE($A17,Lookup!$B$2),t1.2, 15,0)</f>
        <v>113</v>
      </c>
      <c r="Q17" s="27">
        <f>VLOOKUP(CONCATENATE($A17,Lookup!$B$2),t1.2, 16,0)</f>
        <v>92</v>
      </c>
      <c r="R17" s="27">
        <f>VLOOKUP(CONCATENATE($A17,Lookup!$B$2),t1.2, 17,0)</f>
        <v>114</v>
      </c>
      <c r="S17" s="27">
        <f>VLOOKUP(CONCATENATE($A17,Lookup!$B$2),t1.2, 18,0)</f>
        <v>105</v>
      </c>
      <c r="T17" s="27">
        <f>VLOOKUP(CONCATENATE($A17,Lookup!$B$2),t1.2, 19,0)</f>
        <v>84</v>
      </c>
      <c r="U17" s="27">
        <f>VLOOKUP(CONCATENATE($A17,Lookup!$B$2),t1.2, 20,0)</f>
        <v>101</v>
      </c>
      <c r="V17" s="27">
        <f>VLOOKUP(CONCATENATE($A17,Lookup!$B$2),t1.2, 21,0)</f>
        <v>65</v>
      </c>
    </row>
    <row r="18" spans="1:22" s="17" customFormat="1" ht="12.75" x14ac:dyDescent="0.2">
      <c r="A18" s="17" t="s">
        <v>46</v>
      </c>
      <c r="B18" s="17" t="s">
        <v>16</v>
      </c>
      <c r="C18" s="27">
        <f>VLOOKUP(CONCATENATE($A18,Lookup!$B$2),t1.2, 2,0)</f>
        <v>4054</v>
      </c>
      <c r="D18" s="27">
        <f>VLOOKUP(CONCATENATE($A18,Lookup!$B$2),t1.2, 3,0)</f>
        <v>3997</v>
      </c>
      <c r="E18" s="27">
        <f>VLOOKUP(CONCATENATE($A18,Lookup!$B$2),t1.2, 4,0)</f>
        <v>3913</v>
      </c>
      <c r="F18" s="27">
        <f>VLOOKUP(CONCATENATE($A18,Lookup!$B$2),t1.2, 5,0)</f>
        <v>4651</v>
      </c>
      <c r="G18" s="27">
        <f>VLOOKUP(CONCATENATE($A18,Lookup!$B$2),t1.2, 6,0)</f>
        <v>4613</v>
      </c>
      <c r="H18" s="27">
        <f>VLOOKUP(CONCATENATE($A18,Lookup!$B$2),t1.2, 7,0)</f>
        <v>4592</v>
      </c>
      <c r="I18" s="27">
        <f>VLOOKUP(CONCATENATE($A18,Lookup!$B$2),t1.2, 8,0)</f>
        <v>4547</v>
      </c>
      <c r="J18" s="27">
        <f>VLOOKUP(CONCATENATE($A18,Lookup!$B$2),t1.2, 9,0)</f>
        <v>4657</v>
      </c>
      <c r="K18" s="27">
        <f>VLOOKUP(CONCATENATE($A18,Lookup!$B$2),t1.2, 10,0)</f>
        <v>4384</v>
      </c>
      <c r="L18" s="27">
        <f>VLOOKUP(CONCATENATE($A18,Lookup!$B$2),t1.2, 11,0)</f>
        <v>4269</v>
      </c>
      <c r="M18" s="27">
        <f>VLOOKUP(CONCATENATE($A18,Lookup!$B$2),t1.2, 12,0)</f>
        <v>4428</v>
      </c>
      <c r="N18" s="27">
        <f>VLOOKUP(CONCATENATE($A18,Lookup!$B$2),t1.2, 13,0)</f>
        <v>4179</v>
      </c>
      <c r="O18" s="27">
        <f>VLOOKUP(CONCATENATE($A18,Lookup!$B$2),t1.2, 14,0)</f>
        <v>4098</v>
      </c>
      <c r="P18" s="27">
        <f>VLOOKUP(CONCATENATE($A18,Lookup!$B$2),t1.2, 15,0)</f>
        <v>3849</v>
      </c>
      <c r="Q18" s="27">
        <f>VLOOKUP(CONCATENATE($A18,Lookup!$B$2),t1.2, 16,0)</f>
        <v>3714</v>
      </c>
      <c r="R18" s="27">
        <f>VLOOKUP(CONCATENATE($A18,Lookup!$B$2),t1.2, 17,0)</f>
        <v>3584</v>
      </c>
      <c r="S18" s="27">
        <f>VLOOKUP(CONCATENATE($A18,Lookup!$B$2),t1.2, 18,0)</f>
        <v>3339</v>
      </c>
      <c r="T18" s="27">
        <f>VLOOKUP(CONCATENATE($A18,Lookup!$B$2),t1.2, 19,0)</f>
        <v>3532</v>
      </c>
      <c r="U18" s="27">
        <f>VLOOKUP(CONCATENATE($A18,Lookup!$B$2),t1.2, 20,0)</f>
        <v>3343</v>
      </c>
      <c r="V18" s="27">
        <f>VLOOKUP(CONCATENATE($A18,Lookup!$B$2),t1.2, 21,0)</f>
        <v>3175</v>
      </c>
    </row>
    <row r="19" spans="1:22" s="17" customFormat="1" ht="12.75" x14ac:dyDescent="0.2">
      <c r="A19" s="17" t="s">
        <v>47</v>
      </c>
      <c r="B19" s="17" t="s">
        <v>17</v>
      </c>
      <c r="C19" s="27">
        <f>VLOOKUP(CONCATENATE($A19,Lookup!$B$2),t1.2, 2,0)</f>
        <v>178</v>
      </c>
      <c r="D19" s="27">
        <f>VLOOKUP(CONCATENATE($A19,Lookup!$B$2),t1.2, 3,0)</f>
        <v>178</v>
      </c>
      <c r="E19" s="27">
        <f>VLOOKUP(CONCATENATE($A19,Lookup!$B$2),t1.2, 4,0)</f>
        <v>240</v>
      </c>
      <c r="F19" s="27">
        <f>VLOOKUP(CONCATENATE($A19,Lookup!$B$2),t1.2, 5,0)</f>
        <v>217</v>
      </c>
      <c r="G19" s="27">
        <f>VLOOKUP(CONCATENATE($A19,Lookup!$B$2),t1.2, 6,0)</f>
        <v>204</v>
      </c>
      <c r="H19" s="27">
        <f>VLOOKUP(CONCATENATE($A19,Lookup!$B$2),t1.2, 7,0)</f>
        <v>182</v>
      </c>
      <c r="I19" s="27">
        <f>VLOOKUP(CONCATENATE($A19,Lookup!$B$2),t1.2, 8,0)</f>
        <v>181</v>
      </c>
      <c r="J19" s="27">
        <f>VLOOKUP(CONCATENATE($A19,Lookup!$B$2),t1.2, 9,0)</f>
        <v>206</v>
      </c>
      <c r="K19" s="27">
        <f>VLOOKUP(CONCATENATE($A19,Lookup!$B$2),t1.2, 10,0)</f>
        <v>198</v>
      </c>
      <c r="L19" s="27">
        <f>VLOOKUP(CONCATENATE($A19,Lookup!$B$2),t1.2, 11,0)</f>
        <v>195</v>
      </c>
      <c r="M19" s="27">
        <f>VLOOKUP(CONCATENATE($A19,Lookup!$B$2),t1.2, 12,0)</f>
        <v>172</v>
      </c>
      <c r="N19" s="27">
        <f>VLOOKUP(CONCATENATE($A19,Lookup!$B$2),t1.2, 13,0)</f>
        <v>183</v>
      </c>
      <c r="O19" s="27">
        <f>VLOOKUP(CONCATENATE($A19,Lookup!$B$2),t1.2, 14,0)</f>
        <v>184</v>
      </c>
      <c r="P19" s="27">
        <f>VLOOKUP(CONCATENATE($A19,Lookup!$B$2),t1.2, 15,0)</f>
        <v>151</v>
      </c>
      <c r="Q19" s="27">
        <f>VLOOKUP(CONCATENATE($A19,Lookup!$B$2),t1.2, 16,0)</f>
        <v>161</v>
      </c>
      <c r="R19" s="27">
        <f>VLOOKUP(CONCATENATE($A19,Lookup!$B$2),t1.2, 17,0)</f>
        <v>158</v>
      </c>
      <c r="S19" s="27">
        <f>VLOOKUP(CONCATENATE($A19,Lookup!$B$2),t1.2, 18,0)</f>
        <v>124</v>
      </c>
      <c r="T19" s="27">
        <f>VLOOKUP(CONCATENATE($A19,Lookup!$B$2),t1.2, 19,0)</f>
        <v>157</v>
      </c>
      <c r="U19" s="27">
        <f>VLOOKUP(CONCATENATE($A19,Lookup!$B$2),t1.2, 20,0)</f>
        <v>120</v>
      </c>
      <c r="V19" s="27">
        <f>VLOOKUP(CONCATENATE($A19,Lookup!$B$2),t1.2, 21,0)</f>
        <v>136</v>
      </c>
    </row>
    <row r="20" spans="1:22" s="17" customFormat="1" ht="12.75" x14ac:dyDescent="0.2">
      <c r="A20" s="17" t="s">
        <v>3</v>
      </c>
      <c r="B20" s="19" t="s">
        <v>3</v>
      </c>
      <c r="C20" s="29">
        <f>VLOOKUP(CONCATENATE($A20,Lookup!$B$2),t1.2, 2,0)</f>
        <v>52878</v>
      </c>
      <c r="D20" s="29">
        <f>VLOOKUP(CONCATENATE($A20,Lookup!$B$2),t1.2, 3,0)</f>
        <v>52447</v>
      </c>
      <c r="E20" s="29">
        <f>VLOOKUP(CONCATENATE($A20,Lookup!$B$2),t1.2, 4,0)</f>
        <v>54467</v>
      </c>
      <c r="F20" s="29">
        <f>VLOOKUP(CONCATENATE($A20,Lookup!$B$2),t1.2, 5,0)</f>
        <v>57358</v>
      </c>
      <c r="G20" s="29">
        <f>VLOOKUP(CONCATENATE($A20,Lookup!$B$2),t1.2, 6,0)</f>
        <v>57917</v>
      </c>
      <c r="H20" s="29">
        <f>VLOOKUP(CONCATENATE($A20,Lookup!$B$2),t1.2, 7,0)</f>
        <v>57418</v>
      </c>
      <c r="I20" s="29">
        <f>VLOOKUP(CONCATENATE($A20,Lookup!$B$2),t1.2, 8,0)</f>
        <v>57041</v>
      </c>
      <c r="J20" s="29">
        <f>VLOOKUP(CONCATENATE($A20,Lookup!$B$2),t1.2, 9,0)</f>
        <v>57371</v>
      </c>
      <c r="K20" s="29">
        <f>VLOOKUP(CONCATENATE($A20,Lookup!$B$2),t1.2, 10,0)</f>
        <v>55820</v>
      </c>
      <c r="L20" s="29">
        <f>VLOOKUP(CONCATENATE($A20,Lookup!$B$2),t1.2, 11,0)</f>
        <v>54709</v>
      </c>
      <c r="M20" s="29">
        <f>VLOOKUP(CONCATENATE($A20,Lookup!$B$2),t1.2, 12,0)</f>
        <v>54725</v>
      </c>
      <c r="N20" s="29">
        <f>VLOOKUP(CONCATENATE($A20,Lookup!$B$2),t1.2, 13,0)</f>
        <v>53981</v>
      </c>
      <c r="O20" s="29">
        <f>VLOOKUP(CONCATENATE($A20,Lookup!$B$2),t1.2, 14,0)</f>
        <v>53045</v>
      </c>
      <c r="P20" s="29">
        <f>VLOOKUP(CONCATENATE($A20,Lookup!$B$2),t1.2, 15,0)</f>
        <v>51415</v>
      </c>
      <c r="Q20" s="29">
        <f>VLOOKUP(CONCATENATE($A20,Lookup!$B$2),t1.2, 16,0)</f>
        <v>49977</v>
      </c>
      <c r="R20" s="29">
        <f>VLOOKUP(CONCATENATE($A20,Lookup!$B$2),t1.2, 17,0)</f>
        <v>48088</v>
      </c>
      <c r="S20" s="29">
        <f>VLOOKUP(CONCATENATE($A20,Lookup!$B$2),t1.2, 18,0)</f>
        <v>45715</v>
      </c>
      <c r="T20" s="29">
        <f>VLOOKUP(CONCATENATE($A20,Lookup!$B$2),t1.2, 19,0)</f>
        <v>47113</v>
      </c>
      <c r="U20" s="29">
        <f>VLOOKUP(CONCATENATE($A20,Lookup!$B$2),t1.2, 20,0)</f>
        <v>44714</v>
      </c>
      <c r="V20" s="29">
        <f>VLOOKUP(CONCATENATE($A20,Lookup!$B$2),t1.2, 21,0)</f>
        <v>44383</v>
      </c>
    </row>
    <row r="21" spans="1:22" s="17" customFormat="1" ht="12.75" x14ac:dyDescent="0.2">
      <c r="C21" s="21"/>
      <c r="U21" s="17" t="s">
        <v>32</v>
      </c>
    </row>
    <row r="22" spans="1:22" s="17" customFormat="1" ht="12.75" x14ac:dyDescent="0.2">
      <c r="C22" s="19" t="s">
        <v>91</v>
      </c>
    </row>
    <row r="23" spans="1:22" s="17" customFormat="1" ht="12.75" x14ac:dyDescent="0.2">
      <c r="C23" s="12" t="s">
        <v>119</v>
      </c>
      <c r="D23" s="12" t="s">
        <v>120</v>
      </c>
      <c r="E23" s="12" t="s">
        <v>121</v>
      </c>
      <c r="F23" s="12" t="s">
        <v>122</v>
      </c>
      <c r="G23" s="12" t="s">
        <v>123</v>
      </c>
      <c r="H23" s="12" t="s">
        <v>124</v>
      </c>
      <c r="I23" s="12" t="s">
        <v>125</v>
      </c>
      <c r="J23" s="12" t="s">
        <v>126</v>
      </c>
      <c r="K23" s="12" t="s">
        <v>127</v>
      </c>
      <c r="L23" s="12" t="s">
        <v>128</v>
      </c>
      <c r="M23" s="12" t="s">
        <v>129</v>
      </c>
      <c r="N23" s="12" t="s">
        <v>130</v>
      </c>
      <c r="O23" s="12" t="s">
        <v>131</v>
      </c>
      <c r="P23" s="12" t="s">
        <v>132</v>
      </c>
      <c r="Q23" s="12" t="s">
        <v>133</v>
      </c>
      <c r="R23" s="12" t="s">
        <v>134</v>
      </c>
      <c r="S23" s="12" t="s">
        <v>135</v>
      </c>
      <c r="T23" s="12" t="s">
        <v>136</v>
      </c>
      <c r="U23" s="12" t="s">
        <v>137</v>
      </c>
      <c r="V23" s="12" t="s">
        <v>488</v>
      </c>
    </row>
    <row r="24" spans="1:22" s="17" customFormat="1" ht="12.75" x14ac:dyDescent="0.2">
      <c r="A24" s="17" t="s">
        <v>34</v>
      </c>
      <c r="B24" s="17" t="s">
        <v>4</v>
      </c>
      <c r="C24" s="39">
        <f>VLOOKUP(CONCATENATE($A24,Lookup!$B$2),t1.2, 22,0)</f>
        <v>48.837337599646901</v>
      </c>
      <c r="D24" s="39">
        <f>VLOOKUP(CONCATENATE($A24,Lookup!$B$2),t1.2, 23,0)</f>
        <v>48.8711377378376</v>
      </c>
      <c r="E24" s="39">
        <f>VLOOKUP(CONCATENATE($A24,Lookup!$B$2),t1.2, 24,0)</f>
        <v>51.536755165534203</v>
      </c>
      <c r="F24" s="39">
        <f>VLOOKUP(CONCATENATE($A24,Lookup!$B$2),t1.2, 25,0)</f>
        <v>52.6654810748743</v>
      </c>
      <c r="G24" s="39">
        <f>VLOOKUP(CONCATENATE($A24,Lookup!$B$2),t1.2, 26,0)</f>
        <v>53.3209134276117</v>
      </c>
      <c r="H24" s="39">
        <f>VLOOKUP(CONCATENATE($A24,Lookup!$B$2),t1.2, 27,0)</f>
        <v>52.593341785495497</v>
      </c>
      <c r="I24" s="39">
        <f>VLOOKUP(CONCATENATE($A24,Lookup!$B$2),t1.2, 28,0)</f>
        <v>54.736052832691598</v>
      </c>
      <c r="J24" s="39">
        <f>VLOOKUP(CONCATENATE($A24,Lookup!$B$2),t1.2, 29,0)</f>
        <v>54.456743373142999</v>
      </c>
      <c r="K24" s="39">
        <f>VLOOKUP(CONCATENATE($A24,Lookup!$B$2),t1.2, 30,0)</f>
        <v>52.686992111038599</v>
      </c>
      <c r="L24" s="39">
        <f>VLOOKUP(CONCATENATE($A24,Lookup!$B$2),t1.2, 31,0)</f>
        <v>51.813471502590602</v>
      </c>
      <c r="M24" s="39">
        <f>VLOOKUP(CONCATENATE($A24,Lookup!$B$2),t1.2, 32,0)</f>
        <v>53.872416338582603</v>
      </c>
      <c r="N24" s="39">
        <f>VLOOKUP(CONCATENATE($A24,Lookup!$B$2),t1.2, 33,0)</f>
        <v>53.547376664056301</v>
      </c>
      <c r="O24" s="39">
        <f>VLOOKUP(CONCATENATE($A24,Lookup!$B$2),t1.2, 34,0)</f>
        <v>52.560238562247797</v>
      </c>
      <c r="P24" s="39">
        <f>VLOOKUP(CONCATENATE($A24,Lookup!$B$2),t1.2, 35,0)</f>
        <v>51.8608611043541</v>
      </c>
      <c r="Q24" s="39">
        <f>VLOOKUP(CONCATENATE($A24,Lookup!$B$2),t1.2, 36,0)</f>
        <v>49.265384108578203</v>
      </c>
      <c r="R24" s="39">
        <f>VLOOKUP(CONCATENATE($A24,Lookup!$B$2),t1.2, 37,0)</f>
        <v>50.973215771086302</v>
      </c>
      <c r="S24" s="39">
        <f>VLOOKUP(CONCATENATE($A24,Lookup!$B$2),t1.2, 38,0)</f>
        <v>46.361630824674499</v>
      </c>
      <c r="T24" s="39">
        <f>VLOOKUP(CONCATENATE($A24,Lookup!$B$2),t1.2, 39,0)</f>
        <v>47.895037462621303</v>
      </c>
      <c r="U24" s="39">
        <f>VLOOKUP(CONCATENATE($A24,Lookup!$B$2),t1.2, 40,0)</f>
        <v>44.428761069382098</v>
      </c>
      <c r="V24" s="39">
        <f>VLOOKUP(CONCATENATE($A24,Lookup!$B$2),t1.2, 41,0)</f>
        <v>44.563189998487601</v>
      </c>
    </row>
    <row r="25" spans="1:22" s="17" customFormat="1" ht="12.75" x14ac:dyDescent="0.2">
      <c r="A25" s="17" t="s">
        <v>35</v>
      </c>
      <c r="B25" s="17" t="s">
        <v>5</v>
      </c>
      <c r="C25" s="39">
        <f>VLOOKUP(CONCATENATE($A25,Lookup!$B$2),t1.2, 22,0)</f>
        <v>51.778455284552798</v>
      </c>
      <c r="D25" s="39">
        <f>VLOOKUP(CONCATENATE($A25,Lookup!$B$2),t1.2, 23,0)</f>
        <v>49.670218163368801</v>
      </c>
      <c r="E25" s="39">
        <f>VLOOKUP(CONCATENATE($A25,Lookup!$B$2),t1.2, 24,0)</f>
        <v>55.8873066911652</v>
      </c>
      <c r="F25" s="39">
        <f>VLOOKUP(CONCATENATE($A25,Lookup!$B$2),t1.2, 25,0)</f>
        <v>57.3193579421742</v>
      </c>
      <c r="G25" s="39">
        <f>VLOOKUP(CONCATENATE($A25,Lookup!$B$2),t1.2, 26,0)</f>
        <v>59.979838709677402</v>
      </c>
      <c r="H25" s="39">
        <f>VLOOKUP(CONCATENATE($A25,Lookup!$B$2),t1.2, 27,0)</f>
        <v>61.488177314743801</v>
      </c>
      <c r="I25" s="39">
        <f>VLOOKUP(CONCATENATE($A25,Lookup!$B$2),t1.2, 28,0)</f>
        <v>61.136505298150801</v>
      </c>
      <c r="J25" s="39">
        <f>VLOOKUP(CONCATENATE($A25,Lookup!$B$2),t1.2, 29,0)</f>
        <v>59.599852188143302</v>
      </c>
      <c r="K25" s="39">
        <f>VLOOKUP(CONCATENATE($A25,Lookup!$B$2),t1.2, 30,0)</f>
        <v>62.489907960600597</v>
      </c>
      <c r="L25" s="39">
        <f>VLOOKUP(CONCATENATE($A25,Lookup!$B$2),t1.2, 31,0)</f>
        <v>61.114439784301901</v>
      </c>
      <c r="M25" s="39">
        <f>VLOOKUP(CONCATENATE($A25,Lookup!$B$2),t1.2, 32,0)</f>
        <v>57.163371258146398</v>
      </c>
      <c r="N25" s="39">
        <f>VLOOKUP(CONCATENATE($A25,Lookup!$B$2),t1.2, 33,0)</f>
        <v>58.354698472856903</v>
      </c>
      <c r="O25" s="39">
        <f>VLOOKUP(CONCATENATE($A25,Lookup!$B$2),t1.2, 34,0)</f>
        <v>55.072790881390297</v>
      </c>
      <c r="P25" s="39">
        <f>VLOOKUP(CONCATENATE($A25,Lookup!$B$2),t1.2, 35,0)</f>
        <v>56.025910563100098</v>
      </c>
      <c r="Q25" s="39">
        <f>VLOOKUP(CONCATENATE($A25,Lookup!$B$2),t1.2, 36,0)</f>
        <v>55.6066705002875</v>
      </c>
      <c r="R25" s="39">
        <f>VLOOKUP(CONCATENATE($A25,Lookup!$B$2),t1.2, 37,0)</f>
        <v>51.216685979142497</v>
      </c>
      <c r="S25" s="39">
        <f>VLOOKUP(CONCATENATE($A25,Lookup!$B$2),t1.2, 38,0)</f>
        <v>47.613497290051797</v>
      </c>
      <c r="T25" s="39">
        <f>VLOOKUP(CONCATENATE($A25,Lookup!$B$2),t1.2, 39,0)</f>
        <v>48.902311534440699</v>
      </c>
      <c r="U25" s="39">
        <f>VLOOKUP(CONCATENATE($A25,Lookup!$B$2),t1.2, 40,0)</f>
        <v>38.763750654793</v>
      </c>
      <c r="V25" s="39">
        <f>VLOOKUP(CONCATENATE($A25,Lookup!$B$2),t1.2, 41,0)</f>
        <v>35.795355334381</v>
      </c>
    </row>
    <row r="26" spans="1:22" s="17" customFormat="1" ht="12.75" x14ac:dyDescent="0.2">
      <c r="A26" s="17" t="s">
        <v>36</v>
      </c>
      <c r="B26" s="17" t="s">
        <v>6</v>
      </c>
      <c r="C26" s="39">
        <f>VLOOKUP(CONCATENATE($A26,Lookup!$B$2),t1.2, 22,0)</f>
        <v>51.525346841568002</v>
      </c>
      <c r="D26" s="39">
        <f>VLOOKUP(CONCATENATE($A26,Lookup!$B$2),t1.2, 23,0)</f>
        <v>52.264014878354203</v>
      </c>
      <c r="E26" s="39">
        <f>VLOOKUP(CONCATENATE($A26,Lookup!$B$2),t1.2, 24,0)</f>
        <v>54.330408241129298</v>
      </c>
      <c r="F26" s="39">
        <f>VLOOKUP(CONCATENATE($A26,Lookup!$B$2),t1.2, 25,0)</f>
        <v>55.271356590638099</v>
      </c>
      <c r="G26" s="39">
        <f>VLOOKUP(CONCATENATE($A26,Lookup!$B$2),t1.2, 26,0)</f>
        <v>53.781317661614601</v>
      </c>
      <c r="H26" s="39">
        <f>VLOOKUP(CONCATENATE($A26,Lookup!$B$2),t1.2, 27,0)</f>
        <v>56.114883321626401</v>
      </c>
      <c r="I26" s="39">
        <f>VLOOKUP(CONCATENATE($A26,Lookup!$B$2),t1.2, 28,0)</f>
        <v>54.631641319375802</v>
      </c>
      <c r="J26" s="39">
        <f>VLOOKUP(CONCATENATE($A26,Lookup!$B$2),t1.2, 29,0)</f>
        <v>54.246597150362099</v>
      </c>
      <c r="K26" s="39">
        <f>VLOOKUP(CONCATENATE($A26,Lookup!$B$2),t1.2, 30,0)</f>
        <v>53.956542889573498</v>
      </c>
      <c r="L26" s="39">
        <f>VLOOKUP(CONCATENATE($A26,Lookup!$B$2),t1.2, 31,0)</f>
        <v>51.523887973640797</v>
      </c>
      <c r="M26" s="39">
        <f>VLOOKUP(CONCATENATE($A26,Lookup!$B$2),t1.2, 32,0)</f>
        <v>50.273684210526298</v>
      </c>
      <c r="N26" s="39">
        <f>VLOOKUP(CONCATENATE($A26,Lookup!$B$2),t1.2, 33,0)</f>
        <v>53.709974709588899</v>
      </c>
      <c r="O26" s="39">
        <f>VLOOKUP(CONCATENATE($A26,Lookup!$B$2),t1.2, 34,0)</f>
        <v>53.479917655818802</v>
      </c>
      <c r="P26" s="39">
        <f>VLOOKUP(CONCATENATE($A26,Lookup!$B$2),t1.2, 35,0)</f>
        <v>55.664672797071603</v>
      </c>
      <c r="Q26" s="39">
        <f>VLOOKUP(CONCATENATE($A26,Lookup!$B$2),t1.2, 36,0)</f>
        <v>51.4913800966888</v>
      </c>
      <c r="R26" s="39">
        <f>VLOOKUP(CONCATENATE($A26,Lookup!$B$2),t1.2, 37,0)</f>
        <v>51.322287349425302</v>
      </c>
      <c r="S26" s="39">
        <f>VLOOKUP(CONCATENATE($A26,Lookup!$B$2),t1.2, 38,0)</f>
        <v>50.343994049832602</v>
      </c>
      <c r="T26" s="39">
        <f>VLOOKUP(CONCATENATE($A26,Lookup!$B$2),t1.2, 39,0)</f>
        <v>49.821734500162002</v>
      </c>
      <c r="U26" s="39">
        <f>VLOOKUP(CONCATENATE($A26,Lookup!$B$2),t1.2, 40,0)</f>
        <v>49.2524186455584</v>
      </c>
      <c r="V26" s="39">
        <f>VLOOKUP(CONCATENATE($A26,Lookup!$B$2),t1.2, 41,0)</f>
        <v>49.946766652779701</v>
      </c>
    </row>
    <row r="27" spans="1:22" s="17" customFormat="1" ht="12.75" x14ac:dyDescent="0.2">
      <c r="A27" s="17" t="s">
        <v>37</v>
      </c>
      <c r="B27" s="17" t="s">
        <v>7</v>
      </c>
      <c r="C27" s="39">
        <f>VLOOKUP(CONCATENATE($A27,Lookup!$B$2),t1.2, 22,0)</f>
        <v>45.529400368109997</v>
      </c>
      <c r="D27" s="39">
        <f>VLOOKUP(CONCATENATE($A27,Lookup!$B$2),t1.2, 23,0)</f>
        <v>45.738017053450697</v>
      </c>
      <c r="E27" s="39">
        <f>VLOOKUP(CONCATENATE($A27,Lookup!$B$2),t1.2, 24,0)</f>
        <v>48.199599142995297</v>
      </c>
      <c r="F27" s="39">
        <f>VLOOKUP(CONCATENATE($A27,Lookup!$B$2),t1.2, 25,0)</f>
        <v>51.026221808429298</v>
      </c>
      <c r="G27" s="39">
        <f>VLOOKUP(CONCATENATE($A27,Lookup!$B$2),t1.2, 26,0)</f>
        <v>53.182104599873902</v>
      </c>
      <c r="H27" s="39">
        <f>VLOOKUP(CONCATENATE($A27,Lookup!$B$2),t1.2, 27,0)</f>
        <v>52.776683733753401</v>
      </c>
      <c r="I27" s="39">
        <f>VLOOKUP(CONCATENATE($A27,Lookup!$B$2),t1.2, 28,0)</f>
        <v>52.583977502366999</v>
      </c>
      <c r="J27" s="39">
        <f>VLOOKUP(CONCATENATE($A27,Lookup!$B$2),t1.2, 29,0)</f>
        <v>52.896332823215999</v>
      </c>
      <c r="K27" s="39">
        <f>VLOOKUP(CONCATENATE($A27,Lookup!$B$2),t1.2, 30,0)</f>
        <v>49.844147673653801</v>
      </c>
      <c r="L27" s="39">
        <f>VLOOKUP(CONCATENATE($A27,Lookup!$B$2),t1.2, 31,0)</f>
        <v>49.808651281456498</v>
      </c>
      <c r="M27" s="39">
        <f>VLOOKUP(CONCATENATE($A27,Lookup!$B$2),t1.2, 32,0)</f>
        <v>50.589846684045398</v>
      </c>
      <c r="N27" s="39">
        <f>VLOOKUP(CONCATENATE($A27,Lookup!$B$2),t1.2, 33,0)</f>
        <v>49.2416372324953</v>
      </c>
      <c r="O27" s="39">
        <f>VLOOKUP(CONCATENATE($A27,Lookup!$B$2),t1.2, 34,0)</f>
        <v>49.570093457943898</v>
      </c>
      <c r="P27" s="39">
        <f>VLOOKUP(CONCATENATE($A27,Lookup!$B$2),t1.2, 35,0)</f>
        <v>47.156330380108599</v>
      </c>
      <c r="Q27" s="39">
        <f>VLOOKUP(CONCATENATE($A27,Lookup!$B$2),t1.2, 36,0)</f>
        <v>46.978643311425103</v>
      </c>
      <c r="R27" s="39">
        <f>VLOOKUP(CONCATENATE($A27,Lookup!$B$2),t1.2, 37,0)</f>
        <v>43.839689329814</v>
      </c>
      <c r="S27" s="39">
        <f>VLOOKUP(CONCATENATE($A27,Lookup!$B$2),t1.2, 38,0)</f>
        <v>41.464342796255401</v>
      </c>
      <c r="T27" s="39">
        <f>VLOOKUP(CONCATENATE($A27,Lookup!$B$2),t1.2, 39,0)</f>
        <v>40.692100497618398</v>
      </c>
      <c r="U27" s="39">
        <f>VLOOKUP(CONCATENATE($A27,Lookup!$B$2),t1.2, 40,0)</f>
        <v>38.184362164683201</v>
      </c>
      <c r="V27" s="39">
        <f>VLOOKUP(CONCATENATE($A27,Lookup!$B$2),t1.2, 41,0)</f>
        <v>39.929589119412597</v>
      </c>
    </row>
    <row r="28" spans="1:22" s="17" customFormat="1" ht="12.75" x14ac:dyDescent="0.2">
      <c r="A28" s="17" t="s">
        <v>38</v>
      </c>
      <c r="B28" s="17" t="s">
        <v>8</v>
      </c>
      <c r="C28" s="39">
        <f>VLOOKUP(CONCATENATE($A28,Lookup!$B$2),t1.2, 22,0)</f>
        <v>52.286919831223599</v>
      </c>
      <c r="D28" s="39">
        <f>VLOOKUP(CONCATENATE($A28,Lookup!$B$2),t1.2, 23,0)</f>
        <v>52.264692148622501</v>
      </c>
      <c r="E28" s="39">
        <f>VLOOKUP(CONCATENATE($A28,Lookup!$B$2),t1.2, 24,0)</f>
        <v>52.933355492770403</v>
      </c>
      <c r="F28" s="39">
        <f>VLOOKUP(CONCATENATE($A28,Lookup!$B$2),t1.2, 25,0)</f>
        <v>54.475224217105101</v>
      </c>
      <c r="G28" s="39">
        <f>VLOOKUP(CONCATENATE($A28,Lookup!$B$2),t1.2, 26,0)</f>
        <v>53.910516558945801</v>
      </c>
      <c r="H28" s="39">
        <f>VLOOKUP(CONCATENATE($A28,Lookup!$B$2),t1.2, 27,0)</f>
        <v>55.465587044534402</v>
      </c>
      <c r="I28" s="39">
        <f>VLOOKUP(CONCATENATE($A28,Lookup!$B$2),t1.2, 28,0)</f>
        <v>53.913014011961799</v>
      </c>
      <c r="J28" s="39">
        <f>VLOOKUP(CONCATENATE($A28,Lookup!$B$2),t1.2, 29,0)</f>
        <v>53.901864007191399</v>
      </c>
      <c r="K28" s="39">
        <f>VLOOKUP(CONCATENATE($A28,Lookup!$B$2),t1.2, 30,0)</f>
        <v>54.1799672159434</v>
      </c>
      <c r="L28" s="39">
        <f>VLOOKUP(CONCATENATE($A28,Lookup!$B$2),t1.2, 31,0)</f>
        <v>54.731960935853301</v>
      </c>
      <c r="M28" s="39">
        <f>VLOOKUP(CONCATENATE($A28,Lookup!$B$2),t1.2, 32,0)</f>
        <v>55.207182812555601</v>
      </c>
      <c r="N28" s="39">
        <f>VLOOKUP(CONCATENATE($A28,Lookup!$B$2),t1.2, 33,0)</f>
        <v>55.318767908309397</v>
      </c>
      <c r="O28" s="39">
        <f>VLOOKUP(CONCATENATE($A28,Lookup!$B$2),t1.2, 34,0)</f>
        <v>55.151743570415803</v>
      </c>
      <c r="P28" s="39">
        <f>VLOOKUP(CONCATENATE($A28,Lookup!$B$2),t1.2, 35,0)</f>
        <v>53.939809964232801</v>
      </c>
      <c r="Q28" s="39">
        <f>VLOOKUP(CONCATENATE($A28,Lookup!$B$2),t1.2, 36,0)</f>
        <v>52.857662904987201</v>
      </c>
      <c r="R28" s="39">
        <f>VLOOKUP(CONCATENATE($A28,Lookup!$B$2),t1.2, 37,0)</f>
        <v>50.840635919576997</v>
      </c>
      <c r="S28" s="39">
        <f>VLOOKUP(CONCATENATE($A28,Lookup!$B$2),t1.2, 38,0)</f>
        <v>51.646981145917302</v>
      </c>
      <c r="T28" s="39">
        <f>VLOOKUP(CONCATENATE($A28,Lookup!$B$2),t1.2, 39,0)</f>
        <v>52.681974699394097</v>
      </c>
      <c r="U28" s="39">
        <f>VLOOKUP(CONCATENATE($A28,Lookup!$B$2),t1.2, 40,0)</f>
        <v>50.1267300012764</v>
      </c>
      <c r="V28" s="39">
        <f>VLOOKUP(CONCATENATE($A28,Lookup!$B$2),t1.2, 41,0)</f>
        <v>48.722670994329</v>
      </c>
    </row>
    <row r="29" spans="1:22" s="17" customFormat="1" ht="12.75" x14ac:dyDescent="0.2">
      <c r="A29" s="17" t="s">
        <v>39</v>
      </c>
      <c r="B29" s="17" t="s">
        <v>9</v>
      </c>
      <c r="C29" s="39">
        <f>VLOOKUP(CONCATENATE($A29,Lookup!$B$2),t1.2, 22,0)</f>
        <v>48.8805970149253</v>
      </c>
      <c r="D29" s="39">
        <f>VLOOKUP(CONCATENATE($A29,Lookup!$B$2),t1.2, 23,0)</f>
        <v>48.716766559090203</v>
      </c>
      <c r="E29" s="39">
        <f>VLOOKUP(CONCATENATE($A29,Lookup!$B$2),t1.2, 24,0)</f>
        <v>52.915426999721298</v>
      </c>
      <c r="F29" s="39">
        <f>VLOOKUP(CONCATENATE($A29,Lookup!$B$2),t1.2, 25,0)</f>
        <v>53.962421563667597</v>
      </c>
      <c r="G29" s="39">
        <f>VLOOKUP(CONCATENATE($A29,Lookup!$B$2),t1.2, 26,0)</f>
        <v>54.998983137771503</v>
      </c>
      <c r="H29" s="39">
        <f>VLOOKUP(CONCATENATE($A29,Lookup!$B$2),t1.2, 27,0)</f>
        <v>56.081656295802198</v>
      </c>
      <c r="I29" s="39">
        <f>VLOOKUP(CONCATENATE($A29,Lookup!$B$2),t1.2, 28,0)</f>
        <v>53.703267871307403</v>
      </c>
      <c r="J29" s="39">
        <f>VLOOKUP(CONCATENATE($A29,Lookup!$B$2),t1.2, 29,0)</f>
        <v>54.110563575791197</v>
      </c>
      <c r="K29" s="39">
        <f>VLOOKUP(CONCATENATE($A29,Lookup!$B$2),t1.2, 30,0)</f>
        <v>54.873602333495299</v>
      </c>
      <c r="L29" s="39">
        <f>VLOOKUP(CONCATENATE($A29,Lookup!$B$2),t1.2, 31,0)</f>
        <v>54.474270023993199</v>
      </c>
      <c r="M29" s="39">
        <f>VLOOKUP(CONCATENATE($A29,Lookup!$B$2),t1.2, 32,0)</f>
        <v>53.872024761591803</v>
      </c>
      <c r="N29" s="39">
        <f>VLOOKUP(CONCATENATE($A29,Lookup!$B$2),t1.2, 33,0)</f>
        <v>55.453280438371301</v>
      </c>
      <c r="O29" s="39">
        <f>VLOOKUP(CONCATENATE($A29,Lookup!$B$2),t1.2, 34,0)</f>
        <v>54.653399260514803</v>
      </c>
      <c r="P29" s="39">
        <f>VLOOKUP(CONCATENATE($A29,Lookup!$B$2),t1.2, 35,0)</f>
        <v>52.802264745932703</v>
      </c>
      <c r="Q29" s="39">
        <f>VLOOKUP(CONCATENATE($A29,Lookup!$B$2),t1.2, 36,0)</f>
        <v>52.6526090194155</v>
      </c>
      <c r="R29" s="39">
        <f>VLOOKUP(CONCATENATE($A29,Lookup!$B$2),t1.2, 37,0)</f>
        <v>49.115481815185099</v>
      </c>
      <c r="S29" s="39">
        <f>VLOOKUP(CONCATENATE($A29,Lookup!$B$2),t1.2, 38,0)</f>
        <v>45.493150179092297</v>
      </c>
      <c r="T29" s="39">
        <f>VLOOKUP(CONCATENATE($A29,Lookup!$B$2),t1.2, 39,0)</f>
        <v>47.742643707032002</v>
      </c>
      <c r="U29" s="39">
        <f>VLOOKUP(CONCATENATE($A29,Lookup!$B$2),t1.2, 40,0)</f>
        <v>43.480270272768401</v>
      </c>
      <c r="V29" s="39">
        <f>VLOOKUP(CONCATENATE($A29,Lookup!$B$2),t1.2, 41,0)</f>
        <v>42.639134091896402</v>
      </c>
    </row>
    <row r="30" spans="1:22" s="17" customFormat="1" ht="12.75" x14ac:dyDescent="0.2">
      <c r="A30" s="17" t="s">
        <v>40</v>
      </c>
      <c r="B30" s="17" t="s">
        <v>10</v>
      </c>
      <c r="C30" s="39">
        <f>VLOOKUP(CONCATENATE($A30,Lookup!$B$2),t1.2, 22,0)</f>
        <v>60.942063575537397</v>
      </c>
      <c r="D30" s="39">
        <f>VLOOKUP(CONCATENATE($A30,Lookup!$B$2),t1.2, 23,0)</f>
        <v>60.039386097684002</v>
      </c>
      <c r="E30" s="39">
        <f>VLOOKUP(CONCATENATE($A30,Lookup!$B$2),t1.2, 24,0)</f>
        <v>62.139593637981797</v>
      </c>
      <c r="F30" s="39">
        <f>VLOOKUP(CONCATENATE($A30,Lookup!$B$2),t1.2, 25,0)</f>
        <v>65.547260108109796</v>
      </c>
      <c r="G30" s="39">
        <f>VLOOKUP(CONCATENATE($A30,Lookup!$B$2),t1.2, 26,0)</f>
        <v>65.704647522156904</v>
      </c>
      <c r="H30" s="39">
        <f>VLOOKUP(CONCATENATE($A30,Lookup!$B$2),t1.2, 27,0)</f>
        <v>65.962451000618898</v>
      </c>
      <c r="I30" s="39">
        <f>VLOOKUP(CONCATENATE($A30,Lookup!$B$2),t1.2, 28,0)</f>
        <v>64.646297597883105</v>
      </c>
      <c r="J30" s="39">
        <f>VLOOKUP(CONCATENATE($A30,Lookup!$B$2),t1.2, 29,0)</f>
        <v>65.327213894208498</v>
      </c>
      <c r="K30" s="39">
        <f>VLOOKUP(CONCATENATE($A30,Lookup!$B$2),t1.2, 30,0)</f>
        <v>64.359740324760907</v>
      </c>
      <c r="L30" s="39">
        <f>VLOOKUP(CONCATENATE($A30,Lookup!$B$2),t1.2, 31,0)</f>
        <v>62.759999661100203</v>
      </c>
      <c r="M30" s="39">
        <f>VLOOKUP(CONCATENATE($A30,Lookup!$B$2),t1.2, 32,0)</f>
        <v>64.420218037661002</v>
      </c>
      <c r="N30" s="39">
        <f>VLOOKUP(CONCATENATE($A30,Lookup!$B$2),t1.2, 33,0)</f>
        <v>63.677952162291803</v>
      </c>
      <c r="O30" s="39">
        <f>VLOOKUP(CONCATENATE($A30,Lookup!$B$2),t1.2, 34,0)</f>
        <v>62.5945996648773</v>
      </c>
      <c r="P30" s="39">
        <f>VLOOKUP(CONCATENATE($A30,Lookup!$B$2),t1.2, 35,0)</f>
        <v>61.552917566625197</v>
      </c>
      <c r="Q30" s="39">
        <f>VLOOKUP(CONCATENATE($A30,Lookup!$B$2),t1.2, 36,0)</f>
        <v>59.691915418160001</v>
      </c>
      <c r="R30" s="39">
        <f>VLOOKUP(CONCATENATE($A30,Lookup!$B$2),t1.2, 37,0)</f>
        <v>56.878572985297303</v>
      </c>
      <c r="S30" s="39">
        <f>VLOOKUP(CONCATENATE($A30,Lookup!$B$2),t1.2, 38,0)</f>
        <v>53.339349049391501</v>
      </c>
      <c r="T30" s="39">
        <f>VLOOKUP(CONCATENATE($A30,Lookup!$B$2),t1.2, 39,0)</f>
        <v>54.441117556666903</v>
      </c>
      <c r="U30" s="39">
        <f>VLOOKUP(CONCATENATE($A30,Lookup!$B$2),t1.2, 40,0)</f>
        <v>52.303682460311599</v>
      </c>
      <c r="V30" s="39">
        <f>VLOOKUP(CONCATENATE($A30,Lookup!$B$2),t1.2, 41,0)</f>
        <v>54.203331944342303</v>
      </c>
    </row>
    <row r="31" spans="1:22" s="17" customFormat="1" ht="12.75" x14ac:dyDescent="0.2">
      <c r="A31" s="17" t="s">
        <v>41</v>
      </c>
      <c r="B31" s="17" t="s">
        <v>11</v>
      </c>
      <c r="C31" s="39">
        <f>VLOOKUP(CONCATENATE($A31,Lookup!$B$2),t1.2, 22,0)</f>
        <v>40.446153013157101</v>
      </c>
      <c r="D31" s="39">
        <f>VLOOKUP(CONCATENATE($A31,Lookup!$B$2),t1.2, 23,0)</f>
        <v>40.612230267402602</v>
      </c>
      <c r="E31" s="39">
        <f>VLOOKUP(CONCATENATE($A31,Lookup!$B$2),t1.2, 24,0)</f>
        <v>40.160498692365501</v>
      </c>
      <c r="F31" s="39">
        <f>VLOOKUP(CONCATENATE($A31,Lookup!$B$2),t1.2, 25,0)</f>
        <v>42.827583746566297</v>
      </c>
      <c r="G31" s="39">
        <f>VLOOKUP(CONCATENATE($A31,Lookup!$B$2),t1.2, 26,0)</f>
        <v>45.810933900091001</v>
      </c>
      <c r="H31" s="39">
        <f>VLOOKUP(CONCATENATE($A31,Lookup!$B$2),t1.2, 27,0)</f>
        <v>43.460302067058102</v>
      </c>
      <c r="I31" s="39">
        <f>VLOOKUP(CONCATENATE($A31,Lookup!$B$2),t1.2, 28,0)</f>
        <v>45.111284159437801</v>
      </c>
      <c r="J31" s="39">
        <f>VLOOKUP(CONCATENATE($A31,Lookup!$B$2),t1.2, 29,0)</f>
        <v>45.018181818181802</v>
      </c>
      <c r="K31" s="39">
        <f>VLOOKUP(CONCATENATE($A31,Lookup!$B$2),t1.2, 30,0)</f>
        <v>43.967412388465</v>
      </c>
      <c r="L31" s="39">
        <f>VLOOKUP(CONCATENATE($A31,Lookup!$B$2),t1.2, 31,0)</f>
        <v>43.000093519124597</v>
      </c>
      <c r="M31" s="39">
        <f>VLOOKUP(CONCATENATE($A31,Lookup!$B$2),t1.2, 32,0)</f>
        <v>43.625116226114301</v>
      </c>
      <c r="N31" s="39">
        <f>VLOOKUP(CONCATENATE($A31,Lookup!$B$2),t1.2, 33,0)</f>
        <v>42.444038812565999</v>
      </c>
      <c r="O31" s="39">
        <f>VLOOKUP(CONCATENATE($A31,Lookup!$B$2),t1.2, 34,0)</f>
        <v>41.6367691263453</v>
      </c>
      <c r="P31" s="39">
        <f>VLOOKUP(CONCATENATE($A31,Lookup!$B$2),t1.2, 35,0)</f>
        <v>40.5108055009823</v>
      </c>
      <c r="Q31" s="39">
        <f>VLOOKUP(CONCATENATE($A31,Lookup!$B$2),t1.2, 36,0)</f>
        <v>39.646348991417497</v>
      </c>
      <c r="R31" s="39">
        <f>VLOOKUP(CONCATENATE($A31,Lookup!$B$2),t1.2, 37,0)</f>
        <v>39.5133722099336</v>
      </c>
      <c r="S31" s="39">
        <f>VLOOKUP(CONCATENATE($A31,Lookup!$B$2),t1.2, 38,0)</f>
        <v>37.516012932349099</v>
      </c>
      <c r="T31" s="39">
        <f>VLOOKUP(CONCATENATE($A31,Lookup!$B$2),t1.2, 39,0)</f>
        <v>37.787315977375698</v>
      </c>
      <c r="U31" s="39">
        <f>VLOOKUP(CONCATENATE($A31,Lookup!$B$2),t1.2, 40,0)</f>
        <v>37.633757318796597</v>
      </c>
      <c r="V31" s="39">
        <f>VLOOKUP(CONCATENATE($A31,Lookup!$B$2),t1.2, 41,0)</f>
        <v>36.038764385221</v>
      </c>
    </row>
    <row r="32" spans="1:22" s="17" customFormat="1" ht="12.75" x14ac:dyDescent="0.2">
      <c r="A32" s="17" t="s">
        <v>42</v>
      </c>
      <c r="B32" s="17" t="s">
        <v>12</v>
      </c>
      <c r="C32" s="39">
        <f>VLOOKUP(CONCATENATE($A32,Lookup!$B$2),t1.2, 22,0)</f>
        <v>35.1774149071748</v>
      </c>
      <c r="D32" s="39">
        <f>VLOOKUP(CONCATENATE($A32,Lookup!$B$2),t1.2, 23,0)</f>
        <v>33.6507176675617</v>
      </c>
      <c r="E32" s="39">
        <f>VLOOKUP(CONCATENATE($A32,Lookup!$B$2),t1.2, 24,0)</f>
        <v>36.328742887557802</v>
      </c>
      <c r="F32" s="39">
        <f>VLOOKUP(CONCATENATE($A32,Lookup!$B$2),t1.2, 25,0)</f>
        <v>35.856513945866404</v>
      </c>
      <c r="G32" s="39">
        <f>VLOOKUP(CONCATENATE($A32,Lookup!$B$2),t1.2, 26,0)</f>
        <v>36.7988540410132</v>
      </c>
      <c r="H32" s="39">
        <f>VLOOKUP(CONCATENATE($A32,Lookup!$B$2),t1.2, 27,0)</f>
        <v>36.084905660377302</v>
      </c>
      <c r="I32" s="39">
        <f>VLOOKUP(CONCATENATE($A32,Lookup!$B$2),t1.2, 28,0)</f>
        <v>37.577725789570799</v>
      </c>
      <c r="J32" s="39">
        <f>VLOOKUP(CONCATENATE($A32,Lookup!$B$2),t1.2, 29,0)</f>
        <v>38.471697820040703</v>
      </c>
      <c r="K32" s="39">
        <f>VLOOKUP(CONCATENATE($A32,Lookup!$B$2),t1.2, 30,0)</f>
        <v>37.391242948934199</v>
      </c>
      <c r="L32" s="39">
        <f>VLOOKUP(CONCATENATE($A32,Lookup!$B$2),t1.2, 31,0)</f>
        <v>37.346343634037602</v>
      </c>
      <c r="M32" s="39">
        <f>VLOOKUP(CONCATENATE($A32,Lookup!$B$2),t1.2, 32,0)</f>
        <v>37.925994924999202</v>
      </c>
      <c r="N32" s="39">
        <f>VLOOKUP(CONCATENATE($A32,Lookup!$B$2),t1.2, 33,0)</f>
        <v>35.987823242709297</v>
      </c>
      <c r="O32" s="39">
        <f>VLOOKUP(CONCATENATE($A32,Lookup!$B$2),t1.2, 34,0)</f>
        <v>36.209697830683901</v>
      </c>
      <c r="P32" s="39">
        <f>VLOOKUP(CONCATENATE($A32,Lookup!$B$2),t1.2, 35,0)</f>
        <v>35.743044485711003</v>
      </c>
      <c r="Q32" s="39">
        <f>VLOOKUP(CONCATENATE($A32,Lookup!$B$2),t1.2, 36,0)</f>
        <v>34.835727257718297</v>
      </c>
      <c r="R32" s="39">
        <f>VLOOKUP(CONCATENATE($A32,Lookup!$B$2),t1.2, 37,0)</f>
        <v>34.318532007283899</v>
      </c>
      <c r="S32" s="39">
        <f>VLOOKUP(CONCATENATE($A32,Lookup!$B$2),t1.2, 38,0)</f>
        <v>33.721698892745003</v>
      </c>
      <c r="T32" s="39">
        <f>VLOOKUP(CONCATENATE($A32,Lookup!$B$2),t1.2, 39,0)</f>
        <v>34.270577976670303</v>
      </c>
      <c r="U32" s="39">
        <f>VLOOKUP(CONCATENATE($A32,Lookup!$B$2),t1.2, 40,0)</f>
        <v>32.736635605689003</v>
      </c>
      <c r="V32" s="39">
        <f>VLOOKUP(CONCATENATE($A32,Lookup!$B$2),t1.2, 41,0)</f>
        <v>32.344286414909199</v>
      </c>
    </row>
    <row r="33" spans="1:22" s="17" customFormat="1" ht="12.75" x14ac:dyDescent="0.2">
      <c r="A33" s="17" t="s">
        <v>43</v>
      </c>
      <c r="B33" s="17" t="s">
        <v>13</v>
      </c>
      <c r="C33" s="39">
        <f>VLOOKUP(CONCATENATE($A33,Lookup!$B$2),t1.2, 22,0)</f>
        <v>47.597596752124197</v>
      </c>
      <c r="D33" s="39">
        <f>VLOOKUP(CONCATENATE($A33,Lookup!$B$2),t1.2, 23,0)</f>
        <v>47.998659255328</v>
      </c>
      <c r="E33" s="39">
        <f>VLOOKUP(CONCATENATE($A33,Lookup!$B$2),t1.2, 24,0)</f>
        <v>49.156334171805</v>
      </c>
      <c r="F33" s="39">
        <f>VLOOKUP(CONCATENATE($A33,Lookup!$B$2),t1.2, 25,0)</f>
        <v>52.869130946396098</v>
      </c>
      <c r="G33" s="39">
        <f>VLOOKUP(CONCATENATE($A33,Lookup!$B$2),t1.2, 26,0)</f>
        <v>53.134101138469603</v>
      </c>
      <c r="H33" s="39">
        <f>VLOOKUP(CONCATENATE($A33,Lookup!$B$2),t1.2, 27,0)</f>
        <v>51.651913176722097</v>
      </c>
      <c r="I33" s="39">
        <f>VLOOKUP(CONCATENATE($A33,Lookup!$B$2),t1.2, 28,0)</f>
        <v>52.5323290629916</v>
      </c>
      <c r="J33" s="39">
        <f>VLOOKUP(CONCATENATE($A33,Lookup!$B$2),t1.2, 29,0)</f>
        <v>52.049454039995403</v>
      </c>
      <c r="K33" s="39">
        <f>VLOOKUP(CONCATENATE($A33,Lookup!$B$2),t1.2, 30,0)</f>
        <v>50.9904202129689</v>
      </c>
      <c r="L33" s="39">
        <f>VLOOKUP(CONCATENATE($A33,Lookup!$B$2),t1.2, 31,0)</f>
        <v>52.285858652430797</v>
      </c>
      <c r="M33" s="39">
        <f>VLOOKUP(CONCATENATE($A33,Lookup!$B$2),t1.2, 32,0)</f>
        <v>50.776803145709003</v>
      </c>
      <c r="N33" s="39">
        <f>VLOOKUP(CONCATENATE($A33,Lookup!$B$2),t1.2, 33,0)</f>
        <v>50.5732138005976</v>
      </c>
      <c r="O33" s="39">
        <f>VLOOKUP(CONCATENATE($A33,Lookup!$B$2),t1.2, 34,0)</f>
        <v>49.214654049456797</v>
      </c>
      <c r="P33" s="39">
        <f>VLOOKUP(CONCATENATE($A33,Lookup!$B$2),t1.2, 35,0)</f>
        <v>47.260028940159998</v>
      </c>
      <c r="Q33" s="39">
        <f>VLOOKUP(CONCATENATE($A33,Lookup!$B$2),t1.2, 36,0)</f>
        <v>45.733401792283502</v>
      </c>
      <c r="R33" s="39">
        <f>VLOOKUP(CONCATENATE($A33,Lookup!$B$2),t1.2, 37,0)</f>
        <v>42.848372590894002</v>
      </c>
      <c r="S33" s="39">
        <f>VLOOKUP(CONCATENATE($A33,Lookup!$B$2),t1.2, 38,0)</f>
        <v>42.1223866388396</v>
      </c>
      <c r="T33" s="39">
        <f>VLOOKUP(CONCATENATE($A33,Lookup!$B$2),t1.2, 39,0)</f>
        <v>44.1173385912656</v>
      </c>
      <c r="U33" s="39">
        <f>VLOOKUP(CONCATENATE($A33,Lookup!$B$2),t1.2, 40,0)</f>
        <v>39.689748430882197</v>
      </c>
      <c r="V33" s="39">
        <f>VLOOKUP(CONCATENATE($A33,Lookup!$B$2),t1.2, 41,0)</f>
        <v>37.740470480175503</v>
      </c>
    </row>
    <row r="34" spans="1:22" s="17" customFormat="1" ht="12.75" x14ac:dyDescent="0.2">
      <c r="A34" s="17" t="s">
        <v>44</v>
      </c>
      <c r="B34" s="17" t="s">
        <v>14</v>
      </c>
      <c r="C34" s="39">
        <f>VLOOKUP(CONCATENATE($A34,Lookup!$B$2),t1.2, 22,0)</f>
        <v>35.484772282760503</v>
      </c>
      <c r="D34" s="39">
        <f>VLOOKUP(CONCATENATE($A34,Lookup!$B$2),t1.2, 23,0)</f>
        <v>37.840845854201397</v>
      </c>
      <c r="E34" s="39">
        <f>VLOOKUP(CONCATENATE($A34,Lookup!$B$2),t1.2, 24,0)</f>
        <v>38.440417353102603</v>
      </c>
      <c r="F34" s="39">
        <f>VLOOKUP(CONCATENATE($A34,Lookup!$B$2),t1.2, 25,0)</f>
        <v>36.289222373806197</v>
      </c>
      <c r="G34" s="39">
        <f>VLOOKUP(CONCATENATE($A34,Lookup!$B$2),t1.2, 26,0)</f>
        <v>39.141070943191004</v>
      </c>
      <c r="H34" s="39">
        <f>VLOOKUP(CONCATENATE($A34,Lookup!$B$2),t1.2, 27,0)</f>
        <v>34.380875637926401</v>
      </c>
      <c r="I34" s="39">
        <f>VLOOKUP(CONCATENATE($A34,Lookup!$B$2),t1.2, 28,0)</f>
        <v>33.466135458167301</v>
      </c>
      <c r="J34" s="39">
        <f>VLOOKUP(CONCATENATE($A34,Lookup!$B$2),t1.2, 29,0)</f>
        <v>37.425955842757098</v>
      </c>
      <c r="K34" s="39">
        <f>VLOOKUP(CONCATENATE($A34,Lookup!$B$2),t1.2, 30,0)</f>
        <v>38.911564625850303</v>
      </c>
      <c r="L34" s="39">
        <f>VLOOKUP(CONCATENATE($A34,Lookup!$B$2),t1.2, 31,0)</f>
        <v>34.368070953436799</v>
      </c>
      <c r="M34" s="39">
        <f>VLOOKUP(CONCATENATE($A34,Lookup!$B$2),t1.2, 32,0)</f>
        <v>39.281705948372597</v>
      </c>
      <c r="N34" s="39">
        <f>VLOOKUP(CONCATENATE($A34,Lookup!$B$2),t1.2, 33,0)</f>
        <v>35.277382645803698</v>
      </c>
      <c r="O34" s="39">
        <f>VLOOKUP(CONCATENATE($A34,Lookup!$B$2),t1.2, 34,0)</f>
        <v>31.988472622478302</v>
      </c>
      <c r="P34" s="39">
        <f>VLOOKUP(CONCATENATE($A34,Lookup!$B$2),t1.2, 35,0)</f>
        <v>33.294730746959999</v>
      </c>
      <c r="Q34" s="39">
        <f>VLOOKUP(CONCATENATE($A34,Lookup!$B$2),t1.2, 36,0)</f>
        <v>38.562664329535401</v>
      </c>
      <c r="R34" s="39">
        <f>VLOOKUP(CONCATENATE($A34,Lookup!$B$2),t1.2, 37,0)</f>
        <v>40.9131337088645</v>
      </c>
      <c r="S34" s="39">
        <f>VLOOKUP(CONCATENATE($A34,Lookup!$B$2),t1.2, 38,0)</f>
        <v>42.489527229204</v>
      </c>
      <c r="T34" s="39">
        <f>VLOOKUP(CONCATENATE($A34,Lookup!$B$2),t1.2, 39,0)</f>
        <v>42.071197411003197</v>
      </c>
      <c r="U34" s="39">
        <f>VLOOKUP(CONCATENATE($A34,Lookup!$B$2),t1.2, 40,0)</f>
        <v>36.806173938854201</v>
      </c>
      <c r="V34" s="39">
        <f>VLOOKUP(CONCATENATE($A34,Lookup!$B$2),t1.2, 41,0)</f>
        <v>31.760166221430602</v>
      </c>
    </row>
    <row r="35" spans="1:22" s="17" customFormat="1" ht="12.75" x14ac:dyDescent="0.2">
      <c r="A35" s="17" t="s">
        <v>45</v>
      </c>
      <c r="B35" s="17" t="s">
        <v>15</v>
      </c>
      <c r="C35" s="39">
        <f>VLOOKUP(CONCATENATE($A35,Lookup!$B$2),t1.2, 22,0)</f>
        <v>36.719122556032403</v>
      </c>
      <c r="D35" s="39">
        <f>VLOOKUP(CONCATENATE($A35,Lookup!$B$2),t1.2, 23,0)</f>
        <v>30.181560952605501</v>
      </c>
      <c r="E35" s="39">
        <f>VLOOKUP(CONCATENATE($A35,Lookup!$B$2),t1.2, 24,0)</f>
        <v>38.717339667458397</v>
      </c>
      <c r="F35" s="39">
        <f>VLOOKUP(CONCATENATE($A35,Lookup!$B$2),t1.2, 25,0)</f>
        <v>31.3022700119474</v>
      </c>
      <c r="G35" s="39">
        <f>VLOOKUP(CONCATENATE($A35,Lookup!$B$2),t1.2, 26,0)</f>
        <v>34.549408069582</v>
      </c>
      <c r="H35" s="39">
        <f>VLOOKUP(CONCATENATE($A35,Lookup!$B$2),t1.2, 27,0)</f>
        <v>37.876960193003598</v>
      </c>
      <c r="I35" s="39">
        <f>VLOOKUP(CONCATENATE($A35,Lookup!$B$2),t1.2, 28,0)</f>
        <v>35.108669691903501</v>
      </c>
      <c r="J35" s="39">
        <f>VLOOKUP(CONCATENATE($A35,Lookup!$B$2),t1.2, 29,0)</f>
        <v>33.691756272401399</v>
      </c>
      <c r="K35" s="39">
        <f>VLOOKUP(CONCATENATE($A35,Lookup!$B$2),t1.2, 30,0)</f>
        <v>43.080625752105803</v>
      </c>
      <c r="L35" s="39">
        <f>VLOOKUP(CONCATENATE($A35,Lookup!$B$2),t1.2, 31,0)</f>
        <v>34.7171643602816</v>
      </c>
      <c r="M35" s="39">
        <f>VLOOKUP(CONCATENATE($A35,Lookup!$B$2),t1.2, 32,0)</f>
        <v>37.335285505124403</v>
      </c>
      <c r="N35" s="39">
        <f>VLOOKUP(CONCATENATE($A35,Lookup!$B$2),t1.2, 33,0)</f>
        <v>30.554876558298702</v>
      </c>
      <c r="O35" s="39">
        <f>VLOOKUP(CONCATENATE($A35,Lookup!$B$2),t1.2, 34,0)</f>
        <v>34.534534534534501</v>
      </c>
      <c r="P35" s="39">
        <f>VLOOKUP(CONCATENATE($A35,Lookup!$B$2),t1.2, 35,0)</f>
        <v>29.063786008230402</v>
      </c>
      <c r="Q35" s="39">
        <f>VLOOKUP(CONCATENATE($A35,Lookup!$B$2),t1.2, 36,0)</f>
        <v>24.312896405919599</v>
      </c>
      <c r="R35" s="39">
        <f>VLOOKUP(CONCATENATE($A35,Lookup!$B$2),t1.2, 37,0)</f>
        <v>30.9278350515463</v>
      </c>
      <c r="S35" s="39">
        <f>VLOOKUP(CONCATENATE($A35,Lookup!$B$2),t1.2, 38,0)</f>
        <v>28.563656147986901</v>
      </c>
      <c r="T35" s="39">
        <f>VLOOKUP(CONCATENATE($A35,Lookup!$B$2),t1.2, 39,0)</f>
        <v>22.459893048128301</v>
      </c>
      <c r="U35" s="39">
        <f>VLOOKUP(CONCATENATE($A35,Lookup!$B$2),t1.2, 40,0)</f>
        <v>27.216383724063501</v>
      </c>
      <c r="V35" s="39">
        <f>VLOOKUP(CONCATENATE($A35,Lookup!$B$2),t1.2, 41,0)</f>
        <v>17.515494475882502</v>
      </c>
    </row>
    <row r="36" spans="1:22" s="17" customFormat="1" ht="12.75" x14ac:dyDescent="0.2">
      <c r="A36" s="17" t="s">
        <v>46</v>
      </c>
      <c r="B36" s="17" t="s">
        <v>16</v>
      </c>
      <c r="C36" s="39">
        <f>VLOOKUP(CONCATENATE($A36,Lookup!$B$2),t1.2, 22,0)</f>
        <v>52.707534291100501</v>
      </c>
      <c r="D36" s="39">
        <f>VLOOKUP(CONCATENATE($A36,Lookup!$B$2),t1.2, 23,0)</f>
        <v>51.792725435061399</v>
      </c>
      <c r="E36" s="39">
        <f>VLOOKUP(CONCATENATE($A36,Lookup!$B$2),t1.2, 24,0)</f>
        <v>50.5522899037529</v>
      </c>
      <c r="F36" s="39">
        <f>VLOOKUP(CONCATENATE($A36,Lookup!$B$2),t1.2, 25,0)</f>
        <v>59.823782879927897</v>
      </c>
      <c r="G36" s="39">
        <f>VLOOKUP(CONCATENATE($A36,Lookup!$B$2),t1.2, 26,0)</f>
        <v>59.155435298341899</v>
      </c>
      <c r="H36" s="39">
        <f>VLOOKUP(CONCATENATE($A36,Lookup!$B$2),t1.2, 27,0)</f>
        <v>58.806203337303202</v>
      </c>
      <c r="I36" s="39">
        <f>VLOOKUP(CONCATENATE($A36,Lookup!$B$2),t1.2, 28,0)</f>
        <v>58.290387918877997</v>
      </c>
      <c r="J36" s="39">
        <f>VLOOKUP(CONCATENATE($A36,Lookup!$B$2),t1.2, 29,0)</f>
        <v>59.396722147822203</v>
      </c>
      <c r="K36" s="39">
        <f>VLOOKUP(CONCATENATE($A36,Lookup!$B$2),t1.2, 30,0)</f>
        <v>56.275111356430401</v>
      </c>
      <c r="L36" s="39">
        <f>VLOOKUP(CONCATENATE($A36,Lookup!$B$2),t1.2, 31,0)</f>
        <v>55.508601297671198</v>
      </c>
      <c r="M36" s="39">
        <f>VLOOKUP(CONCATENATE($A36,Lookup!$B$2),t1.2, 32,0)</f>
        <v>58.187361200541403</v>
      </c>
      <c r="N36" s="39">
        <f>VLOOKUP(CONCATENATE($A36,Lookup!$B$2),t1.2, 33,0)</f>
        <v>55.302649339650102</v>
      </c>
      <c r="O36" s="39">
        <f>VLOOKUP(CONCATENATE($A36,Lookup!$B$2),t1.2, 34,0)</f>
        <v>54.711489679848299</v>
      </c>
      <c r="P36" s="39">
        <f>VLOOKUP(CONCATENATE($A36,Lookup!$B$2),t1.2, 35,0)</f>
        <v>51.561997642267698</v>
      </c>
      <c r="Q36" s="39">
        <f>VLOOKUP(CONCATENATE($A36,Lookup!$B$2),t1.2, 36,0)</f>
        <v>50.0721286721583</v>
      </c>
      <c r="R36" s="39">
        <f>VLOOKUP(CONCATENATE($A36,Lookup!$B$2),t1.2, 37,0)</f>
        <v>48.420654435407599</v>
      </c>
      <c r="S36" s="39">
        <f>VLOOKUP(CONCATENATE($A36,Lookup!$B$2),t1.2, 38,0)</f>
        <v>45.221230548370002</v>
      </c>
      <c r="T36" s="39">
        <f>VLOOKUP(CONCATENATE($A36,Lookup!$B$2),t1.2, 39,0)</f>
        <v>47.912964445107598</v>
      </c>
      <c r="U36" s="39">
        <f>VLOOKUP(CONCATENATE($A36,Lookup!$B$2),t1.2, 40,0)</f>
        <v>44.900809906921097</v>
      </c>
      <c r="V36" s="39">
        <f>VLOOKUP(CONCATENATE($A36,Lookup!$B$2),t1.2, 41,0)</f>
        <v>42.644352813184099</v>
      </c>
    </row>
    <row r="37" spans="1:22" s="17" customFormat="1" ht="12.75" x14ac:dyDescent="0.2">
      <c r="A37" s="17" t="s">
        <v>47</v>
      </c>
      <c r="B37" s="17" t="s">
        <v>17</v>
      </c>
      <c r="C37" s="39">
        <f>VLOOKUP(CONCATENATE($A37,Lookup!$B$2),t1.2, 22,0)</f>
        <v>38.975257280490403</v>
      </c>
      <c r="D37" s="39">
        <f>VLOOKUP(CONCATENATE($A37,Lookup!$B$2),t1.2, 23,0)</f>
        <v>39.0522158841597</v>
      </c>
      <c r="E37" s="39">
        <f>VLOOKUP(CONCATENATE($A37,Lookup!$B$2),t1.2, 24,0)</f>
        <v>52.805280528052798</v>
      </c>
      <c r="F37" s="39">
        <f>VLOOKUP(CONCATENATE($A37,Lookup!$B$2),t1.2, 25,0)</f>
        <v>47.755281690140798</v>
      </c>
      <c r="G37" s="39">
        <f>VLOOKUP(CONCATENATE($A37,Lookup!$B$2),t1.2, 26,0)</f>
        <v>45.383759733036698</v>
      </c>
      <c r="H37" s="39">
        <f>VLOOKUP(CONCATENATE($A37,Lookup!$B$2),t1.2, 27,0)</f>
        <v>40.534521158129103</v>
      </c>
      <c r="I37" s="39">
        <f>VLOOKUP(CONCATENATE($A37,Lookup!$B$2),t1.2, 28,0)</f>
        <v>40.338756407399103</v>
      </c>
      <c r="J37" s="39">
        <f>VLOOKUP(CONCATENATE($A37,Lookup!$B$2),t1.2, 29,0)</f>
        <v>46.167637830569198</v>
      </c>
      <c r="K37" s="39">
        <f>VLOOKUP(CONCATENATE($A37,Lookup!$B$2),t1.2, 30,0)</f>
        <v>44.928522804628997</v>
      </c>
      <c r="L37" s="39">
        <f>VLOOKUP(CONCATENATE($A37,Lookup!$B$2),t1.2, 31,0)</f>
        <v>45.024243823597303</v>
      </c>
      <c r="M37" s="39">
        <f>VLOOKUP(CONCATENATE($A37,Lookup!$B$2),t1.2, 32,0)</f>
        <v>40.991420400381301</v>
      </c>
      <c r="N37" s="39">
        <f>VLOOKUP(CONCATENATE($A37,Lookup!$B$2),t1.2, 33,0)</f>
        <v>44.996311777723101</v>
      </c>
      <c r="O37" s="39">
        <f>VLOOKUP(CONCATENATE($A37,Lookup!$B$2),t1.2, 34,0)</f>
        <v>45.908183632734499</v>
      </c>
      <c r="P37" s="39">
        <f>VLOOKUP(CONCATENATE($A37,Lookup!$B$2),t1.2, 35,0)</f>
        <v>38.3540767081534</v>
      </c>
      <c r="Q37" s="39">
        <f>VLOOKUP(CONCATENATE($A37,Lookup!$B$2),t1.2, 36,0)</f>
        <v>41.829046505585801</v>
      </c>
      <c r="R37" s="39">
        <f>VLOOKUP(CONCATENATE($A37,Lookup!$B$2),t1.2, 37,0)</f>
        <v>41.458934662818102</v>
      </c>
      <c r="S37" s="39">
        <f>VLOOKUP(CONCATENATE($A37,Lookup!$B$2),t1.2, 38,0)</f>
        <v>33.351264120494797</v>
      </c>
      <c r="T37" s="39">
        <f>VLOOKUP(CONCATENATE($A37,Lookup!$B$2),t1.2, 39,0)</f>
        <v>42.158968850698102</v>
      </c>
      <c r="U37" s="39">
        <f>VLOOKUP(CONCATENATE($A37,Lookup!$B$2),t1.2, 40,0)</f>
        <v>32.4236692785733</v>
      </c>
      <c r="V37" s="39">
        <f>VLOOKUP(CONCATENATE($A37,Lookup!$B$2),t1.2, 41,0)</f>
        <v>36.746825182383098</v>
      </c>
    </row>
    <row r="38" spans="1:22" s="17" customFormat="1" ht="12.75" x14ac:dyDescent="0.2">
      <c r="A38" s="17" t="s">
        <v>3</v>
      </c>
      <c r="B38" s="19" t="s">
        <v>3</v>
      </c>
      <c r="C38" s="40">
        <f>VLOOKUP(CONCATENATE($A38,Lookup!$B$2),t1.2, 22,0)</f>
        <v>49.713067284405597</v>
      </c>
      <c r="D38" s="40">
        <f>VLOOKUP(CONCATENATE($A38,Lookup!$B$2),t1.2, 23,0)</f>
        <v>49.243142652728103</v>
      </c>
      <c r="E38" s="40">
        <f>VLOOKUP(CONCATENATE($A38,Lookup!$B$2),t1.2, 24,0)</f>
        <v>51.2012318301758</v>
      </c>
      <c r="F38" s="40">
        <f>VLOOKUP(CONCATENATE($A38,Lookup!$B$2),t1.2, 25,0)</f>
        <v>53.791212295134201</v>
      </c>
      <c r="G38" s="40">
        <f>VLOOKUP(CONCATENATE($A38,Lookup!$B$2),t1.2, 26,0)</f>
        <v>54.405607675044898</v>
      </c>
      <c r="H38" s="40">
        <f>VLOOKUP(CONCATENATE($A38,Lookup!$B$2),t1.2, 27,0)</f>
        <v>54.113657718721697</v>
      </c>
      <c r="I38" s="40">
        <f>VLOOKUP(CONCATENATE($A38,Lookup!$B$2),t1.2, 28,0)</f>
        <v>53.897483190402902</v>
      </c>
      <c r="J38" s="40">
        <f>VLOOKUP(CONCATENATE($A38,Lookup!$B$2),t1.2, 29,0)</f>
        <v>54.201973231097398</v>
      </c>
      <c r="K38" s="40">
        <f>VLOOKUP(CONCATENATE($A38,Lookup!$B$2),t1.2, 30,0)</f>
        <v>53.233237299886603</v>
      </c>
      <c r="L38" s="40">
        <f>VLOOKUP(CONCATENATE($A38,Lookup!$B$2),t1.2, 31,0)</f>
        <v>52.7765344158299</v>
      </c>
      <c r="M38" s="40">
        <f>VLOOKUP(CONCATENATE($A38,Lookup!$B$2),t1.2, 32,0)</f>
        <v>53.2506492735628</v>
      </c>
      <c r="N38" s="40">
        <f>VLOOKUP(CONCATENATE($A38,Lookup!$B$2),t1.2, 33,0)</f>
        <v>52.697911256721298</v>
      </c>
      <c r="O38" s="40">
        <f>VLOOKUP(CONCATENATE($A38,Lookup!$B$2),t1.2, 34,0)</f>
        <v>51.981459341865403</v>
      </c>
      <c r="P38" s="40">
        <f>VLOOKUP(CONCATENATE($A38,Lookup!$B$2),t1.2, 35,0)</f>
        <v>50.598492132458503</v>
      </c>
      <c r="Q38" s="40">
        <f>VLOOKUP(CONCATENATE($A38,Lookup!$B$2),t1.2, 36,0)</f>
        <v>49.318158717690302</v>
      </c>
      <c r="R38" s="40">
        <f>VLOOKUP(CONCATENATE($A38,Lookup!$B$2),t1.2, 37,0)</f>
        <v>47.424624354528802</v>
      </c>
      <c r="S38" s="40">
        <f>VLOOKUP(CONCATENATE($A38,Lookup!$B$2),t1.2, 38,0)</f>
        <v>45.176451521413199</v>
      </c>
      <c r="T38" s="40">
        <f>VLOOKUP(CONCATENATE($A38,Lookup!$B$2),t1.2, 39,0)</f>
        <v>46.523041313108401</v>
      </c>
      <c r="U38" s="40">
        <f>VLOOKUP(CONCATENATE($A38,Lookup!$B$2),t1.2, 40,0)</f>
        <v>43.595938559697899</v>
      </c>
      <c r="V38" s="40">
        <f>VLOOKUP(CONCATENATE($A38,Lookup!$B$2),t1.2, 41,0)</f>
        <v>43.273215124906599</v>
      </c>
    </row>
    <row r="39" spans="1:22" s="17" customFormat="1" ht="12.75" x14ac:dyDescent="0.2"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</row>
    <row r="40" spans="1:22" s="17" customFormat="1" ht="12.75" x14ac:dyDescent="0.2">
      <c r="B40" s="19" t="s">
        <v>32</v>
      </c>
      <c r="C40" s="19" t="s">
        <v>2</v>
      </c>
    </row>
    <row r="41" spans="1:22" s="17" customFormat="1" ht="12.75" x14ac:dyDescent="0.2">
      <c r="C41" s="12" t="s">
        <v>119</v>
      </c>
      <c r="D41" s="12" t="s">
        <v>120</v>
      </c>
      <c r="E41" s="12" t="s">
        <v>121</v>
      </c>
      <c r="F41" s="12" t="s">
        <v>122</v>
      </c>
      <c r="G41" s="12" t="s">
        <v>123</v>
      </c>
      <c r="H41" s="12" t="s">
        <v>124</v>
      </c>
      <c r="I41" s="12" t="s">
        <v>125</v>
      </c>
      <c r="J41" s="12" t="s">
        <v>126</v>
      </c>
      <c r="K41" s="12" t="s">
        <v>127</v>
      </c>
      <c r="L41" s="12" t="s">
        <v>128</v>
      </c>
      <c r="M41" s="12" t="s">
        <v>129</v>
      </c>
      <c r="N41" s="12" t="s">
        <v>130</v>
      </c>
      <c r="O41" s="12" t="s">
        <v>131</v>
      </c>
      <c r="P41" s="12" t="s">
        <v>132</v>
      </c>
      <c r="Q41" s="12" t="s">
        <v>133</v>
      </c>
      <c r="R41" s="12" t="s">
        <v>134</v>
      </c>
      <c r="S41" s="12" t="s">
        <v>135</v>
      </c>
      <c r="T41" s="12" t="s">
        <v>136</v>
      </c>
      <c r="U41" s="12" t="s">
        <v>137</v>
      </c>
      <c r="V41" s="12" t="s">
        <v>488</v>
      </c>
    </row>
    <row r="42" spans="1:22" s="17" customFormat="1" ht="12.75" x14ac:dyDescent="0.2">
      <c r="A42" s="17" t="s">
        <v>34</v>
      </c>
      <c r="B42" s="17" t="s">
        <v>4</v>
      </c>
      <c r="C42" s="22">
        <f t="shared" ref="C42:C56" si="0">C6/VLOOKUP(CONCATENATE($A42,"All maternities"),t1.2, 2,0)*100</f>
        <v>100</v>
      </c>
      <c r="D42" s="22">
        <f t="shared" ref="D42:D56" si="1">D6/VLOOKUP(CONCATENATE($A42,"All maternities"),t1.2, 3,0)*100</f>
        <v>100</v>
      </c>
      <c r="E42" s="22">
        <f t="shared" ref="E42:E56" si="2">E6/VLOOKUP(CONCATENATE($A42,"All maternities"),t1.2, 4,0)*100</f>
        <v>100</v>
      </c>
      <c r="F42" s="22">
        <f t="shared" ref="F42:F56" si="3">F6/VLOOKUP(CONCATENATE($A42,"All maternities"),t1.2, 5,0)*100</f>
        <v>100</v>
      </c>
      <c r="G42" s="22">
        <f t="shared" ref="G42:G56" si="4">G6/VLOOKUP(CONCATENATE($A42,"All maternities"),t1.2, 6,0)*100</f>
        <v>100</v>
      </c>
      <c r="H42" s="22">
        <f t="shared" ref="H42:H56" si="5">H6/VLOOKUP(CONCATENATE($A42,"All maternities"),t1.2, 7,0)*100</f>
        <v>100</v>
      </c>
      <c r="I42" s="22">
        <f t="shared" ref="I42:I56" si="6">I6/VLOOKUP(CONCATENATE($A42,"All maternities"),t1.2, 8,0)*100</f>
        <v>100</v>
      </c>
      <c r="J42" s="22">
        <f t="shared" ref="J42:J56" si="7">J6/VLOOKUP(CONCATENATE($A42,"All maternities"),t1.2, 9,0)*100</f>
        <v>100</v>
      </c>
      <c r="K42" s="22">
        <f t="shared" ref="K42:K56" si="8">K6/VLOOKUP(CONCATENATE($A42,"All maternities"),t1.2, 10,0)*100</f>
        <v>100</v>
      </c>
      <c r="L42" s="22">
        <f t="shared" ref="L42:L56" si="9">L6/VLOOKUP(CONCATENATE($A42,"All maternities"),t1.2, 11,0)*100</f>
        <v>100</v>
      </c>
      <c r="M42" s="22">
        <f t="shared" ref="M42:M56" si="10">M6/VLOOKUP(CONCATENATE($A42,"All maternities"),t1.2, 12,0)*100</f>
        <v>100</v>
      </c>
      <c r="N42" s="22">
        <f t="shared" ref="N42:N56" si="11">N6/VLOOKUP(CONCATENATE($A42,"All maternities"),t1.2, 13,0)*100</f>
        <v>100</v>
      </c>
      <c r="O42" s="22">
        <f t="shared" ref="O42:O56" si="12">O6/VLOOKUP(CONCATENATE($A42,"All maternities"),t1.2, 14,0)*100</f>
        <v>100</v>
      </c>
      <c r="P42" s="22">
        <f t="shared" ref="P42:P56" si="13">P6/VLOOKUP(CONCATENATE($A42,"All maternities"),t1.2, 15,0)*100</f>
        <v>100</v>
      </c>
      <c r="Q42" s="22">
        <f t="shared" ref="Q42:Q56" si="14">Q6/VLOOKUP(CONCATENATE($A42,"All maternities"),t1.2, 16,0)*100</f>
        <v>100</v>
      </c>
      <c r="R42" s="22">
        <f t="shared" ref="R42:R56" si="15">R6/VLOOKUP(CONCATENATE($A42,"All maternities"),t1.2, 17,0)*100</f>
        <v>100</v>
      </c>
      <c r="S42" s="22">
        <f t="shared" ref="S42:S56" si="16">S6/VLOOKUP(CONCATENATE($A42,"All maternities"),t1.2, 18,0)*100</f>
        <v>100</v>
      </c>
      <c r="T42" s="22">
        <f t="shared" ref="T42:T56" si="17">T6/VLOOKUP(CONCATENATE($A42,"All maternities"),t1.2, 19,0)*100</f>
        <v>100</v>
      </c>
      <c r="U42" s="22">
        <f t="shared" ref="U42:U56" si="18">U6/VLOOKUP(CONCATENATE($A42,"All maternities"),t1.2, 20,0)*100</f>
        <v>100</v>
      </c>
      <c r="V42" s="22">
        <f t="shared" ref="V42:V56" si="19">V6/VLOOKUP(CONCATENATE($A42,"All maternities"),t1.2, 21,0)*100</f>
        <v>100</v>
      </c>
    </row>
    <row r="43" spans="1:22" s="17" customFormat="1" ht="12.75" x14ac:dyDescent="0.2">
      <c r="A43" s="17" t="s">
        <v>35</v>
      </c>
      <c r="B43" s="17" t="s">
        <v>5</v>
      </c>
      <c r="C43" s="22">
        <f t="shared" si="0"/>
        <v>100</v>
      </c>
      <c r="D43" s="22">
        <f t="shared" si="1"/>
        <v>100</v>
      </c>
      <c r="E43" s="22">
        <f t="shared" si="2"/>
        <v>100</v>
      </c>
      <c r="F43" s="22">
        <f t="shared" si="3"/>
        <v>100</v>
      </c>
      <c r="G43" s="22">
        <f t="shared" si="4"/>
        <v>100</v>
      </c>
      <c r="H43" s="22">
        <f t="shared" si="5"/>
        <v>100</v>
      </c>
      <c r="I43" s="22">
        <f t="shared" si="6"/>
        <v>100</v>
      </c>
      <c r="J43" s="22">
        <f t="shared" si="7"/>
        <v>100</v>
      </c>
      <c r="K43" s="22">
        <f t="shared" si="8"/>
        <v>100</v>
      </c>
      <c r="L43" s="22">
        <f t="shared" si="9"/>
        <v>100</v>
      </c>
      <c r="M43" s="22">
        <f t="shared" si="10"/>
        <v>100</v>
      </c>
      <c r="N43" s="22">
        <f t="shared" si="11"/>
        <v>100</v>
      </c>
      <c r="O43" s="22">
        <f t="shared" si="12"/>
        <v>100</v>
      </c>
      <c r="P43" s="22">
        <f t="shared" si="13"/>
        <v>100</v>
      </c>
      <c r="Q43" s="22">
        <f t="shared" si="14"/>
        <v>100</v>
      </c>
      <c r="R43" s="22">
        <f t="shared" si="15"/>
        <v>100</v>
      </c>
      <c r="S43" s="22">
        <f t="shared" si="16"/>
        <v>100</v>
      </c>
      <c r="T43" s="22">
        <f t="shared" si="17"/>
        <v>100</v>
      </c>
      <c r="U43" s="22">
        <f t="shared" si="18"/>
        <v>100</v>
      </c>
      <c r="V43" s="22">
        <f t="shared" si="19"/>
        <v>100</v>
      </c>
    </row>
    <row r="44" spans="1:22" s="17" customFormat="1" ht="12.75" x14ac:dyDescent="0.2">
      <c r="A44" s="17" t="s">
        <v>36</v>
      </c>
      <c r="B44" s="17" t="s">
        <v>6</v>
      </c>
      <c r="C44" s="22">
        <f t="shared" si="0"/>
        <v>100</v>
      </c>
      <c r="D44" s="22">
        <f t="shared" si="1"/>
        <v>100</v>
      </c>
      <c r="E44" s="22">
        <f t="shared" si="2"/>
        <v>100</v>
      </c>
      <c r="F44" s="22">
        <f t="shared" si="3"/>
        <v>100</v>
      </c>
      <c r="G44" s="22">
        <f t="shared" si="4"/>
        <v>100</v>
      </c>
      <c r="H44" s="22">
        <f t="shared" si="5"/>
        <v>100</v>
      </c>
      <c r="I44" s="22">
        <f t="shared" si="6"/>
        <v>100</v>
      </c>
      <c r="J44" s="22">
        <f t="shared" si="7"/>
        <v>100</v>
      </c>
      <c r="K44" s="22">
        <f t="shared" si="8"/>
        <v>100</v>
      </c>
      <c r="L44" s="22">
        <f t="shared" si="9"/>
        <v>100</v>
      </c>
      <c r="M44" s="22">
        <f t="shared" si="10"/>
        <v>100</v>
      </c>
      <c r="N44" s="22">
        <f t="shared" si="11"/>
        <v>100</v>
      </c>
      <c r="O44" s="22">
        <f t="shared" si="12"/>
        <v>100</v>
      </c>
      <c r="P44" s="22">
        <f t="shared" si="13"/>
        <v>100</v>
      </c>
      <c r="Q44" s="22">
        <f t="shared" si="14"/>
        <v>100</v>
      </c>
      <c r="R44" s="22">
        <f t="shared" si="15"/>
        <v>100</v>
      </c>
      <c r="S44" s="22">
        <f t="shared" si="16"/>
        <v>100</v>
      </c>
      <c r="T44" s="22">
        <f t="shared" si="17"/>
        <v>100</v>
      </c>
      <c r="U44" s="22">
        <f t="shared" si="18"/>
        <v>100</v>
      </c>
      <c r="V44" s="22">
        <f t="shared" si="19"/>
        <v>100</v>
      </c>
    </row>
    <row r="45" spans="1:22" s="17" customFormat="1" ht="12.75" x14ac:dyDescent="0.2">
      <c r="A45" s="17" t="s">
        <v>37</v>
      </c>
      <c r="B45" s="17" t="s">
        <v>7</v>
      </c>
      <c r="C45" s="22">
        <f t="shared" si="0"/>
        <v>100</v>
      </c>
      <c r="D45" s="22">
        <f t="shared" si="1"/>
        <v>100</v>
      </c>
      <c r="E45" s="22">
        <f t="shared" si="2"/>
        <v>100</v>
      </c>
      <c r="F45" s="22">
        <f t="shared" si="3"/>
        <v>100</v>
      </c>
      <c r="G45" s="22">
        <f t="shared" si="4"/>
        <v>100</v>
      </c>
      <c r="H45" s="22">
        <f t="shared" si="5"/>
        <v>100</v>
      </c>
      <c r="I45" s="22">
        <f t="shared" si="6"/>
        <v>100</v>
      </c>
      <c r="J45" s="22">
        <f t="shared" si="7"/>
        <v>100</v>
      </c>
      <c r="K45" s="22">
        <f t="shared" si="8"/>
        <v>100</v>
      </c>
      <c r="L45" s="22">
        <f t="shared" si="9"/>
        <v>100</v>
      </c>
      <c r="M45" s="22">
        <f t="shared" si="10"/>
        <v>100</v>
      </c>
      <c r="N45" s="22">
        <f t="shared" si="11"/>
        <v>100</v>
      </c>
      <c r="O45" s="22">
        <f t="shared" si="12"/>
        <v>100</v>
      </c>
      <c r="P45" s="22">
        <f t="shared" si="13"/>
        <v>100</v>
      </c>
      <c r="Q45" s="22">
        <f t="shared" si="14"/>
        <v>100</v>
      </c>
      <c r="R45" s="22">
        <f t="shared" si="15"/>
        <v>100</v>
      </c>
      <c r="S45" s="22">
        <f t="shared" si="16"/>
        <v>100</v>
      </c>
      <c r="T45" s="22">
        <f t="shared" si="17"/>
        <v>100</v>
      </c>
      <c r="U45" s="22">
        <f t="shared" si="18"/>
        <v>100</v>
      </c>
      <c r="V45" s="22">
        <f t="shared" si="19"/>
        <v>100</v>
      </c>
    </row>
    <row r="46" spans="1:22" s="17" customFormat="1" ht="12.75" x14ac:dyDescent="0.2">
      <c r="A46" s="17" t="s">
        <v>38</v>
      </c>
      <c r="B46" s="17" t="s">
        <v>8</v>
      </c>
      <c r="C46" s="22">
        <f t="shared" si="0"/>
        <v>100</v>
      </c>
      <c r="D46" s="22">
        <f t="shared" si="1"/>
        <v>100</v>
      </c>
      <c r="E46" s="22">
        <f t="shared" si="2"/>
        <v>100</v>
      </c>
      <c r="F46" s="22">
        <f t="shared" si="3"/>
        <v>100</v>
      </c>
      <c r="G46" s="22">
        <f t="shared" si="4"/>
        <v>100</v>
      </c>
      <c r="H46" s="22">
        <f t="shared" si="5"/>
        <v>100</v>
      </c>
      <c r="I46" s="22">
        <f t="shared" si="6"/>
        <v>100</v>
      </c>
      <c r="J46" s="22">
        <f t="shared" si="7"/>
        <v>100</v>
      </c>
      <c r="K46" s="22">
        <f t="shared" si="8"/>
        <v>100</v>
      </c>
      <c r="L46" s="22">
        <f t="shared" si="9"/>
        <v>100</v>
      </c>
      <c r="M46" s="22">
        <f t="shared" si="10"/>
        <v>100</v>
      </c>
      <c r="N46" s="22">
        <f t="shared" si="11"/>
        <v>100</v>
      </c>
      <c r="O46" s="22">
        <f t="shared" si="12"/>
        <v>100</v>
      </c>
      <c r="P46" s="22">
        <f t="shared" si="13"/>
        <v>100</v>
      </c>
      <c r="Q46" s="22">
        <f t="shared" si="14"/>
        <v>100</v>
      </c>
      <c r="R46" s="22">
        <f t="shared" si="15"/>
        <v>100</v>
      </c>
      <c r="S46" s="22">
        <f t="shared" si="16"/>
        <v>100</v>
      </c>
      <c r="T46" s="22">
        <f t="shared" si="17"/>
        <v>100</v>
      </c>
      <c r="U46" s="22">
        <f t="shared" si="18"/>
        <v>100</v>
      </c>
      <c r="V46" s="22">
        <f t="shared" si="19"/>
        <v>100</v>
      </c>
    </row>
    <row r="47" spans="1:22" s="17" customFormat="1" ht="12.75" x14ac:dyDescent="0.2">
      <c r="A47" s="17" t="s">
        <v>39</v>
      </c>
      <c r="B47" s="17" t="s">
        <v>9</v>
      </c>
      <c r="C47" s="22">
        <f t="shared" si="0"/>
        <v>100</v>
      </c>
      <c r="D47" s="22">
        <f t="shared" si="1"/>
        <v>100</v>
      </c>
      <c r="E47" s="22">
        <f t="shared" si="2"/>
        <v>100</v>
      </c>
      <c r="F47" s="22">
        <f t="shared" si="3"/>
        <v>100</v>
      </c>
      <c r="G47" s="22">
        <f t="shared" si="4"/>
        <v>100</v>
      </c>
      <c r="H47" s="22">
        <f t="shared" si="5"/>
        <v>100</v>
      </c>
      <c r="I47" s="22">
        <f t="shared" si="6"/>
        <v>100</v>
      </c>
      <c r="J47" s="22">
        <f t="shared" si="7"/>
        <v>100</v>
      </c>
      <c r="K47" s="22">
        <f t="shared" si="8"/>
        <v>100</v>
      </c>
      <c r="L47" s="22">
        <f t="shared" si="9"/>
        <v>100</v>
      </c>
      <c r="M47" s="22">
        <f t="shared" si="10"/>
        <v>100</v>
      </c>
      <c r="N47" s="22">
        <f t="shared" si="11"/>
        <v>100</v>
      </c>
      <c r="O47" s="22">
        <f t="shared" si="12"/>
        <v>100</v>
      </c>
      <c r="P47" s="22">
        <f t="shared" si="13"/>
        <v>100</v>
      </c>
      <c r="Q47" s="22">
        <f t="shared" si="14"/>
        <v>100</v>
      </c>
      <c r="R47" s="22">
        <f t="shared" si="15"/>
        <v>100</v>
      </c>
      <c r="S47" s="22">
        <f t="shared" si="16"/>
        <v>100</v>
      </c>
      <c r="T47" s="22">
        <f t="shared" si="17"/>
        <v>100</v>
      </c>
      <c r="U47" s="22">
        <f t="shared" si="18"/>
        <v>100</v>
      </c>
      <c r="V47" s="22">
        <f t="shared" si="19"/>
        <v>100</v>
      </c>
    </row>
    <row r="48" spans="1:22" s="17" customFormat="1" ht="12.75" x14ac:dyDescent="0.2">
      <c r="A48" s="17" t="s">
        <v>40</v>
      </c>
      <c r="B48" s="17" t="s">
        <v>10</v>
      </c>
      <c r="C48" s="22">
        <f t="shared" si="0"/>
        <v>100</v>
      </c>
      <c r="D48" s="22">
        <f t="shared" si="1"/>
        <v>100</v>
      </c>
      <c r="E48" s="22">
        <f t="shared" si="2"/>
        <v>100</v>
      </c>
      <c r="F48" s="22">
        <f t="shared" si="3"/>
        <v>100</v>
      </c>
      <c r="G48" s="22">
        <f t="shared" si="4"/>
        <v>100</v>
      </c>
      <c r="H48" s="22">
        <f t="shared" si="5"/>
        <v>100</v>
      </c>
      <c r="I48" s="22">
        <f t="shared" si="6"/>
        <v>100</v>
      </c>
      <c r="J48" s="22">
        <f t="shared" si="7"/>
        <v>100</v>
      </c>
      <c r="K48" s="22">
        <f t="shared" si="8"/>
        <v>100</v>
      </c>
      <c r="L48" s="22">
        <f t="shared" si="9"/>
        <v>100</v>
      </c>
      <c r="M48" s="22">
        <f t="shared" si="10"/>
        <v>100</v>
      </c>
      <c r="N48" s="22">
        <f t="shared" si="11"/>
        <v>100</v>
      </c>
      <c r="O48" s="22">
        <f t="shared" si="12"/>
        <v>100</v>
      </c>
      <c r="P48" s="22">
        <f t="shared" si="13"/>
        <v>100</v>
      </c>
      <c r="Q48" s="22">
        <f t="shared" si="14"/>
        <v>100</v>
      </c>
      <c r="R48" s="22">
        <f t="shared" si="15"/>
        <v>100</v>
      </c>
      <c r="S48" s="22">
        <f t="shared" si="16"/>
        <v>100</v>
      </c>
      <c r="T48" s="22">
        <f t="shared" si="17"/>
        <v>100</v>
      </c>
      <c r="U48" s="22">
        <f t="shared" si="18"/>
        <v>100</v>
      </c>
      <c r="V48" s="22">
        <f t="shared" si="19"/>
        <v>100</v>
      </c>
    </row>
    <row r="49" spans="1:22" s="17" customFormat="1" ht="12.75" x14ac:dyDescent="0.2">
      <c r="A49" s="17" t="s">
        <v>41</v>
      </c>
      <c r="B49" s="17" t="s">
        <v>11</v>
      </c>
      <c r="C49" s="22">
        <f t="shared" si="0"/>
        <v>100</v>
      </c>
      <c r="D49" s="22">
        <f t="shared" si="1"/>
        <v>100</v>
      </c>
      <c r="E49" s="22">
        <f t="shared" si="2"/>
        <v>100</v>
      </c>
      <c r="F49" s="22">
        <f t="shared" si="3"/>
        <v>100</v>
      </c>
      <c r="G49" s="22">
        <f t="shared" si="4"/>
        <v>100</v>
      </c>
      <c r="H49" s="22">
        <f t="shared" si="5"/>
        <v>100</v>
      </c>
      <c r="I49" s="22">
        <f t="shared" si="6"/>
        <v>100</v>
      </c>
      <c r="J49" s="22">
        <f t="shared" si="7"/>
        <v>100</v>
      </c>
      <c r="K49" s="22">
        <f t="shared" si="8"/>
        <v>100</v>
      </c>
      <c r="L49" s="22">
        <f t="shared" si="9"/>
        <v>100</v>
      </c>
      <c r="M49" s="22">
        <f t="shared" si="10"/>
        <v>100</v>
      </c>
      <c r="N49" s="22">
        <f t="shared" si="11"/>
        <v>100</v>
      </c>
      <c r="O49" s="22">
        <f t="shared" si="12"/>
        <v>100</v>
      </c>
      <c r="P49" s="22">
        <f t="shared" si="13"/>
        <v>100</v>
      </c>
      <c r="Q49" s="22">
        <f t="shared" si="14"/>
        <v>100</v>
      </c>
      <c r="R49" s="22">
        <f t="shared" si="15"/>
        <v>100</v>
      </c>
      <c r="S49" s="22">
        <f t="shared" si="16"/>
        <v>100</v>
      </c>
      <c r="T49" s="22">
        <f t="shared" si="17"/>
        <v>100</v>
      </c>
      <c r="U49" s="22">
        <f t="shared" si="18"/>
        <v>100</v>
      </c>
      <c r="V49" s="22">
        <f t="shared" si="19"/>
        <v>100</v>
      </c>
    </row>
    <row r="50" spans="1:22" s="17" customFormat="1" ht="12.75" x14ac:dyDescent="0.2">
      <c r="A50" s="17" t="s">
        <v>42</v>
      </c>
      <c r="B50" s="17" t="s">
        <v>12</v>
      </c>
      <c r="C50" s="22">
        <f t="shared" si="0"/>
        <v>100</v>
      </c>
      <c r="D50" s="22">
        <f t="shared" si="1"/>
        <v>100</v>
      </c>
      <c r="E50" s="22">
        <f t="shared" si="2"/>
        <v>100</v>
      </c>
      <c r="F50" s="22">
        <f t="shared" si="3"/>
        <v>100</v>
      </c>
      <c r="G50" s="22">
        <f t="shared" si="4"/>
        <v>100</v>
      </c>
      <c r="H50" s="22">
        <f t="shared" si="5"/>
        <v>100</v>
      </c>
      <c r="I50" s="22">
        <f t="shared" si="6"/>
        <v>100</v>
      </c>
      <c r="J50" s="22">
        <f t="shared" si="7"/>
        <v>100</v>
      </c>
      <c r="K50" s="22">
        <f t="shared" si="8"/>
        <v>100</v>
      </c>
      <c r="L50" s="22">
        <f t="shared" si="9"/>
        <v>100</v>
      </c>
      <c r="M50" s="22">
        <f t="shared" si="10"/>
        <v>100</v>
      </c>
      <c r="N50" s="22">
        <f t="shared" si="11"/>
        <v>100</v>
      </c>
      <c r="O50" s="22">
        <f t="shared" si="12"/>
        <v>100</v>
      </c>
      <c r="P50" s="22">
        <f t="shared" si="13"/>
        <v>100</v>
      </c>
      <c r="Q50" s="22">
        <f t="shared" si="14"/>
        <v>100</v>
      </c>
      <c r="R50" s="22">
        <f t="shared" si="15"/>
        <v>100</v>
      </c>
      <c r="S50" s="22">
        <f t="shared" si="16"/>
        <v>100</v>
      </c>
      <c r="T50" s="22">
        <f t="shared" si="17"/>
        <v>100</v>
      </c>
      <c r="U50" s="22">
        <f t="shared" si="18"/>
        <v>100</v>
      </c>
      <c r="V50" s="22">
        <f t="shared" si="19"/>
        <v>100</v>
      </c>
    </row>
    <row r="51" spans="1:22" s="17" customFormat="1" ht="12.75" x14ac:dyDescent="0.2">
      <c r="A51" s="17" t="s">
        <v>43</v>
      </c>
      <c r="B51" s="17" t="s">
        <v>13</v>
      </c>
      <c r="C51" s="22">
        <f t="shared" si="0"/>
        <v>100</v>
      </c>
      <c r="D51" s="22">
        <f t="shared" si="1"/>
        <v>100</v>
      </c>
      <c r="E51" s="22">
        <f t="shared" si="2"/>
        <v>100</v>
      </c>
      <c r="F51" s="22">
        <f t="shared" si="3"/>
        <v>100</v>
      </c>
      <c r="G51" s="22">
        <f t="shared" si="4"/>
        <v>100</v>
      </c>
      <c r="H51" s="22">
        <f t="shared" si="5"/>
        <v>100</v>
      </c>
      <c r="I51" s="22">
        <f t="shared" si="6"/>
        <v>100</v>
      </c>
      <c r="J51" s="22">
        <f t="shared" si="7"/>
        <v>100</v>
      </c>
      <c r="K51" s="22">
        <f t="shared" si="8"/>
        <v>100</v>
      </c>
      <c r="L51" s="22">
        <f t="shared" si="9"/>
        <v>100</v>
      </c>
      <c r="M51" s="22">
        <f t="shared" si="10"/>
        <v>100</v>
      </c>
      <c r="N51" s="22">
        <f t="shared" si="11"/>
        <v>100</v>
      </c>
      <c r="O51" s="22">
        <f t="shared" si="12"/>
        <v>100</v>
      </c>
      <c r="P51" s="22">
        <f t="shared" si="13"/>
        <v>100</v>
      </c>
      <c r="Q51" s="22">
        <f t="shared" si="14"/>
        <v>100</v>
      </c>
      <c r="R51" s="22">
        <f t="shared" si="15"/>
        <v>100</v>
      </c>
      <c r="S51" s="22">
        <f t="shared" si="16"/>
        <v>100</v>
      </c>
      <c r="T51" s="22">
        <f t="shared" si="17"/>
        <v>100</v>
      </c>
      <c r="U51" s="22">
        <f t="shared" si="18"/>
        <v>100</v>
      </c>
      <c r="V51" s="22">
        <f t="shared" si="19"/>
        <v>100</v>
      </c>
    </row>
    <row r="52" spans="1:22" s="17" customFormat="1" ht="12.75" x14ac:dyDescent="0.2">
      <c r="A52" s="17" t="s">
        <v>44</v>
      </c>
      <c r="B52" s="17" t="s">
        <v>14</v>
      </c>
      <c r="C52" s="22">
        <f t="shared" si="0"/>
        <v>100</v>
      </c>
      <c r="D52" s="22">
        <f t="shared" si="1"/>
        <v>100</v>
      </c>
      <c r="E52" s="22">
        <f t="shared" si="2"/>
        <v>100</v>
      </c>
      <c r="F52" s="22">
        <f t="shared" si="3"/>
        <v>100</v>
      </c>
      <c r="G52" s="22">
        <f t="shared" si="4"/>
        <v>100</v>
      </c>
      <c r="H52" s="22">
        <f t="shared" si="5"/>
        <v>100</v>
      </c>
      <c r="I52" s="22">
        <f t="shared" si="6"/>
        <v>100</v>
      </c>
      <c r="J52" s="22">
        <f t="shared" si="7"/>
        <v>100</v>
      </c>
      <c r="K52" s="22">
        <f t="shared" si="8"/>
        <v>100</v>
      </c>
      <c r="L52" s="22">
        <f t="shared" si="9"/>
        <v>100</v>
      </c>
      <c r="M52" s="22">
        <f t="shared" si="10"/>
        <v>100</v>
      </c>
      <c r="N52" s="22">
        <f t="shared" si="11"/>
        <v>100</v>
      </c>
      <c r="O52" s="22">
        <f t="shared" si="12"/>
        <v>100</v>
      </c>
      <c r="P52" s="22">
        <f t="shared" si="13"/>
        <v>100</v>
      </c>
      <c r="Q52" s="22">
        <f t="shared" si="14"/>
        <v>100</v>
      </c>
      <c r="R52" s="22">
        <f t="shared" si="15"/>
        <v>100</v>
      </c>
      <c r="S52" s="22">
        <f t="shared" si="16"/>
        <v>100</v>
      </c>
      <c r="T52" s="22">
        <f t="shared" si="17"/>
        <v>100</v>
      </c>
      <c r="U52" s="22">
        <f t="shared" si="18"/>
        <v>100</v>
      </c>
      <c r="V52" s="22">
        <f t="shared" si="19"/>
        <v>100</v>
      </c>
    </row>
    <row r="53" spans="1:22" s="17" customFormat="1" ht="12.75" x14ac:dyDescent="0.2">
      <c r="A53" s="17" t="s">
        <v>45</v>
      </c>
      <c r="B53" s="17" t="s">
        <v>15</v>
      </c>
      <c r="C53" s="22">
        <f t="shared" si="0"/>
        <v>100</v>
      </c>
      <c r="D53" s="22">
        <f t="shared" si="1"/>
        <v>100</v>
      </c>
      <c r="E53" s="22">
        <f t="shared" si="2"/>
        <v>100</v>
      </c>
      <c r="F53" s="22">
        <f t="shared" si="3"/>
        <v>100</v>
      </c>
      <c r="G53" s="22">
        <f t="shared" si="4"/>
        <v>100</v>
      </c>
      <c r="H53" s="22">
        <f t="shared" si="5"/>
        <v>100</v>
      </c>
      <c r="I53" s="22">
        <f t="shared" si="6"/>
        <v>100</v>
      </c>
      <c r="J53" s="22">
        <f t="shared" si="7"/>
        <v>100</v>
      </c>
      <c r="K53" s="22">
        <f t="shared" si="8"/>
        <v>100</v>
      </c>
      <c r="L53" s="22">
        <f t="shared" si="9"/>
        <v>100</v>
      </c>
      <c r="M53" s="22">
        <f t="shared" si="10"/>
        <v>100</v>
      </c>
      <c r="N53" s="22">
        <f t="shared" si="11"/>
        <v>100</v>
      </c>
      <c r="O53" s="22">
        <f t="shared" si="12"/>
        <v>100</v>
      </c>
      <c r="P53" s="22">
        <f t="shared" si="13"/>
        <v>100</v>
      </c>
      <c r="Q53" s="22">
        <f t="shared" si="14"/>
        <v>100</v>
      </c>
      <c r="R53" s="22">
        <f t="shared" si="15"/>
        <v>100</v>
      </c>
      <c r="S53" s="22">
        <f t="shared" si="16"/>
        <v>100</v>
      </c>
      <c r="T53" s="22">
        <f t="shared" si="17"/>
        <v>100</v>
      </c>
      <c r="U53" s="22">
        <f t="shared" si="18"/>
        <v>100</v>
      </c>
      <c r="V53" s="22">
        <f t="shared" si="19"/>
        <v>100</v>
      </c>
    </row>
    <row r="54" spans="1:22" s="17" customFormat="1" ht="12.75" x14ac:dyDescent="0.2">
      <c r="A54" s="17" t="s">
        <v>46</v>
      </c>
      <c r="B54" s="17" t="s">
        <v>16</v>
      </c>
      <c r="C54" s="22">
        <f t="shared" si="0"/>
        <v>100</v>
      </c>
      <c r="D54" s="22">
        <f t="shared" si="1"/>
        <v>100</v>
      </c>
      <c r="E54" s="22">
        <f t="shared" si="2"/>
        <v>100</v>
      </c>
      <c r="F54" s="22">
        <f t="shared" si="3"/>
        <v>100</v>
      </c>
      <c r="G54" s="22">
        <f t="shared" si="4"/>
        <v>100</v>
      </c>
      <c r="H54" s="22">
        <f t="shared" si="5"/>
        <v>100</v>
      </c>
      <c r="I54" s="22">
        <f t="shared" si="6"/>
        <v>100</v>
      </c>
      <c r="J54" s="22">
        <f t="shared" si="7"/>
        <v>100</v>
      </c>
      <c r="K54" s="22">
        <f t="shared" si="8"/>
        <v>100</v>
      </c>
      <c r="L54" s="22">
        <f t="shared" si="9"/>
        <v>100</v>
      </c>
      <c r="M54" s="22">
        <f t="shared" si="10"/>
        <v>100</v>
      </c>
      <c r="N54" s="22">
        <f t="shared" si="11"/>
        <v>100</v>
      </c>
      <c r="O54" s="22">
        <f t="shared" si="12"/>
        <v>100</v>
      </c>
      <c r="P54" s="22">
        <f t="shared" si="13"/>
        <v>100</v>
      </c>
      <c r="Q54" s="22">
        <f t="shared" si="14"/>
        <v>100</v>
      </c>
      <c r="R54" s="22">
        <f t="shared" si="15"/>
        <v>100</v>
      </c>
      <c r="S54" s="22">
        <f t="shared" si="16"/>
        <v>100</v>
      </c>
      <c r="T54" s="22">
        <f t="shared" si="17"/>
        <v>100</v>
      </c>
      <c r="U54" s="22">
        <f t="shared" si="18"/>
        <v>100</v>
      </c>
      <c r="V54" s="22">
        <f t="shared" si="19"/>
        <v>100</v>
      </c>
    </row>
    <row r="55" spans="1:22" s="17" customFormat="1" ht="12.75" x14ac:dyDescent="0.2">
      <c r="A55" s="17" t="s">
        <v>47</v>
      </c>
      <c r="B55" s="17" t="s">
        <v>17</v>
      </c>
      <c r="C55" s="22">
        <f t="shared" si="0"/>
        <v>100</v>
      </c>
      <c r="D55" s="22">
        <f t="shared" si="1"/>
        <v>100</v>
      </c>
      <c r="E55" s="22">
        <f t="shared" si="2"/>
        <v>100</v>
      </c>
      <c r="F55" s="22">
        <f t="shared" si="3"/>
        <v>100</v>
      </c>
      <c r="G55" s="22">
        <f t="shared" si="4"/>
        <v>100</v>
      </c>
      <c r="H55" s="22">
        <f t="shared" si="5"/>
        <v>100</v>
      </c>
      <c r="I55" s="22">
        <f t="shared" si="6"/>
        <v>100</v>
      </c>
      <c r="J55" s="22">
        <f t="shared" si="7"/>
        <v>100</v>
      </c>
      <c r="K55" s="22">
        <f t="shared" si="8"/>
        <v>100</v>
      </c>
      <c r="L55" s="22">
        <f t="shared" si="9"/>
        <v>100</v>
      </c>
      <c r="M55" s="22">
        <f t="shared" si="10"/>
        <v>100</v>
      </c>
      <c r="N55" s="22">
        <f t="shared" si="11"/>
        <v>100</v>
      </c>
      <c r="O55" s="22">
        <f t="shared" si="12"/>
        <v>100</v>
      </c>
      <c r="P55" s="22">
        <f t="shared" si="13"/>
        <v>100</v>
      </c>
      <c r="Q55" s="22">
        <f t="shared" si="14"/>
        <v>100</v>
      </c>
      <c r="R55" s="22">
        <f t="shared" si="15"/>
        <v>100</v>
      </c>
      <c r="S55" s="22">
        <f t="shared" si="16"/>
        <v>100</v>
      </c>
      <c r="T55" s="22">
        <f t="shared" si="17"/>
        <v>100</v>
      </c>
      <c r="U55" s="22">
        <f t="shared" si="18"/>
        <v>100</v>
      </c>
      <c r="V55" s="22">
        <f t="shared" si="19"/>
        <v>100</v>
      </c>
    </row>
    <row r="56" spans="1:22" s="17" customFormat="1" ht="12.75" x14ac:dyDescent="0.2">
      <c r="A56" s="17" t="s">
        <v>3</v>
      </c>
      <c r="B56" s="19" t="s">
        <v>3</v>
      </c>
      <c r="C56" s="23">
        <f t="shared" si="0"/>
        <v>100</v>
      </c>
      <c r="D56" s="23">
        <f t="shared" si="1"/>
        <v>100</v>
      </c>
      <c r="E56" s="23">
        <f t="shared" si="2"/>
        <v>100</v>
      </c>
      <c r="F56" s="23">
        <f t="shared" si="3"/>
        <v>100</v>
      </c>
      <c r="G56" s="23">
        <f t="shared" si="4"/>
        <v>100</v>
      </c>
      <c r="H56" s="23">
        <f t="shared" si="5"/>
        <v>100</v>
      </c>
      <c r="I56" s="23">
        <f t="shared" si="6"/>
        <v>100</v>
      </c>
      <c r="J56" s="23">
        <f t="shared" si="7"/>
        <v>100</v>
      </c>
      <c r="K56" s="23">
        <f t="shared" si="8"/>
        <v>100</v>
      </c>
      <c r="L56" s="23">
        <f t="shared" si="9"/>
        <v>100</v>
      </c>
      <c r="M56" s="23">
        <f t="shared" si="10"/>
        <v>100</v>
      </c>
      <c r="N56" s="23">
        <f t="shared" si="11"/>
        <v>100</v>
      </c>
      <c r="O56" s="23">
        <f t="shared" si="12"/>
        <v>100</v>
      </c>
      <c r="P56" s="23">
        <f t="shared" si="13"/>
        <v>100</v>
      </c>
      <c r="Q56" s="23">
        <f t="shared" si="14"/>
        <v>100</v>
      </c>
      <c r="R56" s="23">
        <f t="shared" si="15"/>
        <v>100</v>
      </c>
      <c r="S56" s="23">
        <f t="shared" si="16"/>
        <v>100</v>
      </c>
      <c r="T56" s="23">
        <f t="shared" si="17"/>
        <v>100</v>
      </c>
      <c r="U56" s="23">
        <f t="shared" si="18"/>
        <v>100</v>
      </c>
      <c r="V56" s="23">
        <f t="shared" si="19"/>
        <v>100</v>
      </c>
    </row>
    <row r="57" spans="1:22" s="17" customFormat="1" ht="12.75" x14ac:dyDescent="0.2"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</row>
    <row r="58" spans="1:22" x14ac:dyDescent="0.2">
      <c r="B58" s="10" t="s">
        <v>492</v>
      </c>
    </row>
    <row r="59" spans="1:22" x14ac:dyDescent="0.2">
      <c r="B59" s="10" t="s">
        <v>509</v>
      </c>
    </row>
    <row r="60" spans="1:22" x14ac:dyDescent="0.2">
      <c r="B60" s="10" t="s">
        <v>116</v>
      </c>
    </row>
    <row r="61" spans="1:22" x14ac:dyDescent="0.2">
      <c r="B61" s="10" t="s">
        <v>90</v>
      </c>
    </row>
    <row r="62" spans="1:22" x14ac:dyDescent="0.2">
      <c r="B62" s="10" t="s">
        <v>115</v>
      </c>
    </row>
    <row r="63" spans="1:22" x14ac:dyDescent="0.2">
      <c r="B63" s="10" t="s">
        <v>117</v>
      </c>
    </row>
    <row r="64" spans="1:22" x14ac:dyDescent="0.2">
      <c r="B64" s="4"/>
    </row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8" r:id="rId4" name="Drop Down 2">
              <controlPr defaultSize="0" autoLine="0" autoPict="0">
                <anchor moveWithCells="1">
                  <from>
                    <xdr:col>1</xdr:col>
                    <xdr:colOff>447675</xdr:colOff>
                    <xdr:row>2</xdr:row>
                    <xdr:rowOff>152400</xdr:rowOff>
                  </from>
                  <to>
                    <xdr:col>1</xdr:col>
                    <xdr:colOff>1524000</xdr:colOff>
                    <xdr:row>4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D3C7F-B23C-41A3-B9D1-78F869453D10}">
  <dimension ref="A1:AO57"/>
  <sheetViews>
    <sheetView zoomScale="80" zoomScaleNormal="80" workbookViewId="0"/>
  </sheetViews>
  <sheetFormatPr defaultRowHeight="15" x14ac:dyDescent="0.25"/>
  <cols>
    <col min="1" max="1" width="48" bestFit="1" customWidth="1"/>
  </cols>
  <sheetData>
    <row r="1" spans="1:41" x14ac:dyDescent="0.25">
      <c r="A1" t="s">
        <v>48</v>
      </c>
      <c r="B1">
        <v>200405</v>
      </c>
      <c r="C1">
        <v>200506</v>
      </c>
      <c r="D1">
        <v>200607</v>
      </c>
      <c r="E1">
        <v>200708</v>
      </c>
      <c r="F1">
        <v>200809</v>
      </c>
      <c r="G1">
        <v>200910</v>
      </c>
      <c r="H1">
        <v>201011</v>
      </c>
      <c r="I1">
        <v>201112</v>
      </c>
      <c r="J1">
        <v>201213</v>
      </c>
      <c r="K1">
        <v>201314</v>
      </c>
      <c r="L1">
        <v>201415</v>
      </c>
      <c r="M1">
        <v>201516</v>
      </c>
      <c r="N1">
        <v>201617</v>
      </c>
      <c r="O1">
        <v>201718</v>
      </c>
      <c r="P1">
        <v>201819</v>
      </c>
      <c r="Q1">
        <v>201920</v>
      </c>
      <c r="R1">
        <v>202021</v>
      </c>
      <c r="S1">
        <v>202122</v>
      </c>
      <c r="T1">
        <v>202223</v>
      </c>
      <c r="U1">
        <v>202324</v>
      </c>
      <c r="V1" t="s">
        <v>139</v>
      </c>
      <c r="W1" t="s">
        <v>140</v>
      </c>
      <c r="X1" t="s">
        <v>141</v>
      </c>
      <c r="Y1" t="s">
        <v>142</v>
      </c>
      <c r="Z1" t="s">
        <v>143</v>
      </c>
      <c r="AA1" t="s">
        <v>144</v>
      </c>
      <c r="AB1" t="s">
        <v>145</v>
      </c>
      <c r="AC1" t="s">
        <v>146</v>
      </c>
      <c r="AD1" t="s">
        <v>147</v>
      </c>
      <c r="AE1" t="s">
        <v>148</v>
      </c>
      <c r="AF1" t="s">
        <v>149</v>
      </c>
      <c r="AG1" t="s">
        <v>150</v>
      </c>
      <c r="AH1" t="s">
        <v>151</v>
      </c>
      <c r="AI1" t="s">
        <v>152</v>
      </c>
      <c r="AJ1" t="s">
        <v>153</v>
      </c>
      <c r="AK1" t="s">
        <v>154</v>
      </c>
      <c r="AL1" t="s">
        <v>155</v>
      </c>
      <c r="AM1" t="s">
        <v>156</v>
      </c>
      <c r="AN1" t="s">
        <v>157</v>
      </c>
      <c r="AO1" t="s">
        <v>489</v>
      </c>
    </row>
    <row r="2" spans="1:41" x14ac:dyDescent="0.25">
      <c r="A2" t="s">
        <v>97</v>
      </c>
      <c r="B2">
        <v>3541</v>
      </c>
      <c r="C2">
        <v>3524</v>
      </c>
      <c r="D2">
        <v>3694</v>
      </c>
      <c r="E2">
        <v>3761</v>
      </c>
      <c r="F2">
        <v>3778</v>
      </c>
      <c r="G2">
        <v>3692</v>
      </c>
      <c r="H2">
        <v>3796</v>
      </c>
      <c r="I2">
        <v>3739</v>
      </c>
      <c r="J2">
        <v>3553</v>
      </c>
      <c r="K2">
        <v>3430</v>
      </c>
      <c r="L2">
        <v>3503</v>
      </c>
      <c r="M2">
        <v>3419</v>
      </c>
      <c r="N2">
        <v>3296</v>
      </c>
      <c r="O2">
        <v>3198</v>
      </c>
      <c r="P2">
        <v>2991</v>
      </c>
      <c r="Q2">
        <v>3064</v>
      </c>
      <c r="R2">
        <v>2753</v>
      </c>
      <c r="S2">
        <v>2851</v>
      </c>
      <c r="T2">
        <v>2644</v>
      </c>
      <c r="U2">
        <v>2652</v>
      </c>
      <c r="V2">
        <v>48.837337599646901</v>
      </c>
      <c r="W2">
        <v>48.8711377378376</v>
      </c>
      <c r="X2">
        <v>51.536755165534203</v>
      </c>
      <c r="Y2">
        <v>52.6654810748743</v>
      </c>
      <c r="Z2">
        <v>53.3209134276117</v>
      </c>
      <c r="AA2">
        <v>52.593341785495497</v>
      </c>
      <c r="AB2">
        <v>54.736052832691598</v>
      </c>
      <c r="AC2">
        <v>54.456743373142999</v>
      </c>
      <c r="AD2">
        <v>52.686992111038599</v>
      </c>
      <c r="AE2">
        <v>51.813471502590602</v>
      </c>
      <c r="AF2">
        <v>53.872416338582603</v>
      </c>
      <c r="AG2">
        <v>53.547376664056301</v>
      </c>
      <c r="AH2">
        <v>52.560238562247797</v>
      </c>
      <c r="AI2">
        <v>51.8608611043541</v>
      </c>
      <c r="AJ2">
        <v>49.265384108578203</v>
      </c>
      <c r="AK2">
        <v>50.973215771086302</v>
      </c>
      <c r="AL2">
        <v>46.361630824674499</v>
      </c>
      <c r="AM2">
        <v>47.895037462621303</v>
      </c>
      <c r="AN2">
        <v>44.428761069382098</v>
      </c>
      <c r="AO2">
        <v>44.563189998487601</v>
      </c>
    </row>
    <row r="3" spans="1:41" x14ac:dyDescent="0.25">
      <c r="A3" t="s">
        <v>49</v>
      </c>
      <c r="B3">
        <v>63</v>
      </c>
      <c r="C3">
        <v>55</v>
      </c>
      <c r="D3">
        <v>53</v>
      </c>
      <c r="E3">
        <v>62</v>
      </c>
      <c r="F3">
        <v>49</v>
      </c>
      <c r="G3">
        <v>55</v>
      </c>
      <c r="H3">
        <v>59</v>
      </c>
      <c r="I3">
        <v>45</v>
      </c>
      <c r="J3">
        <v>55</v>
      </c>
      <c r="K3">
        <v>50</v>
      </c>
      <c r="L3">
        <v>69</v>
      </c>
      <c r="M3">
        <v>57</v>
      </c>
      <c r="N3">
        <v>41</v>
      </c>
      <c r="O3">
        <v>51</v>
      </c>
      <c r="P3">
        <v>36</v>
      </c>
      <c r="Q3">
        <v>62</v>
      </c>
      <c r="R3">
        <v>53</v>
      </c>
      <c r="S3">
        <v>45</v>
      </c>
      <c r="T3">
        <v>48</v>
      </c>
      <c r="U3">
        <v>30</v>
      </c>
      <c r="V3">
        <v>0.86889360880478805</v>
      </c>
      <c r="W3">
        <v>0.76274477173129196</v>
      </c>
      <c r="X3">
        <v>0.73942826848221799</v>
      </c>
      <c r="Y3">
        <v>0.86818926525982598</v>
      </c>
      <c r="Z3">
        <v>0.69156293222683196</v>
      </c>
      <c r="AA3">
        <v>0.78348694425846499</v>
      </c>
      <c r="AB3">
        <v>0.85074476215195105</v>
      </c>
      <c r="AC3">
        <v>0.65540343722691496</v>
      </c>
      <c r="AD3">
        <v>0.81558811317397195</v>
      </c>
      <c r="AE3">
        <v>0.75529841840511103</v>
      </c>
      <c r="AF3">
        <v>1.0611466535433001</v>
      </c>
      <c r="AG3">
        <v>0.89271730618637402</v>
      </c>
      <c r="AH3">
        <v>0.65381364716388302</v>
      </c>
      <c r="AI3">
        <v>0.82704937971296499</v>
      </c>
      <c r="AJ3">
        <v>0.59296349980234497</v>
      </c>
      <c r="AK3">
        <v>1.03144235568125</v>
      </c>
      <c r="AL3">
        <v>0.89254138529159099</v>
      </c>
      <c r="AM3">
        <v>0.755972180223767</v>
      </c>
      <c r="AN3">
        <v>0.80657357463326096</v>
      </c>
      <c r="AO3">
        <v>0.50410848414578802</v>
      </c>
    </row>
    <row r="4" spans="1:41" x14ac:dyDescent="0.25">
      <c r="A4" t="s">
        <v>74</v>
      </c>
      <c r="B4">
        <v>3478</v>
      </c>
      <c r="C4">
        <v>3469</v>
      </c>
      <c r="D4">
        <v>3641</v>
      </c>
      <c r="E4">
        <v>3699</v>
      </c>
      <c r="F4">
        <v>3729</v>
      </c>
      <c r="G4">
        <v>3637</v>
      </c>
      <c r="H4">
        <v>3737</v>
      </c>
      <c r="I4">
        <v>3694</v>
      </c>
      <c r="J4">
        <v>3498</v>
      </c>
      <c r="K4">
        <v>3380</v>
      </c>
      <c r="L4">
        <v>3433</v>
      </c>
      <c r="M4">
        <v>3361</v>
      </c>
      <c r="N4">
        <v>3254</v>
      </c>
      <c r="O4">
        <v>3144</v>
      </c>
      <c r="P4">
        <v>2954</v>
      </c>
      <c r="Q4">
        <v>3001</v>
      </c>
      <c r="R4">
        <v>2700</v>
      </c>
      <c r="S4">
        <v>2802</v>
      </c>
      <c r="T4">
        <v>2596</v>
      </c>
      <c r="U4">
        <v>2622</v>
      </c>
      <c r="V4">
        <v>47.968443990842097</v>
      </c>
      <c r="W4">
        <v>48.108392966106301</v>
      </c>
      <c r="X4">
        <v>50.797326897052002</v>
      </c>
      <c r="Y4">
        <v>51.7972918096144</v>
      </c>
      <c r="Z4">
        <v>52.629350495384799</v>
      </c>
      <c r="AA4">
        <v>51.809854841236998</v>
      </c>
      <c r="AB4">
        <v>53.885308070539701</v>
      </c>
      <c r="AC4">
        <v>53.801339935916097</v>
      </c>
      <c r="AD4">
        <v>51.871403997864597</v>
      </c>
      <c r="AE4">
        <v>51.058173084185498</v>
      </c>
      <c r="AF4">
        <v>52.795890748031397</v>
      </c>
      <c r="AG4">
        <v>52.638997650743903</v>
      </c>
      <c r="AH4">
        <v>51.890478240762803</v>
      </c>
      <c r="AI4">
        <v>50.985161761128602</v>
      </c>
      <c r="AJ4">
        <v>48.655949400448002</v>
      </c>
      <c r="AK4">
        <v>49.925137248377901</v>
      </c>
      <c r="AL4">
        <v>45.469089439382898</v>
      </c>
      <c r="AM4">
        <v>47.071867755266602</v>
      </c>
      <c r="AN4">
        <v>43.6221874947488</v>
      </c>
      <c r="AO4">
        <v>44.059081514341798</v>
      </c>
    </row>
    <row r="5" spans="1:41" x14ac:dyDescent="0.25">
      <c r="A5" t="s">
        <v>50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1</v>
      </c>
      <c r="M5">
        <v>1</v>
      </c>
      <c r="N5">
        <v>1</v>
      </c>
      <c r="O5">
        <v>3</v>
      </c>
      <c r="P5">
        <v>1</v>
      </c>
      <c r="Q5">
        <v>1</v>
      </c>
      <c r="R5">
        <v>0</v>
      </c>
      <c r="S5">
        <v>4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1.5378937007874001E-2</v>
      </c>
      <c r="AG5">
        <v>1.5661707126076702E-2</v>
      </c>
      <c r="AH5">
        <v>1.59466743210703E-2</v>
      </c>
      <c r="AI5">
        <v>4.8649963512527303E-2</v>
      </c>
      <c r="AJ5">
        <v>1.64712083278429E-2</v>
      </c>
      <c r="AK5">
        <v>1.6636167027116899E-2</v>
      </c>
      <c r="AL5">
        <v>0</v>
      </c>
      <c r="AM5">
        <v>6.7197527131001494E-2</v>
      </c>
      <c r="AN5">
        <v>0</v>
      </c>
      <c r="AO5">
        <v>0</v>
      </c>
    </row>
    <row r="6" spans="1:41" x14ac:dyDescent="0.25">
      <c r="A6" t="s">
        <v>98</v>
      </c>
      <c r="B6">
        <v>1019</v>
      </c>
      <c r="C6">
        <v>979</v>
      </c>
      <c r="D6">
        <v>1095</v>
      </c>
      <c r="E6">
        <v>1132</v>
      </c>
      <c r="F6">
        <v>1190</v>
      </c>
      <c r="G6">
        <v>1204</v>
      </c>
      <c r="H6">
        <v>1177</v>
      </c>
      <c r="I6">
        <v>1129</v>
      </c>
      <c r="J6">
        <v>1161</v>
      </c>
      <c r="K6">
        <v>1122</v>
      </c>
      <c r="L6">
        <v>1035</v>
      </c>
      <c r="M6">
        <v>1047</v>
      </c>
      <c r="N6">
        <v>976</v>
      </c>
      <c r="O6">
        <v>986</v>
      </c>
      <c r="P6">
        <v>967</v>
      </c>
      <c r="Q6">
        <v>884</v>
      </c>
      <c r="R6">
        <v>817</v>
      </c>
      <c r="S6">
        <v>842</v>
      </c>
      <c r="T6">
        <v>666</v>
      </c>
      <c r="U6">
        <v>615</v>
      </c>
      <c r="V6">
        <v>51.778455284552798</v>
      </c>
      <c r="W6">
        <v>49.670218163368801</v>
      </c>
      <c r="X6">
        <v>55.8873066911652</v>
      </c>
      <c r="Y6">
        <v>57.3193579421742</v>
      </c>
      <c r="Z6">
        <v>59.979838709677402</v>
      </c>
      <c r="AA6">
        <v>61.488177314743801</v>
      </c>
      <c r="AB6">
        <v>61.136505298150801</v>
      </c>
      <c r="AC6">
        <v>59.599852188143302</v>
      </c>
      <c r="AD6">
        <v>62.489907960600597</v>
      </c>
      <c r="AE6">
        <v>61.114439784301901</v>
      </c>
      <c r="AF6">
        <v>57.163371258146398</v>
      </c>
      <c r="AG6">
        <v>58.354698472856903</v>
      </c>
      <c r="AH6">
        <v>55.072790881390297</v>
      </c>
      <c r="AI6">
        <v>56.025910563100098</v>
      </c>
      <c r="AJ6">
        <v>55.6066705002875</v>
      </c>
      <c r="AK6">
        <v>51.216685979142497</v>
      </c>
      <c r="AL6">
        <v>47.613497290051797</v>
      </c>
      <c r="AM6">
        <v>48.902311534440699</v>
      </c>
      <c r="AN6">
        <v>38.763750654793</v>
      </c>
      <c r="AO6">
        <v>35.795355334381</v>
      </c>
    </row>
    <row r="7" spans="1:41" x14ac:dyDescent="0.25">
      <c r="A7" t="s">
        <v>51</v>
      </c>
      <c r="B7">
        <v>26</v>
      </c>
      <c r="C7">
        <v>13</v>
      </c>
      <c r="D7">
        <v>16</v>
      </c>
      <c r="E7">
        <v>13</v>
      </c>
      <c r="F7">
        <v>12</v>
      </c>
      <c r="G7">
        <v>18</v>
      </c>
      <c r="H7">
        <v>14</v>
      </c>
      <c r="I7">
        <v>22</v>
      </c>
      <c r="J7">
        <v>13</v>
      </c>
      <c r="K7">
        <v>10</v>
      </c>
      <c r="L7">
        <v>14</v>
      </c>
      <c r="M7">
        <v>12</v>
      </c>
      <c r="N7">
        <v>15</v>
      </c>
      <c r="O7">
        <v>12</v>
      </c>
      <c r="P7">
        <v>10</v>
      </c>
      <c r="Q7">
        <v>6</v>
      </c>
      <c r="R7">
        <v>6</v>
      </c>
      <c r="S7">
        <v>11</v>
      </c>
      <c r="T7">
        <v>4</v>
      </c>
      <c r="U7">
        <v>8</v>
      </c>
      <c r="V7">
        <v>1.32113821138211</v>
      </c>
      <c r="W7">
        <v>0.65956367326230303</v>
      </c>
      <c r="X7">
        <v>0.81661817996223096</v>
      </c>
      <c r="Y7">
        <v>0.65826117778115301</v>
      </c>
      <c r="Z7">
        <v>0.60483870967741904</v>
      </c>
      <c r="AA7">
        <v>0.91925846483836304</v>
      </c>
      <c r="AB7">
        <v>0.727197174319551</v>
      </c>
      <c r="AC7">
        <v>1.1613788734624899</v>
      </c>
      <c r="AD7">
        <v>0.69971473168631204</v>
      </c>
      <c r="AE7">
        <v>0.54469197668718305</v>
      </c>
      <c r="AF7">
        <v>0.77322434552082098</v>
      </c>
      <c r="AG7">
        <v>0.66882175900122598</v>
      </c>
      <c r="AH7">
        <v>0.84640559756235101</v>
      </c>
      <c r="AI7">
        <v>0.68185692368884598</v>
      </c>
      <c r="AJ7">
        <v>0.57504312823461701</v>
      </c>
      <c r="AK7">
        <v>0.34762456546929299</v>
      </c>
      <c r="AL7">
        <v>0.34967072673232702</v>
      </c>
      <c r="AM7">
        <v>0.63886630270647005</v>
      </c>
      <c r="AN7">
        <v>0.232815319248006</v>
      </c>
      <c r="AO7">
        <v>0.46563063849601299</v>
      </c>
    </row>
    <row r="8" spans="1:41" x14ac:dyDescent="0.25">
      <c r="A8" t="s">
        <v>75</v>
      </c>
      <c r="B8">
        <v>993</v>
      </c>
      <c r="C8">
        <v>966</v>
      </c>
      <c r="D8">
        <v>1079</v>
      </c>
      <c r="E8">
        <v>1119</v>
      </c>
      <c r="F8">
        <v>1178</v>
      </c>
      <c r="G8">
        <v>1186</v>
      </c>
      <c r="H8">
        <v>1163</v>
      </c>
      <c r="I8">
        <v>1107</v>
      </c>
      <c r="J8">
        <v>1148</v>
      </c>
      <c r="K8">
        <v>1112</v>
      </c>
      <c r="L8">
        <v>1021</v>
      </c>
      <c r="M8">
        <v>1035</v>
      </c>
      <c r="N8">
        <v>961</v>
      </c>
      <c r="O8">
        <v>974</v>
      </c>
      <c r="P8">
        <v>957</v>
      </c>
      <c r="Q8">
        <v>878</v>
      </c>
      <c r="R8">
        <v>811</v>
      </c>
      <c r="S8">
        <v>831</v>
      </c>
      <c r="T8">
        <v>662</v>
      </c>
      <c r="U8">
        <v>607</v>
      </c>
      <c r="V8">
        <v>50.457317073170699</v>
      </c>
      <c r="W8">
        <v>49.010654490106504</v>
      </c>
      <c r="X8">
        <v>55.070688511202903</v>
      </c>
      <c r="Y8">
        <v>56.661096764393101</v>
      </c>
      <c r="Z8">
        <v>59.375</v>
      </c>
      <c r="AA8">
        <v>60.568918849905501</v>
      </c>
      <c r="AB8">
        <v>60.409308123831202</v>
      </c>
      <c r="AC8">
        <v>58.438473314680799</v>
      </c>
      <c r="AD8">
        <v>61.790193228914298</v>
      </c>
      <c r="AE8">
        <v>60.569747807614696</v>
      </c>
      <c r="AF8">
        <v>56.390146912625603</v>
      </c>
      <c r="AG8">
        <v>57.685876713855698</v>
      </c>
      <c r="AH8">
        <v>54.226385283828002</v>
      </c>
      <c r="AI8">
        <v>55.3440536394113</v>
      </c>
      <c r="AJ8">
        <v>55.031627372052903</v>
      </c>
      <c r="AK8">
        <v>50.869061413673201</v>
      </c>
      <c r="AL8">
        <v>47.263826563319498</v>
      </c>
      <c r="AM8">
        <v>48.263445231734202</v>
      </c>
      <c r="AN8">
        <v>38.530935335545003</v>
      </c>
      <c r="AO8">
        <v>35.329724695884899</v>
      </c>
    </row>
    <row r="9" spans="1:41" x14ac:dyDescent="0.25">
      <c r="A9" t="s">
        <v>99</v>
      </c>
      <c r="B9">
        <v>1363</v>
      </c>
      <c r="C9">
        <v>1377</v>
      </c>
      <c r="D9">
        <v>1424</v>
      </c>
      <c r="E9">
        <v>1437</v>
      </c>
      <c r="F9">
        <v>1391</v>
      </c>
      <c r="G9">
        <v>1438</v>
      </c>
      <c r="H9">
        <v>1383</v>
      </c>
      <c r="I9">
        <v>1363</v>
      </c>
      <c r="J9">
        <v>1331</v>
      </c>
      <c r="K9">
        <v>1251</v>
      </c>
      <c r="L9">
        <v>1194</v>
      </c>
      <c r="M9">
        <v>1253</v>
      </c>
      <c r="N9">
        <v>1221</v>
      </c>
      <c r="O9">
        <v>1247</v>
      </c>
      <c r="P9">
        <v>1129</v>
      </c>
      <c r="Q9">
        <v>1112</v>
      </c>
      <c r="R9">
        <v>1083</v>
      </c>
      <c r="S9">
        <v>1076</v>
      </c>
      <c r="T9">
        <v>1064</v>
      </c>
      <c r="U9">
        <v>1079</v>
      </c>
      <c r="V9">
        <v>51.525346841568002</v>
      </c>
      <c r="W9">
        <v>52.264014878354203</v>
      </c>
      <c r="X9">
        <v>54.330408241129298</v>
      </c>
      <c r="Y9">
        <v>55.271356590638099</v>
      </c>
      <c r="Z9">
        <v>53.781317661614601</v>
      </c>
      <c r="AA9">
        <v>56.114883321626401</v>
      </c>
      <c r="AB9">
        <v>54.631641319375802</v>
      </c>
      <c r="AC9">
        <v>54.246597150362099</v>
      </c>
      <c r="AD9">
        <v>53.956542889573498</v>
      </c>
      <c r="AE9">
        <v>51.523887973640797</v>
      </c>
      <c r="AF9">
        <v>50.273684210526298</v>
      </c>
      <c r="AG9">
        <v>53.709974709588899</v>
      </c>
      <c r="AH9">
        <v>53.479917655818802</v>
      </c>
      <c r="AI9">
        <v>55.664672797071603</v>
      </c>
      <c r="AJ9">
        <v>51.4913800966888</v>
      </c>
      <c r="AK9">
        <v>51.322287349425302</v>
      </c>
      <c r="AL9">
        <v>50.343994049832602</v>
      </c>
      <c r="AM9">
        <v>49.821734500162002</v>
      </c>
      <c r="AN9">
        <v>49.2524186455584</v>
      </c>
      <c r="AO9">
        <v>49.946766652779701</v>
      </c>
    </row>
    <row r="10" spans="1:41" x14ac:dyDescent="0.25">
      <c r="A10" t="s">
        <v>52</v>
      </c>
      <c r="B10">
        <v>18</v>
      </c>
      <c r="C10">
        <v>17</v>
      </c>
      <c r="D10">
        <v>24</v>
      </c>
      <c r="E10">
        <v>22</v>
      </c>
      <c r="F10">
        <v>13</v>
      </c>
      <c r="G10">
        <v>25</v>
      </c>
      <c r="H10">
        <v>14</v>
      </c>
      <c r="I10">
        <v>18</v>
      </c>
      <c r="J10">
        <v>24</v>
      </c>
      <c r="K10">
        <v>16</v>
      </c>
      <c r="L10">
        <v>19</v>
      </c>
      <c r="M10">
        <v>10</v>
      </c>
      <c r="N10">
        <v>17</v>
      </c>
      <c r="O10">
        <v>20</v>
      </c>
      <c r="P10">
        <v>14</v>
      </c>
      <c r="Q10">
        <v>11</v>
      </c>
      <c r="R10">
        <v>19</v>
      </c>
      <c r="S10">
        <v>9</v>
      </c>
      <c r="T10">
        <v>15</v>
      </c>
      <c r="U10">
        <v>15</v>
      </c>
      <c r="V10">
        <v>0.68045212263259303</v>
      </c>
      <c r="W10">
        <v>0.64523475158461996</v>
      </c>
      <c r="X10">
        <v>0.91568103777184195</v>
      </c>
      <c r="Y10">
        <v>0.846186391784299</v>
      </c>
      <c r="Z10">
        <v>0.50262913702443501</v>
      </c>
      <c r="AA10">
        <v>0.97557168500741398</v>
      </c>
      <c r="AB10">
        <v>0.55303179932846103</v>
      </c>
      <c r="AC10">
        <v>0.71638939743691699</v>
      </c>
      <c r="AD10">
        <v>0.97292038268201697</v>
      </c>
      <c r="AE10">
        <v>0.65897858319604596</v>
      </c>
      <c r="AF10">
        <v>0.8</v>
      </c>
      <c r="AG10">
        <v>0.42865103519225001</v>
      </c>
      <c r="AH10">
        <v>0.74460163812360303</v>
      </c>
      <c r="AI10">
        <v>0.89277743058655401</v>
      </c>
      <c r="AJ10">
        <v>0.63851135638055201</v>
      </c>
      <c r="AK10">
        <v>0.50768449716158204</v>
      </c>
      <c r="AL10">
        <v>0.88322796578653695</v>
      </c>
      <c r="AM10">
        <v>0.416724545075704</v>
      </c>
      <c r="AN10">
        <v>0.69434800722121903</v>
      </c>
      <c r="AO10">
        <v>0.69434800722121903</v>
      </c>
    </row>
    <row r="11" spans="1:41" x14ac:dyDescent="0.25">
      <c r="A11" t="s">
        <v>76</v>
      </c>
      <c r="B11">
        <v>1345</v>
      </c>
      <c r="C11">
        <v>1360</v>
      </c>
      <c r="D11">
        <v>1400</v>
      </c>
      <c r="E11">
        <v>1415</v>
      </c>
      <c r="F11">
        <v>1378</v>
      </c>
      <c r="G11">
        <v>1413</v>
      </c>
      <c r="H11">
        <v>1369</v>
      </c>
      <c r="I11">
        <v>1345</v>
      </c>
      <c r="J11">
        <v>1307</v>
      </c>
      <c r="K11">
        <v>1235</v>
      </c>
      <c r="L11">
        <v>1175</v>
      </c>
      <c r="M11">
        <v>1242</v>
      </c>
      <c r="N11">
        <v>1204</v>
      </c>
      <c r="O11">
        <v>1227</v>
      </c>
      <c r="P11">
        <v>1115</v>
      </c>
      <c r="Q11">
        <v>1100</v>
      </c>
      <c r="R11">
        <v>1063</v>
      </c>
      <c r="S11">
        <v>1066</v>
      </c>
      <c r="T11">
        <v>1048</v>
      </c>
      <c r="U11">
        <v>1064</v>
      </c>
      <c r="V11">
        <v>50.8448947189354</v>
      </c>
      <c r="W11">
        <v>51.6187801267696</v>
      </c>
      <c r="X11">
        <v>53.414727203357501</v>
      </c>
      <c r="Y11">
        <v>54.425170198853799</v>
      </c>
      <c r="Z11">
        <v>53.278688524590102</v>
      </c>
      <c r="AA11">
        <v>55.139311636618999</v>
      </c>
      <c r="AB11">
        <v>54.078609520047401</v>
      </c>
      <c r="AC11">
        <v>53.5302077529252</v>
      </c>
      <c r="AD11">
        <v>52.9836225068915</v>
      </c>
      <c r="AE11">
        <v>50.864909390444801</v>
      </c>
      <c r="AF11">
        <v>49.473684210526301</v>
      </c>
      <c r="AG11">
        <v>53.238458570877398</v>
      </c>
      <c r="AH11">
        <v>52.735316017695197</v>
      </c>
      <c r="AI11">
        <v>54.771895366485097</v>
      </c>
      <c r="AJ11">
        <v>50.852868740308303</v>
      </c>
      <c r="AK11">
        <v>50.768449716158202</v>
      </c>
      <c r="AL11">
        <v>49.414280401636297</v>
      </c>
      <c r="AM11">
        <v>49.358707227855703</v>
      </c>
      <c r="AN11">
        <v>48.511780771189102</v>
      </c>
      <c r="AO11">
        <v>49.2524186455584</v>
      </c>
    </row>
    <row r="12" spans="1:41" x14ac:dyDescent="0.25">
      <c r="A12" t="s">
        <v>53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1</v>
      </c>
      <c r="N12">
        <v>0</v>
      </c>
      <c r="O12">
        <v>0</v>
      </c>
      <c r="P12">
        <v>0</v>
      </c>
      <c r="Q12">
        <v>1</v>
      </c>
      <c r="R12">
        <v>1</v>
      </c>
      <c r="S12">
        <v>1</v>
      </c>
      <c r="T12">
        <v>1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4.2865103519224998E-2</v>
      </c>
      <c r="AH12">
        <v>0</v>
      </c>
      <c r="AI12">
        <v>0</v>
      </c>
      <c r="AJ12">
        <v>0</v>
      </c>
      <c r="AK12">
        <v>4.6153136105598298E-2</v>
      </c>
      <c r="AL12">
        <v>4.6485682409817701E-2</v>
      </c>
      <c r="AM12">
        <v>4.6302727230633799E-2</v>
      </c>
      <c r="AN12">
        <v>4.6289867148081199E-2</v>
      </c>
      <c r="AO12">
        <v>0</v>
      </c>
    </row>
    <row r="13" spans="1:41" x14ac:dyDescent="0.25">
      <c r="A13" t="s">
        <v>100</v>
      </c>
      <c r="B13">
        <v>3290</v>
      </c>
      <c r="C13">
        <v>3315</v>
      </c>
      <c r="D13">
        <v>3487</v>
      </c>
      <c r="E13">
        <v>3672</v>
      </c>
      <c r="F13">
        <v>3798</v>
      </c>
      <c r="G13">
        <v>3752</v>
      </c>
      <c r="H13">
        <v>3721</v>
      </c>
      <c r="I13">
        <v>3733</v>
      </c>
      <c r="J13">
        <v>3486</v>
      </c>
      <c r="K13">
        <v>3436</v>
      </c>
      <c r="L13">
        <v>3435</v>
      </c>
      <c r="M13">
        <v>3318</v>
      </c>
      <c r="N13">
        <v>3315</v>
      </c>
      <c r="O13">
        <v>3135</v>
      </c>
      <c r="P13">
        <v>3095</v>
      </c>
      <c r="Q13">
        <v>2890</v>
      </c>
      <c r="R13">
        <v>2724</v>
      </c>
      <c r="S13">
        <v>2674</v>
      </c>
      <c r="T13">
        <v>2538</v>
      </c>
      <c r="U13">
        <v>2654</v>
      </c>
      <c r="V13">
        <v>45.529400368109997</v>
      </c>
      <c r="W13">
        <v>45.738017053450697</v>
      </c>
      <c r="X13">
        <v>48.199599142995297</v>
      </c>
      <c r="Y13">
        <v>51.026221808429298</v>
      </c>
      <c r="Z13">
        <v>53.182104599873902</v>
      </c>
      <c r="AA13">
        <v>52.776683733753401</v>
      </c>
      <c r="AB13">
        <v>52.583977502366999</v>
      </c>
      <c r="AC13">
        <v>52.896332823215999</v>
      </c>
      <c r="AD13">
        <v>49.844147673653801</v>
      </c>
      <c r="AE13">
        <v>49.808651281456498</v>
      </c>
      <c r="AF13">
        <v>50.589846684045398</v>
      </c>
      <c r="AG13">
        <v>49.2416372324953</v>
      </c>
      <c r="AH13">
        <v>49.570093457943898</v>
      </c>
      <c r="AI13">
        <v>47.156330380108599</v>
      </c>
      <c r="AJ13">
        <v>46.978643311425103</v>
      </c>
      <c r="AK13">
        <v>43.839689329814</v>
      </c>
      <c r="AL13">
        <v>41.464342796255401</v>
      </c>
      <c r="AM13">
        <v>40.692100497618398</v>
      </c>
      <c r="AN13">
        <v>38.184362164683201</v>
      </c>
      <c r="AO13">
        <v>39.929589119412597</v>
      </c>
    </row>
    <row r="14" spans="1:41" x14ac:dyDescent="0.25">
      <c r="A14" t="s">
        <v>54</v>
      </c>
      <c r="B14">
        <v>47</v>
      </c>
      <c r="C14">
        <v>49</v>
      </c>
      <c r="D14">
        <v>44</v>
      </c>
      <c r="E14">
        <v>53</v>
      </c>
      <c r="F14">
        <v>72</v>
      </c>
      <c r="G14">
        <v>70</v>
      </c>
      <c r="H14">
        <v>54</v>
      </c>
      <c r="I14">
        <v>44</v>
      </c>
      <c r="J14">
        <v>57</v>
      </c>
      <c r="K14">
        <v>53</v>
      </c>
      <c r="L14">
        <v>50</v>
      </c>
      <c r="M14">
        <v>46</v>
      </c>
      <c r="N14">
        <v>59</v>
      </c>
      <c r="O14">
        <v>38</v>
      </c>
      <c r="P14">
        <v>58</v>
      </c>
      <c r="Q14">
        <v>46</v>
      </c>
      <c r="R14">
        <v>29</v>
      </c>
      <c r="S14">
        <v>31</v>
      </c>
      <c r="T14">
        <v>36</v>
      </c>
      <c r="U14">
        <v>38</v>
      </c>
      <c r="V14">
        <v>0.65042000525871502</v>
      </c>
      <c r="W14">
        <v>0.676067220397913</v>
      </c>
      <c r="X14">
        <v>0.60819683461192797</v>
      </c>
      <c r="Y14">
        <v>0.73648958492558603</v>
      </c>
      <c r="Z14">
        <v>1.00819155639571</v>
      </c>
      <c r="AA14">
        <v>0.98463962189838505</v>
      </c>
      <c r="AB14">
        <v>0.76311066517812898</v>
      </c>
      <c r="AC14">
        <v>0.62347673298191897</v>
      </c>
      <c r="AD14">
        <v>0.81500757814063796</v>
      </c>
      <c r="AE14">
        <v>0.76829409718195496</v>
      </c>
      <c r="AF14">
        <v>0.73638787021900098</v>
      </c>
      <c r="AG14">
        <v>0.68267489834080297</v>
      </c>
      <c r="AH14">
        <v>0.88224299065420497</v>
      </c>
      <c r="AI14">
        <v>0.57159188339525502</v>
      </c>
      <c r="AJ14">
        <v>0.88037522199116502</v>
      </c>
      <c r="AK14">
        <v>0.69779436303510201</v>
      </c>
      <c r="AL14">
        <v>0.44143389907907699</v>
      </c>
      <c r="AM14">
        <v>0.47174836029400502</v>
      </c>
      <c r="AN14">
        <v>0.54162215836430105</v>
      </c>
      <c r="AO14">
        <v>0.57171227827342797</v>
      </c>
    </row>
    <row r="15" spans="1:41" x14ac:dyDescent="0.25">
      <c r="A15" t="s">
        <v>77</v>
      </c>
      <c r="B15">
        <v>3243</v>
      </c>
      <c r="C15">
        <v>3266</v>
      </c>
      <c r="D15">
        <v>3443</v>
      </c>
      <c r="E15">
        <v>3619</v>
      </c>
      <c r="F15">
        <v>3726</v>
      </c>
      <c r="G15">
        <v>3682</v>
      </c>
      <c r="H15">
        <v>3667</v>
      </c>
      <c r="I15">
        <v>3689</v>
      </c>
      <c r="J15">
        <v>3429</v>
      </c>
      <c r="K15">
        <v>3383</v>
      </c>
      <c r="L15">
        <v>3385</v>
      </c>
      <c r="M15">
        <v>3272</v>
      </c>
      <c r="N15">
        <v>3256</v>
      </c>
      <c r="O15">
        <v>3097</v>
      </c>
      <c r="P15">
        <v>3037</v>
      </c>
      <c r="Q15">
        <v>2843</v>
      </c>
      <c r="R15">
        <v>2695</v>
      </c>
      <c r="S15">
        <v>2643</v>
      </c>
      <c r="T15">
        <v>2501</v>
      </c>
      <c r="U15">
        <v>2615</v>
      </c>
      <c r="V15">
        <v>44.878980362851301</v>
      </c>
      <c r="W15">
        <v>45.061949833052701</v>
      </c>
      <c r="X15">
        <v>47.591402308383401</v>
      </c>
      <c r="Y15">
        <v>50.289732223503698</v>
      </c>
      <c r="Z15">
        <v>52.173913043478201</v>
      </c>
      <c r="AA15">
        <v>51.792044111854999</v>
      </c>
      <c r="AB15">
        <v>51.820866837188902</v>
      </c>
      <c r="AC15">
        <v>52.272856090234001</v>
      </c>
      <c r="AD15">
        <v>49.0291400955131</v>
      </c>
      <c r="AE15">
        <v>49.040357184274598</v>
      </c>
      <c r="AF15">
        <v>49.8534588138264</v>
      </c>
      <c r="AG15">
        <v>48.558962334154501</v>
      </c>
      <c r="AH15">
        <v>48.687850467289699</v>
      </c>
      <c r="AI15">
        <v>46.5847384967133</v>
      </c>
      <c r="AJ15">
        <v>46.098268089433901</v>
      </c>
      <c r="AK15">
        <v>43.126725524104202</v>
      </c>
      <c r="AL15">
        <v>41.022908897176301</v>
      </c>
      <c r="AM15">
        <v>40.220352137324397</v>
      </c>
      <c r="AN15">
        <v>37.627694946364301</v>
      </c>
      <c r="AO15">
        <v>39.3428317811846</v>
      </c>
    </row>
    <row r="16" spans="1:41" x14ac:dyDescent="0.25">
      <c r="A16" t="s">
        <v>55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1</v>
      </c>
      <c r="R16">
        <v>0</v>
      </c>
      <c r="S16">
        <v>0</v>
      </c>
      <c r="T16">
        <v>1</v>
      </c>
      <c r="U16">
        <v>1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1.51694426746761E-2</v>
      </c>
      <c r="AL16">
        <v>0</v>
      </c>
      <c r="AM16">
        <v>0</v>
      </c>
      <c r="AN16">
        <v>1.50450599545639E-2</v>
      </c>
      <c r="AO16">
        <v>1.50450599545639E-2</v>
      </c>
    </row>
    <row r="17" spans="1:41" x14ac:dyDescent="0.25">
      <c r="A17" t="s">
        <v>101</v>
      </c>
      <c r="B17">
        <v>3098</v>
      </c>
      <c r="C17">
        <v>3134</v>
      </c>
      <c r="D17">
        <v>3185</v>
      </c>
      <c r="E17">
        <v>3286</v>
      </c>
      <c r="F17">
        <v>3228</v>
      </c>
      <c r="G17">
        <v>3288</v>
      </c>
      <c r="H17">
        <v>3182</v>
      </c>
      <c r="I17">
        <v>3178</v>
      </c>
      <c r="J17">
        <v>3140</v>
      </c>
      <c r="K17">
        <v>3116</v>
      </c>
      <c r="L17">
        <v>3099</v>
      </c>
      <c r="M17">
        <v>3089</v>
      </c>
      <c r="N17">
        <v>3073</v>
      </c>
      <c r="O17">
        <v>2986</v>
      </c>
      <c r="P17">
        <v>2904</v>
      </c>
      <c r="Q17">
        <v>2779</v>
      </c>
      <c r="R17">
        <v>2816</v>
      </c>
      <c r="S17">
        <v>2861</v>
      </c>
      <c r="T17">
        <v>2749</v>
      </c>
      <c r="U17">
        <v>2672</v>
      </c>
      <c r="V17">
        <v>52.286919831223599</v>
      </c>
      <c r="W17">
        <v>52.264692148622501</v>
      </c>
      <c r="X17">
        <v>52.933355492770403</v>
      </c>
      <c r="Y17">
        <v>54.475224217105101</v>
      </c>
      <c r="Z17">
        <v>53.910516558945801</v>
      </c>
      <c r="AA17">
        <v>55.465587044534402</v>
      </c>
      <c r="AB17">
        <v>53.913014011961799</v>
      </c>
      <c r="AC17">
        <v>53.901864007191399</v>
      </c>
      <c r="AD17">
        <v>54.1799672159434</v>
      </c>
      <c r="AE17">
        <v>54.731960935853301</v>
      </c>
      <c r="AF17">
        <v>55.207182812555601</v>
      </c>
      <c r="AG17">
        <v>55.318767908309397</v>
      </c>
      <c r="AH17">
        <v>55.151743570415803</v>
      </c>
      <c r="AI17">
        <v>53.939809964232801</v>
      </c>
      <c r="AJ17">
        <v>52.857662904987201</v>
      </c>
      <c r="AK17">
        <v>50.840635919576997</v>
      </c>
      <c r="AL17">
        <v>51.646981145917302</v>
      </c>
      <c r="AM17">
        <v>52.681974699394097</v>
      </c>
      <c r="AN17">
        <v>50.1267300012764</v>
      </c>
      <c r="AO17">
        <v>48.722670994329</v>
      </c>
    </row>
    <row r="18" spans="1:41" x14ac:dyDescent="0.25">
      <c r="A18" t="s">
        <v>56</v>
      </c>
      <c r="B18">
        <v>37</v>
      </c>
      <c r="C18">
        <v>54</v>
      </c>
      <c r="D18">
        <v>41</v>
      </c>
      <c r="E18">
        <v>40</v>
      </c>
      <c r="F18">
        <v>61</v>
      </c>
      <c r="G18">
        <v>60</v>
      </c>
      <c r="H18">
        <v>49</v>
      </c>
      <c r="I18">
        <v>43</v>
      </c>
      <c r="J18">
        <v>38</v>
      </c>
      <c r="K18">
        <v>42</v>
      </c>
      <c r="L18">
        <v>36</v>
      </c>
      <c r="M18">
        <v>43</v>
      </c>
      <c r="N18">
        <v>45</v>
      </c>
      <c r="O18">
        <v>41</v>
      </c>
      <c r="P18">
        <v>41</v>
      </c>
      <c r="Q18">
        <v>47</v>
      </c>
      <c r="R18">
        <v>50</v>
      </c>
      <c r="S18">
        <v>42</v>
      </c>
      <c r="T18">
        <v>35</v>
      </c>
      <c r="U18">
        <v>33</v>
      </c>
      <c r="V18">
        <v>0.62447257383966204</v>
      </c>
      <c r="W18">
        <v>0.90054032419451602</v>
      </c>
      <c r="X18">
        <v>0.68140269237161299</v>
      </c>
      <c r="Y18">
        <v>0.66311898012300796</v>
      </c>
      <c r="Z18">
        <v>1.0187551146517</v>
      </c>
      <c r="AA18">
        <v>1.01214574898785</v>
      </c>
      <c r="AB18">
        <v>0.83021297504278102</v>
      </c>
      <c r="AC18">
        <v>0.72932037517596904</v>
      </c>
      <c r="AD18">
        <v>0.65568113191269095</v>
      </c>
      <c r="AE18">
        <v>0.73772219489917801</v>
      </c>
      <c r="AF18">
        <v>0.64132254961342505</v>
      </c>
      <c r="AG18">
        <v>0.77005730659025695</v>
      </c>
      <c r="AH18">
        <v>0.807623970279437</v>
      </c>
      <c r="AI18">
        <v>0.74063369341377905</v>
      </c>
      <c r="AJ18">
        <v>0.74626865671641796</v>
      </c>
      <c r="AK18">
        <v>0.85984522785898498</v>
      </c>
      <c r="AL18">
        <v>0.91702736409654395</v>
      </c>
      <c r="AM18">
        <v>0.77338096377999099</v>
      </c>
      <c r="AN18">
        <v>0.63820863952152496</v>
      </c>
      <c r="AO18">
        <v>0.60173957440601</v>
      </c>
    </row>
    <row r="19" spans="1:41" x14ac:dyDescent="0.25">
      <c r="A19" t="s">
        <v>78</v>
      </c>
      <c r="B19">
        <v>3061</v>
      </c>
      <c r="C19">
        <v>3080</v>
      </c>
      <c r="D19">
        <v>3144</v>
      </c>
      <c r="E19">
        <v>3246</v>
      </c>
      <c r="F19">
        <v>3167</v>
      </c>
      <c r="G19">
        <v>3228</v>
      </c>
      <c r="H19">
        <v>3133</v>
      </c>
      <c r="I19">
        <v>3135</v>
      </c>
      <c r="J19">
        <v>3102</v>
      </c>
      <c r="K19">
        <v>3074</v>
      </c>
      <c r="L19">
        <v>3062</v>
      </c>
      <c r="M19">
        <v>3046</v>
      </c>
      <c r="N19">
        <v>3027</v>
      </c>
      <c r="O19">
        <v>2945</v>
      </c>
      <c r="P19">
        <v>2863</v>
      </c>
      <c r="Q19">
        <v>2732</v>
      </c>
      <c r="R19">
        <v>2766</v>
      </c>
      <c r="S19">
        <v>2819</v>
      </c>
      <c r="T19">
        <v>2714</v>
      </c>
      <c r="U19">
        <v>2639</v>
      </c>
      <c r="V19">
        <v>51.662447257383903</v>
      </c>
      <c r="W19">
        <v>51.3641518244279</v>
      </c>
      <c r="X19">
        <v>52.251952800398797</v>
      </c>
      <c r="Y19">
        <v>53.812105236982099</v>
      </c>
      <c r="Z19">
        <v>52.891761444294097</v>
      </c>
      <c r="AA19">
        <v>54.453441295546497</v>
      </c>
      <c r="AB19">
        <v>53.082801036919001</v>
      </c>
      <c r="AC19">
        <v>53.172543632015397</v>
      </c>
      <c r="AD19">
        <v>53.524286084030699</v>
      </c>
      <c r="AE19">
        <v>53.994238740954103</v>
      </c>
      <c r="AF19">
        <v>54.548045747675197</v>
      </c>
      <c r="AG19">
        <v>54.548710601719101</v>
      </c>
      <c r="AH19">
        <v>54.3261724007968</v>
      </c>
      <c r="AI19">
        <v>53.199176270819002</v>
      </c>
      <c r="AJ19">
        <v>52.111394248270798</v>
      </c>
      <c r="AK19">
        <v>49.980790691717999</v>
      </c>
      <c r="AL19">
        <v>50.729953781820797</v>
      </c>
      <c r="AM19">
        <v>51.908593735614097</v>
      </c>
      <c r="AN19">
        <v>49.488521361754799</v>
      </c>
      <c r="AO19">
        <v>48.120931419922996</v>
      </c>
    </row>
    <row r="20" spans="1:41" x14ac:dyDescent="0.25">
      <c r="A20" t="s">
        <v>57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1</v>
      </c>
      <c r="M20">
        <v>0</v>
      </c>
      <c r="N20">
        <v>1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1.7814515267039501E-2</v>
      </c>
      <c r="AG20">
        <v>0</v>
      </c>
      <c r="AH20">
        <v>1.7947199339542998E-2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</row>
    <row r="21" spans="1:41" x14ac:dyDescent="0.25">
      <c r="A21" t="s">
        <v>102</v>
      </c>
      <c r="B21">
        <v>5371</v>
      </c>
      <c r="C21">
        <v>5389</v>
      </c>
      <c r="D21">
        <v>5887</v>
      </c>
      <c r="E21">
        <v>6080</v>
      </c>
      <c r="F21">
        <v>6220</v>
      </c>
      <c r="G21">
        <v>6390</v>
      </c>
      <c r="H21">
        <v>6161</v>
      </c>
      <c r="I21">
        <v>6237</v>
      </c>
      <c r="J21">
        <v>6321</v>
      </c>
      <c r="K21">
        <v>6289</v>
      </c>
      <c r="L21">
        <v>6231</v>
      </c>
      <c r="M21">
        <v>6416</v>
      </c>
      <c r="N21">
        <v>6223</v>
      </c>
      <c r="O21">
        <v>5894</v>
      </c>
      <c r="P21">
        <v>5798</v>
      </c>
      <c r="Q21">
        <v>5364</v>
      </c>
      <c r="R21">
        <v>4928</v>
      </c>
      <c r="S21">
        <v>5132</v>
      </c>
      <c r="T21">
        <v>4704</v>
      </c>
      <c r="U21">
        <v>4613</v>
      </c>
      <c r="V21">
        <v>48.8805970149253</v>
      </c>
      <c r="W21">
        <v>48.716766559090203</v>
      </c>
      <c r="X21">
        <v>52.915426999721298</v>
      </c>
      <c r="Y21">
        <v>53.962421563667597</v>
      </c>
      <c r="Z21">
        <v>54.998983137771503</v>
      </c>
      <c r="AA21">
        <v>56.081656295802198</v>
      </c>
      <c r="AB21">
        <v>53.703267871307403</v>
      </c>
      <c r="AC21">
        <v>54.110563575791197</v>
      </c>
      <c r="AD21">
        <v>54.873602333495299</v>
      </c>
      <c r="AE21">
        <v>54.474270023993199</v>
      </c>
      <c r="AF21">
        <v>53.872024761591803</v>
      </c>
      <c r="AG21">
        <v>55.453280438371301</v>
      </c>
      <c r="AH21">
        <v>54.653399260514803</v>
      </c>
      <c r="AI21">
        <v>52.802264745932703</v>
      </c>
      <c r="AJ21">
        <v>52.6526090194155</v>
      </c>
      <c r="AK21">
        <v>49.115481815185099</v>
      </c>
      <c r="AL21">
        <v>45.493150179092297</v>
      </c>
      <c r="AM21">
        <v>47.742643707032002</v>
      </c>
      <c r="AN21">
        <v>43.480270272768401</v>
      </c>
      <c r="AO21">
        <v>42.639134091896402</v>
      </c>
    </row>
    <row r="22" spans="1:41" x14ac:dyDescent="0.25">
      <c r="A22" t="s">
        <v>58</v>
      </c>
      <c r="B22">
        <v>65</v>
      </c>
      <c r="C22">
        <v>95</v>
      </c>
      <c r="D22">
        <v>98</v>
      </c>
      <c r="E22">
        <v>86</v>
      </c>
      <c r="F22">
        <v>102</v>
      </c>
      <c r="G22">
        <v>90</v>
      </c>
      <c r="H22">
        <v>90</v>
      </c>
      <c r="I22">
        <v>101</v>
      </c>
      <c r="J22">
        <v>93</v>
      </c>
      <c r="K22">
        <v>86</v>
      </c>
      <c r="L22">
        <v>88</v>
      </c>
      <c r="M22">
        <v>76</v>
      </c>
      <c r="N22">
        <v>96</v>
      </c>
      <c r="O22">
        <v>80</v>
      </c>
      <c r="P22">
        <v>80</v>
      </c>
      <c r="Q22">
        <v>83</v>
      </c>
      <c r="R22">
        <v>69</v>
      </c>
      <c r="S22">
        <v>77</v>
      </c>
      <c r="T22">
        <v>75</v>
      </c>
      <c r="U22">
        <v>64</v>
      </c>
      <c r="V22">
        <v>0.59155442300691596</v>
      </c>
      <c r="W22">
        <v>0.85880364132743903</v>
      </c>
      <c r="X22">
        <v>0.880875122468607</v>
      </c>
      <c r="Y22">
        <v>0.76328425238082498</v>
      </c>
      <c r="Z22">
        <v>0.90191258521747497</v>
      </c>
      <c r="AA22">
        <v>0.78988248303946695</v>
      </c>
      <c r="AB22">
        <v>0.78449831332862596</v>
      </c>
      <c r="AC22">
        <v>0.87624930594114303</v>
      </c>
      <c r="AD22">
        <v>0.807347732481422</v>
      </c>
      <c r="AE22">
        <v>0.74491766927387804</v>
      </c>
      <c r="AF22">
        <v>0.76083103498958105</v>
      </c>
      <c r="AG22">
        <v>0.65686554135227804</v>
      </c>
      <c r="AH22">
        <v>0.84311848449452398</v>
      </c>
      <c r="AI22">
        <v>0.71669175087794701</v>
      </c>
      <c r="AJ22">
        <v>0.72649339799124502</v>
      </c>
      <c r="AK22">
        <v>0.759989744716697</v>
      </c>
      <c r="AL22">
        <v>0.63697795502381704</v>
      </c>
      <c r="AM22">
        <v>0.71632571423255398</v>
      </c>
      <c r="AN22">
        <v>0.69324410511429202</v>
      </c>
      <c r="AO22">
        <v>0.59156830303086305</v>
      </c>
    </row>
    <row r="23" spans="1:41" x14ac:dyDescent="0.25">
      <c r="A23" t="s">
        <v>79</v>
      </c>
      <c r="B23">
        <v>5306</v>
      </c>
      <c r="C23">
        <v>5294</v>
      </c>
      <c r="D23">
        <v>5789</v>
      </c>
      <c r="E23">
        <v>5994</v>
      </c>
      <c r="F23">
        <v>6118</v>
      </c>
      <c r="G23">
        <v>6300</v>
      </c>
      <c r="H23">
        <v>6071</v>
      </c>
      <c r="I23">
        <v>6136</v>
      </c>
      <c r="J23">
        <v>6228</v>
      </c>
      <c r="K23">
        <v>6203</v>
      </c>
      <c r="L23">
        <v>6143</v>
      </c>
      <c r="M23">
        <v>6338</v>
      </c>
      <c r="N23">
        <v>6127</v>
      </c>
      <c r="O23">
        <v>5814</v>
      </c>
      <c r="P23">
        <v>5718</v>
      </c>
      <c r="Q23">
        <v>5281</v>
      </c>
      <c r="R23">
        <v>4857</v>
      </c>
      <c r="S23">
        <v>5055</v>
      </c>
      <c r="T23">
        <v>4629</v>
      </c>
      <c r="U23">
        <v>4549</v>
      </c>
      <c r="V23">
        <v>48.289042591918403</v>
      </c>
      <c r="W23">
        <v>47.857962917762698</v>
      </c>
      <c r="X23">
        <v>52.034551877252703</v>
      </c>
      <c r="Y23">
        <v>53.199137311286798</v>
      </c>
      <c r="Z23">
        <v>54.097070552554001</v>
      </c>
      <c r="AA23">
        <v>55.291773812762699</v>
      </c>
      <c r="AB23">
        <v>52.918769557978699</v>
      </c>
      <c r="AC23">
        <v>53.234314269850003</v>
      </c>
      <c r="AD23">
        <v>54.066254601013902</v>
      </c>
      <c r="AE23">
        <v>53.729352354719403</v>
      </c>
      <c r="AF23">
        <v>53.111193726602203</v>
      </c>
      <c r="AG23">
        <v>54.779128961720197</v>
      </c>
      <c r="AH23">
        <v>53.810280776020299</v>
      </c>
      <c r="AI23">
        <v>52.085572995054797</v>
      </c>
      <c r="AJ23">
        <v>51.926115621424202</v>
      </c>
      <c r="AK23">
        <v>48.355492070468401</v>
      </c>
      <c r="AL23">
        <v>44.837709094937402</v>
      </c>
      <c r="AM23">
        <v>47.026317992799498</v>
      </c>
      <c r="AN23">
        <v>42.787026167654098</v>
      </c>
      <c r="AO23">
        <v>42.047565788865498</v>
      </c>
    </row>
    <row r="24" spans="1:41" x14ac:dyDescent="0.25">
      <c r="A24" t="s">
        <v>59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2</v>
      </c>
      <c r="N24">
        <v>0</v>
      </c>
      <c r="O24">
        <v>0</v>
      </c>
      <c r="P24">
        <v>0</v>
      </c>
      <c r="Q24">
        <v>0</v>
      </c>
      <c r="R24">
        <v>2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1.7285935298744101E-2</v>
      </c>
      <c r="AH24">
        <v>0</v>
      </c>
      <c r="AI24">
        <v>0</v>
      </c>
      <c r="AJ24">
        <v>0</v>
      </c>
      <c r="AK24">
        <v>0</v>
      </c>
      <c r="AL24">
        <v>1.8463129131125099E-2</v>
      </c>
      <c r="AM24">
        <v>0</v>
      </c>
      <c r="AN24">
        <v>0</v>
      </c>
      <c r="AO24">
        <v>0</v>
      </c>
    </row>
    <row r="25" spans="1:41" x14ac:dyDescent="0.25">
      <c r="A25" t="s">
        <v>103</v>
      </c>
      <c r="B25">
        <v>15065</v>
      </c>
      <c r="C25">
        <v>14756</v>
      </c>
      <c r="D25">
        <v>15151</v>
      </c>
      <c r="E25">
        <v>15970</v>
      </c>
      <c r="F25">
        <v>15991</v>
      </c>
      <c r="G25">
        <v>15986</v>
      </c>
      <c r="H25">
        <v>15636</v>
      </c>
      <c r="I25">
        <v>15828</v>
      </c>
      <c r="J25">
        <v>15426</v>
      </c>
      <c r="K25">
        <v>14815</v>
      </c>
      <c r="L25">
        <v>15080</v>
      </c>
      <c r="M25">
        <v>14866</v>
      </c>
      <c r="N25">
        <v>14681</v>
      </c>
      <c r="O25">
        <v>14477</v>
      </c>
      <c r="P25">
        <v>14140</v>
      </c>
      <c r="Q25">
        <v>13571</v>
      </c>
      <c r="R25">
        <v>12768</v>
      </c>
      <c r="S25">
        <v>13073</v>
      </c>
      <c r="T25">
        <v>12803</v>
      </c>
      <c r="U25">
        <v>13268</v>
      </c>
      <c r="V25">
        <v>60.942063575537397</v>
      </c>
      <c r="W25">
        <v>60.039386097684002</v>
      </c>
      <c r="X25">
        <v>62.139593637981797</v>
      </c>
      <c r="Y25">
        <v>65.547260108109796</v>
      </c>
      <c r="Z25">
        <v>65.704647522156904</v>
      </c>
      <c r="AA25">
        <v>65.962451000618898</v>
      </c>
      <c r="AB25">
        <v>64.646297597883105</v>
      </c>
      <c r="AC25">
        <v>65.327213894208498</v>
      </c>
      <c r="AD25">
        <v>64.359740324760907</v>
      </c>
      <c r="AE25">
        <v>62.759999661100203</v>
      </c>
      <c r="AF25">
        <v>64.420218037661002</v>
      </c>
      <c r="AG25">
        <v>63.677952162291803</v>
      </c>
      <c r="AH25">
        <v>62.5945996648773</v>
      </c>
      <c r="AI25">
        <v>61.552917566625197</v>
      </c>
      <c r="AJ25">
        <v>59.691915418160001</v>
      </c>
      <c r="AK25">
        <v>56.878572985297303</v>
      </c>
      <c r="AL25">
        <v>53.339349049391501</v>
      </c>
      <c r="AM25">
        <v>54.441117556666903</v>
      </c>
      <c r="AN25">
        <v>52.303682460311599</v>
      </c>
      <c r="AO25">
        <v>54.203331944342303</v>
      </c>
    </row>
    <row r="26" spans="1:41" x14ac:dyDescent="0.25">
      <c r="A26" t="s">
        <v>60</v>
      </c>
      <c r="B26">
        <v>230</v>
      </c>
      <c r="C26">
        <v>255</v>
      </c>
      <c r="D26">
        <v>252</v>
      </c>
      <c r="E26">
        <v>264</v>
      </c>
      <c r="F26">
        <v>233</v>
      </c>
      <c r="G26">
        <v>259</v>
      </c>
      <c r="H26">
        <v>294</v>
      </c>
      <c r="I26">
        <v>228</v>
      </c>
      <c r="J26">
        <v>236</v>
      </c>
      <c r="K26">
        <v>230</v>
      </c>
      <c r="L26">
        <v>224</v>
      </c>
      <c r="M26">
        <v>235</v>
      </c>
      <c r="N26">
        <v>224</v>
      </c>
      <c r="O26">
        <v>202</v>
      </c>
      <c r="P26">
        <v>226</v>
      </c>
      <c r="Q26">
        <v>188</v>
      </c>
      <c r="R26">
        <v>180</v>
      </c>
      <c r="S26">
        <v>167</v>
      </c>
      <c r="T26">
        <v>188</v>
      </c>
      <c r="U26">
        <v>185</v>
      </c>
      <c r="V26">
        <v>0.93041318435934905</v>
      </c>
      <c r="W26">
        <v>1.0375469947756399</v>
      </c>
      <c r="X26">
        <v>1.0335408617762101</v>
      </c>
      <c r="Y26">
        <v>1.08356146953919</v>
      </c>
      <c r="Z26">
        <v>0.95736244591723896</v>
      </c>
      <c r="AA26">
        <v>1.0687022900763301</v>
      </c>
      <c r="AB26">
        <v>1.21552900318352</v>
      </c>
      <c r="AC26">
        <v>0.94102885821831805</v>
      </c>
      <c r="AD26">
        <v>0.98462976252065204</v>
      </c>
      <c r="AE26">
        <v>0.97433681552838702</v>
      </c>
      <c r="AF26">
        <v>0.95690509551963299</v>
      </c>
      <c r="AG26">
        <v>1.0066136659584599</v>
      </c>
      <c r="AH26">
        <v>0.955056898367449</v>
      </c>
      <c r="AI26">
        <v>0.85885814384598302</v>
      </c>
      <c r="AJ26">
        <v>0.95405748829590897</v>
      </c>
      <c r="AK26">
        <v>0.787942798705762</v>
      </c>
      <c r="AL26">
        <v>0.75196450727525599</v>
      </c>
      <c r="AM26">
        <v>0.69545373150488599</v>
      </c>
      <c r="AN26">
        <v>0.76803032902746105</v>
      </c>
      <c r="AO26">
        <v>0.75577452590468197</v>
      </c>
    </row>
    <row r="27" spans="1:41" x14ac:dyDescent="0.25">
      <c r="A27" t="s">
        <v>80</v>
      </c>
      <c r="B27">
        <v>14835</v>
      </c>
      <c r="C27">
        <v>14500</v>
      </c>
      <c r="D27">
        <v>14898</v>
      </c>
      <c r="E27">
        <v>15704</v>
      </c>
      <c r="F27">
        <v>15757</v>
      </c>
      <c r="G27">
        <v>15727</v>
      </c>
      <c r="H27">
        <v>15342</v>
      </c>
      <c r="I27">
        <v>15600</v>
      </c>
      <c r="J27">
        <v>15190</v>
      </c>
      <c r="K27">
        <v>14584</v>
      </c>
      <c r="L27">
        <v>14856</v>
      </c>
      <c r="M27">
        <v>14623</v>
      </c>
      <c r="N27">
        <v>14454</v>
      </c>
      <c r="O27">
        <v>14272</v>
      </c>
      <c r="P27">
        <v>13909</v>
      </c>
      <c r="Q27">
        <v>13379</v>
      </c>
      <c r="R27">
        <v>12583</v>
      </c>
      <c r="S27">
        <v>12900</v>
      </c>
      <c r="T27">
        <v>12612</v>
      </c>
      <c r="U27">
        <v>13073</v>
      </c>
      <c r="V27">
        <v>60.011650391178001</v>
      </c>
      <c r="W27">
        <v>58.997770291164102</v>
      </c>
      <c r="X27">
        <v>61.1019514235795</v>
      </c>
      <c r="Y27">
        <v>64.455489839558993</v>
      </c>
      <c r="Z27">
        <v>64.743176224540505</v>
      </c>
      <c r="AA27">
        <v>64.893748710542596</v>
      </c>
      <c r="AB27">
        <v>63.4307685946996</v>
      </c>
      <c r="AC27">
        <v>64.386185035990195</v>
      </c>
      <c r="AD27">
        <v>63.375110562240202</v>
      </c>
      <c r="AE27">
        <v>61.781426598547803</v>
      </c>
      <c r="AF27">
        <v>63.4633129421414</v>
      </c>
      <c r="AG27">
        <v>62.637070797066599</v>
      </c>
      <c r="AH27">
        <v>61.626751825906702</v>
      </c>
      <c r="AI27">
        <v>60.6813041038112</v>
      </c>
      <c r="AJ27">
        <v>58.716750463308799</v>
      </c>
      <c r="AK27">
        <v>56.073865446193501</v>
      </c>
      <c r="AL27">
        <v>52.566496639136403</v>
      </c>
      <c r="AM27">
        <v>53.720677463551098</v>
      </c>
      <c r="AN27">
        <v>51.523396328161297</v>
      </c>
      <c r="AO27">
        <v>53.4067047413617</v>
      </c>
    </row>
    <row r="28" spans="1:41" x14ac:dyDescent="0.25">
      <c r="A28" t="s">
        <v>61</v>
      </c>
      <c r="B28">
        <v>0</v>
      </c>
      <c r="C28">
        <v>1</v>
      </c>
      <c r="D28">
        <v>1</v>
      </c>
      <c r="E28">
        <v>2</v>
      </c>
      <c r="F28">
        <v>1</v>
      </c>
      <c r="G28">
        <v>0</v>
      </c>
      <c r="H28">
        <v>0</v>
      </c>
      <c r="I28">
        <v>0</v>
      </c>
      <c r="J28">
        <v>0</v>
      </c>
      <c r="K28">
        <v>1</v>
      </c>
      <c r="L28">
        <v>0</v>
      </c>
      <c r="M28">
        <v>8</v>
      </c>
      <c r="N28">
        <v>3</v>
      </c>
      <c r="O28">
        <v>3</v>
      </c>
      <c r="P28">
        <v>5</v>
      </c>
      <c r="Q28">
        <v>4</v>
      </c>
      <c r="R28">
        <v>5</v>
      </c>
      <c r="S28">
        <v>6</v>
      </c>
      <c r="T28">
        <v>3</v>
      </c>
      <c r="U28">
        <v>10</v>
      </c>
      <c r="V28">
        <v>0</v>
      </c>
      <c r="W28">
        <v>4.0688117442182099E-3</v>
      </c>
      <c r="X28">
        <v>4.1013526260960803E-3</v>
      </c>
      <c r="Y28">
        <v>8.2087990116605902E-3</v>
      </c>
      <c r="Z28">
        <v>4.1088516992156196E-3</v>
      </c>
      <c r="AA28">
        <v>0</v>
      </c>
      <c r="AB28">
        <v>0</v>
      </c>
      <c r="AC28">
        <v>0</v>
      </c>
      <c r="AD28">
        <v>0</v>
      </c>
      <c r="AE28">
        <v>4.2362470240364597E-3</v>
      </c>
      <c r="AF28">
        <v>0</v>
      </c>
      <c r="AG28">
        <v>3.4267699266671198E-2</v>
      </c>
      <c r="AH28">
        <v>1.27909406031354E-2</v>
      </c>
      <c r="AI28">
        <v>1.2755318968009599E-2</v>
      </c>
      <c r="AJ28">
        <v>2.1107466555219199E-2</v>
      </c>
      <c r="AK28">
        <v>1.6764740397994901E-2</v>
      </c>
      <c r="AL28">
        <v>2.08879029798682E-2</v>
      </c>
      <c r="AM28">
        <v>2.4986361610954001E-2</v>
      </c>
      <c r="AN28">
        <v>1.2255803122778601E-2</v>
      </c>
      <c r="AO28">
        <v>4.0852677075928698E-2</v>
      </c>
    </row>
    <row r="29" spans="1:41" x14ac:dyDescent="0.25">
      <c r="A29" t="s">
        <v>104</v>
      </c>
      <c r="B29">
        <v>2241</v>
      </c>
      <c r="C29">
        <v>2266</v>
      </c>
      <c r="D29">
        <v>2242</v>
      </c>
      <c r="E29">
        <v>2401</v>
      </c>
      <c r="F29">
        <v>2565</v>
      </c>
      <c r="G29">
        <v>2420</v>
      </c>
      <c r="H29">
        <v>2491</v>
      </c>
      <c r="I29">
        <v>2476</v>
      </c>
      <c r="J29">
        <v>2380</v>
      </c>
      <c r="K29">
        <v>2299</v>
      </c>
      <c r="L29">
        <v>2299</v>
      </c>
      <c r="M29">
        <v>2209</v>
      </c>
      <c r="N29">
        <v>2147</v>
      </c>
      <c r="O29">
        <v>2062</v>
      </c>
      <c r="P29">
        <v>1991</v>
      </c>
      <c r="Q29">
        <v>1965</v>
      </c>
      <c r="R29">
        <v>1845</v>
      </c>
      <c r="S29">
        <v>1884</v>
      </c>
      <c r="T29">
        <v>1864</v>
      </c>
      <c r="U29">
        <v>1785</v>
      </c>
      <c r="V29">
        <v>40.446153013157101</v>
      </c>
      <c r="W29">
        <v>40.612230267402602</v>
      </c>
      <c r="X29">
        <v>40.160498692365501</v>
      </c>
      <c r="Y29">
        <v>42.827583746566297</v>
      </c>
      <c r="Z29">
        <v>45.810933900091001</v>
      </c>
      <c r="AA29">
        <v>43.460302067058102</v>
      </c>
      <c r="AB29">
        <v>45.111284159437801</v>
      </c>
      <c r="AC29">
        <v>45.018181818181802</v>
      </c>
      <c r="AD29">
        <v>43.967412388465</v>
      </c>
      <c r="AE29">
        <v>43.000093519124597</v>
      </c>
      <c r="AF29">
        <v>43.625116226114301</v>
      </c>
      <c r="AG29">
        <v>42.444038812565999</v>
      </c>
      <c r="AH29">
        <v>41.6367691263453</v>
      </c>
      <c r="AI29">
        <v>40.5108055009823</v>
      </c>
      <c r="AJ29">
        <v>39.646348991417497</v>
      </c>
      <c r="AK29">
        <v>39.5133722099336</v>
      </c>
      <c r="AL29">
        <v>37.516012932349099</v>
      </c>
      <c r="AM29">
        <v>37.787315977375698</v>
      </c>
      <c r="AN29">
        <v>37.633757318796597</v>
      </c>
      <c r="AO29">
        <v>36.038764385221</v>
      </c>
    </row>
    <row r="30" spans="1:41" x14ac:dyDescent="0.25">
      <c r="A30" t="s">
        <v>62</v>
      </c>
      <c r="B30">
        <v>26</v>
      </c>
      <c r="C30">
        <v>25</v>
      </c>
      <c r="D30">
        <v>31</v>
      </c>
      <c r="E30">
        <v>31</v>
      </c>
      <c r="F30">
        <v>39</v>
      </c>
      <c r="G30">
        <v>26</v>
      </c>
      <c r="H30">
        <v>39</v>
      </c>
      <c r="I30">
        <v>39</v>
      </c>
      <c r="J30">
        <v>28</v>
      </c>
      <c r="K30">
        <v>35</v>
      </c>
      <c r="L30">
        <v>35</v>
      </c>
      <c r="M30">
        <v>25</v>
      </c>
      <c r="N30">
        <v>24</v>
      </c>
      <c r="O30">
        <v>25</v>
      </c>
      <c r="P30">
        <v>22</v>
      </c>
      <c r="Q30">
        <v>30</v>
      </c>
      <c r="R30">
        <v>26</v>
      </c>
      <c r="S30">
        <v>14</v>
      </c>
      <c r="T30">
        <v>28</v>
      </c>
      <c r="U30">
        <v>22</v>
      </c>
      <c r="V30">
        <v>0.46925478730124298</v>
      </c>
      <c r="W30">
        <v>0.44806079288837902</v>
      </c>
      <c r="X30">
        <v>0.55529681510407303</v>
      </c>
      <c r="Y30">
        <v>0.552959223716599</v>
      </c>
      <c r="Z30">
        <v>0.69654051543998097</v>
      </c>
      <c r="AA30">
        <v>0.46692886518326898</v>
      </c>
      <c r="AB30">
        <v>0.706278635976747</v>
      </c>
      <c r="AC30">
        <v>0.70909090909090899</v>
      </c>
      <c r="AD30">
        <v>0.51726367515841198</v>
      </c>
      <c r="AE30">
        <v>0.65463387262695205</v>
      </c>
      <c r="AF30">
        <v>0.664149224842976</v>
      </c>
      <c r="AG30">
        <v>0.48035354020559101</v>
      </c>
      <c r="AH30">
        <v>0.46543197905556</v>
      </c>
      <c r="AI30">
        <v>0.49115913555992102</v>
      </c>
      <c r="AJ30">
        <v>0.43808120432505598</v>
      </c>
      <c r="AK30">
        <v>0.60325759099135301</v>
      </c>
      <c r="AL30">
        <v>0.52868094105207497</v>
      </c>
      <c r="AM30">
        <v>0.28079746480003198</v>
      </c>
      <c r="AN30">
        <v>0.56531395114072203</v>
      </c>
      <c r="AO30">
        <v>0.44417524732485297</v>
      </c>
    </row>
    <row r="31" spans="1:41" x14ac:dyDescent="0.25">
      <c r="A31" t="s">
        <v>81</v>
      </c>
      <c r="B31">
        <v>2215</v>
      </c>
      <c r="C31">
        <v>2240</v>
      </c>
      <c r="D31">
        <v>2211</v>
      </c>
      <c r="E31">
        <v>2370</v>
      </c>
      <c r="F31">
        <v>2526</v>
      </c>
      <c r="G31">
        <v>2394</v>
      </c>
      <c r="H31">
        <v>2452</v>
      </c>
      <c r="I31">
        <v>2437</v>
      </c>
      <c r="J31">
        <v>2352</v>
      </c>
      <c r="K31">
        <v>2264</v>
      </c>
      <c r="L31">
        <v>2264</v>
      </c>
      <c r="M31">
        <v>2184</v>
      </c>
      <c r="N31">
        <v>2123</v>
      </c>
      <c r="O31">
        <v>2037</v>
      </c>
      <c r="P31">
        <v>1968</v>
      </c>
      <c r="Q31">
        <v>1935</v>
      </c>
      <c r="R31">
        <v>1819</v>
      </c>
      <c r="S31">
        <v>1870</v>
      </c>
      <c r="T31">
        <v>1836</v>
      </c>
      <c r="U31">
        <v>1763</v>
      </c>
      <c r="V31">
        <v>39.976898225855898</v>
      </c>
      <c r="W31">
        <v>40.146247042798699</v>
      </c>
      <c r="X31">
        <v>39.605201877261401</v>
      </c>
      <c r="Y31">
        <v>42.274624522849699</v>
      </c>
      <c r="Z31">
        <v>45.114393384651102</v>
      </c>
      <c r="AA31">
        <v>42.993373201874903</v>
      </c>
      <c r="AB31">
        <v>44.405005523461099</v>
      </c>
      <c r="AC31">
        <v>44.309090909090898</v>
      </c>
      <c r="AD31">
        <v>43.450148713306604</v>
      </c>
      <c r="AE31">
        <v>42.345459646497702</v>
      </c>
      <c r="AF31">
        <v>42.9609670012713</v>
      </c>
      <c r="AG31">
        <v>41.963685272360401</v>
      </c>
      <c r="AH31">
        <v>41.171337147289798</v>
      </c>
      <c r="AI31">
        <v>40.019646365422297</v>
      </c>
      <c r="AJ31">
        <v>39.188355005077703</v>
      </c>
      <c r="AK31">
        <v>38.910114618942202</v>
      </c>
      <c r="AL31">
        <v>36.987331991297097</v>
      </c>
      <c r="AM31">
        <v>37.506518512575703</v>
      </c>
      <c r="AN31">
        <v>37.068443367655902</v>
      </c>
      <c r="AO31">
        <v>35.5945891378962</v>
      </c>
    </row>
    <row r="32" spans="1:41" x14ac:dyDescent="0.25">
      <c r="A32" t="s">
        <v>63</v>
      </c>
      <c r="B32">
        <v>0</v>
      </c>
      <c r="C32">
        <v>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1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1.7922431715535099E-2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1.9912782014775199E-2</v>
      </c>
      <c r="AK32">
        <v>0</v>
      </c>
      <c r="AL32">
        <v>0</v>
      </c>
      <c r="AM32">
        <v>0</v>
      </c>
      <c r="AN32">
        <v>0</v>
      </c>
      <c r="AO32">
        <v>0</v>
      </c>
    </row>
    <row r="33" spans="1:41" x14ac:dyDescent="0.25">
      <c r="A33" t="s">
        <v>105</v>
      </c>
      <c r="B33">
        <v>4720</v>
      </c>
      <c r="C33">
        <v>4499</v>
      </c>
      <c r="D33">
        <v>4846</v>
      </c>
      <c r="E33">
        <v>4781</v>
      </c>
      <c r="F33">
        <v>4881</v>
      </c>
      <c r="G33">
        <v>4743</v>
      </c>
      <c r="H33">
        <v>4883</v>
      </c>
      <c r="I33">
        <v>4952</v>
      </c>
      <c r="J33">
        <v>4766</v>
      </c>
      <c r="K33">
        <v>4700</v>
      </c>
      <c r="L33">
        <v>4723</v>
      </c>
      <c r="M33">
        <v>4445</v>
      </c>
      <c r="N33">
        <v>4435</v>
      </c>
      <c r="O33">
        <v>4350</v>
      </c>
      <c r="P33">
        <v>4220</v>
      </c>
      <c r="Q33">
        <v>4165</v>
      </c>
      <c r="R33">
        <v>4081</v>
      </c>
      <c r="S33">
        <v>4166</v>
      </c>
      <c r="T33">
        <v>4005</v>
      </c>
      <c r="U33">
        <v>3957</v>
      </c>
      <c r="V33">
        <v>35.1774149071748</v>
      </c>
      <c r="W33">
        <v>33.6507176675617</v>
      </c>
      <c r="X33">
        <v>36.328742887557802</v>
      </c>
      <c r="Y33">
        <v>35.856513945866404</v>
      </c>
      <c r="Z33">
        <v>36.7988540410132</v>
      </c>
      <c r="AA33">
        <v>36.084905660377302</v>
      </c>
      <c r="AB33">
        <v>37.577725789570799</v>
      </c>
      <c r="AC33">
        <v>38.471697820040703</v>
      </c>
      <c r="AD33">
        <v>37.391242948934199</v>
      </c>
      <c r="AE33">
        <v>37.346343634037602</v>
      </c>
      <c r="AF33">
        <v>37.925994924999202</v>
      </c>
      <c r="AG33">
        <v>35.987823242709297</v>
      </c>
      <c r="AH33">
        <v>36.209697830683901</v>
      </c>
      <c r="AI33">
        <v>35.743044485711003</v>
      </c>
      <c r="AJ33">
        <v>34.835727257718297</v>
      </c>
      <c r="AK33">
        <v>34.318532007283899</v>
      </c>
      <c r="AL33">
        <v>33.721698892745003</v>
      </c>
      <c r="AM33">
        <v>34.270577976670303</v>
      </c>
      <c r="AN33">
        <v>32.736635605689003</v>
      </c>
      <c r="AO33">
        <v>32.344286414909199</v>
      </c>
    </row>
    <row r="34" spans="1:41" x14ac:dyDescent="0.25">
      <c r="A34" t="s">
        <v>64</v>
      </c>
      <c r="B34">
        <v>72</v>
      </c>
      <c r="C34">
        <v>62</v>
      </c>
      <c r="D34">
        <v>70</v>
      </c>
      <c r="E34">
        <v>86</v>
      </c>
      <c r="F34">
        <v>79</v>
      </c>
      <c r="G34">
        <v>68</v>
      </c>
      <c r="H34">
        <v>84</v>
      </c>
      <c r="I34">
        <v>66</v>
      </c>
      <c r="J34">
        <v>68</v>
      </c>
      <c r="K34">
        <v>62</v>
      </c>
      <c r="L34">
        <v>67</v>
      </c>
      <c r="M34">
        <v>64</v>
      </c>
      <c r="N34">
        <v>69</v>
      </c>
      <c r="O34">
        <v>70</v>
      </c>
      <c r="P34">
        <v>80</v>
      </c>
      <c r="Q34">
        <v>52</v>
      </c>
      <c r="R34">
        <v>60</v>
      </c>
      <c r="S34">
        <v>64</v>
      </c>
      <c r="T34">
        <v>51</v>
      </c>
      <c r="U34">
        <v>67</v>
      </c>
      <c r="V34">
        <v>0.53660463417724302</v>
      </c>
      <c r="W34">
        <v>0.46373516234470402</v>
      </c>
      <c r="X34">
        <v>0.52476516758750402</v>
      </c>
      <c r="Y34">
        <v>0.64498226298776695</v>
      </c>
      <c r="Z34">
        <v>0.59559710494571705</v>
      </c>
      <c r="AA34">
        <v>0.51734631771150297</v>
      </c>
      <c r="AB34">
        <v>0.64643230930246798</v>
      </c>
      <c r="AC34">
        <v>0.51274879970167297</v>
      </c>
      <c r="AD34">
        <v>0.53348814950220802</v>
      </c>
      <c r="AE34">
        <v>0.49265389474687898</v>
      </c>
      <c r="AF34">
        <v>0.53801432563517804</v>
      </c>
      <c r="AG34">
        <v>0.51815988470942498</v>
      </c>
      <c r="AH34">
        <v>0.563352683273324</v>
      </c>
      <c r="AI34">
        <v>0.57517542850569403</v>
      </c>
      <c r="AJ34">
        <v>0.66039293379560804</v>
      </c>
      <c r="AK34">
        <v>0.42846666611735001</v>
      </c>
      <c r="AL34">
        <v>0.49578582052553199</v>
      </c>
      <c r="AM34">
        <v>0.52648031457198796</v>
      </c>
      <c r="AN34">
        <v>0.41687101520353098</v>
      </c>
      <c r="AO34">
        <v>0.54765407879679495</v>
      </c>
    </row>
    <row r="35" spans="1:41" x14ac:dyDescent="0.25">
      <c r="A35" t="s">
        <v>82</v>
      </c>
      <c r="B35">
        <v>4648</v>
      </c>
      <c r="C35">
        <v>4437</v>
      </c>
      <c r="D35">
        <v>4776</v>
      </c>
      <c r="E35">
        <v>4695</v>
      </c>
      <c r="F35">
        <v>4802</v>
      </c>
      <c r="G35">
        <v>4675</v>
      </c>
      <c r="H35">
        <v>4799</v>
      </c>
      <c r="I35">
        <v>4886</v>
      </c>
      <c r="J35">
        <v>4698</v>
      </c>
      <c r="K35">
        <v>4638</v>
      </c>
      <c r="L35">
        <v>4656</v>
      </c>
      <c r="M35">
        <v>4381</v>
      </c>
      <c r="N35">
        <v>4366</v>
      </c>
      <c r="O35">
        <v>4280</v>
      </c>
      <c r="P35">
        <v>4140</v>
      </c>
      <c r="Q35">
        <v>4113</v>
      </c>
      <c r="R35">
        <v>4017</v>
      </c>
      <c r="S35">
        <v>4100</v>
      </c>
      <c r="T35">
        <v>3951</v>
      </c>
      <c r="U35">
        <v>3887</v>
      </c>
      <c r="V35">
        <v>34.640810272997598</v>
      </c>
      <c r="W35">
        <v>33.186982505217003</v>
      </c>
      <c r="X35">
        <v>35.803977719970298</v>
      </c>
      <c r="Y35">
        <v>35.2115316828787</v>
      </c>
      <c r="Z35">
        <v>36.203256936067497</v>
      </c>
      <c r="AA35">
        <v>35.567559342665803</v>
      </c>
      <c r="AB35">
        <v>36.931293480268401</v>
      </c>
      <c r="AC35">
        <v>37.958949020338999</v>
      </c>
      <c r="AD35">
        <v>36.857754799431902</v>
      </c>
      <c r="AE35">
        <v>36.853689739290701</v>
      </c>
      <c r="AF35">
        <v>37.387980599363999</v>
      </c>
      <c r="AG35">
        <v>35.469663357999899</v>
      </c>
      <c r="AH35">
        <v>35.646345147410599</v>
      </c>
      <c r="AI35">
        <v>35.167869057205301</v>
      </c>
      <c r="AJ35">
        <v>34.175334323922698</v>
      </c>
      <c r="AK35">
        <v>33.890065341166498</v>
      </c>
      <c r="AL35">
        <v>33.192860684184403</v>
      </c>
      <c r="AM35">
        <v>33.727645152267897</v>
      </c>
      <c r="AN35">
        <v>32.295242766061698</v>
      </c>
      <c r="AO35">
        <v>31.772110511688702</v>
      </c>
    </row>
    <row r="36" spans="1:41" x14ac:dyDescent="0.25">
      <c r="A36" t="s">
        <v>65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4</v>
      </c>
      <c r="S36">
        <v>2</v>
      </c>
      <c r="T36">
        <v>3</v>
      </c>
      <c r="U36">
        <v>3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3.3052388035035497E-2</v>
      </c>
      <c r="AM36">
        <v>1.64525098303746E-2</v>
      </c>
      <c r="AN36">
        <v>2.4521824423737099E-2</v>
      </c>
      <c r="AO36">
        <v>2.4521824423737099E-2</v>
      </c>
    </row>
    <row r="37" spans="1:41" x14ac:dyDescent="0.25">
      <c r="A37" t="s">
        <v>106</v>
      </c>
      <c r="B37">
        <v>8453</v>
      </c>
      <c r="C37">
        <v>8592</v>
      </c>
      <c r="D37">
        <v>8833</v>
      </c>
      <c r="E37">
        <v>9570</v>
      </c>
      <c r="F37">
        <v>9633</v>
      </c>
      <c r="G37">
        <v>9371</v>
      </c>
      <c r="H37">
        <v>9583</v>
      </c>
      <c r="I37">
        <v>9586</v>
      </c>
      <c r="J37">
        <v>9352</v>
      </c>
      <c r="K37">
        <v>9520</v>
      </c>
      <c r="L37">
        <v>9233</v>
      </c>
      <c r="M37">
        <v>9308</v>
      </c>
      <c r="N37">
        <v>9143</v>
      </c>
      <c r="O37">
        <v>8851</v>
      </c>
      <c r="P37">
        <v>8640</v>
      </c>
      <c r="Q37">
        <v>8166</v>
      </c>
      <c r="R37">
        <v>8053</v>
      </c>
      <c r="S37">
        <v>8413</v>
      </c>
      <c r="T37">
        <v>7778</v>
      </c>
      <c r="U37">
        <v>7396</v>
      </c>
      <c r="V37">
        <v>47.597596752124197</v>
      </c>
      <c r="W37">
        <v>47.998659255328</v>
      </c>
      <c r="X37">
        <v>49.156334171805</v>
      </c>
      <c r="Y37">
        <v>52.869130946396098</v>
      </c>
      <c r="Z37">
        <v>53.134101138469603</v>
      </c>
      <c r="AA37">
        <v>51.651913176722097</v>
      </c>
      <c r="AB37">
        <v>52.5323290629916</v>
      </c>
      <c r="AC37">
        <v>52.049454039995403</v>
      </c>
      <c r="AD37">
        <v>50.9904202129689</v>
      </c>
      <c r="AE37">
        <v>52.285858652430797</v>
      </c>
      <c r="AF37">
        <v>50.776803145709003</v>
      </c>
      <c r="AG37">
        <v>50.5732138005976</v>
      </c>
      <c r="AH37">
        <v>49.214654049456797</v>
      </c>
      <c r="AI37">
        <v>47.260028940159998</v>
      </c>
      <c r="AJ37">
        <v>45.733401792283502</v>
      </c>
      <c r="AK37">
        <v>42.848372590894002</v>
      </c>
      <c r="AL37">
        <v>42.1223866388396</v>
      </c>
      <c r="AM37">
        <v>44.1173385912656</v>
      </c>
      <c r="AN37">
        <v>39.689748430882197</v>
      </c>
      <c r="AO37">
        <v>37.740470480175503</v>
      </c>
    </row>
    <row r="38" spans="1:41" x14ac:dyDescent="0.25">
      <c r="A38" t="s">
        <v>66</v>
      </c>
      <c r="B38">
        <v>135</v>
      </c>
      <c r="C38">
        <v>136</v>
      </c>
      <c r="D38">
        <v>142</v>
      </c>
      <c r="E38">
        <v>169</v>
      </c>
      <c r="F38">
        <v>157</v>
      </c>
      <c r="G38">
        <v>165</v>
      </c>
      <c r="H38">
        <v>158</v>
      </c>
      <c r="I38">
        <v>150</v>
      </c>
      <c r="J38">
        <v>128</v>
      </c>
      <c r="K38">
        <v>155</v>
      </c>
      <c r="L38">
        <v>158</v>
      </c>
      <c r="M38">
        <v>134</v>
      </c>
      <c r="N38">
        <v>155</v>
      </c>
      <c r="O38">
        <v>128</v>
      </c>
      <c r="P38">
        <v>132</v>
      </c>
      <c r="Q38">
        <v>130</v>
      </c>
      <c r="R38">
        <v>120</v>
      </c>
      <c r="S38">
        <v>123</v>
      </c>
      <c r="T38">
        <v>123</v>
      </c>
      <c r="U38">
        <v>99</v>
      </c>
      <c r="V38">
        <v>0.76016509659727505</v>
      </c>
      <c r="W38">
        <v>0.75975531409737096</v>
      </c>
      <c r="X38">
        <v>0.79024107917993003</v>
      </c>
      <c r="Y38">
        <v>0.93363460082977401</v>
      </c>
      <c r="Z38">
        <v>0.86598711499426295</v>
      </c>
      <c r="AA38">
        <v>0.90946170890611</v>
      </c>
      <c r="AB38">
        <v>0.86612835145076394</v>
      </c>
      <c r="AC38">
        <v>0.81446047423318502</v>
      </c>
      <c r="AD38">
        <v>0.69790138871471596</v>
      </c>
      <c r="AE38">
        <v>0.85129286671499804</v>
      </c>
      <c r="AF38">
        <v>0.86891962493469299</v>
      </c>
      <c r="AG38">
        <v>0.72806302635153497</v>
      </c>
      <c r="AH38">
        <v>0.83432914553929904</v>
      </c>
      <c r="AI38">
        <v>0.68345765499271105</v>
      </c>
      <c r="AJ38">
        <v>0.69870474960433104</v>
      </c>
      <c r="AK38">
        <v>0.68213181935050504</v>
      </c>
      <c r="AL38">
        <v>0.62767743656534902</v>
      </c>
      <c r="AM38">
        <v>0.64500566346436194</v>
      </c>
      <c r="AN38">
        <v>0.62764708884012799</v>
      </c>
      <c r="AO38">
        <v>0.50517936418839604</v>
      </c>
    </row>
    <row r="39" spans="1:41" x14ac:dyDescent="0.25">
      <c r="A39" t="s">
        <v>83</v>
      </c>
      <c r="B39">
        <v>8316</v>
      </c>
      <c r="C39">
        <v>8456</v>
      </c>
      <c r="D39">
        <v>8691</v>
      </c>
      <c r="E39">
        <v>9400</v>
      </c>
      <c r="F39">
        <v>9476</v>
      </c>
      <c r="G39">
        <v>9206</v>
      </c>
      <c r="H39">
        <v>9425</v>
      </c>
      <c r="I39">
        <v>9435</v>
      </c>
      <c r="J39">
        <v>9223</v>
      </c>
      <c r="K39">
        <v>9365</v>
      </c>
      <c r="L39">
        <v>9075</v>
      </c>
      <c r="M39">
        <v>9174</v>
      </c>
      <c r="N39">
        <v>8988</v>
      </c>
      <c r="O39">
        <v>8720</v>
      </c>
      <c r="P39">
        <v>8506</v>
      </c>
      <c r="Q39">
        <v>8036</v>
      </c>
      <c r="R39">
        <v>7933</v>
      </c>
      <c r="S39">
        <v>8288</v>
      </c>
      <c r="T39">
        <v>7655</v>
      </c>
      <c r="U39">
        <v>7296</v>
      </c>
      <c r="V39">
        <v>46.826169950392099</v>
      </c>
      <c r="W39">
        <v>47.238903941230603</v>
      </c>
      <c r="X39">
        <v>48.3660930926251</v>
      </c>
      <c r="Y39">
        <v>51.9299718804726</v>
      </c>
      <c r="Z39">
        <v>52.268114023475398</v>
      </c>
      <c r="AA39">
        <v>50.742451467815997</v>
      </c>
      <c r="AB39">
        <v>51.666200711540803</v>
      </c>
      <c r="AC39">
        <v>51.229563829267299</v>
      </c>
      <c r="AD39">
        <v>50.287066469654903</v>
      </c>
      <c r="AE39">
        <v>51.434565785715797</v>
      </c>
      <c r="AF39">
        <v>49.907883520774298</v>
      </c>
      <c r="AG39">
        <v>49.8451507742461</v>
      </c>
      <c r="AH39">
        <v>48.380324903917497</v>
      </c>
      <c r="AI39">
        <v>46.560552746378399</v>
      </c>
      <c r="AJ39">
        <v>45.024110607079102</v>
      </c>
      <c r="AK39">
        <v>42.166240771543499</v>
      </c>
      <c r="AL39">
        <v>41.494709202274201</v>
      </c>
      <c r="AM39">
        <v>43.461845030834397</v>
      </c>
      <c r="AN39">
        <v>39.062101342042098</v>
      </c>
      <c r="AO39">
        <v>37.230188294126599</v>
      </c>
    </row>
    <row r="40" spans="1:41" x14ac:dyDescent="0.25">
      <c r="A40" t="s">
        <v>67</v>
      </c>
      <c r="B40">
        <v>2</v>
      </c>
      <c r="C40">
        <v>0</v>
      </c>
      <c r="D40">
        <v>0</v>
      </c>
      <c r="E40">
        <v>1</v>
      </c>
      <c r="F40">
        <v>0</v>
      </c>
      <c r="G40">
        <v>0</v>
      </c>
      <c r="H40">
        <v>0</v>
      </c>
      <c r="I40">
        <v>1</v>
      </c>
      <c r="J40">
        <v>1</v>
      </c>
      <c r="K40">
        <v>0</v>
      </c>
      <c r="L40">
        <v>0</v>
      </c>
      <c r="M40">
        <v>0</v>
      </c>
      <c r="N40">
        <v>0</v>
      </c>
      <c r="O40">
        <v>3</v>
      </c>
      <c r="P40">
        <v>2</v>
      </c>
      <c r="Q40">
        <v>0</v>
      </c>
      <c r="R40">
        <v>0</v>
      </c>
      <c r="S40">
        <v>2</v>
      </c>
      <c r="T40">
        <v>0</v>
      </c>
      <c r="U40">
        <v>1</v>
      </c>
      <c r="V40">
        <v>1.12617051347744E-2</v>
      </c>
      <c r="W40">
        <v>0</v>
      </c>
      <c r="X40">
        <v>0</v>
      </c>
      <c r="Y40">
        <v>5.5244650936672997E-3</v>
      </c>
      <c r="Z40">
        <v>0</v>
      </c>
      <c r="AA40">
        <v>0</v>
      </c>
      <c r="AB40">
        <v>0</v>
      </c>
      <c r="AC40">
        <v>5.4297364948878999E-3</v>
      </c>
      <c r="AD40">
        <v>5.4523545993337202E-3</v>
      </c>
      <c r="AE40">
        <v>0</v>
      </c>
      <c r="AF40">
        <v>0</v>
      </c>
      <c r="AG40">
        <v>0</v>
      </c>
      <c r="AH40">
        <v>0</v>
      </c>
      <c r="AI40">
        <v>1.60185387888916E-2</v>
      </c>
      <c r="AJ40">
        <v>1.05864356000656E-2</v>
      </c>
      <c r="AK40">
        <v>0</v>
      </c>
      <c r="AL40">
        <v>0</v>
      </c>
      <c r="AM40">
        <v>1.04878969669001E-2</v>
      </c>
      <c r="AN40">
        <v>0</v>
      </c>
      <c r="AO40">
        <v>5.1028218604888499E-3</v>
      </c>
    </row>
    <row r="41" spans="1:41" x14ac:dyDescent="0.25">
      <c r="A41" t="s">
        <v>107</v>
      </c>
      <c r="B41">
        <v>127</v>
      </c>
      <c r="C41">
        <v>136</v>
      </c>
      <c r="D41">
        <v>140</v>
      </c>
      <c r="E41">
        <v>133</v>
      </c>
      <c r="F41">
        <v>144</v>
      </c>
      <c r="G41">
        <v>128</v>
      </c>
      <c r="H41">
        <v>126</v>
      </c>
      <c r="I41">
        <v>139</v>
      </c>
      <c r="J41">
        <v>143</v>
      </c>
      <c r="K41">
        <v>124</v>
      </c>
      <c r="L41">
        <v>140</v>
      </c>
      <c r="M41">
        <v>124</v>
      </c>
      <c r="N41">
        <v>111</v>
      </c>
      <c r="O41">
        <v>115</v>
      </c>
      <c r="P41">
        <v>132</v>
      </c>
      <c r="Q41">
        <v>138</v>
      </c>
      <c r="R41">
        <v>142</v>
      </c>
      <c r="S41">
        <v>143</v>
      </c>
      <c r="T41">
        <v>124</v>
      </c>
      <c r="U41">
        <v>107</v>
      </c>
      <c r="V41">
        <v>35.484772282760503</v>
      </c>
      <c r="W41">
        <v>37.840845854201397</v>
      </c>
      <c r="X41">
        <v>38.440417353102603</v>
      </c>
      <c r="Y41">
        <v>36.289222373806197</v>
      </c>
      <c r="Z41">
        <v>39.141070943191004</v>
      </c>
      <c r="AA41">
        <v>34.380875637926401</v>
      </c>
      <c r="AB41">
        <v>33.466135458167301</v>
      </c>
      <c r="AC41">
        <v>37.425955842757098</v>
      </c>
      <c r="AD41">
        <v>38.911564625850303</v>
      </c>
      <c r="AE41">
        <v>34.368070953436799</v>
      </c>
      <c r="AF41">
        <v>39.281705948372597</v>
      </c>
      <c r="AG41">
        <v>35.277382645803698</v>
      </c>
      <c r="AH41">
        <v>31.988472622478302</v>
      </c>
      <c r="AI41">
        <v>33.294730746959999</v>
      </c>
      <c r="AJ41">
        <v>38.562664329535401</v>
      </c>
      <c r="AK41">
        <v>40.9131337088645</v>
      </c>
      <c r="AL41">
        <v>42.489527229204</v>
      </c>
      <c r="AM41">
        <v>42.071197411003197</v>
      </c>
      <c r="AN41">
        <v>36.806173938854201</v>
      </c>
      <c r="AO41">
        <v>31.760166221430602</v>
      </c>
    </row>
    <row r="42" spans="1:41" x14ac:dyDescent="0.25">
      <c r="A42" t="s">
        <v>508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</row>
    <row r="43" spans="1:41" x14ac:dyDescent="0.25">
      <c r="A43" t="s">
        <v>84</v>
      </c>
      <c r="B43">
        <v>127</v>
      </c>
      <c r="C43">
        <v>136</v>
      </c>
      <c r="D43">
        <v>140</v>
      </c>
      <c r="E43">
        <v>133</v>
      </c>
      <c r="F43">
        <v>144</v>
      </c>
      <c r="G43">
        <v>128</v>
      </c>
      <c r="H43">
        <v>126</v>
      </c>
      <c r="I43">
        <v>139</v>
      </c>
      <c r="J43">
        <v>143</v>
      </c>
      <c r="K43">
        <v>124</v>
      </c>
      <c r="L43">
        <v>140</v>
      </c>
      <c r="M43">
        <v>124</v>
      </c>
      <c r="N43">
        <v>111</v>
      </c>
      <c r="O43">
        <v>115</v>
      </c>
      <c r="P43">
        <v>132</v>
      </c>
      <c r="Q43">
        <v>138</v>
      </c>
      <c r="R43">
        <v>142</v>
      </c>
      <c r="S43">
        <v>143</v>
      </c>
      <c r="T43">
        <v>124</v>
      </c>
      <c r="U43">
        <v>107</v>
      </c>
      <c r="V43">
        <v>35.484772282760503</v>
      </c>
      <c r="W43">
        <v>37.840845854201397</v>
      </c>
      <c r="X43">
        <v>38.440417353102603</v>
      </c>
      <c r="Y43">
        <v>36.289222373806197</v>
      </c>
      <c r="Z43">
        <v>39.141070943191004</v>
      </c>
      <c r="AA43">
        <v>34.380875637926401</v>
      </c>
      <c r="AB43">
        <v>33.466135458167301</v>
      </c>
      <c r="AC43">
        <v>37.425955842757098</v>
      </c>
      <c r="AD43">
        <v>38.911564625850303</v>
      </c>
      <c r="AE43">
        <v>34.368070953436799</v>
      </c>
      <c r="AF43">
        <v>39.281705948372597</v>
      </c>
      <c r="AG43">
        <v>35.277382645803698</v>
      </c>
      <c r="AH43">
        <v>31.988472622478302</v>
      </c>
      <c r="AI43">
        <v>33.294730746959999</v>
      </c>
      <c r="AJ43">
        <v>38.562664329535401</v>
      </c>
      <c r="AK43">
        <v>40.9131337088645</v>
      </c>
      <c r="AL43">
        <v>42.489527229204</v>
      </c>
      <c r="AM43">
        <v>42.071197411003197</v>
      </c>
      <c r="AN43">
        <v>36.806173938854201</v>
      </c>
      <c r="AO43">
        <v>31.760166221430602</v>
      </c>
    </row>
    <row r="44" spans="1:41" x14ac:dyDescent="0.25">
      <c r="A44" t="s">
        <v>108</v>
      </c>
      <c r="B44">
        <v>154</v>
      </c>
      <c r="C44">
        <v>128</v>
      </c>
      <c r="D44">
        <v>163</v>
      </c>
      <c r="E44">
        <v>131</v>
      </c>
      <c r="F44">
        <v>143</v>
      </c>
      <c r="G44">
        <v>157</v>
      </c>
      <c r="H44">
        <v>147</v>
      </c>
      <c r="I44">
        <v>141</v>
      </c>
      <c r="J44">
        <v>179</v>
      </c>
      <c r="K44">
        <v>143</v>
      </c>
      <c r="L44">
        <v>153</v>
      </c>
      <c r="M44">
        <v>125</v>
      </c>
      <c r="N44">
        <v>138</v>
      </c>
      <c r="O44">
        <v>113</v>
      </c>
      <c r="P44">
        <v>92</v>
      </c>
      <c r="Q44">
        <v>114</v>
      </c>
      <c r="R44">
        <v>105</v>
      </c>
      <c r="S44">
        <v>84</v>
      </c>
      <c r="T44">
        <v>101</v>
      </c>
      <c r="U44">
        <v>65</v>
      </c>
      <c r="V44">
        <v>36.719122556032403</v>
      </c>
      <c r="W44">
        <v>30.181560952605501</v>
      </c>
      <c r="X44">
        <v>38.717339667458397</v>
      </c>
      <c r="Y44">
        <v>31.3022700119474</v>
      </c>
      <c r="Z44">
        <v>34.549408069582</v>
      </c>
      <c r="AA44">
        <v>37.876960193003598</v>
      </c>
      <c r="AB44">
        <v>35.108669691903501</v>
      </c>
      <c r="AC44">
        <v>33.691756272401399</v>
      </c>
      <c r="AD44">
        <v>43.080625752105803</v>
      </c>
      <c r="AE44">
        <v>34.7171643602816</v>
      </c>
      <c r="AF44">
        <v>37.335285505124403</v>
      </c>
      <c r="AG44">
        <v>30.554876558298702</v>
      </c>
      <c r="AH44">
        <v>34.534534534534501</v>
      </c>
      <c r="AI44">
        <v>29.063786008230402</v>
      </c>
      <c r="AJ44">
        <v>24.312896405919599</v>
      </c>
      <c r="AK44">
        <v>30.9278350515463</v>
      </c>
      <c r="AL44">
        <v>28.563656147986901</v>
      </c>
      <c r="AM44">
        <v>22.459893048128301</v>
      </c>
      <c r="AN44">
        <v>27.216383724063501</v>
      </c>
      <c r="AO44">
        <v>17.515494475882502</v>
      </c>
    </row>
    <row r="45" spans="1:41" x14ac:dyDescent="0.25">
      <c r="A45" t="s">
        <v>68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1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0.26737967914438499</v>
      </c>
      <c r="AN45">
        <v>0</v>
      </c>
      <c r="AO45">
        <v>0</v>
      </c>
    </row>
    <row r="46" spans="1:41" x14ac:dyDescent="0.25">
      <c r="A46" t="s">
        <v>85</v>
      </c>
      <c r="B46">
        <v>154</v>
      </c>
      <c r="C46">
        <v>128</v>
      </c>
      <c r="D46">
        <v>163</v>
      </c>
      <c r="E46">
        <v>131</v>
      </c>
      <c r="F46">
        <v>143</v>
      </c>
      <c r="G46">
        <v>157</v>
      </c>
      <c r="H46">
        <v>147</v>
      </c>
      <c r="I46">
        <v>141</v>
      </c>
      <c r="J46">
        <v>179</v>
      </c>
      <c r="K46">
        <v>143</v>
      </c>
      <c r="L46">
        <v>153</v>
      </c>
      <c r="M46">
        <v>125</v>
      </c>
      <c r="N46">
        <v>138</v>
      </c>
      <c r="O46">
        <v>113</v>
      </c>
      <c r="P46">
        <v>92</v>
      </c>
      <c r="Q46">
        <v>114</v>
      </c>
      <c r="R46">
        <v>105</v>
      </c>
      <c r="S46">
        <v>83</v>
      </c>
      <c r="T46">
        <v>101</v>
      </c>
      <c r="U46">
        <v>65</v>
      </c>
      <c r="V46">
        <v>36.719122556032403</v>
      </c>
      <c r="W46">
        <v>30.181560952605501</v>
      </c>
      <c r="X46">
        <v>38.717339667458397</v>
      </c>
      <c r="Y46">
        <v>31.3022700119474</v>
      </c>
      <c r="Z46">
        <v>34.549408069582</v>
      </c>
      <c r="AA46">
        <v>37.876960193003598</v>
      </c>
      <c r="AB46">
        <v>35.108669691903501</v>
      </c>
      <c r="AC46">
        <v>33.691756272401399</v>
      </c>
      <c r="AD46">
        <v>43.080625752105803</v>
      </c>
      <c r="AE46">
        <v>34.7171643602816</v>
      </c>
      <c r="AF46">
        <v>37.335285505124403</v>
      </c>
      <c r="AG46">
        <v>30.554876558298702</v>
      </c>
      <c r="AH46">
        <v>34.534534534534501</v>
      </c>
      <c r="AI46">
        <v>29.063786008230402</v>
      </c>
      <c r="AJ46">
        <v>24.312896405919599</v>
      </c>
      <c r="AK46">
        <v>30.9278350515463</v>
      </c>
      <c r="AL46">
        <v>28.563656147986901</v>
      </c>
      <c r="AM46">
        <v>22.192513368983899</v>
      </c>
      <c r="AN46">
        <v>27.216383724063501</v>
      </c>
      <c r="AO46">
        <v>17.515494475882502</v>
      </c>
    </row>
    <row r="47" spans="1:41" x14ac:dyDescent="0.25">
      <c r="A47" t="s">
        <v>109</v>
      </c>
      <c r="B47">
        <v>4054</v>
      </c>
      <c r="C47">
        <v>3997</v>
      </c>
      <c r="D47">
        <v>3913</v>
      </c>
      <c r="E47">
        <v>4651</v>
      </c>
      <c r="F47">
        <v>4613</v>
      </c>
      <c r="G47">
        <v>4592</v>
      </c>
      <c r="H47">
        <v>4547</v>
      </c>
      <c r="I47">
        <v>4657</v>
      </c>
      <c r="J47">
        <v>4384</v>
      </c>
      <c r="K47">
        <v>4269</v>
      </c>
      <c r="L47">
        <v>4428</v>
      </c>
      <c r="M47">
        <v>4179</v>
      </c>
      <c r="N47">
        <v>4098</v>
      </c>
      <c r="O47">
        <v>3849</v>
      </c>
      <c r="P47">
        <v>3714</v>
      </c>
      <c r="Q47">
        <v>3584</v>
      </c>
      <c r="R47">
        <v>3339</v>
      </c>
      <c r="S47">
        <v>3532</v>
      </c>
      <c r="T47">
        <v>3343</v>
      </c>
      <c r="U47">
        <v>3175</v>
      </c>
      <c r="V47">
        <v>52.707534291100501</v>
      </c>
      <c r="W47">
        <v>51.792725435061399</v>
      </c>
      <c r="X47">
        <v>50.5522899037529</v>
      </c>
      <c r="Y47">
        <v>59.823782879927897</v>
      </c>
      <c r="Z47">
        <v>59.155435298341899</v>
      </c>
      <c r="AA47">
        <v>58.806203337303202</v>
      </c>
      <c r="AB47">
        <v>58.290387918877997</v>
      </c>
      <c r="AC47">
        <v>59.396722147822203</v>
      </c>
      <c r="AD47">
        <v>56.275111356430401</v>
      </c>
      <c r="AE47">
        <v>55.508601297671198</v>
      </c>
      <c r="AF47">
        <v>58.187361200541403</v>
      </c>
      <c r="AG47">
        <v>55.302649339650102</v>
      </c>
      <c r="AH47">
        <v>54.711489679848299</v>
      </c>
      <c r="AI47">
        <v>51.561997642267698</v>
      </c>
      <c r="AJ47">
        <v>50.0721286721583</v>
      </c>
      <c r="AK47">
        <v>48.420654435407599</v>
      </c>
      <c r="AL47">
        <v>45.221230548370002</v>
      </c>
      <c r="AM47">
        <v>47.912964445107598</v>
      </c>
      <c r="AN47">
        <v>44.900809906921097</v>
      </c>
      <c r="AO47">
        <v>42.644352813184099</v>
      </c>
    </row>
    <row r="48" spans="1:41" x14ac:dyDescent="0.25">
      <c r="A48" t="s">
        <v>69</v>
      </c>
      <c r="B48">
        <v>20</v>
      </c>
      <c r="C48">
        <v>26</v>
      </c>
      <c r="D48">
        <v>36</v>
      </c>
      <c r="E48">
        <v>78</v>
      </c>
      <c r="F48">
        <v>81</v>
      </c>
      <c r="G48">
        <v>95</v>
      </c>
      <c r="H48">
        <v>67</v>
      </c>
      <c r="I48">
        <v>75</v>
      </c>
      <c r="J48">
        <v>71</v>
      </c>
      <c r="K48">
        <v>53</v>
      </c>
      <c r="L48">
        <v>66</v>
      </c>
      <c r="M48">
        <v>73</v>
      </c>
      <c r="N48">
        <v>60</v>
      </c>
      <c r="O48">
        <v>59</v>
      </c>
      <c r="P48">
        <v>49</v>
      </c>
      <c r="Q48">
        <v>51</v>
      </c>
      <c r="R48">
        <v>52</v>
      </c>
      <c r="S48">
        <v>43</v>
      </c>
      <c r="T48">
        <v>50</v>
      </c>
      <c r="U48">
        <v>55</v>
      </c>
      <c r="V48">
        <v>0.26002730286680098</v>
      </c>
      <c r="W48">
        <v>0.336905394373679</v>
      </c>
      <c r="X48">
        <v>0.46508623473935701</v>
      </c>
      <c r="Y48">
        <v>1.0032799536947701</v>
      </c>
      <c r="Z48">
        <v>1.0387145586745401</v>
      </c>
      <c r="AA48">
        <v>1.21659175022731</v>
      </c>
      <c r="AB48">
        <v>0.85890828910596595</v>
      </c>
      <c r="AC48">
        <v>0.956571647216376</v>
      </c>
      <c r="AD48">
        <v>0.91138980527065705</v>
      </c>
      <c r="AE48">
        <v>0.6891440311025</v>
      </c>
      <c r="AF48">
        <v>0.86729129160698504</v>
      </c>
      <c r="AG48">
        <v>0.96604292935976499</v>
      </c>
      <c r="AH48">
        <v>0.80104670102266895</v>
      </c>
      <c r="AI48">
        <v>0.79037616546993805</v>
      </c>
      <c r="AJ48">
        <v>0.66061774500155002</v>
      </c>
      <c r="AK48">
        <v>0.68902158934313196</v>
      </c>
      <c r="AL48">
        <v>0.70425396481438796</v>
      </c>
      <c r="AM48">
        <v>0.58331185479604397</v>
      </c>
      <c r="AN48">
        <v>0.671564611231246</v>
      </c>
      <c r="AO48">
        <v>0.73872107235437101</v>
      </c>
    </row>
    <row r="49" spans="1:41" x14ac:dyDescent="0.25">
      <c r="A49" t="s">
        <v>86</v>
      </c>
      <c r="B49">
        <v>4020</v>
      </c>
      <c r="C49">
        <v>3960</v>
      </c>
      <c r="D49">
        <v>3861</v>
      </c>
      <c r="E49">
        <v>4569</v>
      </c>
      <c r="F49">
        <v>4532</v>
      </c>
      <c r="G49">
        <v>4497</v>
      </c>
      <c r="H49">
        <v>4480</v>
      </c>
      <c r="I49">
        <v>4582</v>
      </c>
      <c r="J49">
        <v>4313</v>
      </c>
      <c r="K49">
        <v>4215</v>
      </c>
      <c r="L49">
        <v>4362</v>
      </c>
      <c r="M49">
        <v>4106</v>
      </c>
      <c r="N49">
        <v>4038</v>
      </c>
      <c r="O49">
        <v>3790</v>
      </c>
      <c r="P49">
        <v>3665</v>
      </c>
      <c r="Q49">
        <v>3533</v>
      </c>
      <c r="R49">
        <v>3287</v>
      </c>
      <c r="S49">
        <v>3488</v>
      </c>
      <c r="T49">
        <v>3293</v>
      </c>
      <c r="U49">
        <v>3120</v>
      </c>
      <c r="V49">
        <v>52.265487876226999</v>
      </c>
      <c r="W49">
        <v>51.313283143068098</v>
      </c>
      <c r="X49">
        <v>49.880498675796098</v>
      </c>
      <c r="Y49">
        <v>58.769052672197503</v>
      </c>
      <c r="Z49">
        <v>58.116720739667301</v>
      </c>
      <c r="AA49">
        <v>57.5896115870759</v>
      </c>
      <c r="AB49">
        <v>57.431479629771999</v>
      </c>
      <c r="AC49">
        <v>58.440150500605803</v>
      </c>
      <c r="AD49">
        <v>55.363721551159699</v>
      </c>
      <c r="AE49">
        <v>54.806454549000698</v>
      </c>
      <c r="AF49">
        <v>57.3200699089344</v>
      </c>
      <c r="AG49">
        <v>54.336606410290301</v>
      </c>
      <c r="AH49">
        <v>53.9104429788256</v>
      </c>
      <c r="AI49">
        <v>50.771621476797698</v>
      </c>
      <c r="AJ49">
        <v>49.411510927156698</v>
      </c>
      <c r="AK49">
        <v>47.7316328460644</v>
      </c>
      <c r="AL49">
        <v>44.516976583555603</v>
      </c>
      <c r="AM49">
        <v>47.316087198339503</v>
      </c>
      <c r="AN49">
        <v>44.2292452956899</v>
      </c>
      <c r="AO49">
        <v>41.905631740829698</v>
      </c>
    </row>
    <row r="50" spans="1:41" x14ac:dyDescent="0.25">
      <c r="A50" t="s">
        <v>70</v>
      </c>
      <c r="B50">
        <v>14</v>
      </c>
      <c r="C50">
        <v>11</v>
      </c>
      <c r="D50">
        <v>16</v>
      </c>
      <c r="E50">
        <v>4</v>
      </c>
      <c r="F50">
        <v>0</v>
      </c>
      <c r="G50">
        <v>0</v>
      </c>
      <c r="H50">
        <v>0</v>
      </c>
      <c r="I50">
        <v>0</v>
      </c>
      <c r="J50">
        <v>0</v>
      </c>
      <c r="K50">
        <v>1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1</v>
      </c>
      <c r="T50">
        <v>0</v>
      </c>
      <c r="U50">
        <v>0</v>
      </c>
      <c r="V50">
        <v>0.18201911200675999</v>
      </c>
      <c r="W50">
        <v>0.14253689761963301</v>
      </c>
      <c r="X50">
        <v>0.206704993217492</v>
      </c>
      <c r="Y50">
        <v>5.1450254035629299E-2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1.30027175679717E-2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1.3565391972001E-2</v>
      </c>
      <c r="AN50">
        <v>0</v>
      </c>
      <c r="AO50">
        <v>0</v>
      </c>
    </row>
    <row r="51" spans="1:41" x14ac:dyDescent="0.25">
      <c r="A51" t="s">
        <v>110</v>
      </c>
      <c r="B51">
        <v>178</v>
      </c>
      <c r="C51">
        <v>178</v>
      </c>
      <c r="D51">
        <v>240</v>
      </c>
      <c r="E51">
        <v>217</v>
      </c>
      <c r="F51">
        <v>204</v>
      </c>
      <c r="G51">
        <v>182</v>
      </c>
      <c r="H51">
        <v>181</v>
      </c>
      <c r="I51">
        <v>206</v>
      </c>
      <c r="J51">
        <v>198</v>
      </c>
      <c r="K51">
        <v>195</v>
      </c>
      <c r="L51">
        <v>172</v>
      </c>
      <c r="M51">
        <v>183</v>
      </c>
      <c r="N51">
        <v>184</v>
      </c>
      <c r="O51">
        <v>151</v>
      </c>
      <c r="P51">
        <v>161</v>
      </c>
      <c r="Q51">
        <v>158</v>
      </c>
      <c r="R51">
        <v>124</v>
      </c>
      <c r="S51">
        <v>157</v>
      </c>
      <c r="T51">
        <v>120</v>
      </c>
      <c r="U51">
        <v>136</v>
      </c>
      <c r="V51">
        <v>38.975257280490403</v>
      </c>
      <c r="W51">
        <v>39.0522158841597</v>
      </c>
      <c r="X51">
        <v>52.805280528052798</v>
      </c>
      <c r="Y51">
        <v>47.755281690140798</v>
      </c>
      <c r="Z51">
        <v>45.383759733036698</v>
      </c>
      <c r="AA51">
        <v>40.534521158129103</v>
      </c>
      <c r="AB51">
        <v>40.338756407399103</v>
      </c>
      <c r="AC51">
        <v>46.167637830569198</v>
      </c>
      <c r="AD51">
        <v>44.928522804628997</v>
      </c>
      <c r="AE51">
        <v>45.024243823597303</v>
      </c>
      <c r="AF51">
        <v>40.991420400381301</v>
      </c>
      <c r="AG51">
        <v>44.996311777723101</v>
      </c>
      <c r="AH51">
        <v>45.908183632734499</v>
      </c>
      <c r="AI51">
        <v>38.3540767081534</v>
      </c>
      <c r="AJ51">
        <v>41.829046505585801</v>
      </c>
      <c r="AK51">
        <v>41.458934662818102</v>
      </c>
      <c r="AL51">
        <v>33.351264120494797</v>
      </c>
      <c r="AM51">
        <v>42.158968850698102</v>
      </c>
      <c r="AN51">
        <v>32.4236692785733</v>
      </c>
      <c r="AO51">
        <v>36.746825182383098</v>
      </c>
    </row>
    <row r="52" spans="1:41" x14ac:dyDescent="0.25">
      <c r="A52" t="s">
        <v>71</v>
      </c>
      <c r="B52">
        <v>2</v>
      </c>
      <c r="C52">
        <v>3</v>
      </c>
      <c r="D52">
        <v>3</v>
      </c>
      <c r="E52">
        <v>4</v>
      </c>
      <c r="F52">
        <v>3</v>
      </c>
      <c r="G52">
        <v>3</v>
      </c>
      <c r="H52">
        <v>3</v>
      </c>
      <c r="I52">
        <v>0</v>
      </c>
      <c r="J52">
        <v>3</v>
      </c>
      <c r="K52">
        <v>3</v>
      </c>
      <c r="L52">
        <v>1</v>
      </c>
      <c r="M52">
        <v>0</v>
      </c>
      <c r="N52">
        <v>3</v>
      </c>
      <c r="O52">
        <v>1</v>
      </c>
      <c r="P52">
        <v>0</v>
      </c>
      <c r="Q52">
        <v>4</v>
      </c>
      <c r="R52">
        <v>0</v>
      </c>
      <c r="S52">
        <v>0</v>
      </c>
      <c r="T52">
        <v>0</v>
      </c>
      <c r="U52">
        <v>0</v>
      </c>
      <c r="V52">
        <v>0.43792423910663397</v>
      </c>
      <c r="W52">
        <v>0.65818341377797196</v>
      </c>
      <c r="X52">
        <v>0.66006600660065995</v>
      </c>
      <c r="Y52">
        <v>0.88028169014084501</v>
      </c>
      <c r="Z52">
        <v>0.66740823136818594</v>
      </c>
      <c r="AA52">
        <v>0.66815144766146894</v>
      </c>
      <c r="AB52">
        <v>0.66859817249832798</v>
      </c>
      <c r="AC52">
        <v>0</v>
      </c>
      <c r="AD52">
        <v>0.68073519400952998</v>
      </c>
      <c r="AE52">
        <v>0.692680674209189</v>
      </c>
      <c r="AF52">
        <v>0.23832221163012299</v>
      </c>
      <c r="AG52">
        <v>0</v>
      </c>
      <c r="AH52">
        <v>0.74850299401197595</v>
      </c>
      <c r="AI52">
        <v>0.25400050800101598</v>
      </c>
      <c r="AJ52">
        <v>0</v>
      </c>
      <c r="AK52">
        <v>1.0495932826029899</v>
      </c>
      <c r="AL52">
        <v>0</v>
      </c>
      <c r="AM52">
        <v>0</v>
      </c>
      <c r="AN52">
        <v>0</v>
      </c>
      <c r="AO52">
        <v>0</v>
      </c>
    </row>
    <row r="53" spans="1:41" x14ac:dyDescent="0.25">
      <c r="A53" t="s">
        <v>87</v>
      </c>
      <c r="B53">
        <v>176</v>
      </c>
      <c r="C53">
        <v>175</v>
      </c>
      <c r="D53">
        <v>237</v>
      </c>
      <c r="E53">
        <v>213</v>
      </c>
      <c r="F53">
        <v>201</v>
      </c>
      <c r="G53">
        <v>179</v>
      </c>
      <c r="H53">
        <v>178</v>
      </c>
      <c r="I53">
        <v>206</v>
      </c>
      <c r="J53">
        <v>195</v>
      </c>
      <c r="K53">
        <v>192</v>
      </c>
      <c r="L53">
        <v>171</v>
      </c>
      <c r="M53">
        <v>183</v>
      </c>
      <c r="N53">
        <v>181</v>
      </c>
      <c r="O53">
        <v>150</v>
      </c>
      <c r="P53">
        <v>161</v>
      </c>
      <c r="Q53">
        <v>154</v>
      </c>
      <c r="R53">
        <v>124</v>
      </c>
      <c r="S53">
        <v>157</v>
      </c>
      <c r="T53">
        <v>120</v>
      </c>
      <c r="U53">
        <v>136</v>
      </c>
      <c r="V53">
        <v>38.537333041383803</v>
      </c>
      <c r="W53">
        <v>38.394032470381703</v>
      </c>
      <c r="X53">
        <v>52.145214521452097</v>
      </c>
      <c r="Y53">
        <v>46.875</v>
      </c>
      <c r="Z53">
        <v>44.716351501668498</v>
      </c>
      <c r="AA53">
        <v>39.866369710467701</v>
      </c>
      <c r="AB53">
        <v>39.670158234900804</v>
      </c>
      <c r="AC53">
        <v>46.167637830569198</v>
      </c>
      <c r="AD53">
        <v>44.247787610619397</v>
      </c>
      <c r="AE53">
        <v>44.331563149388103</v>
      </c>
      <c r="AF53">
        <v>40.753098188751103</v>
      </c>
      <c r="AG53">
        <v>44.996311777723101</v>
      </c>
      <c r="AH53">
        <v>45.159680638722499</v>
      </c>
      <c r="AI53">
        <v>38.100076200152401</v>
      </c>
      <c r="AJ53">
        <v>41.829046505585801</v>
      </c>
      <c r="AK53">
        <v>40.409341380215103</v>
      </c>
      <c r="AL53">
        <v>33.351264120494797</v>
      </c>
      <c r="AM53">
        <v>42.158968850698102</v>
      </c>
      <c r="AN53">
        <v>32.4236692785733</v>
      </c>
      <c r="AO53">
        <v>36.746825182383098</v>
      </c>
    </row>
    <row r="54" spans="1:41" x14ac:dyDescent="0.25">
      <c r="A54" t="s">
        <v>111</v>
      </c>
      <c r="B54">
        <v>52878</v>
      </c>
      <c r="C54">
        <v>52447</v>
      </c>
      <c r="D54">
        <v>54467</v>
      </c>
      <c r="E54">
        <v>57358</v>
      </c>
      <c r="F54">
        <v>57917</v>
      </c>
      <c r="G54">
        <v>57418</v>
      </c>
      <c r="H54">
        <v>57041</v>
      </c>
      <c r="I54">
        <v>57371</v>
      </c>
      <c r="J54">
        <v>55820</v>
      </c>
      <c r="K54">
        <v>54709</v>
      </c>
      <c r="L54">
        <v>54725</v>
      </c>
      <c r="M54">
        <v>53981</v>
      </c>
      <c r="N54">
        <v>53045</v>
      </c>
      <c r="O54">
        <v>51415</v>
      </c>
      <c r="P54">
        <v>49977</v>
      </c>
      <c r="Q54">
        <v>48088</v>
      </c>
      <c r="R54">
        <v>45715</v>
      </c>
      <c r="S54">
        <v>47113</v>
      </c>
      <c r="T54">
        <v>44714</v>
      </c>
      <c r="U54">
        <v>44383</v>
      </c>
      <c r="V54">
        <v>49.713067284405597</v>
      </c>
      <c r="W54">
        <v>49.243142652728103</v>
      </c>
      <c r="X54">
        <v>51.2012318301758</v>
      </c>
      <c r="Y54">
        <v>53.791212295134201</v>
      </c>
      <c r="Z54">
        <v>54.405607675044898</v>
      </c>
      <c r="AA54">
        <v>54.113657718721697</v>
      </c>
      <c r="AB54">
        <v>53.897483190402902</v>
      </c>
      <c r="AC54">
        <v>54.201973231097398</v>
      </c>
      <c r="AD54">
        <v>53.233237299886603</v>
      </c>
      <c r="AE54">
        <v>52.7765344158299</v>
      </c>
      <c r="AF54">
        <v>53.2506492735628</v>
      </c>
      <c r="AG54">
        <v>52.697911256721298</v>
      </c>
      <c r="AH54">
        <v>51.981459341865403</v>
      </c>
      <c r="AI54">
        <v>50.598492132458503</v>
      </c>
      <c r="AJ54">
        <v>49.318158717690302</v>
      </c>
      <c r="AK54">
        <v>47.424624354528802</v>
      </c>
      <c r="AL54">
        <v>45.176451521413199</v>
      </c>
      <c r="AM54">
        <v>46.523041313108401</v>
      </c>
      <c r="AN54">
        <v>43.595938559697899</v>
      </c>
      <c r="AO54">
        <v>43.273215124906599</v>
      </c>
    </row>
    <row r="55" spans="1:41" x14ac:dyDescent="0.25">
      <c r="A55" t="s">
        <v>72</v>
      </c>
      <c r="B55">
        <v>741</v>
      </c>
      <c r="C55">
        <v>790</v>
      </c>
      <c r="D55">
        <v>810</v>
      </c>
      <c r="E55">
        <v>908</v>
      </c>
      <c r="F55">
        <v>901</v>
      </c>
      <c r="G55">
        <v>934</v>
      </c>
      <c r="H55">
        <v>925</v>
      </c>
      <c r="I55">
        <v>831</v>
      </c>
      <c r="J55">
        <v>814</v>
      </c>
      <c r="K55">
        <v>795</v>
      </c>
      <c r="L55">
        <v>827</v>
      </c>
      <c r="M55">
        <v>775</v>
      </c>
      <c r="N55">
        <v>808</v>
      </c>
      <c r="O55">
        <v>727</v>
      </c>
      <c r="P55">
        <v>748</v>
      </c>
      <c r="Q55">
        <v>710</v>
      </c>
      <c r="R55">
        <v>664</v>
      </c>
      <c r="S55">
        <v>628</v>
      </c>
      <c r="T55">
        <v>653</v>
      </c>
      <c r="U55">
        <v>617</v>
      </c>
      <c r="V55">
        <v>0.69664856571248002</v>
      </c>
      <c r="W55">
        <v>0.74174085640084797</v>
      </c>
      <c r="X55">
        <v>0.76143348784479503</v>
      </c>
      <c r="Y55">
        <v>0.85153632909065602</v>
      </c>
      <c r="Z55">
        <v>0.84637416501572005</v>
      </c>
      <c r="AA55">
        <v>0.88024933486513002</v>
      </c>
      <c r="AB55">
        <v>0.87402345595488695</v>
      </c>
      <c r="AC55">
        <v>0.78509769317323996</v>
      </c>
      <c r="AD55">
        <v>0.77627830817104404</v>
      </c>
      <c r="AE55">
        <v>0.76691851177292203</v>
      </c>
      <c r="AF55">
        <v>0.80471972497462696</v>
      </c>
      <c r="AG55">
        <v>0.75657881891700796</v>
      </c>
      <c r="AH55">
        <v>0.79179977657135003</v>
      </c>
      <c r="AI55">
        <v>0.71545470738689698</v>
      </c>
      <c r="AJ55">
        <v>0.73813919844793396</v>
      </c>
      <c r="AK55">
        <v>0.70020552511469503</v>
      </c>
      <c r="AL55">
        <v>0.65617770557187705</v>
      </c>
      <c r="AM55">
        <v>0.62013605469046995</v>
      </c>
      <c r="AN55">
        <v>0.63667191214122598</v>
      </c>
      <c r="AO55">
        <v>0.60157208237540005</v>
      </c>
    </row>
    <row r="56" spans="1:41" x14ac:dyDescent="0.25">
      <c r="A56" t="s">
        <v>88</v>
      </c>
      <c r="B56">
        <v>52121</v>
      </c>
      <c r="C56">
        <v>51644</v>
      </c>
      <c r="D56">
        <v>53640</v>
      </c>
      <c r="E56">
        <v>56443</v>
      </c>
      <c r="F56">
        <v>57015</v>
      </c>
      <c r="G56">
        <v>56484</v>
      </c>
      <c r="H56">
        <v>56116</v>
      </c>
      <c r="I56">
        <v>56539</v>
      </c>
      <c r="J56">
        <v>55005</v>
      </c>
      <c r="K56">
        <v>53912</v>
      </c>
      <c r="L56">
        <v>53896</v>
      </c>
      <c r="M56">
        <v>53194</v>
      </c>
      <c r="N56">
        <v>52232</v>
      </c>
      <c r="O56">
        <v>50679</v>
      </c>
      <c r="P56">
        <v>49220</v>
      </c>
      <c r="Q56">
        <v>47371</v>
      </c>
      <c r="R56">
        <v>45039</v>
      </c>
      <c r="S56">
        <v>46469</v>
      </c>
      <c r="T56">
        <v>44053</v>
      </c>
      <c r="U56">
        <v>43751</v>
      </c>
      <c r="V56">
        <v>49.0013763744942</v>
      </c>
      <c r="W56">
        <v>48.489195934133399</v>
      </c>
      <c r="X56">
        <v>50.423817639499703</v>
      </c>
      <c r="Y56">
        <v>52.933111258660702</v>
      </c>
      <c r="Z56">
        <v>53.558294138036899</v>
      </c>
      <c r="AA56">
        <v>53.233408383856499</v>
      </c>
      <c r="AB56">
        <v>53.023459734447997</v>
      </c>
      <c r="AC56">
        <v>53.415930775357097</v>
      </c>
      <c r="AD56">
        <v>52.4560053328603</v>
      </c>
      <c r="AE56">
        <v>52.007686549310399</v>
      </c>
      <c r="AF56">
        <v>52.443983430752702</v>
      </c>
      <c r="AG56">
        <v>51.929617668995299</v>
      </c>
      <c r="AH56">
        <v>51.184759814201399</v>
      </c>
      <c r="AI56">
        <v>49.874180351665103</v>
      </c>
      <c r="AJ56">
        <v>48.571138165250403</v>
      </c>
      <c r="AK56">
        <v>46.7175153946595</v>
      </c>
      <c r="AL56">
        <v>44.508415182608097</v>
      </c>
      <c r="AM56">
        <v>45.8871056137125</v>
      </c>
      <c r="AN56">
        <v>42.951466685386499</v>
      </c>
      <c r="AO56">
        <v>42.657018113462101</v>
      </c>
    </row>
    <row r="57" spans="1:41" x14ac:dyDescent="0.25">
      <c r="A57" t="s">
        <v>73</v>
      </c>
      <c r="B57">
        <v>16</v>
      </c>
      <c r="C57">
        <v>13</v>
      </c>
      <c r="D57">
        <v>17</v>
      </c>
      <c r="E57">
        <v>7</v>
      </c>
      <c r="F57">
        <v>1</v>
      </c>
      <c r="G57">
        <v>0</v>
      </c>
      <c r="H57">
        <v>0</v>
      </c>
      <c r="I57">
        <v>1</v>
      </c>
      <c r="J57">
        <v>1</v>
      </c>
      <c r="K57">
        <v>2</v>
      </c>
      <c r="L57">
        <v>2</v>
      </c>
      <c r="M57">
        <v>12</v>
      </c>
      <c r="N57">
        <v>5</v>
      </c>
      <c r="O57">
        <v>9</v>
      </c>
      <c r="P57">
        <v>9</v>
      </c>
      <c r="Q57">
        <v>7</v>
      </c>
      <c r="R57">
        <v>12</v>
      </c>
      <c r="S57">
        <v>16</v>
      </c>
      <c r="T57">
        <v>8</v>
      </c>
      <c r="U57">
        <v>15</v>
      </c>
      <c r="V57">
        <v>1.5042344198919901E-2</v>
      </c>
      <c r="W57">
        <v>1.2205862193938001E-2</v>
      </c>
      <c r="X57">
        <v>1.5980702831310499E-2</v>
      </c>
      <c r="Y57">
        <v>6.5647073828574796E-3</v>
      </c>
      <c r="Z57">
        <v>9.3937199224830201E-4</v>
      </c>
      <c r="AA57">
        <v>0</v>
      </c>
      <c r="AB57">
        <v>0</v>
      </c>
      <c r="AC57">
        <v>9.4476256699547502E-4</v>
      </c>
      <c r="AD57">
        <v>9.5365885524698296E-4</v>
      </c>
      <c r="AE57">
        <v>1.92935474659854E-3</v>
      </c>
      <c r="AF57">
        <v>1.9461178354888201E-3</v>
      </c>
      <c r="AG57">
        <v>1.1714768809037501E-2</v>
      </c>
      <c r="AH57">
        <v>4.8997510926444901E-3</v>
      </c>
      <c r="AI57">
        <v>8.8570734064402704E-3</v>
      </c>
      <c r="AJ57">
        <v>8.8813539920205905E-3</v>
      </c>
      <c r="AK57">
        <v>6.9034347546519199E-3</v>
      </c>
      <c r="AL57">
        <v>1.18586332332267E-2</v>
      </c>
      <c r="AM57">
        <v>1.5799644705489599E-2</v>
      </c>
      <c r="AN57">
        <v>7.7999621701834703E-3</v>
      </c>
      <c r="AO57">
        <v>1.4624929069094E-2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31F5C-3CF6-40C6-A00B-E54958EDA872}">
  <dimension ref="A1:Q27"/>
  <sheetViews>
    <sheetView topLeftCell="B1" zoomScaleNormal="100" workbookViewId="0">
      <selection activeCell="B3" sqref="B3"/>
    </sheetView>
  </sheetViews>
  <sheetFormatPr defaultRowHeight="14.25" x14ac:dyDescent="0.2"/>
  <cols>
    <col min="1" max="1" width="9.140625" style="7" hidden="1" customWidth="1"/>
    <col min="2" max="2" width="23.7109375" style="7" customWidth="1"/>
    <col min="3" max="10" width="9.140625" style="7"/>
    <col min="11" max="11" width="2.7109375" style="7" customWidth="1"/>
    <col min="12" max="16384" width="9.140625" style="7"/>
  </cols>
  <sheetData>
    <row r="1" spans="1:17" ht="15.75" x14ac:dyDescent="0.25">
      <c r="B1" s="8" t="s">
        <v>512</v>
      </c>
    </row>
    <row r="2" spans="1:17" ht="15.75" x14ac:dyDescent="0.25">
      <c r="B2" s="8" t="s">
        <v>89</v>
      </c>
    </row>
    <row r="3" spans="1:17" ht="15.75" x14ac:dyDescent="0.25">
      <c r="B3" s="8"/>
    </row>
    <row r="4" spans="1:17" s="17" customFormat="1" ht="12.75" x14ac:dyDescent="0.2">
      <c r="B4" s="18" t="s">
        <v>160</v>
      </c>
    </row>
    <row r="5" spans="1:17" s="17" customFormat="1" ht="12.75" x14ac:dyDescent="0.2">
      <c r="C5" s="19" t="s">
        <v>0</v>
      </c>
      <c r="L5" s="19" t="s">
        <v>1</v>
      </c>
    </row>
    <row r="6" spans="1:17" s="17" customFormat="1" ht="15" customHeight="1" x14ac:dyDescent="0.2">
      <c r="C6" s="24" t="s">
        <v>18</v>
      </c>
      <c r="D6" s="24" t="s">
        <v>19</v>
      </c>
      <c r="E6" s="24" t="s">
        <v>20</v>
      </c>
      <c r="F6" s="24" t="s">
        <v>21</v>
      </c>
      <c r="G6" s="24" t="s">
        <v>22</v>
      </c>
      <c r="H6" s="24" t="s">
        <v>23</v>
      </c>
      <c r="I6" s="24" t="s">
        <v>24</v>
      </c>
      <c r="J6" s="25" t="s">
        <v>33</v>
      </c>
      <c r="K6" s="26"/>
      <c r="L6" s="24" t="s">
        <v>19</v>
      </c>
      <c r="M6" s="24" t="s">
        <v>20</v>
      </c>
      <c r="N6" s="24" t="s">
        <v>21</v>
      </c>
      <c r="O6" s="24" t="s">
        <v>22</v>
      </c>
      <c r="P6" s="24" t="s">
        <v>23</v>
      </c>
      <c r="Q6" s="24" t="s">
        <v>24</v>
      </c>
    </row>
    <row r="7" spans="1:17" s="17" customFormat="1" ht="12.75" x14ac:dyDescent="0.2">
      <c r="A7" s="6" t="s">
        <v>34</v>
      </c>
      <c r="B7" s="17" t="s">
        <v>4</v>
      </c>
      <c r="C7" s="27">
        <f>VLOOKUP(CONCATENATE(Lookup!$F$2,$A7), t1.3, 2)</f>
        <v>2652</v>
      </c>
      <c r="D7" s="27">
        <f>VLOOKUP(CONCATENATE(Lookup!$F$2,$A7), t1.3, 3)</f>
        <v>87</v>
      </c>
      <c r="E7" s="27">
        <f>VLOOKUP(CONCATENATE(Lookup!$F$2,$A7), t1.3, 4)</f>
        <v>413</v>
      </c>
      <c r="F7" s="27">
        <f>VLOOKUP(CONCATENATE(Lookup!$F$2,$A7), t1.3, 5)</f>
        <v>751</v>
      </c>
      <c r="G7" s="27">
        <f>VLOOKUP(CONCATENATE(Lookup!$F$2,$A7), t1.3, 6)</f>
        <v>866</v>
      </c>
      <c r="H7" s="27">
        <f>VLOOKUP(CONCATENATE(Lookup!$F$2,$A7), t1.3, 7)</f>
        <v>463</v>
      </c>
      <c r="I7" s="27">
        <f>VLOOKUP(CONCATENATE(Lookup!$F$2,$A7), t1.3, 8)</f>
        <v>72</v>
      </c>
      <c r="J7" s="27" t="str">
        <f>VLOOKUP(CONCATENATE(Lookup!$F$2,$A7), t1.3, 9)</f>
        <v>-</v>
      </c>
      <c r="K7" s="27" t="s">
        <v>32</v>
      </c>
      <c r="L7" s="39">
        <f>VLOOKUP(CONCATENATE(Lookup!$F$2,$A7), t1.3, 10)</f>
        <v>3.2805429864253299</v>
      </c>
      <c r="M7" s="39">
        <f>VLOOKUP(CONCATENATE(Lookup!$F$2,$A7), t1.3, 11)</f>
        <v>15.5731523378582</v>
      </c>
      <c r="N7" s="39">
        <f>VLOOKUP(CONCATENATE(Lookup!$F$2,$A7), t1.3, 12)</f>
        <v>28.318250377073898</v>
      </c>
      <c r="O7" s="39">
        <f>VLOOKUP(CONCATENATE(Lookup!$F$2,$A7), t1.3, 13)</f>
        <v>32.654600301659102</v>
      </c>
      <c r="P7" s="39">
        <f>VLOOKUP(CONCATENATE(Lookup!$F$2,$A7), t1.3, 14)</f>
        <v>17.4585218702865</v>
      </c>
      <c r="Q7" s="39">
        <f>VLOOKUP(CONCATENATE(Lookup!$F$2,$A7), t1.3, 15)</f>
        <v>2.71493212669683</v>
      </c>
    </row>
    <row r="8" spans="1:17" s="17" customFormat="1" ht="12.75" x14ac:dyDescent="0.2">
      <c r="A8" s="6" t="s">
        <v>35</v>
      </c>
      <c r="B8" s="17" t="s">
        <v>5</v>
      </c>
      <c r="C8" s="27">
        <f>VLOOKUP(CONCATENATE(Lookup!$F$2,$A8), t1.3, 2)</f>
        <v>615</v>
      </c>
      <c r="D8" s="27">
        <f>VLOOKUP(CONCATENATE(Lookup!$F$2,$A8), t1.3, 3)</f>
        <v>14</v>
      </c>
      <c r="E8" s="27">
        <f>VLOOKUP(CONCATENATE(Lookup!$F$2,$A8), t1.3, 4)</f>
        <v>84</v>
      </c>
      <c r="F8" s="27">
        <f>VLOOKUP(CONCATENATE(Lookup!$F$2,$A8), t1.3, 5)</f>
        <v>156</v>
      </c>
      <c r="G8" s="27">
        <f>VLOOKUP(CONCATENATE(Lookup!$F$2,$A8), t1.3, 6)</f>
        <v>228</v>
      </c>
      <c r="H8" s="27">
        <f>VLOOKUP(CONCATENATE(Lookup!$F$2,$A8), t1.3, 7)</f>
        <v>105</v>
      </c>
      <c r="I8" s="27">
        <f>VLOOKUP(CONCATENATE(Lookup!$F$2,$A8), t1.3, 8)</f>
        <v>28</v>
      </c>
      <c r="J8" s="27" t="str">
        <f>VLOOKUP(CONCATENATE(Lookup!$F$2,$A8), t1.3, 9)</f>
        <v>-</v>
      </c>
      <c r="K8" s="27" t="s">
        <v>32</v>
      </c>
      <c r="L8" s="39">
        <f>VLOOKUP(CONCATENATE(Lookup!$F$2,$A8), t1.3, 10)</f>
        <v>2.27642276422764</v>
      </c>
      <c r="M8" s="39">
        <f>VLOOKUP(CONCATENATE(Lookup!$F$2,$A8), t1.3, 11)</f>
        <v>13.6585365853658</v>
      </c>
      <c r="N8" s="39">
        <f>VLOOKUP(CONCATENATE(Lookup!$F$2,$A8), t1.3, 12)</f>
        <v>25.365853658536501</v>
      </c>
      <c r="O8" s="39">
        <f>VLOOKUP(CONCATENATE(Lookup!$F$2,$A8), t1.3, 13)</f>
        <v>37.0731707317073</v>
      </c>
      <c r="P8" s="39">
        <f>VLOOKUP(CONCATENATE(Lookup!$F$2,$A8), t1.3, 14)</f>
        <v>17.0731707317073</v>
      </c>
      <c r="Q8" s="39">
        <f>VLOOKUP(CONCATENATE(Lookup!$F$2,$A8), t1.3, 15)</f>
        <v>4.55284552845528</v>
      </c>
    </row>
    <row r="9" spans="1:17" s="17" customFormat="1" ht="12.75" x14ac:dyDescent="0.2">
      <c r="A9" s="6" t="s">
        <v>36</v>
      </c>
      <c r="B9" s="17" t="s">
        <v>6</v>
      </c>
      <c r="C9" s="27">
        <f>VLOOKUP(CONCATENATE(Lookup!$F$2,$A9), t1.3, 2)</f>
        <v>1079</v>
      </c>
      <c r="D9" s="27">
        <f>VLOOKUP(CONCATENATE(Lookup!$F$2,$A9), t1.3, 3)</f>
        <v>36</v>
      </c>
      <c r="E9" s="27">
        <f>VLOOKUP(CONCATENATE(Lookup!$F$2,$A9), t1.3, 4)</f>
        <v>144</v>
      </c>
      <c r="F9" s="27">
        <f>VLOOKUP(CONCATENATE(Lookup!$F$2,$A9), t1.3, 5)</f>
        <v>324</v>
      </c>
      <c r="G9" s="27">
        <f>VLOOKUP(CONCATENATE(Lookup!$F$2,$A9), t1.3, 6)</f>
        <v>376</v>
      </c>
      <c r="H9" s="27">
        <f>VLOOKUP(CONCATENATE(Lookup!$F$2,$A9), t1.3, 7)</f>
        <v>162</v>
      </c>
      <c r="I9" s="27">
        <f>VLOOKUP(CONCATENATE(Lookup!$F$2,$A9), t1.3, 8)</f>
        <v>37</v>
      </c>
      <c r="J9" s="27" t="str">
        <f>VLOOKUP(CONCATENATE(Lookup!$F$2,$A9), t1.3, 9)</f>
        <v>-</v>
      </c>
      <c r="K9" s="27" t="s">
        <v>32</v>
      </c>
      <c r="L9" s="39">
        <f>VLOOKUP(CONCATENATE(Lookup!$F$2,$A9), t1.3, 10)</f>
        <v>3.33642261353104</v>
      </c>
      <c r="M9" s="39">
        <f>VLOOKUP(CONCATENATE(Lookup!$F$2,$A9), t1.3, 11)</f>
        <v>13.345690454124099</v>
      </c>
      <c r="N9" s="39">
        <f>VLOOKUP(CONCATENATE(Lookup!$F$2,$A9), t1.3, 12)</f>
        <v>30.027803521779401</v>
      </c>
      <c r="O9" s="39">
        <f>VLOOKUP(CONCATENATE(Lookup!$F$2,$A9), t1.3, 13)</f>
        <v>34.8470806302131</v>
      </c>
      <c r="P9" s="39">
        <f>VLOOKUP(CONCATENATE(Lookup!$F$2,$A9), t1.3, 14)</f>
        <v>15.0139017608897</v>
      </c>
      <c r="Q9" s="39">
        <f>VLOOKUP(CONCATENATE(Lookup!$F$2,$A9), t1.3, 15)</f>
        <v>3.4291010194624598</v>
      </c>
    </row>
    <row r="10" spans="1:17" s="17" customFormat="1" ht="12.75" x14ac:dyDescent="0.2">
      <c r="A10" s="6" t="s">
        <v>37</v>
      </c>
      <c r="B10" s="17" t="s">
        <v>7</v>
      </c>
      <c r="C10" s="27">
        <f>VLOOKUP(CONCATENATE(Lookup!$F$2,$A10), t1.3, 2)</f>
        <v>2654</v>
      </c>
      <c r="D10" s="27">
        <f>VLOOKUP(CONCATENATE(Lookup!$F$2,$A10), t1.3, 3)</f>
        <v>83</v>
      </c>
      <c r="E10" s="27">
        <f>VLOOKUP(CONCATENATE(Lookup!$F$2,$A10), t1.3, 4)</f>
        <v>404</v>
      </c>
      <c r="F10" s="27">
        <f>VLOOKUP(CONCATENATE(Lookup!$F$2,$A10), t1.3, 5)</f>
        <v>765</v>
      </c>
      <c r="G10" s="27">
        <f>VLOOKUP(CONCATENATE(Lookup!$F$2,$A10), t1.3, 6)</f>
        <v>873</v>
      </c>
      <c r="H10" s="27">
        <f>VLOOKUP(CONCATENATE(Lookup!$F$2,$A10), t1.3, 7)</f>
        <v>441</v>
      </c>
      <c r="I10" s="27">
        <f>VLOOKUP(CONCATENATE(Lookup!$F$2,$A10), t1.3, 8)</f>
        <v>88</v>
      </c>
      <c r="J10" s="27" t="str">
        <f>VLOOKUP(CONCATENATE(Lookup!$F$2,$A10), t1.3, 9)</f>
        <v>-</v>
      </c>
      <c r="K10" s="27" t="s">
        <v>32</v>
      </c>
      <c r="L10" s="39">
        <f>VLOOKUP(CONCATENATE(Lookup!$F$2,$A10), t1.3, 10)</f>
        <v>3.12735493594574</v>
      </c>
      <c r="M10" s="39">
        <f>VLOOKUP(CONCATENATE(Lookup!$F$2,$A10), t1.3, 11)</f>
        <v>15.222305953277999</v>
      </c>
      <c r="N10" s="39">
        <f>VLOOKUP(CONCATENATE(Lookup!$F$2,$A10), t1.3, 12)</f>
        <v>28.824415975885401</v>
      </c>
      <c r="O10" s="39">
        <f>VLOOKUP(CONCATENATE(Lookup!$F$2,$A10), t1.3, 13)</f>
        <v>32.893745290128102</v>
      </c>
      <c r="P10" s="39">
        <f>VLOOKUP(CONCATENATE(Lookup!$F$2,$A10), t1.3, 14)</f>
        <v>16.616428033157401</v>
      </c>
      <c r="Q10" s="39">
        <f>VLOOKUP(CONCATENATE(Lookup!$F$2,$A10), t1.3, 15)</f>
        <v>3.3157498116051198</v>
      </c>
    </row>
    <row r="11" spans="1:17" s="17" customFormat="1" ht="12.75" x14ac:dyDescent="0.2">
      <c r="A11" s="6" t="s">
        <v>38</v>
      </c>
      <c r="B11" s="17" t="s">
        <v>8</v>
      </c>
      <c r="C11" s="27">
        <f>VLOOKUP(CONCATENATE(Lookup!$F$2,$A11), t1.3, 2)</f>
        <v>2672</v>
      </c>
      <c r="D11" s="27">
        <f>VLOOKUP(CONCATENATE(Lookup!$F$2,$A11), t1.3, 3)</f>
        <v>67</v>
      </c>
      <c r="E11" s="27">
        <f>VLOOKUP(CONCATENATE(Lookup!$F$2,$A11), t1.3, 4)</f>
        <v>310</v>
      </c>
      <c r="F11" s="27">
        <f>VLOOKUP(CONCATENATE(Lookup!$F$2,$A11), t1.3, 5)</f>
        <v>742</v>
      </c>
      <c r="G11" s="27">
        <f>VLOOKUP(CONCATENATE(Lookup!$F$2,$A11), t1.3, 6)</f>
        <v>934</v>
      </c>
      <c r="H11" s="27">
        <f>VLOOKUP(CONCATENATE(Lookup!$F$2,$A11), t1.3, 7)</f>
        <v>503</v>
      </c>
      <c r="I11" s="27">
        <f>VLOOKUP(CONCATENATE(Lookup!$F$2,$A11), t1.3, 8)</f>
        <v>116</v>
      </c>
      <c r="J11" s="27" t="str">
        <f>VLOOKUP(CONCATENATE(Lookup!$F$2,$A11), t1.3, 9)</f>
        <v>-</v>
      </c>
      <c r="K11" s="27" t="s">
        <v>32</v>
      </c>
      <c r="L11" s="39">
        <f>VLOOKUP(CONCATENATE(Lookup!$F$2,$A11), t1.3, 10)</f>
        <v>2.5074850299401099</v>
      </c>
      <c r="M11" s="39">
        <f>VLOOKUP(CONCATENATE(Lookup!$F$2,$A11), t1.3, 11)</f>
        <v>11.601796407185599</v>
      </c>
      <c r="N11" s="39">
        <f>VLOOKUP(CONCATENATE(Lookup!$F$2,$A11), t1.3, 12)</f>
        <v>27.769461077844301</v>
      </c>
      <c r="O11" s="39">
        <f>VLOOKUP(CONCATENATE(Lookup!$F$2,$A11), t1.3, 13)</f>
        <v>34.955089820359198</v>
      </c>
      <c r="P11" s="39">
        <f>VLOOKUP(CONCATENATE(Lookup!$F$2,$A11), t1.3, 14)</f>
        <v>18.824850299401199</v>
      </c>
      <c r="Q11" s="39">
        <f>VLOOKUP(CONCATENATE(Lookup!$F$2,$A11), t1.3, 15)</f>
        <v>4.3413173652694601</v>
      </c>
    </row>
    <row r="12" spans="1:17" s="17" customFormat="1" ht="12.75" x14ac:dyDescent="0.2">
      <c r="A12" s="6" t="s">
        <v>39</v>
      </c>
      <c r="B12" s="17" t="s">
        <v>9</v>
      </c>
      <c r="C12" s="27">
        <f>VLOOKUP(CONCATENATE(Lookup!$F$2,$A12), t1.3, 2)</f>
        <v>4613</v>
      </c>
      <c r="D12" s="27">
        <f>VLOOKUP(CONCATENATE(Lookup!$F$2,$A12), t1.3, 3)</f>
        <v>82</v>
      </c>
      <c r="E12" s="27">
        <f>VLOOKUP(CONCATENATE(Lookup!$F$2,$A12), t1.3, 4)</f>
        <v>454</v>
      </c>
      <c r="F12" s="27">
        <f>VLOOKUP(CONCATENATE(Lookup!$F$2,$A12), t1.3, 5)</f>
        <v>1266</v>
      </c>
      <c r="G12" s="27">
        <f>VLOOKUP(CONCATENATE(Lookup!$F$2,$A12), t1.3, 6)</f>
        <v>1655</v>
      </c>
      <c r="H12" s="27">
        <f>VLOOKUP(CONCATENATE(Lookup!$F$2,$A12), t1.3, 7)</f>
        <v>915</v>
      </c>
      <c r="I12" s="27">
        <f>VLOOKUP(CONCATENATE(Lookup!$F$2,$A12), t1.3, 8)</f>
        <v>241</v>
      </c>
      <c r="J12" s="27" t="str">
        <f>VLOOKUP(CONCATENATE(Lookup!$F$2,$A12), t1.3, 9)</f>
        <v>-</v>
      </c>
      <c r="K12" s="27" t="s">
        <v>32</v>
      </c>
      <c r="L12" s="39">
        <f>VLOOKUP(CONCATENATE(Lookup!$F$2,$A12), t1.3, 10)</f>
        <v>1.7775850856275699</v>
      </c>
      <c r="M12" s="39">
        <f>VLOOKUP(CONCATENATE(Lookup!$F$2,$A12), t1.3, 11)</f>
        <v>9.8417515716453501</v>
      </c>
      <c r="N12" s="39">
        <f>VLOOKUP(CONCATENATE(Lookup!$F$2,$A12), t1.3, 12)</f>
        <v>27.444179492737899</v>
      </c>
      <c r="O12" s="39">
        <f>VLOOKUP(CONCATENATE(Lookup!$F$2,$A12), t1.3, 13)</f>
        <v>35.876869716019897</v>
      </c>
      <c r="P12" s="39">
        <f>VLOOKUP(CONCATENATE(Lookup!$F$2,$A12), t1.3, 14)</f>
        <v>19.835248211575902</v>
      </c>
      <c r="Q12" s="39">
        <f>VLOOKUP(CONCATENATE(Lookup!$F$2,$A12), t1.3, 15)</f>
        <v>5.2243659223932299</v>
      </c>
    </row>
    <row r="13" spans="1:17" s="17" customFormat="1" ht="12.75" x14ac:dyDescent="0.2">
      <c r="A13" s="6" t="s">
        <v>40</v>
      </c>
      <c r="B13" s="17" t="s">
        <v>10</v>
      </c>
      <c r="C13" s="27">
        <f>VLOOKUP(CONCATENATE(Lookup!$F$2,$A13), t1.3, 2)</f>
        <v>13268</v>
      </c>
      <c r="D13" s="27">
        <f>VLOOKUP(CONCATENATE(Lookup!$F$2,$A13), t1.3, 3)</f>
        <v>296</v>
      </c>
      <c r="E13" s="27">
        <f>VLOOKUP(CONCATENATE(Lookup!$F$2,$A13), t1.3, 4)</f>
        <v>1373</v>
      </c>
      <c r="F13" s="27">
        <f>VLOOKUP(CONCATENATE(Lookup!$F$2,$A13), t1.3, 5)</f>
        <v>3331</v>
      </c>
      <c r="G13" s="27">
        <f>VLOOKUP(CONCATENATE(Lookup!$F$2,$A13), t1.3, 6)</f>
        <v>4769</v>
      </c>
      <c r="H13" s="27">
        <f>VLOOKUP(CONCATENATE(Lookup!$F$2,$A13), t1.3, 7)</f>
        <v>2840</v>
      </c>
      <c r="I13" s="27">
        <f>VLOOKUP(CONCATENATE(Lookup!$F$2,$A13), t1.3, 8)</f>
        <v>659</v>
      </c>
      <c r="J13" s="27" t="str">
        <f>VLOOKUP(CONCATENATE(Lookup!$F$2,$A13), t1.3, 9)</f>
        <v>-</v>
      </c>
      <c r="K13" s="27" t="s">
        <v>32</v>
      </c>
      <c r="L13" s="39">
        <f>VLOOKUP(CONCATENATE(Lookup!$F$2,$A13), t1.3, 10)</f>
        <v>2.2309315646668599</v>
      </c>
      <c r="M13" s="39">
        <f>VLOOKUP(CONCATENATE(Lookup!$F$2,$A13), t1.3, 11)</f>
        <v>10.348206210431099</v>
      </c>
      <c r="N13" s="39">
        <f>VLOOKUP(CONCATENATE(Lookup!$F$2,$A13), t1.3, 12)</f>
        <v>25.105517033463901</v>
      </c>
      <c r="O13" s="39">
        <f>VLOOKUP(CONCATENATE(Lookup!$F$2,$A13), t1.3, 13)</f>
        <v>35.943623756406303</v>
      </c>
      <c r="P13" s="39">
        <f>VLOOKUP(CONCATENATE(Lookup!$F$2,$A13), t1.3, 14)</f>
        <v>21.4048839312631</v>
      </c>
      <c r="Q13" s="39">
        <f>VLOOKUP(CONCATENATE(Lookup!$F$2,$A13), t1.3, 15)</f>
        <v>4.9668375037684598</v>
      </c>
    </row>
    <row r="14" spans="1:17" s="17" customFormat="1" ht="12.75" x14ac:dyDescent="0.2">
      <c r="A14" s="6" t="s">
        <v>41</v>
      </c>
      <c r="B14" s="17" t="s">
        <v>11</v>
      </c>
      <c r="C14" s="27">
        <f>VLOOKUP(CONCATENATE(Lookup!$F$2,$A14), t1.3, 2)</f>
        <v>1785</v>
      </c>
      <c r="D14" s="27">
        <f>VLOOKUP(CONCATENATE(Lookup!$F$2,$A14), t1.3, 3)</f>
        <v>38</v>
      </c>
      <c r="E14" s="27">
        <f>VLOOKUP(CONCATENATE(Lookup!$F$2,$A14), t1.3, 4)</f>
        <v>228</v>
      </c>
      <c r="F14" s="27">
        <f>VLOOKUP(CONCATENATE(Lookup!$F$2,$A14), t1.3, 5)</f>
        <v>475</v>
      </c>
      <c r="G14" s="27">
        <f>VLOOKUP(CONCATENATE(Lookup!$F$2,$A14), t1.3, 6)</f>
        <v>604</v>
      </c>
      <c r="H14" s="27">
        <f>VLOOKUP(CONCATENATE(Lookup!$F$2,$A14), t1.3, 7)</f>
        <v>351</v>
      </c>
      <c r="I14" s="27">
        <f>VLOOKUP(CONCATENATE(Lookup!$F$2,$A14), t1.3, 8)</f>
        <v>89</v>
      </c>
      <c r="J14" s="27" t="str">
        <f>VLOOKUP(CONCATENATE(Lookup!$F$2,$A14), t1.3, 9)</f>
        <v>-</v>
      </c>
      <c r="K14" s="27" t="s">
        <v>32</v>
      </c>
      <c r="L14" s="39">
        <f>VLOOKUP(CONCATENATE(Lookup!$F$2,$A14), t1.3, 10)</f>
        <v>2.1288515406162398</v>
      </c>
      <c r="M14" s="39">
        <f>VLOOKUP(CONCATENATE(Lookup!$F$2,$A14), t1.3, 11)</f>
        <v>12.7731092436974</v>
      </c>
      <c r="N14" s="39">
        <f>VLOOKUP(CONCATENATE(Lookup!$F$2,$A14), t1.3, 12)</f>
        <v>26.610644257703001</v>
      </c>
      <c r="O14" s="39">
        <f>VLOOKUP(CONCATENATE(Lookup!$F$2,$A14), t1.3, 13)</f>
        <v>33.837535014005603</v>
      </c>
      <c r="P14" s="39">
        <f>VLOOKUP(CONCATENATE(Lookup!$F$2,$A14), t1.3, 14)</f>
        <v>19.6638655462184</v>
      </c>
      <c r="Q14" s="39">
        <f>VLOOKUP(CONCATENATE(Lookup!$F$2,$A14), t1.3, 15)</f>
        <v>4.9859943977591001</v>
      </c>
    </row>
    <row r="15" spans="1:17" s="17" customFormat="1" ht="12.75" x14ac:dyDescent="0.2">
      <c r="A15" s="6" t="s">
        <v>42</v>
      </c>
      <c r="B15" s="17" t="s">
        <v>12</v>
      </c>
      <c r="C15" s="27">
        <f>VLOOKUP(CONCATENATE(Lookup!$F$2,$A15), t1.3, 2)</f>
        <v>3957</v>
      </c>
      <c r="D15" s="27">
        <f>VLOOKUP(CONCATENATE(Lookup!$F$2,$A15), t1.3, 3)</f>
        <v>105</v>
      </c>
      <c r="E15" s="27">
        <f>VLOOKUP(CONCATENATE(Lookup!$F$2,$A15), t1.3, 4)</f>
        <v>546</v>
      </c>
      <c r="F15" s="27">
        <f>VLOOKUP(CONCATENATE(Lookup!$F$2,$A15), t1.3, 5)</f>
        <v>1130</v>
      </c>
      <c r="G15" s="27">
        <f>VLOOKUP(CONCATENATE(Lookup!$F$2,$A15), t1.3, 6)</f>
        <v>1325</v>
      </c>
      <c r="H15" s="27">
        <f>VLOOKUP(CONCATENATE(Lookup!$F$2,$A15), t1.3, 7)</f>
        <v>713</v>
      </c>
      <c r="I15" s="27">
        <f>VLOOKUP(CONCATENATE(Lookup!$F$2,$A15), t1.3, 8)</f>
        <v>138</v>
      </c>
      <c r="J15" s="27" t="str">
        <f>VLOOKUP(CONCATENATE(Lookup!$F$2,$A15), t1.3, 9)</f>
        <v>-</v>
      </c>
      <c r="K15" s="27" t="s">
        <v>32</v>
      </c>
      <c r="L15" s="39">
        <f>VLOOKUP(CONCATENATE(Lookup!$F$2,$A15), t1.3, 10)</f>
        <v>2.6535253980287998</v>
      </c>
      <c r="M15" s="39">
        <f>VLOOKUP(CONCATENATE(Lookup!$F$2,$A15), t1.3, 11)</f>
        <v>13.798332069749801</v>
      </c>
      <c r="N15" s="39">
        <f>VLOOKUP(CONCATENATE(Lookup!$F$2,$A15), t1.3, 12)</f>
        <v>28.556987616881401</v>
      </c>
      <c r="O15" s="39">
        <f>VLOOKUP(CONCATENATE(Lookup!$F$2,$A15), t1.3, 13)</f>
        <v>33.484963356077799</v>
      </c>
      <c r="P15" s="39">
        <f>VLOOKUP(CONCATENATE(Lookup!$F$2,$A15), t1.3, 14)</f>
        <v>18.018701036138399</v>
      </c>
      <c r="Q15" s="39">
        <f>VLOOKUP(CONCATENATE(Lookup!$F$2,$A15), t1.3, 15)</f>
        <v>3.48749052312357</v>
      </c>
    </row>
    <row r="16" spans="1:17" s="17" customFormat="1" ht="12.75" x14ac:dyDescent="0.2">
      <c r="A16" s="6" t="s">
        <v>43</v>
      </c>
      <c r="B16" s="17" t="s">
        <v>13</v>
      </c>
      <c r="C16" s="27">
        <f>VLOOKUP(CONCATENATE(Lookup!$F$2,$A16), t1.3, 2)</f>
        <v>7396</v>
      </c>
      <c r="D16" s="27">
        <f>VLOOKUP(CONCATENATE(Lookup!$F$2,$A16), t1.3, 3)</f>
        <v>156</v>
      </c>
      <c r="E16" s="27">
        <f>VLOOKUP(CONCATENATE(Lookup!$F$2,$A16), t1.3, 4)</f>
        <v>678</v>
      </c>
      <c r="F16" s="27">
        <f>VLOOKUP(CONCATENATE(Lookup!$F$2,$A16), t1.3, 5)</f>
        <v>1610</v>
      </c>
      <c r="G16" s="27">
        <f>VLOOKUP(CONCATENATE(Lookup!$F$2,$A16), t1.3, 6)</f>
        <v>2786</v>
      </c>
      <c r="H16" s="27">
        <f>VLOOKUP(CONCATENATE(Lookup!$F$2,$A16), t1.3, 7)</f>
        <v>1738</v>
      </c>
      <c r="I16" s="27">
        <f>VLOOKUP(CONCATENATE(Lookup!$F$2,$A16), t1.3, 8)</f>
        <v>428</v>
      </c>
      <c r="J16" s="27" t="str">
        <f>VLOOKUP(CONCATENATE(Lookup!$F$2,$A16), t1.3, 9)</f>
        <v>-</v>
      </c>
      <c r="K16" s="27" t="s">
        <v>32</v>
      </c>
      <c r="L16" s="39">
        <f>VLOOKUP(CONCATENATE(Lookup!$F$2,$A16), t1.3, 10)</f>
        <v>2.10924824229313</v>
      </c>
      <c r="M16" s="39">
        <f>VLOOKUP(CONCATENATE(Lookup!$F$2,$A16), t1.3, 11)</f>
        <v>9.1671173607355296</v>
      </c>
      <c r="N16" s="39">
        <f>VLOOKUP(CONCATENATE(Lookup!$F$2,$A16), t1.3, 12)</f>
        <v>21.7685235262303</v>
      </c>
      <c r="O16" s="39">
        <f>VLOOKUP(CONCATENATE(Lookup!$F$2,$A16), t1.3, 13)</f>
        <v>37.669010275824697</v>
      </c>
      <c r="P16" s="39">
        <f>VLOOKUP(CONCATENATE(Lookup!$F$2,$A16), t1.3, 14)</f>
        <v>23.499188750676002</v>
      </c>
      <c r="Q16" s="39">
        <f>VLOOKUP(CONCATENATE(Lookup!$F$2,$A16), t1.3, 15)</f>
        <v>5.7869118442401302</v>
      </c>
    </row>
    <row r="17" spans="1:17" s="17" customFormat="1" ht="12.75" x14ac:dyDescent="0.2">
      <c r="A17" s="6" t="s">
        <v>44</v>
      </c>
      <c r="B17" s="17" t="s">
        <v>14</v>
      </c>
      <c r="C17" s="27">
        <f>VLOOKUP(CONCATENATE(Lookup!$F$2,$A17), t1.3, 2)</f>
        <v>107</v>
      </c>
      <c r="D17" s="27" t="str">
        <f>VLOOKUP(CONCATENATE(Lookup!$F$2,$A17), t1.3, 3)</f>
        <v>-</v>
      </c>
      <c r="E17" s="27">
        <f>VLOOKUP(CONCATENATE(Lookup!$F$2,$A17), t1.3, 4)</f>
        <v>9</v>
      </c>
      <c r="F17" s="27">
        <f>VLOOKUP(CONCATENATE(Lookup!$F$2,$A17), t1.3, 5)</f>
        <v>26</v>
      </c>
      <c r="G17" s="27">
        <f>VLOOKUP(CONCATENATE(Lookup!$F$2,$A17), t1.3, 6)</f>
        <v>41</v>
      </c>
      <c r="H17" s="27">
        <f>VLOOKUP(CONCATENATE(Lookup!$F$2,$A17), t1.3, 7)</f>
        <v>26</v>
      </c>
      <c r="I17" s="27">
        <f>VLOOKUP(CONCATENATE(Lookup!$F$2,$A17), t1.3, 8)</f>
        <v>5</v>
      </c>
      <c r="J17" s="27" t="str">
        <f>VLOOKUP(CONCATENATE(Lookup!$F$2,$A17), t1.3, 9)</f>
        <v>-</v>
      </c>
      <c r="K17" s="27" t="s">
        <v>32</v>
      </c>
      <c r="L17" s="39" t="str">
        <f>VLOOKUP(CONCATENATE(Lookup!$F$2,$A17), t1.3, 10)</f>
        <v>-</v>
      </c>
      <c r="M17" s="39">
        <f>VLOOKUP(CONCATENATE(Lookup!$F$2,$A17), t1.3, 11)</f>
        <v>8.4112149532710205</v>
      </c>
      <c r="N17" s="39">
        <f>VLOOKUP(CONCATENATE(Lookup!$F$2,$A17), t1.3, 12)</f>
        <v>24.299065420560702</v>
      </c>
      <c r="O17" s="39">
        <f>VLOOKUP(CONCATENATE(Lookup!$F$2,$A17), t1.3, 13)</f>
        <v>38.317757009345698</v>
      </c>
      <c r="P17" s="39">
        <f>VLOOKUP(CONCATENATE(Lookup!$F$2,$A17), t1.3, 14)</f>
        <v>24.299065420560702</v>
      </c>
      <c r="Q17" s="39">
        <f>VLOOKUP(CONCATENATE(Lookup!$F$2,$A17), t1.3, 15)</f>
        <v>4.6728971962616797</v>
      </c>
    </row>
    <row r="18" spans="1:17" s="17" customFormat="1" ht="12.75" x14ac:dyDescent="0.2">
      <c r="A18" s="6" t="s">
        <v>45</v>
      </c>
      <c r="B18" s="17" t="s">
        <v>15</v>
      </c>
      <c r="C18" s="27">
        <f>VLOOKUP(CONCATENATE(Lookup!$F$2,$A18), t1.3, 2)</f>
        <v>65</v>
      </c>
      <c r="D18" s="27" t="str">
        <f>VLOOKUP(CONCATENATE(Lookup!$F$2,$A18), t1.3, 3)</f>
        <v>-</v>
      </c>
      <c r="E18" s="27">
        <f>VLOOKUP(CONCATENATE(Lookup!$F$2,$A18), t1.3, 4)</f>
        <v>7</v>
      </c>
      <c r="F18" s="27">
        <f>VLOOKUP(CONCATENATE(Lookup!$F$2,$A18), t1.3, 5)</f>
        <v>20</v>
      </c>
      <c r="G18" s="27">
        <f>VLOOKUP(CONCATENATE(Lookup!$F$2,$A18), t1.3, 6)</f>
        <v>22</v>
      </c>
      <c r="H18" s="27">
        <f>VLOOKUP(CONCATENATE(Lookup!$F$2,$A18), t1.3, 7)</f>
        <v>11</v>
      </c>
      <c r="I18" s="27">
        <f>VLOOKUP(CONCATENATE(Lookup!$F$2,$A18), t1.3, 8)</f>
        <v>5</v>
      </c>
      <c r="J18" s="27" t="str">
        <f>VLOOKUP(CONCATENATE(Lookup!$F$2,$A18), t1.3, 9)</f>
        <v>-</v>
      </c>
      <c r="K18" s="27" t="s">
        <v>32</v>
      </c>
      <c r="L18" s="39" t="str">
        <f>VLOOKUP(CONCATENATE(Lookup!$F$2,$A18), t1.3, 10)</f>
        <v>-</v>
      </c>
      <c r="M18" s="39">
        <f>VLOOKUP(CONCATENATE(Lookup!$F$2,$A18), t1.3, 11)</f>
        <v>10.769230769230701</v>
      </c>
      <c r="N18" s="39">
        <f>VLOOKUP(CONCATENATE(Lookup!$F$2,$A18), t1.3, 12)</f>
        <v>30.769230769230699</v>
      </c>
      <c r="O18" s="39">
        <f>VLOOKUP(CONCATENATE(Lookup!$F$2,$A18), t1.3, 13)</f>
        <v>33.846153846153797</v>
      </c>
      <c r="P18" s="39">
        <f>VLOOKUP(CONCATENATE(Lookup!$F$2,$A18), t1.3, 14)</f>
        <v>16.923076923076898</v>
      </c>
      <c r="Q18" s="39">
        <f>VLOOKUP(CONCATENATE(Lookup!$F$2,$A18), t1.3, 15)</f>
        <v>7.6923076923076898</v>
      </c>
    </row>
    <row r="19" spans="1:17" s="17" customFormat="1" ht="12.75" x14ac:dyDescent="0.2">
      <c r="A19" s="6" t="s">
        <v>46</v>
      </c>
      <c r="B19" s="17" t="s">
        <v>16</v>
      </c>
      <c r="C19" s="27">
        <f>VLOOKUP(CONCATENATE(Lookup!$F$2,$A19), t1.3, 2)</f>
        <v>3175</v>
      </c>
      <c r="D19" s="27">
        <f>VLOOKUP(CONCATENATE(Lookup!$F$2,$A19), t1.3, 3)</f>
        <v>121</v>
      </c>
      <c r="E19" s="27">
        <f>VLOOKUP(CONCATENATE(Lookup!$F$2,$A19), t1.3, 4)</f>
        <v>403</v>
      </c>
      <c r="F19" s="27">
        <f>VLOOKUP(CONCATENATE(Lookup!$F$2,$A19), t1.3, 5)</f>
        <v>867</v>
      </c>
      <c r="G19" s="27">
        <f>VLOOKUP(CONCATENATE(Lookup!$F$2,$A19), t1.3, 6)</f>
        <v>1071</v>
      </c>
      <c r="H19" s="27">
        <f>VLOOKUP(CONCATENATE(Lookup!$F$2,$A19), t1.3, 7)</f>
        <v>598</v>
      </c>
      <c r="I19" s="27">
        <f>VLOOKUP(CONCATENATE(Lookup!$F$2,$A19), t1.3, 8)</f>
        <v>115</v>
      </c>
      <c r="J19" s="27" t="str">
        <f>VLOOKUP(CONCATENATE(Lookup!$F$2,$A19), t1.3, 9)</f>
        <v>-</v>
      </c>
      <c r="K19" s="27" t="s">
        <v>32</v>
      </c>
      <c r="L19" s="39">
        <f>VLOOKUP(CONCATENATE(Lookup!$F$2,$A19), t1.3, 10)</f>
        <v>3.81102362204724</v>
      </c>
      <c r="M19" s="39">
        <f>VLOOKUP(CONCATENATE(Lookup!$F$2,$A19), t1.3, 11)</f>
        <v>12.692913385826699</v>
      </c>
      <c r="N19" s="39">
        <f>VLOOKUP(CONCATENATE(Lookup!$F$2,$A19), t1.3, 12)</f>
        <v>27.307086614173201</v>
      </c>
      <c r="O19" s="39">
        <f>VLOOKUP(CONCATENATE(Lookup!$F$2,$A19), t1.3, 13)</f>
        <v>33.732283464566898</v>
      </c>
      <c r="P19" s="39">
        <f>VLOOKUP(CONCATENATE(Lookup!$F$2,$A19), t1.3, 14)</f>
        <v>18.834645669291302</v>
      </c>
      <c r="Q19" s="39">
        <f>VLOOKUP(CONCATENATE(Lookup!$F$2,$A19), t1.3, 15)</f>
        <v>3.62204724409448</v>
      </c>
    </row>
    <row r="20" spans="1:17" s="17" customFormat="1" ht="12.75" x14ac:dyDescent="0.2">
      <c r="A20" s="6" t="s">
        <v>47</v>
      </c>
      <c r="B20" s="17" t="s">
        <v>17</v>
      </c>
      <c r="C20" s="27">
        <f>VLOOKUP(CONCATENATE(Lookup!$F$2,$A20), t1.3, 2)</f>
        <v>136</v>
      </c>
      <c r="D20" s="27">
        <f>VLOOKUP(CONCATENATE(Lookup!$F$2,$A20), t1.3, 3)</f>
        <v>3</v>
      </c>
      <c r="E20" s="27">
        <f>VLOOKUP(CONCATENATE(Lookup!$F$2,$A20), t1.3, 4)</f>
        <v>14</v>
      </c>
      <c r="F20" s="27">
        <f>VLOOKUP(CONCATENATE(Lookup!$F$2,$A20), t1.3, 5)</f>
        <v>34</v>
      </c>
      <c r="G20" s="27">
        <f>VLOOKUP(CONCATENATE(Lookup!$F$2,$A20), t1.3, 6)</f>
        <v>52</v>
      </c>
      <c r="H20" s="27">
        <f>VLOOKUP(CONCATENATE(Lookup!$F$2,$A20), t1.3, 7)</f>
        <v>24</v>
      </c>
      <c r="I20" s="27">
        <f>VLOOKUP(CONCATENATE(Lookup!$F$2,$A20), t1.3, 8)</f>
        <v>9</v>
      </c>
      <c r="J20" s="27" t="str">
        <f>VLOOKUP(CONCATENATE(Lookup!$F$2,$A20), t1.3, 9)</f>
        <v>-</v>
      </c>
      <c r="K20" s="27" t="s">
        <v>32</v>
      </c>
      <c r="L20" s="39">
        <f>VLOOKUP(CONCATENATE(Lookup!$F$2,$A20), t1.3, 10)</f>
        <v>2.20588235294117</v>
      </c>
      <c r="M20" s="39">
        <f>VLOOKUP(CONCATENATE(Lookup!$F$2,$A20), t1.3, 11)</f>
        <v>10.294117647058799</v>
      </c>
      <c r="N20" s="39">
        <f>VLOOKUP(CONCATENATE(Lookup!$F$2,$A20), t1.3, 12)</f>
        <v>25</v>
      </c>
      <c r="O20" s="39">
        <f>VLOOKUP(CONCATENATE(Lookup!$F$2,$A20), t1.3, 13)</f>
        <v>38.235294117647001</v>
      </c>
      <c r="P20" s="39">
        <f>VLOOKUP(CONCATENATE(Lookup!$F$2,$A20), t1.3, 14)</f>
        <v>17.647058823529399</v>
      </c>
      <c r="Q20" s="39">
        <f>VLOOKUP(CONCATENATE(Lookup!$F$2,$A20), t1.3, 15)</f>
        <v>6.6176470588235299</v>
      </c>
    </row>
    <row r="21" spans="1:17" s="17" customFormat="1" ht="12.75" x14ac:dyDescent="0.2">
      <c r="A21" s="6" t="s">
        <v>3</v>
      </c>
      <c r="B21" s="19" t="s">
        <v>3</v>
      </c>
      <c r="C21" s="29">
        <f>VLOOKUP(CONCATENATE(Lookup!$F$2,$A21), t1.3, 2)</f>
        <v>44383</v>
      </c>
      <c r="D21" s="29">
        <f>VLOOKUP(CONCATENATE(Lookup!$F$2,$A21), t1.3, 3)</f>
        <v>1088</v>
      </c>
      <c r="E21" s="29">
        <f>VLOOKUP(CONCATENATE(Lookup!$F$2,$A21), t1.3, 4)</f>
        <v>5072</v>
      </c>
      <c r="F21" s="29">
        <f>VLOOKUP(CONCATENATE(Lookup!$F$2,$A21), t1.3, 5)</f>
        <v>11544</v>
      </c>
      <c r="G21" s="29">
        <f>VLOOKUP(CONCATENATE(Lookup!$F$2,$A21), t1.3, 6)</f>
        <v>15686</v>
      </c>
      <c r="H21" s="29">
        <f>VLOOKUP(CONCATENATE(Lookup!$F$2,$A21), t1.3, 7)</f>
        <v>8946</v>
      </c>
      <c r="I21" s="29">
        <f>VLOOKUP(CONCATENATE(Lookup!$F$2,$A21), t1.3, 8)</f>
        <v>2047</v>
      </c>
      <c r="J21" s="29" t="str">
        <f>VLOOKUP(CONCATENATE(Lookup!$F$2,$A21), t1.3, 9)</f>
        <v>-</v>
      </c>
      <c r="K21" s="29" t="s">
        <v>32</v>
      </c>
      <c r="L21" s="40">
        <f>VLOOKUP(CONCATENATE(Lookup!$F$2,$A21), t1.3, 10)</f>
        <v>2.4513890453551999</v>
      </c>
      <c r="M21" s="40">
        <f>VLOOKUP(CONCATENATE(Lookup!$F$2,$A21), t1.3, 11)</f>
        <v>11.427798932023499</v>
      </c>
      <c r="N21" s="40">
        <f>VLOOKUP(CONCATENATE(Lookup!$F$2,$A21), t1.3, 12)</f>
        <v>26.0099587679967</v>
      </c>
      <c r="O21" s="40">
        <f>VLOOKUP(CONCATENATE(Lookup!$F$2,$A21), t1.3, 13)</f>
        <v>35.342360813825103</v>
      </c>
      <c r="P21" s="40">
        <f>VLOOKUP(CONCATENATE(Lookup!$F$2,$A21), t1.3, 14)</f>
        <v>20.156366176238599</v>
      </c>
      <c r="Q21" s="40">
        <f>VLOOKUP(CONCATENATE(Lookup!$F$2,$A21), t1.3, 15)</f>
        <v>4.6121262645607501</v>
      </c>
    </row>
    <row r="22" spans="1:17" s="17" customFormat="1" ht="12.75" x14ac:dyDescent="0.2">
      <c r="B22" s="32" t="s">
        <v>32</v>
      </c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</row>
    <row r="23" spans="1:17" x14ac:dyDescent="0.2">
      <c r="B23" s="10" t="s">
        <v>492</v>
      </c>
    </row>
    <row r="24" spans="1:17" x14ac:dyDescent="0.2">
      <c r="B24" s="10" t="s">
        <v>92</v>
      </c>
    </row>
    <row r="25" spans="1:17" x14ac:dyDescent="0.2">
      <c r="B25" s="10" t="s">
        <v>90</v>
      </c>
    </row>
    <row r="26" spans="1:17" x14ac:dyDescent="0.2">
      <c r="B26" s="10" t="s">
        <v>115</v>
      </c>
    </row>
    <row r="27" spans="1:17" x14ac:dyDescent="0.2">
      <c r="B27" s="10" t="s">
        <v>117</v>
      </c>
    </row>
  </sheetData>
  <phoneticPr fontId="2" type="noConversion"/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2289" r:id="rId4" name="Drop Down 1">
              <controlPr defaultSize="0" autoLine="0" autoPict="0">
                <anchor moveWithCells="1">
                  <from>
                    <xdr:col>1</xdr:col>
                    <xdr:colOff>485775</xdr:colOff>
                    <xdr:row>2</xdr:row>
                    <xdr:rowOff>180975</xdr:rowOff>
                  </from>
                  <to>
                    <xdr:col>1</xdr:col>
                    <xdr:colOff>1552575</xdr:colOff>
                    <xdr:row>4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87CD3-0AE5-4FBE-A7A1-DBF1E7D6C407}">
  <dimension ref="A1:O301"/>
  <sheetViews>
    <sheetView zoomScale="90" zoomScaleNormal="90" workbookViewId="0">
      <selection sqref="A1:XFD1048576"/>
    </sheetView>
  </sheetViews>
  <sheetFormatPr defaultRowHeight="15" x14ac:dyDescent="0.25"/>
  <cols>
    <col min="1" max="1" width="36.5703125" bestFit="1" customWidth="1"/>
    <col min="2" max="15" width="9.140625" style="47"/>
  </cols>
  <sheetData>
    <row r="1" spans="1:15" x14ac:dyDescent="0.25">
      <c r="A1" t="s">
        <v>48</v>
      </c>
      <c r="B1" s="47" t="s">
        <v>161</v>
      </c>
      <c r="C1" s="47" t="s">
        <v>458</v>
      </c>
      <c r="D1" s="47" t="s">
        <v>459</v>
      </c>
      <c r="E1" s="47" t="s">
        <v>460</v>
      </c>
      <c r="F1" s="47" t="s">
        <v>461</v>
      </c>
      <c r="G1" s="47" t="s">
        <v>462</v>
      </c>
      <c r="H1" s="47" t="s">
        <v>463</v>
      </c>
      <c r="I1" s="47" t="s">
        <v>464</v>
      </c>
      <c r="J1" s="47" t="s">
        <v>465</v>
      </c>
      <c r="K1" s="47" t="s">
        <v>466</v>
      </c>
      <c r="L1" s="47" t="s">
        <v>467</v>
      </c>
      <c r="M1" s="47" t="s">
        <v>468</v>
      </c>
      <c r="N1" s="47" t="s">
        <v>469</v>
      </c>
      <c r="O1" s="47" t="s">
        <v>470</v>
      </c>
    </row>
    <row r="2" spans="1:15" x14ac:dyDescent="0.25">
      <c r="A2" t="s">
        <v>173</v>
      </c>
      <c r="B2" s="47">
        <v>3541</v>
      </c>
      <c r="C2" s="47">
        <v>360</v>
      </c>
      <c r="D2" s="47">
        <v>768</v>
      </c>
      <c r="E2" s="47">
        <v>860</v>
      </c>
      <c r="F2" s="47">
        <v>922</v>
      </c>
      <c r="G2" s="47">
        <v>528</v>
      </c>
      <c r="H2" s="47">
        <v>103</v>
      </c>
      <c r="I2" s="47" t="s">
        <v>113</v>
      </c>
      <c r="J2" s="47">
        <v>10.166619598983299</v>
      </c>
      <c r="K2" s="47">
        <v>21.6887884778311</v>
      </c>
      <c r="L2" s="47">
        <v>24.2869245975713</v>
      </c>
      <c r="M2" s="47">
        <v>26.037842417396199</v>
      </c>
      <c r="N2" s="47">
        <v>14.9110420785088</v>
      </c>
      <c r="O2" s="47">
        <v>2.9087828297091201</v>
      </c>
    </row>
    <row r="3" spans="1:15" x14ac:dyDescent="0.25">
      <c r="A3" t="s">
        <v>174</v>
      </c>
      <c r="B3" s="47">
        <v>1019</v>
      </c>
      <c r="C3" s="47">
        <v>60</v>
      </c>
      <c r="D3" s="47">
        <v>144</v>
      </c>
      <c r="E3" s="47">
        <v>233</v>
      </c>
      <c r="F3" s="47">
        <v>347</v>
      </c>
      <c r="G3" s="47">
        <v>190</v>
      </c>
      <c r="H3" s="47">
        <v>45</v>
      </c>
      <c r="I3" s="47" t="s">
        <v>113</v>
      </c>
      <c r="J3" s="47">
        <v>5.8881256133464097</v>
      </c>
      <c r="K3" s="47">
        <v>14.131501472031401</v>
      </c>
      <c r="L3" s="47">
        <v>22.8655544651619</v>
      </c>
      <c r="M3" s="47">
        <v>34.0529931305201</v>
      </c>
      <c r="N3" s="47">
        <v>18.645731108930299</v>
      </c>
      <c r="O3" s="47">
        <v>4.4160942100098097</v>
      </c>
    </row>
    <row r="4" spans="1:15" x14ac:dyDescent="0.25">
      <c r="A4" t="s">
        <v>175</v>
      </c>
      <c r="B4" s="47">
        <v>1363</v>
      </c>
      <c r="C4" s="47">
        <v>118</v>
      </c>
      <c r="D4" s="47">
        <v>293</v>
      </c>
      <c r="E4" s="47">
        <v>362</v>
      </c>
      <c r="F4" s="47">
        <v>355</v>
      </c>
      <c r="G4" s="47">
        <v>202</v>
      </c>
      <c r="H4" s="47">
        <v>33</v>
      </c>
      <c r="I4" s="47" t="s">
        <v>113</v>
      </c>
      <c r="J4" s="47">
        <v>8.6573734409391001</v>
      </c>
      <c r="K4" s="47">
        <v>21.4966984592809</v>
      </c>
      <c r="L4" s="47">
        <v>26.559060895084301</v>
      </c>
      <c r="M4" s="47">
        <v>26.0454878943507</v>
      </c>
      <c r="N4" s="47">
        <v>14.8202494497432</v>
      </c>
      <c r="O4" s="47">
        <v>2.4211298606016101</v>
      </c>
    </row>
    <row r="5" spans="1:15" x14ac:dyDescent="0.25">
      <c r="A5" t="s">
        <v>176</v>
      </c>
      <c r="B5" s="47">
        <v>3290</v>
      </c>
      <c r="C5" s="47">
        <v>326</v>
      </c>
      <c r="D5" s="47">
        <v>740</v>
      </c>
      <c r="E5" s="47">
        <v>859</v>
      </c>
      <c r="F5" s="47">
        <v>854</v>
      </c>
      <c r="G5" s="47">
        <v>453</v>
      </c>
      <c r="H5" s="47">
        <v>58</v>
      </c>
      <c r="I5" s="47" t="s">
        <v>113</v>
      </c>
      <c r="J5" s="47">
        <v>9.9088145896656492</v>
      </c>
      <c r="K5" s="47">
        <v>22.492401215805401</v>
      </c>
      <c r="L5" s="47">
        <v>26.109422492401201</v>
      </c>
      <c r="M5" s="47">
        <v>25.9574468085106</v>
      </c>
      <c r="N5" s="47">
        <v>13.7689969604863</v>
      </c>
      <c r="O5" s="47">
        <v>1.7629179331306899</v>
      </c>
    </row>
    <row r="6" spans="1:15" x14ac:dyDescent="0.25">
      <c r="A6" t="s">
        <v>177</v>
      </c>
      <c r="B6" s="47">
        <v>3098</v>
      </c>
      <c r="C6" s="47">
        <v>216</v>
      </c>
      <c r="D6" s="47">
        <v>523</v>
      </c>
      <c r="E6" s="47">
        <v>759</v>
      </c>
      <c r="F6" s="47">
        <v>979</v>
      </c>
      <c r="G6" s="47">
        <v>544</v>
      </c>
      <c r="H6" s="47">
        <v>77</v>
      </c>
      <c r="I6" s="47" t="s">
        <v>113</v>
      </c>
      <c r="J6" s="47">
        <v>6.9722401549386701</v>
      </c>
      <c r="K6" s="47">
        <v>16.881859264041299</v>
      </c>
      <c r="L6" s="47">
        <v>24.499677211103901</v>
      </c>
      <c r="M6" s="47">
        <v>31.601032924467301</v>
      </c>
      <c r="N6" s="47">
        <v>17.559715945771401</v>
      </c>
      <c r="O6" s="47">
        <v>2.4854744996772098</v>
      </c>
    </row>
    <row r="7" spans="1:15" x14ac:dyDescent="0.25">
      <c r="A7" t="s">
        <v>178</v>
      </c>
      <c r="B7" s="47">
        <v>5371</v>
      </c>
      <c r="C7" s="47">
        <v>322</v>
      </c>
      <c r="D7" s="47">
        <v>871</v>
      </c>
      <c r="E7" s="47">
        <v>1414</v>
      </c>
      <c r="F7" s="47">
        <v>1736</v>
      </c>
      <c r="G7" s="47">
        <v>865</v>
      </c>
      <c r="H7" s="47">
        <v>163</v>
      </c>
      <c r="I7" s="47" t="s">
        <v>113</v>
      </c>
      <c r="J7" s="47">
        <v>5.9951591882331003</v>
      </c>
      <c r="K7" s="47">
        <v>16.2167194191025</v>
      </c>
      <c r="L7" s="47">
        <v>26.326568609197501</v>
      </c>
      <c r="M7" s="47">
        <v>32.321727797430597</v>
      </c>
      <c r="N7" s="47">
        <v>16.105008378328002</v>
      </c>
      <c r="O7" s="47">
        <v>3.0348166077080601</v>
      </c>
    </row>
    <row r="8" spans="1:15" x14ac:dyDescent="0.25">
      <c r="A8" t="s">
        <v>179</v>
      </c>
      <c r="B8" s="47">
        <v>15065</v>
      </c>
      <c r="C8" s="47">
        <v>1218</v>
      </c>
      <c r="D8" s="47">
        <v>2800</v>
      </c>
      <c r="E8" s="47">
        <v>3572</v>
      </c>
      <c r="F8" s="47">
        <v>4313</v>
      </c>
      <c r="G8" s="47">
        <v>2619</v>
      </c>
      <c r="H8" s="47">
        <v>543</v>
      </c>
      <c r="I8" s="47" t="s">
        <v>113</v>
      </c>
      <c r="J8" s="47">
        <v>8.0849651510122804</v>
      </c>
      <c r="K8" s="47">
        <v>18.586126783936201</v>
      </c>
      <c r="L8" s="47">
        <v>23.710587454364401</v>
      </c>
      <c r="M8" s="47">
        <v>28.6292731496846</v>
      </c>
      <c r="N8" s="47">
        <v>17.384666445403202</v>
      </c>
      <c r="O8" s="47">
        <v>3.6043810155990701</v>
      </c>
    </row>
    <row r="9" spans="1:15" x14ac:dyDescent="0.25">
      <c r="A9" t="s">
        <v>180</v>
      </c>
      <c r="B9" s="47">
        <v>2241</v>
      </c>
      <c r="C9" s="47">
        <v>157</v>
      </c>
      <c r="D9" s="47">
        <v>415</v>
      </c>
      <c r="E9" s="47">
        <v>555</v>
      </c>
      <c r="F9" s="47">
        <v>644</v>
      </c>
      <c r="G9" s="47">
        <v>384</v>
      </c>
      <c r="H9" s="47">
        <v>86</v>
      </c>
      <c r="I9" s="47" t="s">
        <v>113</v>
      </c>
      <c r="J9" s="47">
        <v>7.0058009817045903</v>
      </c>
      <c r="K9" s="47">
        <v>18.518518518518501</v>
      </c>
      <c r="L9" s="47">
        <v>24.7657295850066</v>
      </c>
      <c r="M9" s="47">
        <v>28.737170905845598</v>
      </c>
      <c r="N9" s="47">
        <v>17.135207496653202</v>
      </c>
      <c r="O9" s="47">
        <v>3.8375725122712998</v>
      </c>
    </row>
    <row r="10" spans="1:15" x14ac:dyDescent="0.25">
      <c r="A10" t="s">
        <v>181</v>
      </c>
      <c r="B10" s="47">
        <v>4720</v>
      </c>
      <c r="C10" s="47">
        <v>424</v>
      </c>
      <c r="D10" s="47">
        <v>948</v>
      </c>
      <c r="E10" s="47">
        <v>1218</v>
      </c>
      <c r="F10" s="47">
        <v>1357</v>
      </c>
      <c r="G10" s="47">
        <v>672</v>
      </c>
      <c r="H10" s="47">
        <v>101</v>
      </c>
      <c r="I10" s="47" t="s">
        <v>113</v>
      </c>
      <c r="J10" s="47">
        <v>8.9830508474576192</v>
      </c>
      <c r="K10" s="47">
        <v>20.084745762711801</v>
      </c>
      <c r="L10" s="47">
        <v>25.805084745762699</v>
      </c>
      <c r="M10" s="47">
        <v>28.749999999999901</v>
      </c>
      <c r="N10" s="47">
        <v>14.2372881355932</v>
      </c>
      <c r="O10" s="47">
        <v>2.1398305084745699</v>
      </c>
    </row>
    <row r="11" spans="1:15" x14ac:dyDescent="0.25">
      <c r="A11" t="s">
        <v>182</v>
      </c>
      <c r="B11" s="47">
        <v>8453</v>
      </c>
      <c r="C11" s="47">
        <v>566</v>
      </c>
      <c r="D11" s="47">
        <v>1334</v>
      </c>
      <c r="E11" s="47">
        <v>1869</v>
      </c>
      <c r="F11" s="47">
        <v>2757</v>
      </c>
      <c r="G11" s="47">
        <v>1590</v>
      </c>
      <c r="H11" s="47">
        <v>337</v>
      </c>
      <c r="I11" s="47" t="s">
        <v>113</v>
      </c>
      <c r="J11" s="47">
        <v>6.6958476280610402</v>
      </c>
      <c r="K11" s="47">
        <v>15.7813793919318</v>
      </c>
      <c r="L11" s="47">
        <v>22.110493315982399</v>
      </c>
      <c r="M11" s="47">
        <v>32.6156394179581</v>
      </c>
      <c r="N11" s="47">
        <v>18.809889979888698</v>
      </c>
      <c r="O11" s="47">
        <v>3.9867502661776801</v>
      </c>
    </row>
    <row r="12" spans="1:15" x14ac:dyDescent="0.25">
      <c r="A12" t="s">
        <v>183</v>
      </c>
      <c r="B12" s="47">
        <v>127</v>
      </c>
      <c r="C12" s="47">
        <v>10</v>
      </c>
      <c r="D12" s="47">
        <v>29</v>
      </c>
      <c r="E12" s="47">
        <v>31</v>
      </c>
      <c r="F12" s="47">
        <v>34</v>
      </c>
      <c r="G12" s="47">
        <v>16</v>
      </c>
      <c r="H12" s="47">
        <v>7</v>
      </c>
      <c r="I12" s="47" t="s">
        <v>113</v>
      </c>
      <c r="J12" s="47">
        <v>7.8740157480314901</v>
      </c>
      <c r="K12" s="47">
        <v>22.834645669291302</v>
      </c>
      <c r="L12" s="47">
        <v>24.409448818897602</v>
      </c>
      <c r="M12" s="47">
        <v>26.771653543307</v>
      </c>
      <c r="N12" s="47">
        <v>12.5984251968503</v>
      </c>
      <c r="O12" s="47">
        <v>5.5118110236220401</v>
      </c>
    </row>
    <row r="13" spans="1:15" x14ac:dyDescent="0.25">
      <c r="A13" t="s">
        <v>184</v>
      </c>
      <c r="B13" s="47">
        <v>154</v>
      </c>
      <c r="C13" s="47">
        <v>7</v>
      </c>
      <c r="D13" s="47">
        <v>27</v>
      </c>
      <c r="E13" s="47">
        <v>45</v>
      </c>
      <c r="F13" s="47">
        <v>50</v>
      </c>
      <c r="G13" s="47">
        <v>20</v>
      </c>
      <c r="H13" s="47">
        <v>5</v>
      </c>
      <c r="I13" s="47" t="s">
        <v>113</v>
      </c>
      <c r="J13" s="47">
        <v>4.5454545454545396</v>
      </c>
      <c r="K13" s="47">
        <v>17.5324675324675</v>
      </c>
      <c r="L13" s="47">
        <v>29.2207792207792</v>
      </c>
      <c r="M13" s="47">
        <v>32.467532467532401</v>
      </c>
      <c r="N13" s="47">
        <v>12.9870129870129</v>
      </c>
      <c r="O13" s="47">
        <v>3.2467532467532401</v>
      </c>
    </row>
    <row r="14" spans="1:15" x14ac:dyDescent="0.25">
      <c r="A14" t="s">
        <v>185</v>
      </c>
      <c r="B14" s="47">
        <v>4054</v>
      </c>
      <c r="C14" s="47">
        <v>372</v>
      </c>
      <c r="D14" s="47">
        <v>801</v>
      </c>
      <c r="E14" s="47">
        <v>1014</v>
      </c>
      <c r="F14" s="47">
        <v>1161</v>
      </c>
      <c r="G14" s="47">
        <v>590</v>
      </c>
      <c r="H14" s="47">
        <v>116</v>
      </c>
      <c r="I14" s="47" t="s">
        <v>113</v>
      </c>
      <c r="J14" s="47">
        <v>9.1761223482979695</v>
      </c>
      <c r="K14" s="47">
        <v>19.758263443512501</v>
      </c>
      <c r="L14" s="47">
        <v>25.012333497779899</v>
      </c>
      <c r="M14" s="47">
        <v>28.6383818450912</v>
      </c>
      <c r="N14" s="47">
        <v>14.553527380365001</v>
      </c>
      <c r="O14" s="47">
        <v>2.8613714849531302</v>
      </c>
    </row>
    <row r="15" spans="1:15" x14ac:dyDescent="0.25">
      <c r="A15" t="s">
        <v>186</v>
      </c>
      <c r="B15" s="47">
        <v>178</v>
      </c>
      <c r="C15" s="47">
        <v>8</v>
      </c>
      <c r="D15" s="47">
        <v>14</v>
      </c>
      <c r="E15" s="47">
        <v>48</v>
      </c>
      <c r="F15" s="47">
        <v>54</v>
      </c>
      <c r="G15" s="47">
        <v>47</v>
      </c>
      <c r="H15" s="47">
        <v>7</v>
      </c>
      <c r="I15" s="47" t="s">
        <v>113</v>
      </c>
      <c r="J15" s="47">
        <v>4.4943820224719104</v>
      </c>
      <c r="K15" s="47">
        <v>7.8651685393258397</v>
      </c>
      <c r="L15" s="47">
        <v>26.966292134831399</v>
      </c>
      <c r="M15" s="47">
        <v>30.337078651685299</v>
      </c>
      <c r="N15" s="47">
        <v>26.404494382022399</v>
      </c>
      <c r="O15" s="47">
        <v>3.9325842696629199</v>
      </c>
    </row>
    <row r="16" spans="1:15" x14ac:dyDescent="0.25">
      <c r="A16" t="s">
        <v>187</v>
      </c>
      <c r="B16" s="47">
        <v>52878</v>
      </c>
      <c r="C16" s="47">
        <v>4164</v>
      </c>
      <c r="D16" s="47">
        <v>9732</v>
      </c>
      <c r="E16" s="47">
        <v>12881</v>
      </c>
      <c r="F16" s="47">
        <v>15640</v>
      </c>
      <c r="G16" s="47">
        <v>8769</v>
      </c>
      <c r="H16" s="47">
        <v>1692</v>
      </c>
      <c r="I16" s="47" t="s">
        <v>113</v>
      </c>
      <c r="J16" s="47">
        <v>7.8747305117440103</v>
      </c>
      <c r="K16" s="47">
        <v>18.404629524565902</v>
      </c>
      <c r="L16" s="47">
        <v>24.359847195430898</v>
      </c>
      <c r="M16" s="47">
        <v>29.577518060441001</v>
      </c>
      <c r="N16" s="47">
        <v>16.583456257800901</v>
      </c>
      <c r="O16" s="47">
        <v>3.1998184500170201</v>
      </c>
    </row>
    <row r="17" spans="1:15" x14ac:dyDescent="0.25">
      <c r="A17" t="s">
        <v>188</v>
      </c>
      <c r="B17" s="47">
        <v>3524</v>
      </c>
      <c r="C17" s="47">
        <v>364</v>
      </c>
      <c r="D17" s="47">
        <v>755</v>
      </c>
      <c r="E17" s="47">
        <v>861</v>
      </c>
      <c r="F17" s="47">
        <v>949</v>
      </c>
      <c r="G17" s="47">
        <v>493</v>
      </c>
      <c r="H17" s="47">
        <v>102</v>
      </c>
      <c r="I17" s="47" t="s">
        <v>113</v>
      </c>
      <c r="J17" s="47">
        <v>10.329171396140699</v>
      </c>
      <c r="K17" s="47">
        <v>21.4245175936435</v>
      </c>
      <c r="L17" s="47">
        <v>24.432463110102098</v>
      </c>
      <c r="M17" s="47">
        <v>26.929625425652599</v>
      </c>
      <c r="N17" s="47">
        <v>13.989784335981801</v>
      </c>
      <c r="O17" s="47">
        <v>2.8944381384789999</v>
      </c>
    </row>
    <row r="18" spans="1:15" x14ac:dyDescent="0.25">
      <c r="A18" t="s">
        <v>189</v>
      </c>
      <c r="B18" s="47">
        <v>979</v>
      </c>
      <c r="C18" s="47">
        <v>67</v>
      </c>
      <c r="D18" s="47">
        <v>164</v>
      </c>
      <c r="E18" s="47">
        <v>228</v>
      </c>
      <c r="F18" s="47">
        <v>297</v>
      </c>
      <c r="G18" s="47">
        <v>180</v>
      </c>
      <c r="H18" s="47">
        <v>43</v>
      </c>
      <c r="I18" s="47" t="s">
        <v>113</v>
      </c>
      <c r="J18" s="47">
        <v>6.8437180796731303</v>
      </c>
      <c r="K18" s="47">
        <v>16.751787538304299</v>
      </c>
      <c r="L18" s="47">
        <v>23.289070480081701</v>
      </c>
      <c r="M18" s="47">
        <v>30.337078651685299</v>
      </c>
      <c r="N18" s="47">
        <v>18.3861082737487</v>
      </c>
      <c r="O18" s="47">
        <v>4.3922369765066396</v>
      </c>
    </row>
    <row r="19" spans="1:15" x14ac:dyDescent="0.25">
      <c r="A19" t="s">
        <v>190</v>
      </c>
      <c r="B19" s="47">
        <v>1377</v>
      </c>
      <c r="C19" s="47">
        <v>147</v>
      </c>
      <c r="D19" s="47">
        <v>330</v>
      </c>
      <c r="E19" s="47">
        <v>311</v>
      </c>
      <c r="F19" s="47">
        <v>367</v>
      </c>
      <c r="G19" s="47">
        <v>186</v>
      </c>
      <c r="H19" s="47">
        <v>36</v>
      </c>
      <c r="I19" s="47" t="s">
        <v>113</v>
      </c>
      <c r="J19" s="47">
        <v>10.675381263616501</v>
      </c>
      <c r="K19" s="47">
        <v>23.965141612200402</v>
      </c>
      <c r="L19" s="47">
        <v>22.5853304284676</v>
      </c>
      <c r="M19" s="47">
        <v>26.652142338416802</v>
      </c>
      <c r="N19" s="47">
        <v>13.507625272331101</v>
      </c>
      <c r="O19" s="47">
        <v>2.6143790849673199</v>
      </c>
    </row>
    <row r="20" spans="1:15" x14ac:dyDescent="0.25">
      <c r="A20" t="s">
        <v>191</v>
      </c>
      <c r="B20" s="47">
        <v>3315</v>
      </c>
      <c r="C20" s="47">
        <v>288</v>
      </c>
      <c r="D20" s="47">
        <v>745</v>
      </c>
      <c r="E20" s="47">
        <v>854</v>
      </c>
      <c r="F20" s="47">
        <v>906</v>
      </c>
      <c r="G20" s="47">
        <v>460</v>
      </c>
      <c r="H20" s="47">
        <v>62</v>
      </c>
      <c r="I20" s="47" t="s">
        <v>113</v>
      </c>
      <c r="J20" s="47">
        <v>8.68778280542986</v>
      </c>
      <c r="K20" s="47">
        <v>22.473604826546001</v>
      </c>
      <c r="L20" s="47">
        <v>25.761689291101</v>
      </c>
      <c r="M20" s="47">
        <v>27.330316742081401</v>
      </c>
      <c r="N20" s="47">
        <v>13.8763197586727</v>
      </c>
      <c r="O20" s="47">
        <v>1.87028657616892</v>
      </c>
    </row>
    <row r="21" spans="1:15" x14ac:dyDescent="0.25">
      <c r="A21" t="s">
        <v>192</v>
      </c>
      <c r="B21" s="47">
        <v>3134</v>
      </c>
      <c r="C21" s="47">
        <v>230</v>
      </c>
      <c r="D21" s="47">
        <v>608</v>
      </c>
      <c r="E21" s="47">
        <v>754</v>
      </c>
      <c r="F21" s="47">
        <v>952</v>
      </c>
      <c r="G21" s="47">
        <v>489</v>
      </c>
      <c r="H21" s="47">
        <v>101</v>
      </c>
      <c r="I21" s="47" t="s">
        <v>113</v>
      </c>
      <c r="J21" s="47">
        <v>7.3388640714741502</v>
      </c>
      <c r="K21" s="47">
        <v>19.400127632418599</v>
      </c>
      <c r="L21" s="47">
        <v>24.058710912571701</v>
      </c>
      <c r="M21" s="47">
        <v>30.376515634971199</v>
      </c>
      <c r="N21" s="47">
        <v>15.603063178047201</v>
      </c>
      <c r="O21" s="47">
        <v>3.2227185705169101</v>
      </c>
    </row>
    <row r="22" spans="1:15" x14ac:dyDescent="0.25">
      <c r="A22" t="s">
        <v>193</v>
      </c>
      <c r="B22" s="47">
        <v>5389</v>
      </c>
      <c r="C22" s="47">
        <v>310</v>
      </c>
      <c r="D22" s="47">
        <v>888</v>
      </c>
      <c r="E22" s="47">
        <v>1412</v>
      </c>
      <c r="F22" s="47">
        <v>1719</v>
      </c>
      <c r="G22" s="47">
        <v>888</v>
      </c>
      <c r="H22" s="47">
        <v>172</v>
      </c>
      <c r="I22" s="47" t="s">
        <v>113</v>
      </c>
      <c r="J22" s="47">
        <v>5.7524587121915003</v>
      </c>
      <c r="K22" s="47">
        <v>16.478010762664599</v>
      </c>
      <c r="L22" s="47">
        <v>26.201521618110899</v>
      </c>
      <c r="M22" s="47">
        <v>31.898311375023098</v>
      </c>
      <c r="N22" s="47">
        <v>16.478010762664599</v>
      </c>
      <c r="O22" s="47">
        <v>3.19168676934496</v>
      </c>
    </row>
    <row r="23" spans="1:15" x14ac:dyDescent="0.25">
      <c r="A23" t="s">
        <v>194</v>
      </c>
      <c r="B23" s="47">
        <v>14756</v>
      </c>
      <c r="C23" s="47">
        <v>1221</v>
      </c>
      <c r="D23" s="47">
        <v>2807</v>
      </c>
      <c r="E23" s="47">
        <v>3550</v>
      </c>
      <c r="F23" s="47">
        <v>4168</v>
      </c>
      <c r="G23" s="47">
        <v>2518</v>
      </c>
      <c r="H23" s="47">
        <v>492</v>
      </c>
      <c r="I23" s="47" t="s">
        <v>113</v>
      </c>
      <c r="J23" s="47">
        <v>8.2746001626457009</v>
      </c>
      <c r="K23" s="47">
        <v>19.022770398481899</v>
      </c>
      <c r="L23" s="47">
        <v>24.058010300894502</v>
      </c>
      <c r="M23" s="47">
        <v>28.2461371645432</v>
      </c>
      <c r="N23" s="47">
        <v>17.0642450528598</v>
      </c>
      <c r="O23" s="47">
        <v>3.3342369205746798</v>
      </c>
    </row>
    <row r="24" spans="1:15" x14ac:dyDescent="0.25">
      <c r="A24" t="s">
        <v>195</v>
      </c>
      <c r="B24" s="47">
        <v>2266</v>
      </c>
      <c r="C24" s="47">
        <v>173</v>
      </c>
      <c r="D24" s="47">
        <v>426</v>
      </c>
      <c r="E24" s="47">
        <v>568</v>
      </c>
      <c r="F24" s="47">
        <v>601</v>
      </c>
      <c r="G24" s="47">
        <v>397</v>
      </c>
      <c r="H24" s="47">
        <v>101</v>
      </c>
      <c r="I24" s="47" t="s">
        <v>113</v>
      </c>
      <c r="J24" s="47">
        <v>7.6345984112974401</v>
      </c>
      <c r="K24" s="47">
        <v>18.799646954986699</v>
      </c>
      <c r="L24" s="47">
        <v>25.0661959399823</v>
      </c>
      <c r="M24" s="47">
        <v>26.522506619594001</v>
      </c>
      <c r="N24" s="47">
        <v>17.519858781994699</v>
      </c>
      <c r="O24" s="47">
        <v>4.4571932921447397</v>
      </c>
    </row>
    <row r="25" spans="1:15" x14ac:dyDescent="0.25">
      <c r="A25" t="s">
        <v>196</v>
      </c>
      <c r="B25" s="47">
        <v>4499</v>
      </c>
      <c r="C25" s="47">
        <v>355</v>
      </c>
      <c r="D25" s="47">
        <v>955</v>
      </c>
      <c r="E25" s="47">
        <v>1218</v>
      </c>
      <c r="F25" s="47">
        <v>1231</v>
      </c>
      <c r="G25" s="47">
        <v>649</v>
      </c>
      <c r="H25" s="47">
        <v>91</v>
      </c>
      <c r="I25" s="47" t="s">
        <v>113</v>
      </c>
      <c r="J25" s="47">
        <v>7.8906423649699899</v>
      </c>
      <c r="K25" s="47">
        <v>21.2269393198488</v>
      </c>
      <c r="L25" s="47">
        <v>27.072682818404001</v>
      </c>
      <c r="M25" s="47">
        <v>27.3616359190931</v>
      </c>
      <c r="N25" s="47">
        <v>14.425427872860601</v>
      </c>
      <c r="O25" s="47">
        <v>2.0226717048232898</v>
      </c>
    </row>
    <row r="26" spans="1:15" x14ac:dyDescent="0.25">
      <c r="A26" t="s">
        <v>197</v>
      </c>
      <c r="B26" s="47">
        <v>8592</v>
      </c>
      <c r="C26" s="47">
        <v>583</v>
      </c>
      <c r="D26" s="47">
        <v>1363</v>
      </c>
      <c r="E26" s="47">
        <v>1933</v>
      </c>
      <c r="F26" s="47">
        <v>2747</v>
      </c>
      <c r="G26" s="47">
        <v>1636</v>
      </c>
      <c r="H26" s="47">
        <v>330</v>
      </c>
      <c r="I26" s="47" t="s">
        <v>113</v>
      </c>
      <c r="J26" s="47">
        <v>6.7853817504655396</v>
      </c>
      <c r="K26" s="47">
        <v>15.8635940409683</v>
      </c>
      <c r="L26" s="47">
        <v>22.497672253258798</v>
      </c>
      <c r="M26" s="47">
        <v>31.971601489757902</v>
      </c>
      <c r="N26" s="47">
        <v>19.040968342644302</v>
      </c>
      <c r="O26" s="47">
        <v>3.8407821229050199</v>
      </c>
    </row>
    <row r="27" spans="1:15" x14ac:dyDescent="0.25">
      <c r="A27" t="s">
        <v>198</v>
      </c>
      <c r="B27" s="47">
        <v>136</v>
      </c>
      <c r="C27" s="47">
        <v>8</v>
      </c>
      <c r="D27" s="47">
        <v>28</v>
      </c>
      <c r="E27" s="47">
        <v>33</v>
      </c>
      <c r="F27" s="47">
        <v>44</v>
      </c>
      <c r="G27" s="47">
        <v>19</v>
      </c>
      <c r="H27" s="47">
        <v>4</v>
      </c>
      <c r="I27" s="47" t="s">
        <v>113</v>
      </c>
      <c r="J27" s="47">
        <v>5.8823529411764701</v>
      </c>
      <c r="K27" s="47">
        <v>20.588235294117599</v>
      </c>
      <c r="L27" s="47">
        <v>24.264705882352899</v>
      </c>
      <c r="M27" s="47">
        <v>32.352941176470502</v>
      </c>
      <c r="N27" s="47">
        <v>13.9705882352941</v>
      </c>
      <c r="O27" s="47">
        <v>2.9411764705882302</v>
      </c>
    </row>
    <row r="28" spans="1:15" x14ac:dyDescent="0.25">
      <c r="A28" t="s">
        <v>199</v>
      </c>
      <c r="B28" s="47">
        <v>128</v>
      </c>
      <c r="C28" s="47">
        <v>10</v>
      </c>
      <c r="D28" s="47">
        <v>28</v>
      </c>
      <c r="E28" s="47">
        <v>34</v>
      </c>
      <c r="F28" s="47">
        <v>36</v>
      </c>
      <c r="G28" s="47">
        <v>20</v>
      </c>
      <c r="H28" s="47" t="s">
        <v>113</v>
      </c>
      <c r="I28" s="47" t="s">
        <v>113</v>
      </c>
      <c r="J28" s="47">
        <v>7.8125</v>
      </c>
      <c r="K28" s="47">
        <v>21.875</v>
      </c>
      <c r="L28" s="47">
        <v>26.5625</v>
      </c>
      <c r="M28" s="47">
        <v>28.125</v>
      </c>
      <c r="N28" s="47">
        <v>15.625</v>
      </c>
      <c r="O28" s="47" t="s">
        <v>113</v>
      </c>
    </row>
    <row r="29" spans="1:15" x14ac:dyDescent="0.25">
      <c r="A29" t="s">
        <v>200</v>
      </c>
      <c r="B29" s="47">
        <v>3997</v>
      </c>
      <c r="C29" s="47">
        <v>353</v>
      </c>
      <c r="D29" s="47">
        <v>839</v>
      </c>
      <c r="E29" s="47">
        <v>960</v>
      </c>
      <c r="F29" s="47">
        <v>1102</v>
      </c>
      <c r="G29" s="47">
        <v>625</v>
      </c>
      <c r="H29" s="47">
        <v>118</v>
      </c>
      <c r="I29" s="47" t="s">
        <v>113</v>
      </c>
      <c r="J29" s="47">
        <v>8.8316237177883394</v>
      </c>
      <c r="K29" s="47">
        <v>20.990743057292899</v>
      </c>
      <c r="L29" s="47">
        <v>24.018013510132601</v>
      </c>
      <c r="M29" s="47">
        <v>27.570678008506299</v>
      </c>
      <c r="N29" s="47">
        <v>15.6367275456592</v>
      </c>
      <c r="O29" s="47">
        <v>2.9522141606204602</v>
      </c>
    </row>
    <row r="30" spans="1:15" x14ac:dyDescent="0.25">
      <c r="A30" t="s">
        <v>201</v>
      </c>
      <c r="B30" s="47">
        <v>178</v>
      </c>
      <c r="C30" s="47">
        <v>9</v>
      </c>
      <c r="D30" s="47">
        <v>30</v>
      </c>
      <c r="E30" s="47">
        <v>46</v>
      </c>
      <c r="F30" s="47">
        <v>46</v>
      </c>
      <c r="G30" s="47">
        <v>40</v>
      </c>
      <c r="H30" s="47">
        <v>7</v>
      </c>
      <c r="I30" s="47" t="s">
        <v>113</v>
      </c>
      <c r="J30" s="47">
        <v>5.0561797752808904</v>
      </c>
      <c r="K30" s="47">
        <v>16.8539325842696</v>
      </c>
      <c r="L30" s="47">
        <v>25.8426966292134</v>
      </c>
      <c r="M30" s="47">
        <v>25.8426966292134</v>
      </c>
      <c r="N30" s="47">
        <v>22.471910112359499</v>
      </c>
      <c r="O30" s="47">
        <v>3.9325842696629199</v>
      </c>
    </row>
    <row r="31" spans="1:15" x14ac:dyDescent="0.25">
      <c r="A31" t="s">
        <v>202</v>
      </c>
      <c r="B31" s="47">
        <v>52447</v>
      </c>
      <c r="C31" s="47">
        <v>4119</v>
      </c>
      <c r="D31" s="47">
        <v>9978</v>
      </c>
      <c r="E31" s="47">
        <v>12806</v>
      </c>
      <c r="F31" s="47">
        <v>15231</v>
      </c>
      <c r="G31" s="47">
        <v>8640</v>
      </c>
      <c r="H31" s="47">
        <v>1673</v>
      </c>
      <c r="I31" s="47" t="s">
        <v>113</v>
      </c>
      <c r="J31" s="47">
        <v>7.8536427250366998</v>
      </c>
      <c r="K31" s="47">
        <v>19.024920395828101</v>
      </c>
      <c r="L31" s="47">
        <v>24.417030526054798</v>
      </c>
      <c r="M31" s="47">
        <v>29.040745895856698</v>
      </c>
      <c r="N31" s="47">
        <v>16.473773523747699</v>
      </c>
      <c r="O31" s="47">
        <v>3.1898869334756901</v>
      </c>
    </row>
    <row r="32" spans="1:15" x14ac:dyDescent="0.25">
      <c r="A32" t="s">
        <v>203</v>
      </c>
      <c r="B32" s="47">
        <v>3694</v>
      </c>
      <c r="C32" s="47">
        <v>373</v>
      </c>
      <c r="D32" s="47">
        <v>801</v>
      </c>
      <c r="E32" s="47">
        <v>979</v>
      </c>
      <c r="F32" s="47">
        <v>981</v>
      </c>
      <c r="G32" s="47">
        <v>468</v>
      </c>
      <c r="H32" s="47">
        <v>92</v>
      </c>
      <c r="I32" s="47" t="s">
        <v>113</v>
      </c>
      <c r="J32" s="47">
        <v>10.0974553329723</v>
      </c>
      <c r="K32" s="47">
        <v>21.6838115863562</v>
      </c>
      <c r="L32" s="47">
        <v>26.502436383324302</v>
      </c>
      <c r="M32" s="47">
        <v>26.5565782349756</v>
      </c>
      <c r="N32" s="47">
        <v>12.6691932864103</v>
      </c>
      <c r="O32" s="47">
        <v>2.4905251759610101</v>
      </c>
    </row>
    <row r="33" spans="1:15" x14ac:dyDescent="0.25">
      <c r="A33" t="s">
        <v>204</v>
      </c>
      <c r="B33" s="47">
        <v>1095</v>
      </c>
      <c r="C33" s="47">
        <v>68</v>
      </c>
      <c r="D33" s="47">
        <v>168</v>
      </c>
      <c r="E33" s="47">
        <v>240</v>
      </c>
      <c r="F33" s="47">
        <v>344</v>
      </c>
      <c r="G33" s="47">
        <v>229</v>
      </c>
      <c r="H33" s="47">
        <v>46</v>
      </c>
      <c r="I33" s="47" t="s">
        <v>113</v>
      </c>
      <c r="J33" s="47">
        <v>6.2100456621004501</v>
      </c>
      <c r="K33" s="47">
        <v>15.3424657534246</v>
      </c>
      <c r="L33" s="47">
        <v>21.917808219177999</v>
      </c>
      <c r="M33" s="47">
        <v>31.415525114155201</v>
      </c>
      <c r="N33" s="47">
        <v>20.9132420091324</v>
      </c>
      <c r="O33" s="47">
        <v>4.20091324200913</v>
      </c>
    </row>
    <row r="34" spans="1:15" x14ac:dyDescent="0.25">
      <c r="A34" t="s">
        <v>205</v>
      </c>
      <c r="B34" s="47">
        <v>1424</v>
      </c>
      <c r="C34" s="47">
        <v>142</v>
      </c>
      <c r="D34" s="47">
        <v>324</v>
      </c>
      <c r="E34" s="47">
        <v>348</v>
      </c>
      <c r="F34" s="47">
        <v>368</v>
      </c>
      <c r="G34" s="47">
        <v>206</v>
      </c>
      <c r="H34" s="47">
        <v>36</v>
      </c>
      <c r="I34" s="47" t="s">
        <v>113</v>
      </c>
      <c r="J34" s="47">
        <v>9.9719101123595504</v>
      </c>
      <c r="K34" s="47">
        <v>22.752808988763999</v>
      </c>
      <c r="L34" s="47">
        <v>24.438202247191001</v>
      </c>
      <c r="M34" s="47">
        <v>25.8426966292134</v>
      </c>
      <c r="N34" s="47">
        <v>14.4662921348314</v>
      </c>
      <c r="O34" s="47">
        <v>2.5280898876404398</v>
      </c>
    </row>
    <row r="35" spans="1:15" x14ac:dyDescent="0.25">
      <c r="A35" t="s">
        <v>206</v>
      </c>
      <c r="B35" s="47">
        <v>3487</v>
      </c>
      <c r="C35" s="47">
        <v>299</v>
      </c>
      <c r="D35" s="47">
        <v>797</v>
      </c>
      <c r="E35" s="47">
        <v>954</v>
      </c>
      <c r="F35" s="47">
        <v>893</v>
      </c>
      <c r="G35" s="47">
        <v>463</v>
      </c>
      <c r="H35" s="47">
        <v>81</v>
      </c>
      <c r="I35" s="47" t="s">
        <v>113</v>
      </c>
      <c r="J35" s="47">
        <v>8.5747060510467392</v>
      </c>
      <c r="K35" s="47">
        <v>22.856323487238299</v>
      </c>
      <c r="L35" s="47">
        <v>27.3587611127043</v>
      </c>
      <c r="M35" s="47">
        <v>25.6094063665041</v>
      </c>
      <c r="N35" s="47">
        <v>13.2778893031258</v>
      </c>
      <c r="O35" s="47">
        <v>2.3229136793805498</v>
      </c>
    </row>
    <row r="36" spans="1:15" x14ac:dyDescent="0.25">
      <c r="A36" t="s">
        <v>207</v>
      </c>
      <c r="B36" s="47">
        <v>3185</v>
      </c>
      <c r="C36" s="47">
        <v>243</v>
      </c>
      <c r="D36" s="47">
        <v>592</v>
      </c>
      <c r="E36" s="47">
        <v>819</v>
      </c>
      <c r="F36" s="47">
        <v>912</v>
      </c>
      <c r="G36" s="47">
        <v>533</v>
      </c>
      <c r="H36" s="47">
        <v>86</v>
      </c>
      <c r="I36" s="47" t="s">
        <v>113</v>
      </c>
      <c r="J36" s="47">
        <v>7.6295133437990499</v>
      </c>
      <c r="K36" s="47">
        <v>18.587127158555699</v>
      </c>
      <c r="L36" s="47">
        <v>25.714285714285701</v>
      </c>
      <c r="M36" s="47">
        <v>28.634222919937201</v>
      </c>
      <c r="N36" s="47">
        <v>16.734693877550999</v>
      </c>
      <c r="O36" s="47">
        <v>2.7001569858712702</v>
      </c>
    </row>
    <row r="37" spans="1:15" x14ac:dyDescent="0.25">
      <c r="A37" t="s">
        <v>208</v>
      </c>
      <c r="B37" s="47">
        <v>5887</v>
      </c>
      <c r="C37" s="47">
        <v>355</v>
      </c>
      <c r="D37" s="47">
        <v>946</v>
      </c>
      <c r="E37" s="47">
        <v>1631</v>
      </c>
      <c r="F37" s="47">
        <v>1791</v>
      </c>
      <c r="G37" s="47">
        <v>994</v>
      </c>
      <c r="H37" s="47">
        <v>170</v>
      </c>
      <c r="I37" s="47" t="s">
        <v>113</v>
      </c>
      <c r="J37" s="47">
        <v>6.0302361134703499</v>
      </c>
      <c r="K37" s="47">
        <v>16.0693052488534</v>
      </c>
      <c r="L37" s="47">
        <v>27.7051129607609</v>
      </c>
      <c r="M37" s="47">
        <v>30.422965856972901</v>
      </c>
      <c r="N37" s="47">
        <v>16.884661117716998</v>
      </c>
      <c r="O37" s="47">
        <v>2.8877187022252402</v>
      </c>
    </row>
    <row r="38" spans="1:15" x14ac:dyDescent="0.25">
      <c r="A38" t="s">
        <v>209</v>
      </c>
      <c r="B38" s="47">
        <v>15151</v>
      </c>
      <c r="C38" s="47">
        <v>1146</v>
      </c>
      <c r="D38" s="47">
        <v>2869</v>
      </c>
      <c r="E38" s="47">
        <v>3779</v>
      </c>
      <c r="F38" s="47">
        <v>4102</v>
      </c>
      <c r="G38" s="47">
        <v>2737</v>
      </c>
      <c r="H38" s="47">
        <v>518</v>
      </c>
      <c r="I38" s="47" t="s">
        <v>113</v>
      </c>
      <c r="J38" s="47">
        <v>7.5638571711438098</v>
      </c>
      <c r="K38" s="47">
        <v>18.93604382549</v>
      </c>
      <c r="L38" s="47">
        <v>24.942248036433199</v>
      </c>
      <c r="M38" s="47">
        <v>27.074120520097601</v>
      </c>
      <c r="N38" s="47">
        <v>18.0648142036829</v>
      </c>
      <c r="O38" s="47">
        <v>3.4189162431522599</v>
      </c>
    </row>
    <row r="39" spans="1:15" x14ac:dyDescent="0.25">
      <c r="A39" t="s">
        <v>210</v>
      </c>
      <c r="B39" s="47">
        <v>2242</v>
      </c>
      <c r="C39" s="47">
        <v>154</v>
      </c>
      <c r="D39" s="47">
        <v>416</v>
      </c>
      <c r="E39" s="47">
        <v>579</v>
      </c>
      <c r="F39" s="47">
        <v>615</v>
      </c>
      <c r="G39" s="47">
        <v>386</v>
      </c>
      <c r="H39" s="47">
        <v>92</v>
      </c>
      <c r="I39" s="47" t="s">
        <v>113</v>
      </c>
      <c r="J39" s="47">
        <v>6.8688670829616401</v>
      </c>
      <c r="K39" s="47">
        <v>18.554861730597601</v>
      </c>
      <c r="L39" s="47">
        <v>25.825156110615499</v>
      </c>
      <c r="M39" s="47">
        <v>27.430865298840299</v>
      </c>
      <c r="N39" s="47">
        <v>17.216770740410301</v>
      </c>
      <c r="O39" s="47">
        <v>4.1034790365744804</v>
      </c>
    </row>
    <row r="40" spans="1:15" x14ac:dyDescent="0.25">
      <c r="A40" t="s">
        <v>211</v>
      </c>
      <c r="B40" s="47">
        <v>4846</v>
      </c>
      <c r="C40" s="47">
        <v>420</v>
      </c>
      <c r="D40" s="47">
        <v>1024</v>
      </c>
      <c r="E40" s="47">
        <v>1322</v>
      </c>
      <c r="F40" s="47">
        <v>1268</v>
      </c>
      <c r="G40" s="47">
        <v>693</v>
      </c>
      <c r="H40" s="47">
        <v>119</v>
      </c>
      <c r="I40" s="47" t="s">
        <v>113</v>
      </c>
      <c r="J40" s="47">
        <v>8.6669418076764302</v>
      </c>
      <c r="K40" s="47">
        <v>21.130829550144401</v>
      </c>
      <c r="L40" s="47">
        <v>27.280231118448199</v>
      </c>
      <c r="M40" s="47">
        <v>26.165910028889801</v>
      </c>
      <c r="N40" s="47">
        <v>14.300453982666101</v>
      </c>
      <c r="O40" s="47">
        <v>2.4556335121749799</v>
      </c>
    </row>
    <row r="41" spans="1:15" x14ac:dyDescent="0.25">
      <c r="A41" t="s">
        <v>212</v>
      </c>
      <c r="B41" s="47">
        <v>8833</v>
      </c>
      <c r="C41" s="47">
        <v>570</v>
      </c>
      <c r="D41" s="47">
        <v>1409</v>
      </c>
      <c r="E41" s="47">
        <v>2049</v>
      </c>
      <c r="F41" s="47">
        <v>2706</v>
      </c>
      <c r="G41" s="47">
        <v>1742</v>
      </c>
      <c r="H41" s="47">
        <v>356</v>
      </c>
      <c r="I41" s="47">
        <v>1</v>
      </c>
      <c r="J41" s="47">
        <v>6.4538043478260798</v>
      </c>
      <c r="K41" s="47">
        <v>15.953351449275299</v>
      </c>
      <c r="L41" s="47">
        <v>23.199728260869499</v>
      </c>
      <c r="M41" s="47">
        <v>30.638586956521699</v>
      </c>
      <c r="N41" s="47">
        <v>19.723731884057901</v>
      </c>
      <c r="O41" s="47">
        <v>4.0307971014492701</v>
      </c>
    </row>
    <row r="42" spans="1:15" x14ac:dyDescent="0.25">
      <c r="A42" t="s">
        <v>213</v>
      </c>
      <c r="B42" s="47">
        <v>140</v>
      </c>
      <c r="C42" s="47">
        <v>2</v>
      </c>
      <c r="D42" s="47">
        <v>22</v>
      </c>
      <c r="E42" s="47">
        <v>42</v>
      </c>
      <c r="F42" s="47">
        <v>49</v>
      </c>
      <c r="G42" s="47">
        <v>23</v>
      </c>
      <c r="H42" s="47">
        <v>2</v>
      </c>
      <c r="I42" s="47" t="s">
        <v>113</v>
      </c>
      <c r="J42" s="47">
        <v>1.4285714285714199</v>
      </c>
      <c r="K42" s="47">
        <v>15.714285714285699</v>
      </c>
      <c r="L42" s="47">
        <v>30</v>
      </c>
      <c r="M42" s="47">
        <v>35</v>
      </c>
      <c r="N42" s="47">
        <v>16.428571428571399</v>
      </c>
      <c r="O42" s="47">
        <v>1.4285714285714199</v>
      </c>
    </row>
    <row r="43" spans="1:15" x14ac:dyDescent="0.25">
      <c r="A43" t="s">
        <v>214</v>
      </c>
      <c r="B43" s="47">
        <v>163</v>
      </c>
      <c r="C43" s="47">
        <v>9</v>
      </c>
      <c r="D43" s="47">
        <v>27</v>
      </c>
      <c r="E43" s="47">
        <v>57</v>
      </c>
      <c r="F43" s="47">
        <v>35</v>
      </c>
      <c r="G43" s="47">
        <v>31</v>
      </c>
      <c r="H43" s="47">
        <v>4</v>
      </c>
      <c r="I43" s="47" t="s">
        <v>113</v>
      </c>
      <c r="J43" s="47">
        <v>5.5214723926380298</v>
      </c>
      <c r="K43" s="47">
        <v>16.564417177914098</v>
      </c>
      <c r="L43" s="47">
        <v>34.9693251533742</v>
      </c>
      <c r="M43" s="47">
        <v>21.472392638036801</v>
      </c>
      <c r="N43" s="47">
        <v>19.018404907975398</v>
      </c>
      <c r="O43" s="47">
        <v>2.45398773006134</v>
      </c>
    </row>
    <row r="44" spans="1:15" x14ac:dyDescent="0.25">
      <c r="A44" t="s">
        <v>215</v>
      </c>
      <c r="B44" s="47">
        <v>3913</v>
      </c>
      <c r="C44" s="47">
        <v>359</v>
      </c>
      <c r="D44" s="47">
        <v>828</v>
      </c>
      <c r="E44" s="47">
        <v>997</v>
      </c>
      <c r="F44" s="47">
        <v>1040</v>
      </c>
      <c r="G44" s="47">
        <v>568</v>
      </c>
      <c r="H44" s="47">
        <v>121</v>
      </c>
      <c r="I44" s="47" t="s">
        <v>113</v>
      </c>
      <c r="J44" s="47">
        <v>9.1745463838487105</v>
      </c>
      <c r="K44" s="47">
        <v>21.160235113723399</v>
      </c>
      <c r="L44" s="47">
        <v>25.479171990799799</v>
      </c>
      <c r="M44" s="47">
        <v>26.578073089701</v>
      </c>
      <c r="N44" s="47">
        <v>14.5157168412982</v>
      </c>
      <c r="O44" s="47">
        <v>3.0922565806286699</v>
      </c>
    </row>
    <row r="45" spans="1:15" x14ac:dyDescent="0.25">
      <c r="A45" t="s">
        <v>216</v>
      </c>
      <c r="B45" s="47">
        <v>240</v>
      </c>
      <c r="C45" s="47">
        <v>16</v>
      </c>
      <c r="D45" s="47">
        <v>31</v>
      </c>
      <c r="E45" s="47">
        <v>60</v>
      </c>
      <c r="F45" s="47">
        <v>68</v>
      </c>
      <c r="G45" s="47">
        <v>59</v>
      </c>
      <c r="H45" s="47">
        <v>6</v>
      </c>
      <c r="I45" s="47" t="s">
        <v>113</v>
      </c>
      <c r="J45" s="47">
        <v>6.6666666666666599</v>
      </c>
      <c r="K45" s="47">
        <v>12.9166666666666</v>
      </c>
      <c r="L45" s="47">
        <v>25</v>
      </c>
      <c r="M45" s="47">
        <v>28.3333333333333</v>
      </c>
      <c r="N45" s="47">
        <v>24.5833333333333</v>
      </c>
      <c r="O45" s="47">
        <v>2.5</v>
      </c>
    </row>
    <row r="46" spans="1:15" x14ac:dyDescent="0.25">
      <c r="A46" t="s">
        <v>217</v>
      </c>
      <c r="B46" s="47">
        <v>54467</v>
      </c>
      <c r="C46" s="47">
        <v>4156</v>
      </c>
      <c r="D46" s="47">
        <v>10271</v>
      </c>
      <c r="E46" s="47">
        <v>13891</v>
      </c>
      <c r="F46" s="47">
        <v>15240</v>
      </c>
      <c r="G46" s="47">
        <v>9173</v>
      </c>
      <c r="H46" s="47">
        <v>1735</v>
      </c>
      <c r="I46" s="47">
        <v>1</v>
      </c>
      <c r="J46" s="47">
        <v>7.6304483531010101</v>
      </c>
      <c r="K46" s="47">
        <v>18.857635956376399</v>
      </c>
      <c r="L46" s="47">
        <v>25.503984136892701</v>
      </c>
      <c r="M46" s="47">
        <v>27.980758638416599</v>
      </c>
      <c r="N46" s="47">
        <v>16.8416994088054</v>
      </c>
      <c r="O46" s="47">
        <v>3.1854735064076598</v>
      </c>
    </row>
    <row r="47" spans="1:15" x14ac:dyDescent="0.25">
      <c r="A47" t="s">
        <v>218</v>
      </c>
      <c r="B47" s="47">
        <v>3761</v>
      </c>
      <c r="C47" s="47">
        <v>370</v>
      </c>
      <c r="D47" s="47">
        <v>820</v>
      </c>
      <c r="E47" s="47">
        <v>991</v>
      </c>
      <c r="F47" s="47">
        <v>919</v>
      </c>
      <c r="G47" s="47">
        <v>569</v>
      </c>
      <c r="H47" s="47">
        <v>92</v>
      </c>
      <c r="I47" s="47" t="s">
        <v>113</v>
      </c>
      <c r="J47" s="47">
        <v>9.8378090933262392</v>
      </c>
      <c r="K47" s="47">
        <v>21.802712044668901</v>
      </c>
      <c r="L47" s="47">
        <v>26.3493751661792</v>
      </c>
      <c r="M47" s="47">
        <v>24.434990693964298</v>
      </c>
      <c r="N47" s="47">
        <v>15.1289550651422</v>
      </c>
      <c r="O47" s="47">
        <v>2.4461579367189499</v>
      </c>
    </row>
    <row r="48" spans="1:15" x14ac:dyDescent="0.25">
      <c r="A48" t="s">
        <v>219</v>
      </c>
      <c r="B48" s="47">
        <v>1132</v>
      </c>
      <c r="C48" s="47">
        <v>80</v>
      </c>
      <c r="D48" s="47">
        <v>183</v>
      </c>
      <c r="E48" s="47">
        <v>278</v>
      </c>
      <c r="F48" s="47">
        <v>319</v>
      </c>
      <c r="G48" s="47">
        <v>230</v>
      </c>
      <c r="H48" s="47">
        <v>42</v>
      </c>
      <c r="I48" s="47" t="s">
        <v>113</v>
      </c>
      <c r="J48" s="47">
        <v>7.0671378091872796</v>
      </c>
      <c r="K48" s="47">
        <v>16.166077738515899</v>
      </c>
      <c r="L48" s="47">
        <v>24.5583038869257</v>
      </c>
      <c r="M48" s="47">
        <v>28.180212014134199</v>
      </c>
      <c r="N48" s="47">
        <v>20.318021201413401</v>
      </c>
      <c r="O48" s="47">
        <v>3.7102473498233199</v>
      </c>
    </row>
    <row r="49" spans="1:15" x14ac:dyDescent="0.25">
      <c r="A49" t="s">
        <v>220</v>
      </c>
      <c r="B49" s="47">
        <v>1437</v>
      </c>
      <c r="C49" s="47">
        <v>122</v>
      </c>
      <c r="D49" s="47">
        <v>318</v>
      </c>
      <c r="E49" s="47">
        <v>398</v>
      </c>
      <c r="F49" s="47">
        <v>342</v>
      </c>
      <c r="G49" s="47">
        <v>205</v>
      </c>
      <c r="H49" s="47">
        <v>52</v>
      </c>
      <c r="I49" s="47" t="s">
        <v>113</v>
      </c>
      <c r="J49" s="47">
        <v>8.4899095337508701</v>
      </c>
      <c r="K49" s="47">
        <v>22.129436325678402</v>
      </c>
      <c r="L49" s="47">
        <v>27.696590118302002</v>
      </c>
      <c r="M49" s="47">
        <v>23.799582463465502</v>
      </c>
      <c r="N49" s="47">
        <v>14.265831593597699</v>
      </c>
      <c r="O49" s="47">
        <v>3.6186499652052802</v>
      </c>
    </row>
    <row r="50" spans="1:15" x14ac:dyDescent="0.25">
      <c r="A50" t="s">
        <v>221</v>
      </c>
      <c r="B50" s="47">
        <v>3672</v>
      </c>
      <c r="C50" s="47">
        <v>334</v>
      </c>
      <c r="D50" s="47">
        <v>762</v>
      </c>
      <c r="E50" s="47">
        <v>1055</v>
      </c>
      <c r="F50" s="47">
        <v>913</v>
      </c>
      <c r="G50" s="47">
        <v>502</v>
      </c>
      <c r="H50" s="47">
        <v>106</v>
      </c>
      <c r="I50" s="47" t="s">
        <v>113</v>
      </c>
      <c r="J50" s="47">
        <v>9.0958605664488008</v>
      </c>
      <c r="K50" s="47">
        <v>20.751633986928098</v>
      </c>
      <c r="L50" s="47">
        <v>28.730936819172101</v>
      </c>
      <c r="M50" s="47">
        <v>24.863834422657899</v>
      </c>
      <c r="N50" s="47">
        <v>13.6710239651416</v>
      </c>
      <c r="O50" s="47">
        <v>2.8867102396514102</v>
      </c>
    </row>
    <row r="51" spans="1:15" x14ac:dyDescent="0.25">
      <c r="A51" t="s">
        <v>222</v>
      </c>
      <c r="B51" s="47">
        <v>3286</v>
      </c>
      <c r="C51" s="47">
        <v>257</v>
      </c>
      <c r="D51" s="47">
        <v>600</v>
      </c>
      <c r="E51" s="47">
        <v>868</v>
      </c>
      <c r="F51" s="47">
        <v>881</v>
      </c>
      <c r="G51" s="47">
        <v>573</v>
      </c>
      <c r="H51" s="47">
        <v>107</v>
      </c>
      <c r="I51" s="47" t="s">
        <v>113</v>
      </c>
      <c r="J51" s="47">
        <v>7.8210590383444902</v>
      </c>
      <c r="K51" s="47">
        <v>18.2592818015824</v>
      </c>
      <c r="L51" s="47">
        <v>26.415094339622598</v>
      </c>
      <c r="M51" s="47">
        <v>26.810712111990199</v>
      </c>
      <c r="N51" s="47">
        <v>17.437614120511199</v>
      </c>
      <c r="O51" s="47">
        <v>3.2562385879488698</v>
      </c>
    </row>
    <row r="52" spans="1:15" x14ac:dyDescent="0.25">
      <c r="A52" t="s">
        <v>223</v>
      </c>
      <c r="B52" s="47">
        <v>6080</v>
      </c>
      <c r="C52" s="47">
        <v>346</v>
      </c>
      <c r="D52" s="47">
        <v>1062</v>
      </c>
      <c r="E52" s="47">
        <v>1640</v>
      </c>
      <c r="F52" s="47">
        <v>1772</v>
      </c>
      <c r="G52" s="47">
        <v>1048</v>
      </c>
      <c r="H52" s="47">
        <v>212</v>
      </c>
      <c r="I52" s="47" t="s">
        <v>113</v>
      </c>
      <c r="J52" s="47">
        <v>5.6907894736842097</v>
      </c>
      <c r="K52" s="47">
        <v>17.467105263157801</v>
      </c>
      <c r="L52" s="47">
        <v>26.973684210526301</v>
      </c>
      <c r="M52" s="47">
        <v>29.1447368421052</v>
      </c>
      <c r="N52" s="47">
        <v>17.236842105263101</v>
      </c>
      <c r="O52" s="47">
        <v>3.48684210526315</v>
      </c>
    </row>
    <row r="53" spans="1:15" x14ac:dyDescent="0.25">
      <c r="A53" t="s">
        <v>224</v>
      </c>
      <c r="B53" s="47">
        <v>15970</v>
      </c>
      <c r="C53" s="47">
        <v>1153</v>
      </c>
      <c r="D53" s="47">
        <v>3126</v>
      </c>
      <c r="E53" s="47">
        <v>4104</v>
      </c>
      <c r="F53" s="47">
        <v>4238</v>
      </c>
      <c r="G53" s="47">
        <v>2773</v>
      </c>
      <c r="H53" s="47">
        <v>576</v>
      </c>
      <c r="I53" s="47" t="s">
        <v>113</v>
      </c>
      <c r="J53" s="47">
        <v>7.2197871008140204</v>
      </c>
      <c r="K53" s="47">
        <v>19.574201628052599</v>
      </c>
      <c r="L53" s="47">
        <v>25.698184095178402</v>
      </c>
      <c r="M53" s="47">
        <v>26.5372573575453</v>
      </c>
      <c r="N53" s="47">
        <v>17.363807138384399</v>
      </c>
      <c r="O53" s="47">
        <v>3.6067626800250401</v>
      </c>
    </row>
    <row r="54" spans="1:15" x14ac:dyDescent="0.25">
      <c r="A54" t="s">
        <v>225</v>
      </c>
      <c r="B54" s="47">
        <v>2401</v>
      </c>
      <c r="C54" s="47">
        <v>185</v>
      </c>
      <c r="D54" s="47">
        <v>476</v>
      </c>
      <c r="E54" s="47">
        <v>657</v>
      </c>
      <c r="F54" s="47">
        <v>587</v>
      </c>
      <c r="G54" s="47">
        <v>399</v>
      </c>
      <c r="H54" s="47">
        <v>97</v>
      </c>
      <c r="I54" s="47" t="s">
        <v>113</v>
      </c>
      <c r="J54" s="47">
        <v>7.7051228654727204</v>
      </c>
      <c r="K54" s="47">
        <v>19.825072886297299</v>
      </c>
      <c r="L54" s="47">
        <v>27.3635985006247</v>
      </c>
      <c r="M54" s="47">
        <v>24.448146605581002</v>
      </c>
      <c r="N54" s="47">
        <v>16.6180758017492</v>
      </c>
      <c r="O54" s="47">
        <v>4.0399833402748797</v>
      </c>
    </row>
    <row r="55" spans="1:15" x14ac:dyDescent="0.25">
      <c r="A55" t="s">
        <v>226</v>
      </c>
      <c r="B55" s="47">
        <v>4781</v>
      </c>
      <c r="C55" s="47">
        <v>400</v>
      </c>
      <c r="D55" s="47">
        <v>974</v>
      </c>
      <c r="E55" s="47">
        <v>1373</v>
      </c>
      <c r="F55" s="47">
        <v>1220</v>
      </c>
      <c r="G55" s="47">
        <v>694</v>
      </c>
      <c r="H55" s="47">
        <v>120</v>
      </c>
      <c r="I55" s="47" t="s">
        <v>113</v>
      </c>
      <c r="J55" s="47">
        <v>8.3664505333612205</v>
      </c>
      <c r="K55" s="47">
        <v>20.372307048734498</v>
      </c>
      <c r="L55" s="47">
        <v>28.717841455762301</v>
      </c>
      <c r="M55" s="47">
        <v>25.5176741267517</v>
      </c>
      <c r="N55" s="47">
        <v>14.515791675381699</v>
      </c>
      <c r="O55" s="47">
        <v>2.5099351600083599</v>
      </c>
    </row>
    <row r="56" spans="1:15" x14ac:dyDescent="0.25">
      <c r="A56" t="s">
        <v>227</v>
      </c>
      <c r="B56" s="47">
        <v>9570</v>
      </c>
      <c r="C56" s="47">
        <v>594</v>
      </c>
      <c r="D56" s="47">
        <v>1569</v>
      </c>
      <c r="E56" s="47">
        <v>2245</v>
      </c>
      <c r="F56" s="47">
        <v>2804</v>
      </c>
      <c r="G56" s="47">
        <v>1959</v>
      </c>
      <c r="H56" s="47">
        <v>399</v>
      </c>
      <c r="I56" s="47" t="s">
        <v>113</v>
      </c>
      <c r="J56" s="47">
        <v>6.2068965517241299</v>
      </c>
      <c r="K56" s="47">
        <v>16.3949843260188</v>
      </c>
      <c r="L56" s="47">
        <v>23.458725182863098</v>
      </c>
      <c r="M56" s="47">
        <v>29.299895506792001</v>
      </c>
      <c r="N56" s="47">
        <v>20.470219435736599</v>
      </c>
      <c r="O56" s="47">
        <v>4.1692789968652004</v>
      </c>
    </row>
    <row r="57" spans="1:15" x14ac:dyDescent="0.25">
      <c r="A57" t="s">
        <v>228</v>
      </c>
      <c r="B57" s="47">
        <v>133</v>
      </c>
      <c r="C57" s="47">
        <v>13</v>
      </c>
      <c r="D57" s="47">
        <v>26</v>
      </c>
      <c r="E57" s="47">
        <v>31</v>
      </c>
      <c r="F57" s="47">
        <v>36</v>
      </c>
      <c r="G57" s="47">
        <v>20</v>
      </c>
      <c r="H57" s="47">
        <v>7</v>
      </c>
      <c r="I57" s="47" t="s">
        <v>113</v>
      </c>
      <c r="J57" s="47">
        <v>9.77443609022556</v>
      </c>
      <c r="K57" s="47">
        <v>19.548872180451099</v>
      </c>
      <c r="L57" s="47">
        <v>23.308270676691698</v>
      </c>
      <c r="M57" s="47">
        <v>27.067669172932298</v>
      </c>
      <c r="N57" s="47">
        <v>15.037593984962401</v>
      </c>
      <c r="O57" s="47">
        <v>5.2631578947368398</v>
      </c>
    </row>
    <row r="58" spans="1:15" x14ac:dyDescent="0.25">
      <c r="A58" t="s">
        <v>229</v>
      </c>
      <c r="B58" s="47">
        <v>131</v>
      </c>
      <c r="C58" s="47">
        <v>7</v>
      </c>
      <c r="D58" s="47">
        <v>19</v>
      </c>
      <c r="E58" s="47">
        <v>33</v>
      </c>
      <c r="F58" s="47">
        <v>41</v>
      </c>
      <c r="G58" s="47">
        <v>26</v>
      </c>
      <c r="H58" s="47">
        <v>5</v>
      </c>
      <c r="I58" s="47" t="s">
        <v>113</v>
      </c>
      <c r="J58" s="47">
        <v>5.3435114503816701</v>
      </c>
      <c r="K58" s="47">
        <v>14.503816793893099</v>
      </c>
      <c r="L58" s="47">
        <v>25.1908396946564</v>
      </c>
      <c r="M58" s="47">
        <v>31.297709923664101</v>
      </c>
      <c r="N58" s="47">
        <v>19.847328244274799</v>
      </c>
      <c r="O58" s="47">
        <v>3.8167938931297698</v>
      </c>
    </row>
    <row r="59" spans="1:15" x14ac:dyDescent="0.25">
      <c r="A59" t="s">
        <v>230</v>
      </c>
      <c r="B59" s="47">
        <v>4651</v>
      </c>
      <c r="C59" s="47">
        <v>371</v>
      </c>
      <c r="D59" s="47">
        <v>962</v>
      </c>
      <c r="E59" s="47">
        <v>1273</v>
      </c>
      <c r="F59" s="47">
        <v>1170</v>
      </c>
      <c r="G59" s="47">
        <v>746</v>
      </c>
      <c r="H59" s="47">
        <v>129</v>
      </c>
      <c r="I59" s="47" t="s">
        <v>113</v>
      </c>
      <c r="J59" s="47">
        <v>7.9767791872715499</v>
      </c>
      <c r="K59" s="47">
        <v>20.6837239303375</v>
      </c>
      <c r="L59" s="47">
        <v>27.370457966028798</v>
      </c>
      <c r="M59" s="47">
        <v>25.1558804558159</v>
      </c>
      <c r="N59" s="47">
        <v>16.039561384648401</v>
      </c>
      <c r="O59" s="47">
        <v>2.77359707589765</v>
      </c>
    </row>
    <row r="60" spans="1:15" x14ac:dyDescent="0.25">
      <c r="A60" t="s">
        <v>231</v>
      </c>
      <c r="B60" s="47">
        <v>217</v>
      </c>
      <c r="C60" s="47">
        <v>10</v>
      </c>
      <c r="D60" s="47">
        <v>27</v>
      </c>
      <c r="E60" s="47">
        <v>61</v>
      </c>
      <c r="F60" s="47">
        <v>67</v>
      </c>
      <c r="G60" s="47">
        <v>45</v>
      </c>
      <c r="H60" s="47">
        <v>7</v>
      </c>
      <c r="I60" s="47" t="s">
        <v>113</v>
      </c>
      <c r="J60" s="47">
        <v>4.6082949308755703</v>
      </c>
      <c r="K60" s="47">
        <v>12.442396313364</v>
      </c>
      <c r="L60" s="47">
        <v>28.110599078341</v>
      </c>
      <c r="M60" s="47">
        <v>30.875576036866299</v>
      </c>
      <c r="N60" s="47">
        <v>20.73732718894</v>
      </c>
      <c r="O60" s="47">
        <v>3.2258064516128999</v>
      </c>
    </row>
    <row r="61" spans="1:15" x14ac:dyDescent="0.25">
      <c r="A61" t="s">
        <v>232</v>
      </c>
      <c r="B61" s="47">
        <v>57358</v>
      </c>
      <c r="C61" s="47">
        <v>4243</v>
      </c>
      <c r="D61" s="47">
        <v>10936</v>
      </c>
      <c r="E61" s="47">
        <v>15046</v>
      </c>
      <c r="F61" s="47">
        <v>15353</v>
      </c>
      <c r="G61" s="47">
        <v>9823</v>
      </c>
      <c r="H61" s="47">
        <v>1957</v>
      </c>
      <c r="I61" s="47" t="s">
        <v>113</v>
      </c>
      <c r="J61" s="47">
        <v>7.39739879354231</v>
      </c>
      <c r="K61" s="47">
        <v>19.066215697897398</v>
      </c>
      <c r="L61" s="47">
        <v>26.231737508281299</v>
      </c>
      <c r="M61" s="47">
        <v>26.7669723491056</v>
      </c>
      <c r="N61" s="47">
        <v>17.125771470413799</v>
      </c>
      <c r="O61" s="47">
        <v>3.4119041807594401</v>
      </c>
    </row>
    <row r="62" spans="1:15" x14ac:dyDescent="0.25">
      <c r="A62" t="s">
        <v>233</v>
      </c>
      <c r="B62" s="47">
        <v>3778</v>
      </c>
      <c r="C62" s="47">
        <v>368</v>
      </c>
      <c r="D62" s="47">
        <v>841</v>
      </c>
      <c r="E62" s="47">
        <v>1017</v>
      </c>
      <c r="F62" s="47">
        <v>889</v>
      </c>
      <c r="G62" s="47">
        <v>552</v>
      </c>
      <c r="H62" s="47">
        <v>111</v>
      </c>
      <c r="I62" s="47" t="s">
        <v>113</v>
      </c>
      <c r="J62" s="47">
        <v>9.7406034939121202</v>
      </c>
      <c r="K62" s="47">
        <v>22.2604552673372</v>
      </c>
      <c r="L62" s="47">
        <v>26.919004764425601</v>
      </c>
      <c r="M62" s="47">
        <v>23.530968766543101</v>
      </c>
      <c r="N62" s="47">
        <v>14.610905240868099</v>
      </c>
      <c r="O62" s="47">
        <v>2.9380624669137099</v>
      </c>
    </row>
    <row r="63" spans="1:15" x14ac:dyDescent="0.25">
      <c r="A63" t="s">
        <v>234</v>
      </c>
      <c r="B63" s="47">
        <v>1190</v>
      </c>
      <c r="C63" s="47">
        <v>70</v>
      </c>
      <c r="D63" s="47">
        <v>193</v>
      </c>
      <c r="E63" s="47">
        <v>296</v>
      </c>
      <c r="F63" s="47">
        <v>341</v>
      </c>
      <c r="G63" s="47">
        <v>234</v>
      </c>
      <c r="H63" s="47">
        <v>56</v>
      </c>
      <c r="I63" s="47" t="s">
        <v>113</v>
      </c>
      <c r="J63" s="47">
        <v>5.8823529411764701</v>
      </c>
      <c r="K63" s="47">
        <v>16.218487394957901</v>
      </c>
      <c r="L63" s="47">
        <v>24.873949579831901</v>
      </c>
      <c r="M63" s="47">
        <v>28.655462184873901</v>
      </c>
      <c r="N63" s="47">
        <v>19.6638655462184</v>
      </c>
      <c r="O63" s="47">
        <v>4.7058823529411704</v>
      </c>
    </row>
    <row r="64" spans="1:15" x14ac:dyDescent="0.25">
      <c r="A64" t="s">
        <v>235</v>
      </c>
      <c r="B64" s="47">
        <v>1391</v>
      </c>
      <c r="C64" s="47">
        <v>137</v>
      </c>
      <c r="D64" s="47">
        <v>305</v>
      </c>
      <c r="E64" s="47">
        <v>395</v>
      </c>
      <c r="F64" s="47">
        <v>316</v>
      </c>
      <c r="G64" s="47">
        <v>198</v>
      </c>
      <c r="H64" s="47">
        <v>40</v>
      </c>
      <c r="I64" s="47" t="s">
        <v>113</v>
      </c>
      <c r="J64" s="47">
        <v>9.8490294751976997</v>
      </c>
      <c r="K64" s="47">
        <v>21.926671459381701</v>
      </c>
      <c r="L64" s="47">
        <v>28.396836808051699</v>
      </c>
      <c r="M64" s="47">
        <v>22.717469446441399</v>
      </c>
      <c r="N64" s="47">
        <v>14.234363767074001</v>
      </c>
      <c r="O64" s="47">
        <v>2.8756290438533401</v>
      </c>
    </row>
    <row r="65" spans="1:15" x14ac:dyDescent="0.25">
      <c r="A65" t="s">
        <v>236</v>
      </c>
      <c r="B65" s="47">
        <v>3798</v>
      </c>
      <c r="C65" s="47">
        <v>340</v>
      </c>
      <c r="D65" s="47">
        <v>828</v>
      </c>
      <c r="E65" s="47">
        <v>1072</v>
      </c>
      <c r="F65" s="47">
        <v>943</v>
      </c>
      <c r="G65" s="47">
        <v>509</v>
      </c>
      <c r="H65" s="47">
        <v>106</v>
      </c>
      <c r="I65" s="47" t="s">
        <v>113</v>
      </c>
      <c r="J65" s="47">
        <v>8.9520800421274291</v>
      </c>
      <c r="K65" s="47">
        <v>21.8009478672985</v>
      </c>
      <c r="L65" s="47">
        <v>28.225381779884099</v>
      </c>
      <c r="M65" s="47">
        <v>24.8288572933122</v>
      </c>
      <c r="N65" s="47">
        <v>13.401790416008399</v>
      </c>
      <c r="O65" s="47">
        <v>2.7909426013691401</v>
      </c>
    </row>
    <row r="66" spans="1:15" x14ac:dyDescent="0.25">
      <c r="A66" t="s">
        <v>237</v>
      </c>
      <c r="B66" s="47">
        <v>3228</v>
      </c>
      <c r="C66" s="47">
        <v>254</v>
      </c>
      <c r="D66" s="47">
        <v>600</v>
      </c>
      <c r="E66" s="47">
        <v>822</v>
      </c>
      <c r="F66" s="47">
        <v>895</v>
      </c>
      <c r="G66" s="47">
        <v>553</v>
      </c>
      <c r="H66" s="47">
        <v>104</v>
      </c>
      <c r="I66" s="47" t="s">
        <v>113</v>
      </c>
      <c r="J66" s="47">
        <v>7.8686493184634401</v>
      </c>
      <c r="K66" s="47">
        <v>18.587360594795499</v>
      </c>
      <c r="L66" s="47">
        <v>25.4646840148698</v>
      </c>
      <c r="M66" s="47">
        <v>27.726146220570001</v>
      </c>
      <c r="N66" s="47">
        <v>17.1313506815365</v>
      </c>
      <c r="O66" s="47">
        <v>3.2218091697645499</v>
      </c>
    </row>
    <row r="67" spans="1:15" x14ac:dyDescent="0.25">
      <c r="A67" t="s">
        <v>238</v>
      </c>
      <c r="B67" s="47">
        <v>6220</v>
      </c>
      <c r="C67" s="47">
        <v>293</v>
      </c>
      <c r="D67" s="47">
        <v>1075</v>
      </c>
      <c r="E67" s="47">
        <v>1763</v>
      </c>
      <c r="F67" s="47">
        <v>1808</v>
      </c>
      <c r="G67" s="47">
        <v>1070</v>
      </c>
      <c r="H67" s="47">
        <v>211</v>
      </c>
      <c r="I67" s="47" t="s">
        <v>113</v>
      </c>
      <c r="J67" s="47">
        <v>4.7106109324758796</v>
      </c>
      <c r="K67" s="47">
        <v>17.282958199356901</v>
      </c>
      <c r="L67" s="47">
        <v>28.344051446945301</v>
      </c>
      <c r="M67" s="47">
        <v>29.067524115755599</v>
      </c>
      <c r="N67" s="47">
        <v>17.202572347266798</v>
      </c>
      <c r="O67" s="47">
        <v>3.3922829581993499</v>
      </c>
    </row>
    <row r="68" spans="1:15" x14ac:dyDescent="0.25">
      <c r="A68" t="s">
        <v>239</v>
      </c>
      <c r="B68" s="47">
        <v>15991</v>
      </c>
      <c r="C68" s="47">
        <v>1150</v>
      </c>
      <c r="D68" s="47">
        <v>3097</v>
      </c>
      <c r="E68" s="47">
        <v>4347</v>
      </c>
      <c r="F68" s="47">
        <v>4219</v>
      </c>
      <c r="G68" s="47">
        <v>2615</v>
      </c>
      <c r="H68" s="47">
        <v>563</v>
      </c>
      <c r="I68" s="47" t="s">
        <v>113</v>
      </c>
      <c r="J68" s="47">
        <v>7.19154524419986</v>
      </c>
      <c r="K68" s="47">
        <v>19.367144018510398</v>
      </c>
      <c r="L68" s="47">
        <v>27.184041023075402</v>
      </c>
      <c r="M68" s="47">
        <v>26.383590769807999</v>
      </c>
      <c r="N68" s="47">
        <v>16.352948533550101</v>
      </c>
      <c r="O68" s="47">
        <v>3.5207304108561002</v>
      </c>
    </row>
    <row r="69" spans="1:15" x14ac:dyDescent="0.25">
      <c r="A69" t="s">
        <v>240</v>
      </c>
      <c r="B69" s="47">
        <v>2565</v>
      </c>
      <c r="C69" s="47">
        <v>187</v>
      </c>
      <c r="D69" s="47">
        <v>508</v>
      </c>
      <c r="E69" s="47">
        <v>689</v>
      </c>
      <c r="F69" s="47">
        <v>652</v>
      </c>
      <c r="G69" s="47">
        <v>414</v>
      </c>
      <c r="H69" s="47">
        <v>115</v>
      </c>
      <c r="I69" s="47" t="s">
        <v>113</v>
      </c>
      <c r="J69" s="47">
        <v>7.2904483430799196</v>
      </c>
      <c r="K69" s="47">
        <v>19.805068226120799</v>
      </c>
      <c r="L69" s="47">
        <v>26.861598440545801</v>
      </c>
      <c r="M69" s="47">
        <v>25.4191033138401</v>
      </c>
      <c r="N69" s="47">
        <v>16.140350877192901</v>
      </c>
      <c r="O69" s="47">
        <v>4.4834307992202698</v>
      </c>
    </row>
    <row r="70" spans="1:15" x14ac:dyDescent="0.25">
      <c r="A70" t="s">
        <v>241</v>
      </c>
      <c r="B70" s="47">
        <v>4881</v>
      </c>
      <c r="C70" s="47">
        <v>402</v>
      </c>
      <c r="D70" s="47">
        <v>1044</v>
      </c>
      <c r="E70" s="47">
        <v>1392</v>
      </c>
      <c r="F70" s="47">
        <v>1196</v>
      </c>
      <c r="G70" s="47">
        <v>703</v>
      </c>
      <c r="H70" s="47">
        <v>143</v>
      </c>
      <c r="I70" s="47">
        <v>1</v>
      </c>
      <c r="J70" s="47">
        <v>8.2377049180327795</v>
      </c>
      <c r="K70" s="47">
        <v>21.393442622950801</v>
      </c>
      <c r="L70" s="47">
        <v>28.524590163934398</v>
      </c>
      <c r="M70" s="47">
        <v>24.5081967213114</v>
      </c>
      <c r="N70" s="47">
        <v>14.405737704918</v>
      </c>
      <c r="O70" s="47">
        <v>2.9303278688524501</v>
      </c>
    </row>
    <row r="71" spans="1:15" x14ac:dyDescent="0.25">
      <c r="A71" t="s">
        <v>242</v>
      </c>
      <c r="B71" s="47">
        <v>9633</v>
      </c>
      <c r="C71" s="47">
        <v>563</v>
      </c>
      <c r="D71" s="47">
        <v>1573</v>
      </c>
      <c r="E71" s="47">
        <v>2391</v>
      </c>
      <c r="F71" s="47">
        <v>2795</v>
      </c>
      <c r="G71" s="47">
        <v>1899</v>
      </c>
      <c r="H71" s="47">
        <v>412</v>
      </c>
      <c r="I71" s="47" t="s">
        <v>113</v>
      </c>
      <c r="J71" s="47">
        <v>5.8444928890272996</v>
      </c>
      <c r="K71" s="47">
        <v>16.329284750337301</v>
      </c>
      <c r="L71" s="47">
        <v>24.820928059794401</v>
      </c>
      <c r="M71" s="47">
        <v>29.0148448043184</v>
      </c>
      <c r="N71" s="47">
        <v>19.713484895671101</v>
      </c>
      <c r="O71" s="47">
        <v>4.2769646008512403</v>
      </c>
    </row>
    <row r="72" spans="1:15" x14ac:dyDescent="0.25">
      <c r="A72" t="s">
        <v>243</v>
      </c>
      <c r="B72" s="47">
        <v>144</v>
      </c>
      <c r="C72" s="47">
        <v>9</v>
      </c>
      <c r="D72" s="47">
        <v>24</v>
      </c>
      <c r="E72" s="47">
        <v>46</v>
      </c>
      <c r="F72" s="47">
        <v>30</v>
      </c>
      <c r="G72" s="47">
        <v>29</v>
      </c>
      <c r="H72" s="47">
        <v>6</v>
      </c>
      <c r="I72" s="47" t="s">
        <v>113</v>
      </c>
      <c r="J72" s="47">
        <v>6.25</v>
      </c>
      <c r="K72" s="47">
        <v>16.6666666666666</v>
      </c>
      <c r="L72" s="47">
        <v>31.9444444444444</v>
      </c>
      <c r="M72" s="47">
        <v>20.8333333333333</v>
      </c>
      <c r="N72" s="47">
        <v>20.1388888888888</v>
      </c>
      <c r="O72" s="47">
        <v>4.1666666666666599</v>
      </c>
    </row>
    <row r="73" spans="1:15" x14ac:dyDescent="0.25">
      <c r="A73" t="s">
        <v>244</v>
      </c>
      <c r="B73" s="47">
        <v>143</v>
      </c>
      <c r="C73" s="47">
        <v>10</v>
      </c>
      <c r="D73" s="47">
        <v>31</v>
      </c>
      <c r="E73" s="47">
        <v>43</v>
      </c>
      <c r="F73" s="47">
        <v>41</v>
      </c>
      <c r="G73" s="47">
        <v>18</v>
      </c>
      <c r="H73" s="47" t="s">
        <v>113</v>
      </c>
      <c r="I73" s="47" t="s">
        <v>113</v>
      </c>
      <c r="J73" s="47">
        <v>6.9930069930069898</v>
      </c>
      <c r="K73" s="47">
        <v>21.678321678321598</v>
      </c>
      <c r="L73" s="47">
        <v>30.069930069929999</v>
      </c>
      <c r="M73" s="47">
        <v>28.671328671328599</v>
      </c>
      <c r="N73" s="47">
        <v>12.5874125874125</v>
      </c>
      <c r="O73" s="47" t="s">
        <v>113</v>
      </c>
    </row>
    <row r="74" spans="1:15" x14ac:dyDescent="0.25">
      <c r="A74" t="s">
        <v>245</v>
      </c>
      <c r="B74" s="47">
        <v>4613</v>
      </c>
      <c r="C74" s="47">
        <v>402</v>
      </c>
      <c r="D74" s="47">
        <v>967</v>
      </c>
      <c r="E74" s="47">
        <v>1304</v>
      </c>
      <c r="F74" s="47">
        <v>1113</v>
      </c>
      <c r="G74" s="47">
        <v>674</v>
      </c>
      <c r="H74" s="47">
        <v>153</v>
      </c>
      <c r="I74" s="47" t="s">
        <v>113</v>
      </c>
      <c r="J74" s="47">
        <v>8.7145024929546899</v>
      </c>
      <c r="K74" s="47">
        <v>20.962497290266601</v>
      </c>
      <c r="L74" s="47">
        <v>28.267938434857999</v>
      </c>
      <c r="M74" s="47">
        <v>24.127465857359599</v>
      </c>
      <c r="N74" s="47">
        <v>14.610882289182699</v>
      </c>
      <c r="O74" s="47">
        <v>3.31671363537827</v>
      </c>
    </row>
    <row r="75" spans="1:15" x14ac:dyDescent="0.25">
      <c r="A75" t="s">
        <v>246</v>
      </c>
      <c r="B75" s="47">
        <v>204</v>
      </c>
      <c r="C75" s="47">
        <v>17</v>
      </c>
      <c r="D75" s="47">
        <v>32</v>
      </c>
      <c r="E75" s="47">
        <v>48</v>
      </c>
      <c r="F75" s="47">
        <v>55</v>
      </c>
      <c r="G75" s="47">
        <v>41</v>
      </c>
      <c r="H75" s="47">
        <v>11</v>
      </c>
      <c r="I75" s="47" t="s">
        <v>113</v>
      </c>
      <c r="J75" s="47">
        <v>8.3333333333333304</v>
      </c>
      <c r="K75" s="47">
        <v>15.6862745098039</v>
      </c>
      <c r="L75" s="47">
        <v>23.529411764705799</v>
      </c>
      <c r="M75" s="47">
        <v>26.960784313725402</v>
      </c>
      <c r="N75" s="47">
        <v>20.0980392156862</v>
      </c>
      <c r="O75" s="47">
        <v>5.3921568627450904</v>
      </c>
    </row>
    <row r="76" spans="1:15" x14ac:dyDescent="0.25">
      <c r="A76" t="s">
        <v>247</v>
      </c>
      <c r="B76" s="47">
        <v>57917</v>
      </c>
      <c r="C76" s="47">
        <v>4203</v>
      </c>
      <c r="D76" s="47">
        <v>11134</v>
      </c>
      <c r="E76" s="47">
        <v>15664</v>
      </c>
      <c r="F76" s="47">
        <v>15341</v>
      </c>
      <c r="G76" s="47">
        <v>9536</v>
      </c>
      <c r="H76" s="47">
        <v>2038</v>
      </c>
      <c r="I76" s="47">
        <v>1</v>
      </c>
      <c r="J76" s="47">
        <v>7.2570619517922497</v>
      </c>
      <c r="K76" s="47">
        <v>19.224393949858399</v>
      </c>
      <c r="L76" s="47">
        <v>27.046066717314702</v>
      </c>
      <c r="M76" s="47">
        <v>26.488362455970702</v>
      </c>
      <c r="N76" s="47">
        <v>16.4652254989985</v>
      </c>
      <c r="O76" s="47">
        <v>3.5188894260653298</v>
      </c>
    </row>
    <row r="77" spans="1:15" x14ac:dyDescent="0.25">
      <c r="A77" t="s">
        <v>248</v>
      </c>
      <c r="B77" s="47">
        <v>3692</v>
      </c>
      <c r="C77" s="47">
        <v>343</v>
      </c>
      <c r="D77" s="47">
        <v>850</v>
      </c>
      <c r="E77" s="47">
        <v>993</v>
      </c>
      <c r="F77" s="47">
        <v>927</v>
      </c>
      <c r="G77" s="47">
        <v>473</v>
      </c>
      <c r="H77" s="47">
        <v>106</v>
      </c>
      <c r="I77" s="47" t="s">
        <v>113</v>
      </c>
      <c r="J77" s="47">
        <v>9.2903575297941501</v>
      </c>
      <c r="K77" s="47">
        <v>23.022751895991298</v>
      </c>
      <c r="L77" s="47">
        <v>26.895991332611001</v>
      </c>
      <c r="M77" s="47">
        <v>25.1083423618634</v>
      </c>
      <c r="N77" s="47">
        <v>12.8114842903575</v>
      </c>
      <c r="O77" s="47">
        <v>2.87107258938244</v>
      </c>
    </row>
    <row r="78" spans="1:15" x14ac:dyDescent="0.25">
      <c r="A78" t="s">
        <v>249</v>
      </c>
      <c r="B78" s="47">
        <v>1204</v>
      </c>
      <c r="C78" s="47">
        <v>73</v>
      </c>
      <c r="D78" s="47">
        <v>204</v>
      </c>
      <c r="E78" s="47">
        <v>307</v>
      </c>
      <c r="F78" s="47">
        <v>329</v>
      </c>
      <c r="G78" s="47">
        <v>240</v>
      </c>
      <c r="H78" s="47">
        <v>51</v>
      </c>
      <c r="I78" s="47" t="s">
        <v>113</v>
      </c>
      <c r="J78" s="47">
        <v>6.0631229235880397</v>
      </c>
      <c r="K78" s="47">
        <v>16.943521594684299</v>
      </c>
      <c r="L78" s="47">
        <v>25.498338870431802</v>
      </c>
      <c r="M78" s="47">
        <v>27.325581395348799</v>
      </c>
      <c r="N78" s="47">
        <v>19.933554817275699</v>
      </c>
      <c r="O78" s="47">
        <v>4.2358803986710898</v>
      </c>
    </row>
    <row r="79" spans="1:15" x14ac:dyDescent="0.25">
      <c r="A79" t="s">
        <v>250</v>
      </c>
      <c r="B79" s="47">
        <v>1438</v>
      </c>
      <c r="C79" s="47">
        <v>115</v>
      </c>
      <c r="D79" s="47">
        <v>340</v>
      </c>
      <c r="E79" s="47">
        <v>420</v>
      </c>
      <c r="F79" s="47">
        <v>330</v>
      </c>
      <c r="G79" s="47">
        <v>185</v>
      </c>
      <c r="H79" s="47">
        <v>48</v>
      </c>
      <c r="I79" s="47" t="s">
        <v>113</v>
      </c>
      <c r="J79" s="47">
        <v>7.9972183588317103</v>
      </c>
      <c r="K79" s="47">
        <v>23.643949930458898</v>
      </c>
      <c r="L79" s="47">
        <v>29.207232267037501</v>
      </c>
      <c r="M79" s="47">
        <v>22.948539638386599</v>
      </c>
      <c r="N79" s="47">
        <v>12.8650904033379</v>
      </c>
      <c r="O79" s="47">
        <v>3.3379694019471402</v>
      </c>
    </row>
    <row r="80" spans="1:15" x14ac:dyDescent="0.25">
      <c r="A80" t="s">
        <v>251</v>
      </c>
      <c r="B80" s="47">
        <v>3752</v>
      </c>
      <c r="C80" s="47">
        <v>352</v>
      </c>
      <c r="D80" s="47">
        <v>811</v>
      </c>
      <c r="E80" s="47">
        <v>1072</v>
      </c>
      <c r="F80" s="47">
        <v>938</v>
      </c>
      <c r="G80" s="47">
        <v>474</v>
      </c>
      <c r="H80" s="47">
        <v>105</v>
      </c>
      <c r="I80" s="47" t="s">
        <v>113</v>
      </c>
      <c r="J80" s="47">
        <v>9.3816631130063897</v>
      </c>
      <c r="K80" s="47">
        <v>21.615138592750501</v>
      </c>
      <c r="L80" s="47">
        <v>28.571428571428498</v>
      </c>
      <c r="M80" s="47">
        <v>25</v>
      </c>
      <c r="N80" s="47">
        <v>12.6332622601279</v>
      </c>
      <c r="O80" s="47">
        <v>2.79850746268656</v>
      </c>
    </row>
    <row r="81" spans="1:15" x14ac:dyDescent="0.25">
      <c r="A81" t="s">
        <v>252</v>
      </c>
      <c r="B81" s="47">
        <v>3288</v>
      </c>
      <c r="C81" s="47">
        <v>239</v>
      </c>
      <c r="D81" s="47">
        <v>619</v>
      </c>
      <c r="E81" s="47">
        <v>850</v>
      </c>
      <c r="F81" s="47">
        <v>865</v>
      </c>
      <c r="G81" s="47">
        <v>597</v>
      </c>
      <c r="H81" s="47">
        <v>118</v>
      </c>
      <c r="I81" s="47" t="s">
        <v>113</v>
      </c>
      <c r="J81" s="47">
        <v>7.2688564476885604</v>
      </c>
      <c r="K81" s="47">
        <v>18.826034063260298</v>
      </c>
      <c r="L81" s="47">
        <v>25.8515815085158</v>
      </c>
      <c r="M81" s="47">
        <v>26.307785888077799</v>
      </c>
      <c r="N81" s="47">
        <v>18.156934306569301</v>
      </c>
      <c r="O81" s="47">
        <v>3.5888077858880698</v>
      </c>
    </row>
    <row r="82" spans="1:15" x14ac:dyDescent="0.25">
      <c r="A82" t="s">
        <v>253</v>
      </c>
      <c r="B82" s="47">
        <v>6390</v>
      </c>
      <c r="C82" s="47">
        <v>337</v>
      </c>
      <c r="D82" s="47">
        <v>1004</v>
      </c>
      <c r="E82" s="47">
        <v>1830</v>
      </c>
      <c r="F82" s="47">
        <v>1911</v>
      </c>
      <c r="G82" s="47">
        <v>1086</v>
      </c>
      <c r="H82" s="47">
        <v>222</v>
      </c>
      <c r="I82" s="47" t="s">
        <v>113</v>
      </c>
      <c r="J82" s="47">
        <v>5.27386541471048</v>
      </c>
      <c r="K82" s="47">
        <v>15.7120500782472</v>
      </c>
      <c r="L82" s="47">
        <v>28.6384976525821</v>
      </c>
      <c r="M82" s="47">
        <v>29.906103286384901</v>
      </c>
      <c r="N82" s="47">
        <v>16.995305164319198</v>
      </c>
      <c r="O82" s="47">
        <v>3.4741784037558601</v>
      </c>
    </row>
    <row r="83" spans="1:15" x14ac:dyDescent="0.25">
      <c r="A83" t="s">
        <v>254</v>
      </c>
      <c r="B83" s="47">
        <v>15986</v>
      </c>
      <c r="C83" s="47">
        <v>1038</v>
      </c>
      <c r="D83" s="47">
        <v>3055</v>
      </c>
      <c r="E83" s="47">
        <v>4392</v>
      </c>
      <c r="F83" s="47">
        <v>4270</v>
      </c>
      <c r="G83" s="47">
        <v>2612</v>
      </c>
      <c r="H83" s="47">
        <v>619</v>
      </c>
      <c r="I83" s="47" t="s">
        <v>113</v>
      </c>
      <c r="J83" s="47">
        <v>6.4931815338421099</v>
      </c>
      <c r="K83" s="47">
        <v>19.1104716627048</v>
      </c>
      <c r="L83" s="47">
        <v>27.474039784811701</v>
      </c>
      <c r="M83" s="47">
        <v>26.710872013011301</v>
      </c>
      <c r="N83" s="47">
        <v>16.3392968847741</v>
      </c>
      <c r="O83" s="47">
        <v>3.8721381208557402</v>
      </c>
    </row>
    <row r="84" spans="1:15" x14ac:dyDescent="0.25">
      <c r="A84" t="s">
        <v>255</v>
      </c>
      <c r="B84" s="47">
        <v>2420</v>
      </c>
      <c r="C84" s="47">
        <v>183</v>
      </c>
      <c r="D84" s="47">
        <v>468</v>
      </c>
      <c r="E84" s="47">
        <v>718</v>
      </c>
      <c r="F84" s="47">
        <v>598</v>
      </c>
      <c r="G84" s="47">
        <v>357</v>
      </c>
      <c r="H84" s="47">
        <v>96</v>
      </c>
      <c r="I84" s="47" t="s">
        <v>113</v>
      </c>
      <c r="J84" s="47">
        <v>7.5619834710743801</v>
      </c>
      <c r="K84" s="47">
        <v>19.3388429752066</v>
      </c>
      <c r="L84" s="47">
        <v>29.669421487603302</v>
      </c>
      <c r="M84" s="47">
        <v>24.7107438016528</v>
      </c>
      <c r="N84" s="47">
        <v>14.7520661157024</v>
      </c>
      <c r="O84" s="47">
        <v>3.9669421487603298</v>
      </c>
    </row>
    <row r="85" spans="1:15" x14ac:dyDescent="0.25">
      <c r="A85" t="s">
        <v>256</v>
      </c>
      <c r="B85" s="47">
        <v>4743</v>
      </c>
      <c r="C85" s="47">
        <v>354</v>
      </c>
      <c r="D85" s="47">
        <v>1027</v>
      </c>
      <c r="E85" s="47">
        <v>1398</v>
      </c>
      <c r="F85" s="47">
        <v>1180</v>
      </c>
      <c r="G85" s="47">
        <v>650</v>
      </c>
      <c r="H85" s="47">
        <v>134</v>
      </c>
      <c r="I85" s="47" t="s">
        <v>113</v>
      </c>
      <c r="J85" s="47">
        <v>7.46363061353573</v>
      </c>
      <c r="K85" s="47">
        <v>21.652962260172799</v>
      </c>
      <c r="L85" s="47">
        <v>29.4750158127767</v>
      </c>
      <c r="M85" s="47">
        <v>24.8787687117857</v>
      </c>
      <c r="N85" s="47">
        <v>13.704406493780301</v>
      </c>
      <c r="O85" s="47">
        <v>2.8252161079485498</v>
      </c>
    </row>
    <row r="86" spans="1:15" x14ac:dyDescent="0.25">
      <c r="A86" t="s">
        <v>257</v>
      </c>
      <c r="B86" s="47">
        <v>9371</v>
      </c>
      <c r="C86" s="47">
        <v>523</v>
      </c>
      <c r="D86" s="47">
        <v>1523</v>
      </c>
      <c r="E86" s="47">
        <v>2319</v>
      </c>
      <c r="F86" s="47">
        <v>2796</v>
      </c>
      <c r="G86" s="47">
        <v>1832</v>
      </c>
      <c r="H86" s="47">
        <v>378</v>
      </c>
      <c r="I86" s="47" t="s">
        <v>113</v>
      </c>
      <c r="J86" s="47">
        <v>5.5810479137765396</v>
      </c>
      <c r="K86" s="47">
        <v>16.252267634190499</v>
      </c>
      <c r="L86" s="47">
        <v>24.746558531640101</v>
      </c>
      <c r="M86" s="47">
        <v>29.836730338277601</v>
      </c>
      <c r="N86" s="47">
        <v>19.549674527798501</v>
      </c>
      <c r="O86" s="47">
        <v>4.0337210543164996</v>
      </c>
    </row>
    <row r="87" spans="1:15" x14ac:dyDescent="0.25">
      <c r="A87" t="s">
        <v>258</v>
      </c>
      <c r="B87" s="47">
        <v>128</v>
      </c>
      <c r="C87" s="47">
        <v>6</v>
      </c>
      <c r="D87" s="47">
        <v>29</v>
      </c>
      <c r="E87" s="47">
        <v>35</v>
      </c>
      <c r="F87" s="47">
        <v>40</v>
      </c>
      <c r="G87" s="47">
        <v>18</v>
      </c>
      <c r="H87" s="47" t="s">
        <v>113</v>
      </c>
      <c r="I87" s="47" t="s">
        <v>113</v>
      </c>
      <c r="J87" s="47">
        <v>4.6875</v>
      </c>
      <c r="K87" s="47">
        <v>22.65625</v>
      </c>
      <c r="L87" s="47">
        <v>27.34375</v>
      </c>
      <c r="M87" s="47">
        <v>31.25</v>
      </c>
      <c r="N87" s="47">
        <v>14.0625</v>
      </c>
      <c r="O87" s="47" t="s">
        <v>113</v>
      </c>
    </row>
    <row r="88" spans="1:15" x14ac:dyDescent="0.25">
      <c r="A88" t="s">
        <v>259</v>
      </c>
      <c r="B88" s="47">
        <v>157</v>
      </c>
      <c r="C88" s="47">
        <v>9</v>
      </c>
      <c r="D88" s="47">
        <v>30</v>
      </c>
      <c r="E88" s="47">
        <v>41</v>
      </c>
      <c r="F88" s="47">
        <v>50</v>
      </c>
      <c r="G88" s="47">
        <v>25</v>
      </c>
      <c r="H88" s="47">
        <v>2</v>
      </c>
      <c r="I88" s="47" t="s">
        <v>113</v>
      </c>
      <c r="J88" s="47">
        <v>5.7324840764331197</v>
      </c>
      <c r="K88" s="47">
        <v>19.108280254777</v>
      </c>
      <c r="L88" s="47">
        <v>26.114649681528601</v>
      </c>
      <c r="M88" s="47">
        <v>31.8471337579617</v>
      </c>
      <c r="N88" s="47">
        <v>15.9235668789808</v>
      </c>
      <c r="O88" s="47">
        <v>1.2738853503184699</v>
      </c>
    </row>
    <row r="89" spans="1:15" x14ac:dyDescent="0.25">
      <c r="A89" t="s">
        <v>260</v>
      </c>
      <c r="B89" s="47">
        <v>4592</v>
      </c>
      <c r="C89" s="47">
        <v>342</v>
      </c>
      <c r="D89" s="47">
        <v>951</v>
      </c>
      <c r="E89" s="47">
        <v>1344</v>
      </c>
      <c r="F89" s="47">
        <v>1120</v>
      </c>
      <c r="G89" s="47">
        <v>676</v>
      </c>
      <c r="H89" s="47">
        <v>159</v>
      </c>
      <c r="I89" s="47" t="s">
        <v>113</v>
      </c>
      <c r="J89" s="47">
        <v>7.44773519163763</v>
      </c>
      <c r="K89" s="47">
        <v>20.709930313588799</v>
      </c>
      <c r="L89" s="47">
        <v>29.268292682926798</v>
      </c>
      <c r="M89" s="47">
        <v>24.390243902439</v>
      </c>
      <c r="N89" s="47">
        <v>14.7212543554006</v>
      </c>
      <c r="O89" s="47">
        <v>3.46254355400696</v>
      </c>
    </row>
    <row r="90" spans="1:15" x14ac:dyDescent="0.25">
      <c r="A90" t="s">
        <v>261</v>
      </c>
      <c r="B90" s="47">
        <v>182</v>
      </c>
      <c r="C90" s="47">
        <v>9</v>
      </c>
      <c r="D90" s="47">
        <v>29</v>
      </c>
      <c r="E90" s="47">
        <v>49</v>
      </c>
      <c r="F90" s="47">
        <v>50</v>
      </c>
      <c r="G90" s="47">
        <v>33</v>
      </c>
      <c r="H90" s="47">
        <v>12</v>
      </c>
      <c r="I90" s="47" t="s">
        <v>113</v>
      </c>
      <c r="J90" s="47">
        <v>4.9450549450549399</v>
      </c>
      <c r="K90" s="47">
        <v>15.934065934065901</v>
      </c>
      <c r="L90" s="47">
        <v>26.923076923076898</v>
      </c>
      <c r="M90" s="47">
        <v>27.4725274725274</v>
      </c>
      <c r="N90" s="47">
        <v>18.131868131868099</v>
      </c>
      <c r="O90" s="47">
        <v>6.5934065934065904</v>
      </c>
    </row>
    <row r="91" spans="1:15" x14ac:dyDescent="0.25">
      <c r="A91" t="s">
        <v>262</v>
      </c>
      <c r="B91" s="47">
        <v>57418</v>
      </c>
      <c r="C91" s="47">
        <v>3923</v>
      </c>
      <c r="D91" s="47">
        <v>10945</v>
      </c>
      <c r="E91" s="47">
        <v>15789</v>
      </c>
      <c r="F91" s="47">
        <v>15432</v>
      </c>
      <c r="G91" s="47">
        <v>9277</v>
      </c>
      <c r="H91" s="47">
        <v>2052</v>
      </c>
      <c r="I91" s="47" t="s">
        <v>113</v>
      </c>
      <c r="J91" s="47">
        <v>6.83235222404124</v>
      </c>
      <c r="K91" s="47">
        <v>19.0619666306733</v>
      </c>
      <c r="L91" s="47">
        <v>27.4983454665784</v>
      </c>
      <c r="M91" s="47">
        <v>26.876589222891699</v>
      </c>
      <c r="N91" s="47">
        <v>16.156954265212999</v>
      </c>
      <c r="O91" s="47">
        <v>3.5737921906022501</v>
      </c>
    </row>
    <row r="92" spans="1:15" x14ac:dyDescent="0.25">
      <c r="A92" t="s">
        <v>263</v>
      </c>
      <c r="B92" s="47">
        <v>3796</v>
      </c>
      <c r="C92" s="47">
        <v>366</v>
      </c>
      <c r="D92" s="47">
        <v>826</v>
      </c>
      <c r="E92" s="47">
        <v>1049</v>
      </c>
      <c r="F92" s="47">
        <v>924</v>
      </c>
      <c r="G92" s="47">
        <v>515</v>
      </c>
      <c r="H92" s="47">
        <v>116</v>
      </c>
      <c r="I92" s="47" t="s">
        <v>113</v>
      </c>
      <c r="J92" s="47">
        <v>9.6417281348788197</v>
      </c>
      <c r="K92" s="47">
        <v>21.759747102212799</v>
      </c>
      <c r="L92" s="47">
        <v>27.634351949420399</v>
      </c>
      <c r="M92" s="47">
        <v>24.341412012644799</v>
      </c>
      <c r="N92" s="47">
        <v>13.566912539515201</v>
      </c>
      <c r="O92" s="47">
        <v>3.0558482613277098</v>
      </c>
    </row>
    <row r="93" spans="1:15" x14ac:dyDescent="0.25">
      <c r="A93" t="s">
        <v>264</v>
      </c>
      <c r="B93" s="47">
        <v>1177</v>
      </c>
      <c r="C93" s="47">
        <v>62</v>
      </c>
      <c r="D93" s="47">
        <v>209</v>
      </c>
      <c r="E93" s="47">
        <v>293</v>
      </c>
      <c r="F93" s="47">
        <v>331</v>
      </c>
      <c r="G93" s="47">
        <v>238</v>
      </c>
      <c r="H93" s="47">
        <v>44</v>
      </c>
      <c r="I93" s="47" t="s">
        <v>113</v>
      </c>
      <c r="J93" s="47">
        <v>5.2676295666949802</v>
      </c>
      <c r="K93" s="47">
        <v>17.757009345794302</v>
      </c>
      <c r="L93" s="47">
        <v>24.893797790994</v>
      </c>
      <c r="M93" s="47">
        <v>28.122344944774799</v>
      </c>
      <c r="N93" s="47">
        <v>20.220900594732299</v>
      </c>
      <c r="O93" s="47">
        <v>3.73831775700934</v>
      </c>
    </row>
    <row r="94" spans="1:15" x14ac:dyDescent="0.25">
      <c r="A94" t="s">
        <v>265</v>
      </c>
      <c r="B94" s="47">
        <v>1383</v>
      </c>
      <c r="C94" s="47">
        <v>105</v>
      </c>
      <c r="D94" s="47">
        <v>306</v>
      </c>
      <c r="E94" s="47">
        <v>417</v>
      </c>
      <c r="F94" s="47">
        <v>312</v>
      </c>
      <c r="G94" s="47">
        <v>199</v>
      </c>
      <c r="H94" s="47">
        <v>44</v>
      </c>
      <c r="I94" s="47" t="s">
        <v>113</v>
      </c>
      <c r="J94" s="47">
        <v>7.5921908893709302</v>
      </c>
      <c r="K94" s="47">
        <v>22.125813449023799</v>
      </c>
      <c r="L94" s="47">
        <v>30.151843817787402</v>
      </c>
      <c r="M94" s="47">
        <v>22.559652928416401</v>
      </c>
      <c r="N94" s="47">
        <v>14.389009399855301</v>
      </c>
      <c r="O94" s="47">
        <v>3.18148951554591</v>
      </c>
    </row>
    <row r="95" spans="1:15" x14ac:dyDescent="0.25">
      <c r="A95" t="s">
        <v>266</v>
      </c>
      <c r="B95" s="47">
        <v>3721</v>
      </c>
      <c r="C95" s="47">
        <v>297</v>
      </c>
      <c r="D95" s="47">
        <v>763</v>
      </c>
      <c r="E95" s="47">
        <v>1067</v>
      </c>
      <c r="F95" s="47">
        <v>973</v>
      </c>
      <c r="G95" s="47">
        <v>530</v>
      </c>
      <c r="H95" s="47">
        <v>91</v>
      </c>
      <c r="I95" s="47" t="s">
        <v>113</v>
      </c>
      <c r="J95" s="47">
        <v>7.9817253426498196</v>
      </c>
      <c r="K95" s="47">
        <v>20.505240526740099</v>
      </c>
      <c r="L95" s="47">
        <v>28.675087342112299</v>
      </c>
      <c r="M95" s="47">
        <v>26.1488847084117</v>
      </c>
      <c r="N95" s="47">
        <v>14.243482934694899</v>
      </c>
      <c r="O95" s="47">
        <v>2.4455791453910201</v>
      </c>
    </row>
    <row r="96" spans="1:15" x14ac:dyDescent="0.25">
      <c r="A96" t="s">
        <v>267</v>
      </c>
      <c r="B96" s="47">
        <v>3182</v>
      </c>
      <c r="C96" s="47">
        <v>222</v>
      </c>
      <c r="D96" s="47">
        <v>588</v>
      </c>
      <c r="E96" s="47">
        <v>871</v>
      </c>
      <c r="F96" s="47">
        <v>880</v>
      </c>
      <c r="G96" s="47">
        <v>526</v>
      </c>
      <c r="H96" s="47">
        <v>95</v>
      </c>
      <c r="I96" s="47" t="s">
        <v>113</v>
      </c>
      <c r="J96" s="47">
        <v>6.9767441860465098</v>
      </c>
      <c r="K96" s="47">
        <v>18.478944060339401</v>
      </c>
      <c r="L96" s="47">
        <v>27.372721558767999</v>
      </c>
      <c r="M96" s="47">
        <v>27.655562539283402</v>
      </c>
      <c r="N96" s="47">
        <v>16.530483972344399</v>
      </c>
      <c r="O96" s="47">
        <v>2.9855436832181002</v>
      </c>
    </row>
    <row r="97" spans="1:15" x14ac:dyDescent="0.25">
      <c r="A97" t="s">
        <v>268</v>
      </c>
      <c r="B97" s="47">
        <v>6161</v>
      </c>
      <c r="C97" s="47">
        <v>302</v>
      </c>
      <c r="D97" s="47">
        <v>1002</v>
      </c>
      <c r="E97" s="47">
        <v>1787</v>
      </c>
      <c r="F97" s="47">
        <v>1876</v>
      </c>
      <c r="G97" s="47">
        <v>993</v>
      </c>
      <c r="H97" s="47">
        <v>201</v>
      </c>
      <c r="I97" s="47" t="s">
        <v>113</v>
      </c>
      <c r="J97" s="47">
        <v>4.9018016555753903</v>
      </c>
      <c r="K97" s="47">
        <v>16.263593572472001</v>
      </c>
      <c r="L97" s="47">
        <v>29.005031650706002</v>
      </c>
      <c r="M97" s="47">
        <v>30.449602337282901</v>
      </c>
      <c r="N97" s="47">
        <v>16.1175133906833</v>
      </c>
      <c r="O97" s="47">
        <v>3.26245739328031</v>
      </c>
    </row>
    <row r="98" spans="1:15" x14ac:dyDescent="0.25">
      <c r="A98" t="s">
        <v>269</v>
      </c>
      <c r="B98" s="47">
        <v>15636</v>
      </c>
      <c r="C98" s="47">
        <v>975</v>
      </c>
      <c r="D98" s="47">
        <v>2786</v>
      </c>
      <c r="E98" s="47">
        <v>4282</v>
      </c>
      <c r="F98" s="47">
        <v>4450</v>
      </c>
      <c r="G98" s="47">
        <v>2530</v>
      </c>
      <c r="H98" s="47">
        <v>613</v>
      </c>
      <c r="I98" s="47" t="s">
        <v>113</v>
      </c>
      <c r="J98" s="47">
        <v>6.2356101304681504</v>
      </c>
      <c r="K98" s="47">
        <v>17.817856229214598</v>
      </c>
      <c r="L98" s="47">
        <v>27.3855205935021</v>
      </c>
      <c r="M98" s="47">
        <v>28.4599641852136</v>
      </c>
      <c r="N98" s="47">
        <v>16.1806088513686</v>
      </c>
      <c r="O98" s="47">
        <v>3.9204400102327899</v>
      </c>
    </row>
    <row r="99" spans="1:15" x14ac:dyDescent="0.25">
      <c r="A99" t="s">
        <v>270</v>
      </c>
      <c r="B99" s="47">
        <v>2491</v>
      </c>
      <c r="C99" s="47">
        <v>179</v>
      </c>
      <c r="D99" s="47">
        <v>461</v>
      </c>
      <c r="E99" s="47">
        <v>672</v>
      </c>
      <c r="F99" s="47">
        <v>650</v>
      </c>
      <c r="G99" s="47">
        <v>419</v>
      </c>
      <c r="H99" s="47">
        <v>110</v>
      </c>
      <c r="I99" s="47" t="s">
        <v>113</v>
      </c>
      <c r="J99" s="47">
        <v>7.18586912886391</v>
      </c>
      <c r="K99" s="47">
        <v>18.506623845844999</v>
      </c>
      <c r="L99" s="47">
        <v>26.9771176234444</v>
      </c>
      <c r="M99" s="47">
        <v>26.093938177438702</v>
      </c>
      <c r="N99" s="47">
        <v>16.820553994379701</v>
      </c>
      <c r="O99" s="47">
        <v>4.4158972300280999</v>
      </c>
    </row>
    <row r="100" spans="1:15" x14ac:dyDescent="0.25">
      <c r="A100" t="s">
        <v>271</v>
      </c>
      <c r="B100" s="47">
        <v>4883</v>
      </c>
      <c r="C100" s="47">
        <v>324</v>
      </c>
      <c r="D100" s="47">
        <v>922</v>
      </c>
      <c r="E100" s="47">
        <v>1475</v>
      </c>
      <c r="F100" s="47">
        <v>1324</v>
      </c>
      <c r="G100" s="47">
        <v>682</v>
      </c>
      <c r="H100" s="47">
        <v>156</v>
      </c>
      <c r="I100" s="47" t="s">
        <v>113</v>
      </c>
      <c r="J100" s="47">
        <v>6.6352652058160899</v>
      </c>
      <c r="K100" s="47">
        <v>18.8818349375384</v>
      </c>
      <c r="L100" s="47">
        <v>30.2068400573418</v>
      </c>
      <c r="M100" s="47">
        <v>27.114478804013899</v>
      </c>
      <c r="N100" s="47">
        <v>13.9668236739709</v>
      </c>
      <c r="O100" s="47">
        <v>3.19475732131886</v>
      </c>
    </row>
    <row r="101" spans="1:15" x14ac:dyDescent="0.25">
      <c r="A101" t="s">
        <v>272</v>
      </c>
      <c r="B101" s="47">
        <v>9583</v>
      </c>
      <c r="C101" s="47">
        <v>493</v>
      </c>
      <c r="D101" s="47">
        <v>1511</v>
      </c>
      <c r="E101" s="47">
        <v>2341</v>
      </c>
      <c r="F101" s="47">
        <v>3034</v>
      </c>
      <c r="G101" s="47">
        <v>1798</v>
      </c>
      <c r="H101" s="47">
        <v>406</v>
      </c>
      <c r="I101" s="47" t="s">
        <v>113</v>
      </c>
      <c r="J101" s="47">
        <v>5.1445267661483802</v>
      </c>
      <c r="K101" s="47">
        <v>15.767504956694101</v>
      </c>
      <c r="L101" s="47">
        <v>24.428675780027099</v>
      </c>
      <c r="M101" s="47">
        <v>31.660231660231599</v>
      </c>
      <c r="N101" s="47">
        <v>18.762391735364702</v>
      </c>
      <c r="O101" s="47">
        <v>4.2366691015339599</v>
      </c>
    </row>
    <row r="102" spans="1:15" x14ac:dyDescent="0.25">
      <c r="A102" t="s">
        <v>273</v>
      </c>
      <c r="B102" s="47">
        <v>126</v>
      </c>
      <c r="C102" s="47">
        <v>5</v>
      </c>
      <c r="D102" s="47">
        <v>22</v>
      </c>
      <c r="E102" s="47">
        <v>39</v>
      </c>
      <c r="F102" s="47">
        <v>31</v>
      </c>
      <c r="G102" s="47">
        <v>20</v>
      </c>
      <c r="H102" s="47">
        <v>9</v>
      </c>
      <c r="I102" s="47" t="s">
        <v>113</v>
      </c>
      <c r="J102" s="47">
        <v>3.9682539682539599</v>
      </c>
      <c r="K102" s="47">
        <v>17.460317460317398</v>
      </c>
      <c r="L102" s="47">
        <v>30.952380952380899</v>
      </c>
      <c r="M102" s="47">
        <v>24.603174603174601</v>
      </c>
      <c r="N102" s="47">
        <v>15.873015873015801</v>
      </c>
      <c r="O102" s="47">
        <v>7.1428571428571397</v>
      </c>
    </row>
    <row r="103" spans="1:15" x14ac:dyDescent="0.25">
      <c r="A103" t="s">
        <v>274</v>
      </c>
      <c r="B103" s="47">
        <v>147</v>
      </c>
      <c r="C103" s="47">
        <v>5</v>
      </c>
      <c r="D103" s="47">
        <v>28</v>
      </c>
      <c r="E103" s="47">
        <v>39</v>
      </c>
      <c r="F103" s="47">
        <v>53</v>
      </c>
      <c r="G103" s="47">
        <v>20</v>
      </c>
      <c r="H103" s="47">
        <v>2</v>
      </c>
      <c r="I103" s="47" t="s">
        <v>113</v>
      </c>
      <c r="J103" s="47">
        <v>3.4013605442176802</v>
      </c>
      <c r="K103" s="47">
        <v>19.047619047619001</v>
      </c>
      <c r="L103" s="47">
        <v>26.530612244897899</v>
      </c>
      <c r="M103" s="47">
        <v>36.0544217687074</v>
      </c>
      <c r="N103" s="47">
        <v>13.605442176870699</v>
      </c>
      <c r="O103" s="47">
        <v>1.3605442176870699</v>
      </c>
    </row>
    <row r="104" spans="1:15" x14ac:dyDescent="0.25">
      <c r="A104" t="s">
        <v>275</v>
      </c>
      <c r="B104" s="47">
        <v>4547</v>
      </c>
      <c r="C104" s="47">
        <v>338</v>
      </c>
      <c r="D104" s="47">
        <v>921</v>
      </c>
      <c r="E104" s="47">
        <v>1302</v>
      </c>
      <c r="F104" s="47">
        <v>1183</v>
      </c>
      <c r="G104" s="47">
        <v>671</v>
      </c>
      <c r="H104" s="47">
        <v>132</v>
      </c>
      <c r="I104" s="47" t="s">
        <v>113</v>
      </c>
      <c r="J104" s="47">
        <v>7.4334726193094296</v>
      </c>
      <c r="K104" s="47">
        <v>20.255113261491001</v>
      </c>
      <c r="L104" s="47">
        <v>28.634264350120901</v>
      </c>
      <c r="M104" s="47">
        <v>26.017154167583001</v>
      </c>
      <c r="N104" s="47">
        <v>14.756982625907099</v>
      </c>
      <c r="O104" s="47">
        <v>2.9030129755882998</v>
      </c>
    </row>
    <row r="105" spans="1:15" x14ac:dyDescent="0.25">
      <c r="A105" t="s">
        <v>276</v>
      </c>
      <c r="B105" s="47">
        <v>181</v>
      </c>
      <c r="C105" s="47">
        <v>12</v>
      </c>
      <c r="D105" s="47">
        <v>27</v>
      </c>
      <c r="E105" s="47">
        <v>34</v>
      </c>
      <c r="F105" s="47">
        <v>56</v>
      </c>
      <c r="G105" s="47">
        <v>39</v>
      </c>
      <c r="H105" s="47">
        <v>13</v>
      </c>
      <c r="I105" s="47" t="s">
        <v>113</v>
      </c>
      <c r="J105" s="47">
        <v>6.6298342541436401</v>
      </c>
      <c r="K105" s="47">
        <v>14.917127071823201</v>
      </c>
      <c r="L105" s="47">
        <v>18.7845303867403</v>
      </c>
      <c r="M105" s="47">
        <v>30.939226519337002</v>
      </c>
      <c r="N105" s="47">
        <v>21.546961325966802</v>
      </c>
      <c r="O105" s="47">
        <v>7.1823204419889501</v>
      </c>
    </row>
    <row r="106" spans="1:15" x14ac:dyDescent="0.25">
      <c r="A106" t="s">
        <v>277</v>
      </c>
      <c r="B106" s="47">
        <v>57041</v>
      </c>
      <c r="C106" s="47">
        <v>3685</v>
      </c>
      <c r="D106" s="47">
        <v>10376</v>
      </c>
      <c r="E106" s="47">
        <v>15675</v>
      </c>
      <c r="F106" s="47">
        <v>16085</v>
      </c>
      <c r="G106" s="47">
        <v>9188</v>
      </c>
      <c r="H106" s="47">
        <v>2032</v>
      </c>
      <c r="I106" s="47" t="s">
        <v>113</v>
      </c>
      <c r="J106" s="47">
        <v>6.4602654231166996</v>
      </c>
      <c r="K106" s="47">
        <v>18.1904244315492</v>
      </c>
      <c r="L106" s="47">
        <v>27.480233516242698</v>
      </c>
      <c r="M106" s="47">
        <v>28.199014743780701</v>
      </c>
      <c r="N106" s="47">
        <v>16.107711996633999</v>
      </c>
      <c r="O106" s="47">
        <v>3.5623498886765601</v>
      </c>
    </row>
    <row r="107" spans="1:15" x14ac:dyDescent="0.25">
      <c r="A107" t="s">
        <v>278</v>
      </c>
      <c r="B107" s="47">
        <v>3739</v>
      </c>
      <c r="C107" s="47">
        <v>278</v>
      </c>
      <c r="D107" s="47">
        <v>823</v>
      </c>
      <c r="E107" s="47">
        <v>1073</v>
      </c>
      <c r="F107" s="47">
        <v>904</v>
      </c>
      <c r="G107" s="47">
        <v>536</v>
      </c>
      <c r="H107" s="47">
        <v>125</v>
      </c>
      <c r="I107" s="47" t="s">
        <v>113</v>
      </c>
      <c r="J107" s="47">
        <v>7.4351430863867298</v>
      </c>
      <c r="K107" s="47">
        <v>22.011232949986599</v>
      </c>
      <c r="L107" s="47">
        <v>28.697512703931501</v>
      </c>
      <c r="M107" s="47">
        <v>24.1775875902647</v>
      </c>
      <c r="N107" s="47">
        <v>14.335383792457799</v>
      </c>
      <c r="O107" s="47">
        <v>3.3431398769724501</v>
      </c>
    </row>
    <row r="108" spans="1:15" x14ac:dyDescent="0.25">
      <c r="A108" t="s">
        <v>279</v>
      </c>
      <c r="B108" s="47">
        <v>1129</v>
      </c>
      <c r="C108" s="47">
        <v>67</v>
      </c>
      <c r="D108" s="47">
        <v>202</v>
      </c>
      <c r="E108" s="47">
        <v>310</v>
      </c>
      <c r="F108" s="47">
        <v>318</v>
      </c>
      <c r="G108" s="47">
        <v>176</v>
      </c>
      <c r="H108" s="47">
        <v>56</v>
      </c>
      <c r="I108" s="47" t="s">
        <v>113</v>
      </c>
      <c r="J108" s="47">
        <v>5.9344552701505702</v>
      </c>
      <c r="K108" s="47">
        <v>17.891939769707701</v>
      </c>
      <c r="L108" s="47">
        <v>27.457927369353399</v>
      </c>
      <c r="M108" s="47">
        <v>28.166519043401198</v>
      </c>
      <c r="N108" s="47">
        <v>15.5890168290522</v>
      </c>
      <c r="O108" s="47">
        <v>4.9601417183347998</v>
      </c>
    </row>
    <row r="109" spans="1:15" x14ac:dyDescent="0.25">
      <c r="A109" t="s">
        <v>280</v>
      </c>
      <c r="B109" s="47">
        <v>1363</v>
      </c>
      <c r="C109" s="47">
        <v>79</v>
      </c>
      <c r="D109" s="47">
        <v>319</v>
      </c>
      <c r="E109" s="47">
        <v>419</v>
      </c>
      <c r="F109" s="47">
        <v>340</v>
      </c>
      <c r="G109" s="47">
        <v>165</v>
      </c>
      <c r="H109" s="47">
        <v>41</v>
      </c>
      <c r="I109" s="47" t="s">
        <v>113</v>
      </c>
      <c r="J109" s="47">
        <v>5.7960381511371901</v>
      </c>
      <c r="K109" s="47">
        <v>23.404255319148898</v>
      </c>
      <c r="L109" s="47">
        <v>30.7410124724871</v>
      </c>
      <c r="M109" s="47">
        <v>24.9449743213499</v>
      </c>
      <c r="N109" s="47">
        <v>12.105649303008001</v>
      </c>
      <c r="O109" s="47">
        <v>3.0080704328686698</v>
      </c>
    </row>
    <row r="110" spans="1:15" x14ac:dyDescent="0.25">
      <c r="A110" t="s">
        <v>281</v>
      </c>
      <c r="B110" s="47">
        <v>3733</v>
      </c>
      <c r="C110" s="47">
        <v>300</v>
      </c>
      <c r="D110" s="47">
        <v>776</v>
      </c>
      <c r="E110" s="47">
        <v>1120</v>
      </c>
      <c r="F110" s="47">
        <v>941</v>
      </c>
      <c r="G110" s="47">
        <v>487</v>
      </c>
      <c r="H110" s="47">
        <v>109</v>
      </c>
      <c r="I110" s="47" t="s">
        <v>113</v>
      </c>
      <c r="J110" s="47">
        <v>8.0364318242700197</v>
      </c>
      <c r="K110" s="47">
        <v>20.7875703187784</v>
      </c>
      <c r="L110" s="47">
        <v>30.002678810608</v>
      </c>
      <c r="M110" s="47">
        <v>25.207607822126899</v>
      </c>
      <c r="N110" s="47">
        <v>13.0458076613983</v>
      </c>
      <c r="O110" s="47">
        <v>2.9199035628180998</v>
      </c>
    </row>
    <row r="111" spans="1:15" x14ac:dyDescent="0.25">
      <c r="A111" t="s">
        <v>282</v>
      </c>
      <c r="B111" s="47">
        <v>3178</v>
      </c>
      <c r="C111" s="47">
        <v>189</v>
      </c>
      <c r="D111" s="47">
        <v>561</v>
      </c>
      <c r="E111" s="47">
        <v>833</v>
      </c>
      <c r="F111" s="47">
        <v>939</v>
      </c>
      <c r="G111" s="47">
        <v>535</v>
      </c>
      <c r="H111" s="47">
        <v>121</v>
      </c>
      <c r="I111" s="47" t="s">
        <v>113</v>
      </c>
      <c r="J111" s="47">
        <v>5.9471365638766498</v>
      </c>
      <c r="K111" s="47">
        <v>17.652611705475099</v>
      </c>
      <c r="L111" s="47">
        <v>26.211453744493301</v>
      </c>
      <c r="M111" s="47">
        <v>29.5468848332284</v>
      </c>
      <c r="N111" s="47">
        <v>16.8344870988042</v>
      </c>
      <c r="O111" s="47">
        <v>3.8074260541220801</v>
      </c>
    </row>
    <row r="112" spans="1:15" x14ac:dyDescent="0.25">
      <c r="A112" t="s">
        <v>283</v>
      </c>
      <c r="B112" s="47">
        <v>6237</v>
      </c>
      <c r="C112" s="47">
        <v>284</v>
      </c>
      <c r="D112" s="47">
        <v>995</v>
      </c>
      <c r="E112" s="47">
        <v>1779</v>
      </c>
      <c r="F112" s="47">
        <v>1905</v>
      </c>
      <c r="G112" s="47">
        <v>1026</v>
      </c>
      <c r="H112" s="47">
        <v>248</v>
      </c>
      <c r="I112" s="47" t="s">
        <v>113</v>
      </c>
      <c r="J112" s="47">
        <v>4.5534712201378804</v>
      </c>
      <c r="K112" s="47">
        <v>15.953182619849199</v>
      </c>
      <c r="L112" s="47">
        <v>28.523328523328502</v>
      </c>
      <c r="M112" s="47">
        <v>30.543530543530501</v>
      </c>
      <c r="N112" s="47">
        <v>16.450216450216399</v>
      </c>
      <c r="O112" s="47">
        <v>3.9762706429372998</v>
      </c>
    </row>
    <row r="113" spans="1:15" x14ac:dyDescent="0.25">
      <c r="A113" t="s">
        <v>284</v>
      </c>
      <c r="B113" s="47">
        <v>15828</v>
      </c>
      <c r="C113" s="47">
        <v>858</v>
      </c>
      <c r="D113" s="47">
        <v>2837</v>
      </c>
      <c r="E113" s="47">
        <v>4272</v>
      </c>
      <c r="F113" s="47">
        <v>4717</v>
      </c>
      <c r="G113" s="47">
        <v>2511</v>
      </c>
      <c r="H113" s="47">
        <v>633</v>
      </c>
      <c r="I113" s="47" t="s">
        <v>113</v>
      </c>
      <c r="J113" s="47">
        <v>5.4207733131159896</v>
      </c>
      <c r="K113" s="47">
        <v>17.9239322719231</v>
      </c>
      <c r="L113" s="47">
        <v>26.9901440485216</v>
      </c>
      <c r="M113" s="47">
        <v>29.8016173869092</v>
      </c>
      <c r="N113" s="47">
        <v>15.8642911296436</v>
      </c>
      <c r="O113" s="47">
        <v>3.9992418498862699</v>
      </c>
    </row>
    <row r="114" spans="1:15" x14ac:dyDescent="0.25">
      <c r="A114" t="s">
        <v>285</v>
      </c>
      <c r="B114" s="47">
        <v>2476</v>
      </c>
      <c r="C114" s="47">
        <v>174</v>
      </c>
      <c r="D114" s="47">
        <v>442</v>
      </c>
      <c r="E114" s="47">
        <v>679</v>
      </c>
      <c r="F114" s="47">
        <v>663</v>
      </c>
      <c r="G114" s="47">
        <v>409</v>
      </c>
      <c r="H114" s="47">
        <v>109</v>
      </c>
      <c r="I114" s="47" t="s">
        <v>113</v>
      </c>
      <c r="J114" s="47">
        <v>7.0274636510500796</v>
      </c>
      <c r="K114" s="47">
        <v>17.8513731825525</v>
      </c>
      <c r="L114" s="47">
        <v>27.423263327948298</v>
      </c>
      <c r="M114" s="47">
        <v>26.7770597738287</v>
      </c>
      <c r="N114" s="47">
        <v>16.518578352180899</v>
      </c>
      <c r="O114" s="47">
        <v>4.4022617124394099</v>
      </c>
    </row>
    <row r="115" spans="1:15" x14ac:dyDescent="0.25">
      <c r="A115" t="s">
        <v>286</v>
      </c>
      <c r="B115" s="47">
        <v>4952</v>
      </c>
      <c r="C115" s="47">
        <v>313</v>
      </c>
      <c r="D115" s="47">
        <v>995</v>
      </c>
      <c r="E115" s="47">
        <v>1375</v>
      </c>
      <c r="F115" s="47">
        <v>1407</v>
      </c>
      <c r="G115" s="47">
        <v>697</v>
      </c>
      <c r="H115" s="47">
        <v>165</v>
      </c>
      <c r="I115" s="47" t="s">
        <v>113</v>
      </c>
      <c r="J115" s="47">
        <v>6.3206785137318198</v>
      </c>
      <c r="K115" s="47">
        <v>20.0928917609046</v>
      </c>
      <c r="L115" s="47">
        <v>27.7665589660743</v>
      </c>
      <c r="M115" s="47">
        <v>28.412762520193802</v>
      </c>
      <c r="N115" s="47">
        <v>14.075121163166299</v>
      </c>
      <c r="O115" s="47">
        <v>3.3319870759289101</v>
      </c>
    </row>
    <row r="116" spans="1:15" x14ac:dyDescent="0.25">
      <c r="A116" t="s">
        <v>287</v>
      </c>
      <c r="B116" s="47">
        <v>9586</v>
      </c>
      <c r="C116" s="47">
        <v>431</v>
      </c>
      <c r="D116" s="47">
        <v>1550</v>
      </c>
      <c r="E116" s="47">
        <v>2360</v>
      </c>
      <c r="F116" s="47">
        <v>2952</v>
      </c>
      <c r="G116" s="47">
        <v>1849</v>
      </c>
      <c r="H116" s="47">
        <v>444</v>
      </c>
      <c r="I116" s="47" t="s">
        <v>113</v>
      </c>
      <c r="J116" s="47">
        <v>4.4961402044648402</v>
      </c>
      <c r="K116" s="47">
        <v>16.169413728353799</v>
      </c>
      <c r="L116" s="47">
        <v>24.6192363863968</v>
      </c>
      <c r="M116" s="47">
        <v>30.794909242645499</v>
      </c>
      <c r="N116" s="47">
        <v>19.288545795952398</v>
      </c>
      <c r="O116" s="47">
        <v>4.6317546421865199</v>
      </c>
    </row>
    <row r="117" spans="1:15" x14ac:dyDescent="0.25">
      <c r="A117" t="s">
        <v>288</v>
      </c>
      <c r="B117" s="47">
        <v>139</v>
      </c>
      <c r="C117" s="47">
        <v>6</v>
      </c>
      <c r="D117" s="47">
        <v>25</v>
      </c>
      <c r="E117" s="47">
        <v>43</v>
      </c>
      <c r="F117" s="47">
        <v>41</v>
      </c>
      <c r="G117" s="47">
        <v>18</v>
      </c>
      <c r="H117" s="47">
        <v>6</v>
      </c>
      <c r="I117" s="47" t="s">
        <v>113</v>
      </c>
      <c r="J117" s="47">
        <v>4.3165467625899199</v>
      </c>
      <c r="K117" s="47">
        <v>17.985611510791301</v>
      </c>
      <c r="L117" s="47">
        <v>30.935251798561101</v>
      </c>
      <c r="M117" s="47">
        <v>29.4964028776978</v>
      </c>
      <c r="N117" s="47">
        <v>12.9496402877697</v>
      </c>
      <c r="O117" s="47">
        <v>4.3165467625899199</v>
      </c>
    </row>
    <row r="118" spans="1:15" x14ac:dyDescent="0.25">
      <c r="A118" t="s">
        <v>289</v>
      </c>
      <c r="B118" s="47">
        <v>141</v>
      </c>
      <c r="C118" s="47">
        <v>10</v>
      </c>
      <c r="D118" s="47">
        <v>26</v>
      </c>
      <c r="E118" s="47">
        <v>38</v>
      </c>
      <c r="F118" s="47">
        <v>43</v>
      </c>
      <c r="G118" s="47">
        <v>17</v>
      </c>
      <c r="H118" s="47">
        <v>7</v>
      </c>
      <c r="I118" s="47" t="s">
        <v>113</v>
      </c>
      <c r="J118" s="47">
        <v>7.0921985815602797</v>
      </c>
      <c r="K118" s="47">
        <v>18.439716312056699</v>
      </c>
      <c r="L118" s="47">
        <v>26.950354609929001</v>
      </c>
      <c r="M118" s="47">
        <v>30.496453900709199</v>
      </c>
      <c r="N118" s="47">
        <v>12.0567375886524</v>
      </c>
      <c r="O118" s="47">
        <v>4.9645390070921902</v>
      </c>
    </row>
    <row r="119" spans="1:15" x14ac:dyDescent="0.25">
      <c r="A119" t="s">
        <v>290</v>
      </c>
      <c r="B119" s="47">
        <v>4657</v>
      </c>
      <c r="C119" s="47">
        <v>291</v>
      </c>
      <c r="D119" s="47">
        <v>916</v>
      </c>
      <c r="E119" s="47">
        <v>1324</v>
      </c>
      <c r="F119" s="47">
        <v>1282</v>
      </c>
      <c r="G119" s="47">
        <v>686</v>
      </c>
      <c r="H119" s="47">
        <v>158</v>
      </c>
      <c r="I119" s="47" t="s">
        <v>113</v>
      </c>
      <c r="J119" s="47">
        <v>6.24865793429246</v>
      </c>
      <c r="K119" s="47">
        <v>19.6693150096628</v>
      </c>
      <c r="L119" s="47">
        <v>28.4303199484646</v>
      </c>
      <c r="M119" s="47">
        <v>27.5284517929997</v>
      </c>
      <c r="N119" s="47">
        <v>14.730513205926499</v>
      </c>
      <c r="O119" s="47">
        <v>3.3927421086536298</v>
      </c>
    </row>
    <row r="120" spans="1:15" x14ac:dyDescent="0.25">
      <c r="A120" t="s">
        <v>291</v>
      </c>
      <c r="B120" s="47">
        <v>206</v>
      </c>
      <c r="C120" s="47">
        <v>14</v>
      </c>
      <c r="D120" s="47">
        <v>34</v>
      </c>
      <c r="E120" s="47">
        <v>54</v>
      </c>
      <c r="F120" s="47">
        <v>59</v>
      </c>
      <c r="G120" s="47">
        <v>38</v>
      </c>
      <c r="H120" s="47">
        <v>7</v>
      </c>
      <c r="I120" s="47" t="s">
        <v>113</v>
      </c>
      <c r="J120" s="47">
        <v>6.7961165048543597</v>
      </c>
      <c r="K120" s="47">
        <v>16.504854368932001</v>
      </c>
      <c r="L120" s="47">
        <v>26.213592233009699</v>
      </c>
      <c r="M120" s="47">
        <v>28.6407766990291</v>
      </c>
      <c r="N120" s="47">
        <v>18.446601941747499</v>
      </c>
      <c r="O120" s="47">
        <v>3.3980582524271798</v>
      </c>
    </row>
    <row r="121" spans="1:15" x14ac:dyDescent="0.25">
      <c r="A121" t="s">
        <v>292</v>
      </c>
      <c r="B121" s="47">
        <v>57371</v>
      </c>
      <c r="C121" s="47">
        <v>3294</v>
      </c>
      <c r="D121" s="47">
        <v>10502</v>
      </c>
      <c r="E121" s="47">
        <v>15679</v>
      </c>
      <c r="F121" s="47">
        <v>16515</v>
      </c>
      <c r="G121" s="47">
        <v>9152</v>
      </c>
      <c r="H121" s="47">
        <v>2229</v>
      </c>
      <c r="I121" s="47" t="s">
        <v>113</v>
      </c>
      <c r="J121" s="47">
        <v>5.74157675480643</v>
      </c>
      <c r="K121" s="47">
        <v>18.305415628104701</v>
      </c>
      <c r="L121" s="47">
        <v>27.3291384148785</v>
      </c>
      <c r="M121" s="47">
        <v>28.786320614944799</v>
      </c>
      <c r="N121" s="47">
        <v>15.9523104007251</v>
      </c>
      <c r="O121" s="47">
        <v>3.8852381865402301</v>
      </c>
    </row>
    <row r="122" spans="1:15" x14ac:dyDescent="0.25">
      <c r="A122" t="s">
        <v>293</v>
      </c>
      <c r="B122" s="47">
        <v>3553</v>
      </c>
      <c r="C122" s="47">
        <v>242</v>
      </c>
      <c r="D122" s="47">
        <v>799</v>
      </c>
      <c r="E122" s="47">
        <v>985</v>
      </c>
      <c r="F122" s="47">
        <v>931</v>
      </c>
      <c r="G122" s="47">
        <v>480</v>
      </c>
      <c r="H122" s="47">
        <v>116</v>
      </c>
      <c r="I122" s="47" t="s">
        <v>113</v>
      </c>
      <c r="J122" s="47">
        <v>6.8111455108359102</v>
      </c>
      <c r="K122" s="47">
        <v>22.488038277511901</v>
      </c>
      <c r="L122" s="47">
        <v>27.7230509428651</v>
      </c>
      <c r="M122" s="47">
        <v>26.203208556149701</v>
      </c>
      <c r="N122" s="47">
        <v>13.5097101041373</v>
      </c>
      <c r="O122" s="47">
        <v>3.26484660849985</v>
      </c>
    </row>
    <row r="123" spans="1:15" x14ac:dyDescent="0.25">
      <c r="A123" t="s">
        <v>294</v>
      </c>
      <c r="B123" s="47">
        <v>1161</v>
      </c>
      <c r="C123" s="47">
        <v>65</v>
      </c>
      <c r="D123" s="47">
        <v>208</v>
      </c>
      <c r="E123" s="47">
        <v>312</v>
      </c>
      <c r="F123" s="47">
        <v>342</v>
      </c>
      <c r="G123" s="47">
        <v>186</v>
      </c>
      <c r="H123" s="47">
        <v>48</v>
      </c>
      <c r="I123" s="47" t="s">
        <v>113</v>
      </c>
      <c r="J123" s="47">
        <v>5.5986218776916399</v>
      </c>
      <c r="K123" s="47">
        <v>17.915590008613201</v>
      </c>
      <c r="L123" s="47">
        <v>26.873385012919801</v>
      </c>
      <c r="M123" s="47">
        <v>29.457364341085199</v>
      </c>
      <c r="N123" s="47">
        <v>16.020671834625301</v>
      </c>
      <c r="O123" s="47">
        <v>4.1343669250646</v>
      </c>
    </row>
    <row r="124" spans="1:15" x14ac:dyDescent="0.25">
      <c r="A124" t="s">
        <v>295</v>
      </c>
      <c r="B124" s="47">
        <v>1331</v>
      </c>
      <c r="C124" s="47">
        <v>98</v>
      </c>
      <c r="D124" s="47">
        <v>294</v>
      </c>
      <c r="E124" s="47">
        <v>400</v>
      </c>
      <c r="F124" s="47">
        <v>320</v>
      </c>
      <c r="G124" s="47">
        <v>186</v>
      </c>
      <c r="H124" s="47">
        <v>33</v>
      </c>
      <c r="I124" s="47" t="s">
        <v>113</v>
      </c>
      <c r="J124" s="47">
        <v>7.3628850488354596</v>
      </c>
      <c r="K124" s="47">
        <v>22.088655146506301</v>
      </c>
      <c r="L124" s="47">
        <v>30.0525920360631</v>
      </c>
      <c r="M124" s="47">
        <v>24.0420736288504</v>
      </c>
      <c r="N124" s="47">
        <v>13.9744552967693</v>
      </c>
      <c r="O124" s="47">
        <v>2.4793388429752001</v>
      </c>
    </row>
    <row r="125" spans="1:15" x14ac:dyDescent="0.25">
      <c r="A125" t="s">
        <v>296</v>
      </c>
      <c r="B125" s="47">
        <v>3486</v>
      </c>
      <c r="C125" s="47">
        <v>240</v>
      </c>
      <c r="D125" s="47">
        <v>733</v>
      </c>
      <c r="E125" s="47">
        <v>1004</v>
      </c>
      <c r="F125" s="47">
        <v>952</v>
      </c>
      <c r="G125" s="47">
        <v>468</v>
      </c>
      <c r="H125" s="47">
        <v>89</v>
      </c>
      <c r="I125" s="47" t="s">
        <v>113</v>
      </c>
      <c r="J125" s="47">
        <v>6.8846815834767598</v>
      </c>
      <c r="K125" s="47">
        <v>21.0269650028686</v>
      </c>
      <c r="L125" s="47">
        <v>28.800917957544399</v>
      </c>
      <c r="M125" s="47">
        <v>27.309236947791099</v>
      </c>
      <c r="N125" s="47">
        <v>13.425129087779601</v>
      </c>
      <c r="O125" s="47">
        <v>2.5530694205393001</v>
      </c>
    </row>
    <row r="126" spans="1:15" x14ac:dyDescent="0.25">
      <c r="A126" t="s">
        <v>297</v>
      </c>
      <c r="B126" s="47">
        <v>3140</v>
      </c>
      <c r="C126" s="47">
        <v>193</v>
      </c>
      <c r="D126" s="47">
        <v>572</v>
      </c>
      <c r="E126" s="47">
        <v>817</v>
      </c>
      <c r="F126" s="47">
        <v>912</v>
      </c>
      <c r="G126" s="47">
        <v>511</v>
      </c>
      <c r="H126" s="47">
        <v>135</v>
      </c>
      <c r="I126" s="47" t="s">
        <v>113</v>
      </c>
      <c r="J126" s="47">
        <v>6.1464968152866204</v>
      </c>
      <c r="K126" s="47">
        <v>18.2165605095541</v>
      </c>
      <c r="L126" s="47">
        <v>26.019108280254699</v>
      </c>
      <c r="M126" s="47">
        <v>29.044585987261101</v>
      </c>
      <c r="N126" s="47">
        <v>16.273885350318402</v>
      </c>
      <c r="O126" s="47">
        <v>4.2993630573248396</v>
      </c>
    </row>
    <row r="127" spans="1:15" x14ac:dyDescent="0.25">
      <c r="A127" t="s">
        <v>298</v>
      </c>
      <c r="B127" s="47">
        <v>6321</v>
      </c>
      <c r="C127" s="47">
        <v>291</v>
      </c>
      <c r="D127" s="47">
        <v>991</v>
      </c>
      <c r="E127" s="47">
        <v>1843</v>
      </c>
      <c r="F127" s="47">
        <v>2040</v>
      </c>
      <c r="G127" s="47">
        <v>943</v>
      </c>
      <c r="H127" s="47">
        <v>213</v>
      </c>
      <c r="I127" s="47" t="s">
        <v>113</v>
      </c>
      <c r="J127" s="47">
        <v>4.6037019458946302</v>
      </c>
      <c r="K127" s="47">
        <v>15.677899066603301</v>
      </c>
      <c r="L127" s="47">
        <v>29.156778990666002</v>
      </c>
      <c r="M127" s="47">
        <v>32.273374466065498</v>
      </c>
      <c r="N127" s="47">
        <v>14.918525549754699</v>
      </c>
      <c r="O127" s="47">
        <v>3.3697199810156602</v>
      </c>
    </row>
    <row r="128" spans="1:15" x14ac:dyDescent="0.25">
      <c r="A128" t="s">
        <v>299</v>
      </c>
      <c r="B128" s="47">
        <v>15426</v>
      </c>
      <c r="C128" s="47">
        <v>773</v>
      </c>
      <c r="D128" s="47">
        <v>2621</v>
      </c>
      <c r="E128" s="47">
        <v>4244</v>
      </c>
      <c r="F128" s="47">
        <v>4698</v>
      </c>
      <c r="G128" s="47">
        <v>2507</v>
      </c>
      <c r="H128" s="47">
        <v>583</v>
      </c>
      <c r="I128" s="47" t="s">
        <v>113</v>
      </c>
      <c r="J128" s="47">
        <v>5.0110203552443897</v>
      </c>
      <c r="K128" s="47">
        <v>16.990794762089902</v>
      </c>
      <c r="L128" s="47">
        <v>27.511992739530601</v>
      </c>
      <c r="M128" s="47">
        <v>30.455075845974299</v>
      </c>
      <c r="N128" s="47">
        <v>16.2517827045248</v>
      </c>
      <c r="O128" s="47">
        <v>3.77933359263581</v>
      </c>
    </row>
    <row r="129" spans="1:15" x14ac:dyDescent="0.25">
      <c r="A129" t="s">
        <v>300</v>
      </c>
      <c r="B129" s="47">
        <v>2380</v>
      </c>
      <c r="C129" s="47">
        <v>144</v>
      </c>
      <c r="D129" s="47">
        <v>454</v>
      </c>
      <c r="E129" s="47">
        <v>661</v>
      </c>
      <c r="F129" s="47">
        <v>646</v>
      </c>
      <c r="G129" s="47">
        <v>360</v>
      </c>
      <c r="H129" s="47">
        <v>115</v>
      </c>
      <c r="I129" s="47" t="s">
        <v>113</v>
      </c>
      <c r="J129" s="47">
        <v>6.0504201680672196</v>
      </c>
      <c r="K129" s="47">
        <v>19.075630252100801</v>
      </c>
      <c r="L129" s="47">
        <v>27.773109243697402</v>
      </c>
      <c r="M129" s="47">
        <v>27.1428571428571</v>
      </c>
      <c r="N129" s="47">
        <v>15.126050420167999</v>
      </c>
      <c r="O129" s="47">
        <v>4.8319327731092399</v>
      </c>
    </row>
    <row r="130" spans="1:15" x14ac:dyDescent="0.25">
      <c r="A130" t="s">
        <v>301</v>
      </c>
      <c r="B130" s="47">
        <v>4766</v>
      </c>
      <c r="C130" s="47">
        <v>315</v>
      </c>
      <c r="D130" s="47">
        <v>941</v>
      </c>
      <c r="E130" s="47">
        <v>1376</v>
      </c>
      <c r="F130" s="47">
        <v>1408</v>
      </c>
      <c r="G130" s="47">
        <v>573</v>
      </c>
      <c r="H130" s="47">
        <v>153</v>
      </c>
      <c r="I130" s="47" t="s">
        <v>113</v>
      </c>
      <c r="J130" s="47">
        <v>6.6093159882501</v>
      </c>
      <c r="K130" s="47">
        <v>19.7440201426773</v>
      </c>
      <c r="L130" s="47">
        <v>28.871170793117901</v>
      </c>
      <c r="M130" s="47">
        <v>29.542593369702001</v>
      </c>
      <c r="N130" s="47">
        <v>12.0226605119597</v>
      </c>
      <c r="O130" s="47">
        <v>3.2102391942929001</v>
      </c>
    </row>
    <row r="131" spans="1:15" x14ac:dyDescent="0.25">
      <c r="A131" t="s">
        <v>302</v>
      </c>
      <c r="B131" s="47">
        <v>9352</v>
      </c>
      <c r="C131" s="47">
        <v>404</v>
      </c>
      <c r="D131" s="47">
        <v>1472</v>
      </c>
      <c r="E131" s="47">
        <v>2358</v>
      </c>
      <c r="F131" s="47">
        <v>2931</v>
      </c>
      <c r="G131" s="47">
        <v>1781</v>
      </c>
      <c r="H131" s="47">
        <v>405</v>
      </c>
      <c r="I131" s="47">
        <v>1</v>
      </c>
      <c r="J131" s="47">
        <v>4.3203935407977703</v>
      </c>
      <c r="K131" s="47">
        <v>15.7416319110255</v>
      </c>
      <c r="L131" s="47">
        <v>25.216554379210699</v>
      </c>
      <c r="M131" s="47">
        <v>31.344241257619501</v>
      </c>
      <c r="N131" s="47">
        <v>19.0460913271307</v>
      </c>
      <c r="O131" s="47">
        <v>4.3310875842155898</v>
      </c>
    </row>
    <row r="132" spans="1:15" x14ac:dyDescent="0.25">
      <c r="A132" t="s">
        <v>303</v>
      </c>
      <c r="B132" s="47">
        <v>143</v>
      </c>
      <c r="C132" s="47">
        <v>3</v>
      </c>
      <c r="D132" s="47">
        <v>21</v>
      </c>
      <c r="E132" s="47">
        <v>48</v>
      </c>
      <c r="F132" s="47">
        <v>45</v>
      </c>
      <c r="G132" s="47">
        <v>25</v>
      </c>
      <c r="H132" s="47">
        <v>1</v>
      </c>
      <c r="I132" s="47" t="s">
        <v>113</v>
      </c>
      <c r="J132" s="47">
        <v>2.0979020979020899</v>
      </c>
      <c r="K132" s="47">
        <v>14.6853146853146</v>
      </c>
      <c r="L132" s="47">
        <v>33.566433566433503</v>
      </c>
      <c r="M132" s="47">
        <v>31.468531468531399</v>
      </c>
      <c r="N132" s="47">
        <v>17.482517482517402</v>
      </c>
      <c r="O132" s="47">
        <v>0.69930069930069905</v>
      </c>
    </row>
    <row r="133" spans="1:15" x14ac:dyDescent="0.25">
      <c r="A133" t="s">
        <v>304</v>
      </c>
      <c r="B133" s="47">
        <v>179</v>
      </c>
      <c r="C133" s="47">
        <v>7</v>
      </c>
      <c r="D133" s="47">
        <v>29</v>
      </c>
      <c r="E133" s="47">
        <v>58</v>
      </c>
      <c r="F133" s="47">
        <v>52</v>
      </c>
      <c r="G133" s="47">
        <v>29</v>
      </c>
      <c r="H133" s="47">
        <v>4</v>
      </c>
      <c r="I133" s="47" t="s">
        <v>113</v>
      </c>
      <c r="J133" s="47">
        <v>3.91061452513966</v>
      </c>
      <c r="K133" s="47">
        <v>16.201117318435699</v>
      </c>
      <c r="L133" s="47">
        <v>32.402234636871498</v>
      </c>
      <c r="M133" s="47">
        <v>29.050279329608902</v>
      </c>
      <c r="N133" s="47">
        <v>16.201117318435699</v>
      </c>
      <c r="O133" s="47">
        <v>2.23463687150837</v>
      </c>
    </row>
    <row r="134" spans="1:15" x14ac:dyDescent="0.25">
      <c r="A134" t="s">
        <v>305</v>
      </c>
      <c r="B134" s="47">
        <v>4384</v>
      </c>
      <c r="C134" s="47">
        <v>265</v>
      </c>
      <c r="D134" s="47">
        <v>848</v>
      </c>
      <c r="E134" s="47">
        <v>1240</v>
      </c>
      <c r="F134" s="47">
        <v>1245</v>
      </c>
      <c r="G134" s="47">
        <v>613</v>
      </c>
      <c r="H134" s="47">
        <v>173</v>
      </c>
      <c r="I134" s="47" t="s">
        <v>113</v>
      </c>
      <c r="J134" s="47">
        <v>6.0447080291970803</v>
      </c>
      <c r="K134" s="47">
        <v>19.343065693430599</v>
      </c>
      <c r="L134" s="47">
        <v>28.284671532846701</v>
      </c>
      <c r="M134" s="47">
        <v>28.3987226277372</v>
      </c>
      <c r="N134" s="47">
        <v>13.9826642335766</v>
      </c>
      <c r="O134" s="47">
        <v>3.94616788321167</v>
      </c>
    </row>
    <row r="135" spans="1:15" x14ac:dyDescent="0.25">
      <c r="A135" t="s">
        <v>306</v>
      </c>
      <c r="B135" s="47">
        <v>198</v>
      </c>
      <c r="C135" s="47">
        <v>10</v>
      </c>
      <c r="D135" s="47">
        <v>31</v>
      </c>
      <c r="E135" s="47">
        <v>43</v>
      </c>
      <c r="F135" s="47">
        <v>61</v>
      </c>
      <c r="G135" s="47">
        <v>45</v>
      </c>
      <c r="H135" s="47">
        <v>8</v>
      </c>
      <c r="I135" s="47" t="s">
        <v>113</v>
      </c>
      <c r="J135" s="47">
        <v>5.0505050505050502</v>
      </c>
      <c r="K135" s="47">
        <v>15.656565656565601</v>
      </c>
      <c r="L135" s="47">
        <v>21.717171717171698</v>
      </c>
      <c r="M135" s="47">
        <v>30.808080808080799</v>
      </c>
      <c r="N135" s="47">
        <v>22.727272727272702</v>
      </c>
      <c r="O135" s="47">
        <v>4.0404040404040398</v>
      </c>
    </row>
    <row r="136" spans="1:15" x14ac:dyDescent="0.25">
      <c r="A136" t="s">
        <v>307</v>
      </c>
      <c r="B136" s="47">
        <v>55820</v>
      </c>
      <c r="C136" s="47">
        <v>3050</v>
      </c>
      <c r="D136" s="47">
        <v>10014</v>
      </c>
      <c r="E136" s="47">
        <v>15389</v>
      </c>
      <c r="F136" s="47">
        <v>16583</v>
      </c>
      <c r="G136" s="47">
        <v>8707</v>
      </c>
      <c r="H136" s="47">
        <v>2076</v>
      </c>
      <c r="I136" s="47">
        <v>1</v>
      </c>
      <c r="J136" s="47">
        <v>5.46408928859349</v>
      </c>
      <c r="K136" s="47">
        <v>17.940127913434399</v>
      </c>
      <c r="L136" s="47">
        <v>27.569465594152501</v>
      </c>
      <c r="M136" s="47">
        <v>29.708522187785501</v>
      </c>
      <c r="N136" s="47">
        <v>15.5986312904208</v>
      </c>
      <c r="O136" s="47">
        <v>3.7191637256131398</v>
      </c>
    </row>
    <row r="137" spans="1:15" x14ac:dyDescent="0.25">
      <c r="A137" t="s">
        <v>308</v>
      </c>
      <c r="B137" s="47">
        <v>3430</v>
      </c>
      <c r="C137" s="47">
        <v>216</v>
      </c>
      <c r="D137" s="47">
        <v>757</v>
      </c>
      <c r="E137" s="47">
        <v>981</v>
      </c>
      <c r="F137" s="47">
        <v>907</v>
      </c>
      <c r="G137" s="47">
        <v>436</v>
      </c>
      <c r="H137" s="47">
        <v>133</v>
      </c>
      <c r="I137" s="47" t="s">
        <v>113</v>
      </c>
      <c r="J137" s="47">
        <v>6.29737609329446</v>
      </c>
      <c r="K137" s="47">
        <v>22.069970845480999</v>
      </c>
      <c r="L137" s="47">
        <v>28.600583090379001</v>
      </c>
      <c r="M137" s="47">
        <v>26.443148688046598</v>
      </c>
      <c r="N137" s="47">
        <v>12.7113702623906</v>
      </c>
      <c r="O137" s="47">
        <v>3.87755102040816</v>
      </c>
    </row>
    <row r="138" spans="1:15" x14ac:dyDescent="0.25">
      <c r="A138" t="s">
        <v>309</v>
      </c>
      <c r="B138" s="47">
        <v>1122</v>
      </c>
      <c r="C138" s="47">
        <v>45</v>
      </c>
      <c r="D138" s="47">
        <v>198</v>
      </c>
      <c r="E138" s="47">
        <v>298</v>
      </c>
      <c r="F138" s="47">
        <v>359</v>
      </c>
      <c r="G138" s="47">
        <v>161</v>
      </c>
      <c r="H138" s="47">
        <v>61</v>
      </c>
      <c r="I138" s="47" t="s">
        <v>113</v>
      </c>
      <c r="J138" s="47">
        <v>4.0106951871657701</v>
      </c>
      <c r="K138" s="47">
        <v>17.647058823529399</v>
      </c>
      <c r="L138" s="47">
        <v>26.559714795008901</v>
      </c>
      <c r="M138" s="47">
        <v>31.996434937611401</v>
      </c>
      <c r="N138" s="47">
        <v>14.349376114081901</v>
      </c>
      <c r="O138" s="47">
        <v>5.43672014260249</v>
      </c>
    </row>
    <row r="139" spans="1:15" x14ac:dyDescent="0.25">
      <c r="A139" t="s">
        <v>310</v>
      </c>
      <c r="B139" s="47">
        <v>1251</v>
      </c>
      <c r="C139" s="47">
        <v>78</v>
      </c>
      <c r="D139" s="47">
        <v>254</v>
      </c>
      <c r="E139" s="47">
        <v>399</v>
      </c>
      <c r="F139" s="47">
        <v>316</v>
      </c>
      <c r="G139" s="47">
        <v>152</v>
      </c>
      <c r="H139" s="47">
        <v>52</v>
      </c>
      <c r="I139" s="47" t="s">
        <v>113</v>
      </c>
      <c r="J139" s="47">
        <v>6.2350119904076697</v>
      </c>
      <c r="K139" s="47">
        <v>20.303756994404399</v>
      </c>
      <c r="L139" s="47">
        <v>31.89448441247</v>
      </c>
      <c r="M139" s="47">
        <v>25.259792166266902</v>
      </c>
      <c r="N139" s="47">
        <v>12.150279776179</v>
      </c>
      <c r="O139" s="47">
        <v>4.1566746602717801</v>
      </c>
    </row>
    <row r="140" spans="1:15" x14ac:dyDescent="0.25">
      <c r="A140" t="s">
        <v>311</v>
      </c>
      <c r="B140" s="47">
        <v>3436</v>
      </c>
      <c r="C140" s="47">
        <v>224</v>
      </c>
      <c r="D140" s="47">
        <v>683</v>
      </c>
      <c r="E140" s="47">
        <v>961</v>
      </c>
      <c r="F140" s="47">
        <v>982</v>
      </c>
      <c r="G140" s="47">
        <v>476</v>
      </c>
      <c r="H140" s="47">
        <v>110</v>
      </c>
      <c r="I140" s="47" t="s">
        <v>113</v>
      </c>
      <c r="J140" s="47">
        <v>6.5192083818393396</v>
      </c>
      <c r="K140" s="47">
        <v>19.877764842840499</v>
      </c>
      <c r="L140" s="47">
        <v>27.968568102444699</v>
      </c>
      <c r="M140" s="47">
        <v>28.579743888242099</v>
      </c>
      <c r="N140" s="47">
        <v>13.8533178114086</v>
      </c>
      <c r="O140" s="47">
        <v>3.2013969732246799</v>
      </c>
    </row>
    <row r="141" spans="1:15" x14ac:dyDescent="0.25">
      <c r="A141" t="s">
        <v>312</v>
      </c>
      <c r="B141" s="47">
        <v>3116</v>
      </c>
      <c r="C141" s="47">
        <v>167</v>
      </c>
      <c r="D141" s="47">
        <v>563</v>
      </c>
      <c r="E141" s="47">
        <v>818</v>
      </c>
      <c r="F141" s="47">
        <v>952</v>
      </c>
      <c r="G141" s="47">
        <v>487</v>
      </c>
      <c r="H141" s="47">
        <v>129</v>
      </c>
      <c r="I141" s="47" t="s">
        <v>113</v>
      </c>
      <c r="J141" s="47">
        <v>5.3594351732990999</v>
      </c>
      <c r="K141" s="47">
        <v>18.068035943517302</v>
      </c>
      <c r="L141" s="47">
        <v>26.251604621309301</v>
      </c>
      <c r="M141" s="47">
        <v>30.5519897304236</v>
      </c>
      <c r="N141" s="47">
        <v>15.629011553273401</v>
      </c>
      <c r="O141" s="47">
        <v>4.1399229781771503</v>
      </c>
    </row>
    <row r="142" spans="1:15" x14ac:dyDescent="0.25">
      <c r="A142" t="s">
        <v>313</v>
      </c>
      <c r="B142" s="47">
        <v>6289</v>
      </c>
      <c r="C142" s="47">
        <v>251</v>
      </c>
      <c r="D142" s="47">
        <v>953</v>
      </c>
      <c r="E142" s="47">
        <v>1801</v>
      </c>
      <c r="F142" s="47">
        <v>2082</v>
      </c>
      <c r="G142" s="47">
        <v>982</v>
      </c>
      <c r="H142" s="47">
        <v>220</v>
      </c>
      <c r="I142" s="47" t="s">
        <v>113</v>
      </c>
      <c r="J142" s="47">
        <v>3.9910955636826202</v>
      </c>
      <c r="K142" s="47">
        <v>15.1534425186834</v>
      </c>
      <c r="L142" s="47">
        <v>28.637303227858101</v>
      </c>
      <c r="M142" s="47">
        <v>33.1054221656861</v>
      </c>
      <c r="N142" s="47">
        <v>15.614565113690499</v>
      </c>
      <c r="O142" s="47">
        <v>3.4981714103991099</v>
      </c>
    </row>
    <row r="143" spans="1:15" x14ac:dyDescent="0.25">
      <c r="A143" t="s">
        <v>314</v>
      </c>
      <c r="B143" s="47">
        <v>14815</v>
      </c>
      <c r="C143" s="47">
        <v>650</v>
      </c>
      <c r="D143" s="47">
        <v>2384</v>
      </c>
      <c r="E143" s="47">
        <v>4081</v>
      </c>
      <c r="F143" s="47">
        <v>4649</v>
      </c>
      <c r="G143" s="47">
        <v>2437</v>
      </c>
      <c r="H143" s="47">
        <v>614</v>
      </c>
      <c r="I143" s="47" t="s">
        <v>113</v>
      </c>
      <c r="J143" s="47">
        <v>4.3874451569355299</v>
      </c>
      <c r="K143" s="47">
        <v>16.091798852514302</v>
      </c>
      <c r="L143" s="47">
        <v>27.546405669929101</v>
      </c>
      <c r="M143" s="47">
        <v>31.380357745528102</v>
      </c>
      <c r="N143" s="47">
        <v>16.449544380695201</v>
      </c>
      <c r="O143" s="47">
        <v>4.1444481943975697</v>
      </c>
    </row>
    <row r="144" spans="1:15" x14ac:dyDescent="0.25">
      <c r="A144" t="s">
        <v>315</v>
      </c>
      <c r="B144" s="47">
        <v>2299</v>
      </c>
      <c r="C144" s="47">
        <v>136</v>
      </c>
      <c r="D144" s="47">
        <v>443</v>
      </c>
      <c r="E144" s="47">
        <v>618</v>
      </c>
      <c r="F144" s="47">
        <v>644</v>
      </c>
      <c r="G144" s="47">
        <v>356</v>
      </c>
      <c r="H144" s="47">
        <v>102</v>
      </c>
      <c r="I144" s="47" t="s">
        <v>113</v>
      </c>
      <c r="J144" s="47">
        <v>5.9156154849934701</v>
      </c>
      <c r="K144" s="47">
        <v>19.269247498912499</v>
      </c>
      <c r="L144" s="47">
        <v>26.881252718573201</v>
      </c>
      <c r="M144" s="47">
        <v>28.012179208351402</v>
      </c>
      <c r="N144" s="47">
        <v>15.484993475424</v>
      </c>
      <c r="O144" s="47">
        <v>4.4367116137450999</v>
      </c>
    </row>
    <row r="145" spans="1:15" x14ac:dyDescent="0.25">
      <c r="A145" t="s">
        <v>316</v>
      </c>
      <c r="B145" s="47">
        <v>4700</v>
      </c>
      <c r="C145" s="47">
        <v>254</v>
      </c>
      <c r="D145" s="47">
        <v>894</v>
      </c>
      <c r="E145" s="47">
        <v>1377</v>
      </c>
      <c r="F145" s="47">
        <v>1418</v>
      </c>
      <c r="G145" s="47">
        <v>612</v>
      </c>
      <c r="H145" s="47">
        <v>145</v>
      </c>
      <c r="I145" s="47" t="s">
        <v>113</v>
      </c>
      <c r="J145" s="47">
        <v>5.4042553191489304</v>
      </c>
      <c r="K145" s="47">
        <v>19.021276595744599</v>
      </c>
      <c r="L145" s="47">
        <v>29.297872340425499</v>
      </c>
      <c r="M145" s="47">
        <v>30.170212765957402</v>
      </c>
      <c r="N145" s="47">
        <v>13.021276595744601</v>
      </c>
      <c r="O145" s="47">
        <v>3.08510638297872</v>
      </c>
    </row>
    <row r="146" spans="1:15" x14ac:dyDescent="0.25">
      <c r="A146" t="s">
        <v>317</v>
      </c>
      <c r="B146" s="47">
        <v>9520</v>
      </c>
      <c r="C146" s="47">
        <v>386</v>
      </c>
      <c r="D146" s="47">
        <v>1375</v>
      </c>
      <c r="E146" s="47">
        <v>2317</v>
      </c>
      <c r="F146" s="47">
        <v>3131</v>
      </c>
      <c r="G146" s="47">
        <v>1842</v>
      </c>
      <c r="H146" s="47">
        <v>469</v>
      </c>
      <c r="I146" s="47" t="s">
        <v>113</v>
      </c>
      <c r="J146" s="47">
        <v>4.0546218487394903</v>
      </c>
      <c r="K146" s="47">
        <v>14.4432773109243</v>
      </c>
      <c r="L146" s="47">
        <v>24.338235294117599</v>
      </c>
      <c r="M146" s="47">
        <v>32.888655462184801</v>
      </c>
      <c r="N146" s="47">
        <v>19.348739495798299</v>
      </c>
      <c r="O146" s="47">
        <v>4.9264705882352899</v>
      </c>
    </row>
    <row r="147" spans="1:15" x14ac:dyDescent="0.25">
      <c r="A147" t="s">
        <v>318</v>
      </c>
      <c r="B147" s="47">
        <v>124</v>
      </c>
      <c r="C147" s="47">
        <v>3</v>
      </c>
      <c r="D147" s="47">
        <v>20</v>
      </c>
      <c r="E147" s="47">
        <v>37</v>
      </c>
      <c r="F147" s="47">
        <v>43</v>
      </c>
      <c r="G147" s="47">
        <v>16</v>
      </c>
      <c r="H147" s="47">
        <v>5</v>
      </c>
      <c r="I147" s="47" t="s">
        <v>113</v>
      </c>
      <c r="J147" s="47">
        <v>2.4193548387096699</v>
      </c>
      <c r="K147" s="47">
        <v>16.129032258064498</v>
      </c>
      <c r="L147" s="47">
        <v>29.838709677419299</v>
      </c>
      <c r="M147" s="47">
        <v>34.677419354838698</v>
      </c>
      <c r="N147" s="47">
        <v>12.9032258064516</v>
      </c>
      <c r="O147" s="47">
        <v>4.0322580645161201</v>
      </c>
    </row>
    <row r="148" spans="1:15" x14ac:dyDescent="0.25">
      <c r="A148" t="s">
        <v>319</v>
      </c>
      <c r="B148" s="47">
        <v>143</v>
      </c>
      <c r="C148" s="47">
        <v>8</v>
      </c>
      <c r="D148" s="47">
        <v>22</v>
      </c>
      <c r="E148" s="47">
        <v>42</v>
      </c>
      <c r="F148" s="47">
        <v>40</v>
      </c>
      <c r="G148" s="47">
        <v>25</v>
      </c>
      <c r="H148" s="47">
        <v>6</v>
      </c>
      <c r="I148" s="47" t="s">
        <v>113</v>
      </c>
      <c r="J148" s="47">
        <v>5.5944055944055897</v>
      </c>
      <c r="K148" s="47">
        <v>15.3846153846153</v>
      </c>
      <c r="L148" s="47">
        <v>29.370629370629299</v>
      </c>
      <c r="M148" s="47">
        <v>27.972027972027899</v>
      </c>
      <c r="N148" s="47">
        <v>17.482517482517402</v>
      </c>
      <c r="O148" s="47">
        <v>4.1958041958041896</v>
      </c>
    </row>
    <row r="149" spans="1:15" x14ac:dyDescent="0.25">
      <c r="A149" t="s">
        <v>320</v>
      </c>
      <c r="B149" s="47">
        <v>4269</v>
      </c>
      <c r="C149" s="47">
        <v>211</v>
      </c>
      <c r="D149" s="47">
        <v>810</v>
      </c>
      <c r="E149" s="47">
        <v>1275</v>
      </c>
      <c r="F149" s="47">
        <v>1199</v>
      </c>
      <c r="G149" s="47">
        <v>632</v>
      </c>
      <c r="H149" s="47">
        <v>142</v>
      </c>
      <c r="I149" s="47" t="s">
        <v>113</v>
      </c>
      <c r="J149" s="47">
        <v>4.9426095104239796</v>
      </c>
      <c r="K149" s="47">
        <v>18.973998594518601</v>
      </c>
      <c r="L149" s="47">
        <v>29.8664792691496</v>
      </c>
      <c r="M149" s="47">
        <v>28.086202857812101</v>
      </c>
      <c r="N149" s="47">
        <v>14.804403841649</v>
      </c>
      <c r="O149" s="47">
        <v>3.3263059264464698</v>
      </c>
    </row>
    <row r="150" spans="1:15" x14ac:dyDescent="0.25">
      <c r="A150" t="s">
        <v>321</v>
      </c>
      <c r="B150" s="47">
        <v>195</v>
      </c>
      <c r="C150" s="47">
        <v>9</v>
      </c>
      <c r="D150" s="47">
        <v>37</v>
      </c>
      <c r="E150" s="47">
        <v>51</v>
      </c>
      <c r="F150" s="47">
        <v>54</v>
      </c>
      <c r="G150" s="47">
        <v>32</v>
      </c>
      <c r="H150" s="47">
        <v>12</v>
      </c>
      <c r="I150" s="47" t="s">
        <v>113</v>
      </c>
      <c r="J150" s="47">
        <v>4.6153846153846096</v>
      </c>
      <c r="K150" s="47">
        <v>18.9743589743589</v>
      </c>
      <c r="L150" s="47">
        <v>26.1538461538461</v>
      </c>
      <c r="M150" s="47">
        <v>27.692307692307601</v>
      </c>
      <c r="N150" s="47">
        <v>16.410256410256402</v>
      </c>
      <c r="O150" s="47">
        <v>6.1538461538461497</v>
      </c>
    </row>
    <row r="151" spans="1:15" x14ac:dyDescent="0.25">
      <c r="A151" t="s">
        <v>322</v>
      </c>
      <c r="B151" s="47">
        <v>54709</v>
      </c>
      <c r="C151" s="47">
        <v>2638</v>
      </c>
      <c r="D151" s="47">
        <v>9393</v>
      </c>
      <c r="E151" s="47">
        <v>15056</v>
      </c>
      <c r="F151" s="47">
        <v>16776</v>
      </c>
      <c r="G151" s="47">
        <v>8646</v>
      </c>
      <c r="H151" s="47">
        <v>2200</v>
      </c>
      <c r="I151" s="47" t="s">
        <v>113</v>
      </c>
      <c r="J151" s="47">
        <v>4.8218757425651999</v>
      </c>
      <c r="K151" s="47">
        <v>17.169021550384699</v>
      </c>
      <c r="L151" s="47">
        <v>27.520152077354702</v>
      </c>
      <c r="M151" s="47">
        <v>30.6640589299749</v>
      </c>
      <c r="N151" s="47">
        <v>15.8036154928805</v>
      </c>
      <c r="O151" s="47">
        <v>4.0212762068398202</v>
      </c>
    </row>
    <row r="152" spans="1:15" x14ac:dyDescent="0.25">
      <c r="A152" t="s">
        <v>323</v>
      </c>
      <c r="B152" s="47">
        <v>3503</v>
      </c>
      <c r="C152" s="47">
        <v>188</v>
      </c>
      <c r="D152" s="47">
        <v>712</v>
      </c>
      <c r="E152" s="47">
        <v>1028</v>
      </c>
      <c r="F152" s="47">
        <v>947</v>
      </c>
      <c r="G152" s="47">
        <v>527</v>
      </c>
      <c r="H152" s="47">
        <v>101</v>
      </c>
      <c r="I152" s="47" t="s">
        <v>113</v>
      </c>
      <c r="J152" s="47">
        <v>5.3668284327719098</v>
      </c>
      <c r="K152" s="47">
        <v>20.3254353411361</v>
      </c>
      <c r="L152" s="47">
        <v>29.346274621752698</v>
      </c>
      <c r="M152" s="47">
        <v>27.033970882100999</v>
      </c>
      <c r="N152" s="47">
        <v>15.044247787610599</v>
      </c>
      <c r="O152" s="47">
        <v>2.88324293462746</v>
      </c>
    </row>
    <row r="153" spans="1:15" x14ac:dyDescent="0.25">
      <c r="A153" t="s">
        <v>324</v>
      </c>
      <c r="B153" s="47">
        <v>1035</v>
      </c>
      <c r="C153" s="47">
        <v>45</v>
      </c>
      <c r="D153" s="47">
        <v>178</v>
      </c>
      <c r="E153" s="47">
        <v>293</v>
      </c>
      <c r="F153" s="47">
        <v>321</v>
      </c>
      <c r="G153" s="47">
        <v>155</v>
      </c>
      <c r="H153" s="47">
        <v>43</v>
      </c>
      <c r="I153" s="47" t="s">
        <v>113</v>
      </c>
      <c r="J153" s="47">
        <v>4.3478260869565197</v>
      </c>
      <c r="K153" s="47">
        <v>17.198067632850201</v>
      </c>
      <c r="L153" s="47">
        <v>28.309178743961301</v>
      </c>
      <c r="M153" s="47">
        <v>31.014492753623099</v>
      </c>
      <c r="N153" s="47">
        <v>14.975845410628001</v>
      </c>
      <c r="O153" s="47">
        <v>4.1545893719806699</v>
      </c>
    </row>
    <row r="154" spans="1:15" x14ac:dyDescent="0.25">
      <c r="A154" t="s">
        <v>325</v>
      </c>
      <c r="B154" s="47">
        <v>1194</v>
      </c>
      <c r="C154" s="47">
        <v>76</v>
      </c>
      <c r="D154" s="47">
        <v>260</v>
      </c>
      <c r="E154" s="47">
        <v>339</v>
      </c>
      <c r="F154" s="47">
        <v>323</v>
      </c>
      <c r="G154" s="47">
        <v>162</v>
      </c>
      <c r="H154" s="47">
        <v>34</v>
      </c>
      <c r="I154" s="47" t="s">
        <v>113</v>
      </c>
      <c r="J154" s="47">
        <v>6.3651591289782203</v>
      </c>
      <c r="K154" s="47">
        <v>21.775544388609699</v>
      </c>
      <c r="L154" s="47">
        <v>28.3919597989949</v>
      </c>
      <c r="M154" s="47">
        <v>27.051926298157401</v>
      </c>
      <c r="N154" s="47">
        <v>13.5678391959799</v>
      </c>
      <c r="O154" s="47">
        <v>2.84757118927973</v>
      </c>
    </row>
    <row r="155" spans="1:15" x14ac:dyDescent="0.25">
      <c r="A155" t="s">
        <v>326</v>
      </c>
      <c r="B155" s="47">
        <v>3435</v>
      </c>
      <c r="C155" s="47">
        <v>216</v>
      </c>
      <c r="D155" s="47">
        <v>738</v>
      </c>
      <c r="E155" s="47">
        <v>1004</v>
      </c>
      <c r="F155" s="47">
        <v>920</v>
      </c>
      <c r="G155" s="47">
        <v>444</v>
      </c>
      <c r="H155" s="47">
        <v>113</v>
      </c>
      <c r="I155" s="47" t="s">
        <v>113</v>
      </c>
      <c r="J155" s="47">
        <v>6.2882096069869</v>
      </c>
      <c r="K155" s="47">
        <v>21.484716157205199</v>
      </c>
      <c r="L155" s="47">
        <v>29.2285298398835</v>
      </c>
      <c r="M155" s="47">
        <v>26.783114992721899</v>
      </c>
      <c r="N155" s="47">
        <v>12.925764192139701</v>
      </c>
      <c r="O155" s="47">
        <v>3.2896652110625899</v>
      </c>
    </row>
    <row r="156" spans="1:15" x14ac:dyDescent="0.25">
      <c r="A156" t="s">
        <v>327</v>
      </c>
      <c r="B156" s="47">
        <v>3099</v>
      </c>
      <c r="C156" s="47">
        <v>156</v>
      </c>
      <c r="D156" s="47">
        <v>545</v>
      </c>
      <c r="E156" s="47">
        <v>842</v>
      </c>
      <c r="F156" s="47">
        <v>927</v>
      </c>
      <c r="G156" s="47">
        <v>526</v>
      </c>
      <c r="H156" s="47">
        <v>103</v>
      </c>
      <c r="I156" s="47" t="s">
        <v>113</v>
      </c>
      <c r="J156" s="47">
        <v>5.0338818973862498</v>
      </c>
      <c r="K156" s="47">
        <v>17.586318167150601</v>
      </c>
      <c r="L156" s="47">
        <v>27.170054856405201</v>
      </c>
      <c r="M156" s="47">
        <v>29.912875121006699</v>
      </c>
      <c r="N156" s="47">
        <v>16.973217166828</v>
      </c>
      <c r="O156" s="47">
        <v>3.3236527912229699</v>
      </c>
    </row>
    <row r="157" spans="1:15" x14ac:dyDescent="0.25">
      <c r="A157" t="s">
        <v>328</v>
      </c>
      <c r="B157" s="47">
        <v>6231</v>
      </c>
      <c r="C157" s="47">
        <v>174</v>
      </c>
      <c r="D157" s="47">
        <v>883</v>
      </c>
      <c r="E157" s="47">
        <v>1815</v>
      </c>
      <c r="F157" s="47">
        <v>2097</v>
      </c>
      <c r="G157" s="47">
        <v>1038</v>
      </c>
      <c r="H157" s="47">
        <v>224</v>
      </c>
      <c r="I157" s="47" t="s">
        <v>113</v>
      </c>
      <c r="J157" s="47">
        <v>2.7924891670678802</v>
      </c>
      <c r="K157" s="47">
        <v>14.171080083453599</v>
      </c>
      <c r="L157" s="47">
        <v>29.128550794414998</v>
      </c>
      <c r="M157" s="47">
        <v>33.654309099662903</v>
      </c>
      <c r="N157" s="47">
        <v>16.658642272508398</v>
      </c>
      <c r="O157" s="47">
        <v>3.5949285828919901</v>
      </c>
    </row>
    <row r="158" spans="1:15" x14ac:dyDescent="0.25">
      <c r="A158" t="s">
        <v>329</v>
      </c>
      <c r="B158" s="47">
        <v>15080</v>
      </c>
      <c r="C158" s="47">
        <v>580</v>
      </c>
      <c r="D158" s="47">
        <v>2349</v>
      </c>
      <c r="E158" s="47">
        <v>4129</v>
      </c>
      <c r="F158" s="47">
        <v>4899</v>
      </c>
      <c r="G158" s="47">
        <v>2526</v>
      </c>
      <c r="H158" s="47">
        <v>597</v>
      </c>
      <c r="I158" s="47" t="s">
        <v>113</v>
      </c>
      <c r="J158" s="47">
        <v>3.84615384615384</v>
      </c>
      <c r="K158" s="47">
        <v>15.576923076923</v>
      </c>
      <c r="L158" s="47">
        <v>27.380636604774502</v>
      </c>
      <c r="M158" s="47">
        <v>32.486737400530501</v>
      </c>
      <c r="N158" s="47">
        <v>16.7506631299734</v>
      </c>
      <c r="O158" s="47">
        <v>3.9588859416445601</v>
      </c>
    </row>
    <row r="159" spans="1:15" x14ac:dyDescent="0.25">
      <c r="A159" t="s">
        <v>330</v>
      </c>
      <c r="B159" s="47">
        <v>2299</v>
      </c>
      <c r="C159" s="47">
        <v>114</v>
      </c>
      <c r="D159" s="47">
        <v>414</v>
      </c>
      <c r="E159" s="47">
        <v>645</v>
      </c>
      <c r="F159" s="47">
        <v>654</v>
      </c>
      <c r="G159" s="47">
        <v>397</v>
      </c>
      <c r="H159" s="47">
        <v>75</v>
      </c>
      <c r="I159" s="47" t="s">
        <v>113</v>
      </c>
      <c r="J159" s="47">
        <v>4.95867768595041</v>
      </c>
      <c r="K159" s="47">
        <v>18.007829491083001</v>
      </c>
      <c r="L159" s="47">
        <v>28.055676381035202</v>
      </c>
      <c r="M159" s="47">
        <v>28.4471509351892</v>
      </c>
      <c r="N159" s="47">
        <v>17.268377555458802</v>
      </c>
      <c r="O159" s="47">
        <v>3.26228795128316</v>
      </c>
    </row>
    <row r="160" spans="1:15" x14ac:dyDescent="0.25">
      <c r="A160" t="s">
        <v>331</v>
      </c>
      <c r="B160" s="47">
        <v>4723</v>
      </c>
      <c r="C160" s="47">
        <v>240</v>
      </c>
      <c r="D160" s="47">
        <v>850</v>
      </c>
      <c r="E160" s="47">
        <v>1387</v>
      </c>
      <c r="F160" s="47">
        <v>1435</v>
      </c>
      <c r="G160" s="47">
        <v>681</v>
      </c>
      <c r="H160" s="47">
        <v>130</v>
      </c>
      <c r="I160" s="47" t="s">
        <v>113</v>
      </c>
      <c r="J160" s="47">
        <v>5.0815159856023699</v>
      </c>
      <c r="K160" s="47">
        <v>17.997035782341701</v>
      </c>
      <c r="L160" s="47">
        <v>29.366927800127002</v>
      </c>
      <c r="M160" s="47">
        <v>30.383230997247502</v>
      </c>
      <c r="N160" s="47">
        <v>14.4188016091467</v>
      </c>
      <c r="O160" s="47">
        <v>2.7524878255346099</v>
      </c>
    </row>
    <row r="161" spans="1:15" x14ac:dyDescent="0.25">
      <c r="A161" t="s">
        <v>332</v>
      </c>
      <c r="B161" s="47">
        <v>9233</v>
      </c>
      <c r="C161" s="47">
        <v>323</v>
      </c>
      <c r="D161" s="47">
        <v>1254</v>
      </c>
      <c r="E161" s="47">
        <v>2316</v>
      </c>
      <c r="F161" s="47">
        <v>3101</v>
      </c>
      <c r="G161" s="47">
        <v>1815</v>
      </c>
      <c r="H161" s="47">
        <v>424</v>
      </c>
      <c r="I161" s="47" t="s">
        <v>113</v>
      </c>
      <c r="J161" s="47">
        <v>3.4983212390339</v>
      </c>
      <c r="K161" s="47">
        <v>13.5817177515433</v>
      </c>
      <c r="L161" s="47">
        <v>25.083938048304901</v>
      </c>
      <c r="M161" s="47">
        <v>33.586050037907498</v>
      </c>
      <c r="N161" s="47">
        <v>19.657749377233799</v>
      </c>
      <c r="O161" s="47">
        <v>4.5922235459763803</v>
      </c>
    </row>
    <row r="162" spans="1:15" x14ac:dyDescent="0.25">
      <c r="A162" t="s">
        <v>333</v>
      </c>
      <c r="B162" s="47">
        <v>140</v>
      </c>
      <c r="C162" s="47">
        <v>3</v>
      </c>
      <c r="D162" s="47">
        <v>16</v>
      </c>
      <c r="E162" s="47">
        <v>44</v>
      </c>
      <c r="F162" s="47">
        <v>45</v>
      </c>
      <c r="G162" s="47">
        <v>30</v>
      </c>
      <c r="H162" s="47">
        <v>2</v>
      </c>
      <c r="I162" s="47" t="s">
        <v>113</v>
      </c>
      <c r="J162" s="47">
        <v>2.1428571428571401</v>
      </c>
      <c r="K162" s="47">
        <v>11.4285714285714</v>
      </c>
      <c r="L162" s="47">
        <v>31.428571428571399</v>
      </c>
      <c r="M162" s="47">
        <v>32.142857142857103</v>
      </c>
      <c r="N162" s="47">
        <v>21.428571428571399</v>
      </c>
      <c r="O162" s="47">
        <v>1.4285714285714199</v>
      </c>
    </row>
    <row r="163" spans="1:15" x14ac:dyDescent="0.25">
      <c r="A163" t="s">
        <v>334</v>
      </c>
      <c r="B163" s="47">
        <v>153</v>
      </c>
      <c r="C163" s="47">
        <v>4</v>
      </c>
      <c r="D163" s="47">
        <v>23</v>
      </c>
      <c r="E163" s="47">
        <v>39</v>
      </c>
      <c r="F163" s="47">
        <v>46</v>
      </c>
      <c r="G163" s="47">
        <v>38</v>
      </c>
      <c r="H163" s="47">
        <v>3</v>
      </c>
      <c r="I163" s="47" t="s">
        <v>113</v>
      </c>
      <c r="J163" s="47">
        <v>2.6143790849673199</v>
      </c>
      <c r="K163" s="47">
        <v>15.032679738562001</v>
      </c>
      <c r="L163" s="47">
        <v>25.4901960784313</v>
      </c>
      <c r="M163" s="47">
        <v>30.065359477124101</v>
      </c>
      <c r="N163" s="47">
        <v>24.8366013071895</v>
      </c>
      <c r="O163" s="47">
        <v>1.9607843137254899</v>
      </c>
    </row>
    <row r="164" spans="1:15" x14ac:dyDescent="0.25">
      <c r="A164" t="s">
        <v>335</v>
      </c>
      <c r="B164" s="47">
        <v>4428</v>
      </c>
      <c r="C164" s="47">
        <v>205</v>
      </c>
      <c r="D164" s="47">
        <v>777</v>
      </c>
      <c r="E164" s="47">
        <v>1307</v>
      </c>
      <c r="F164" s="47">
        <v>1336</v>
      </c>
      <c r="G164" s="47">
        <v>644</v>
      </c>
      <c r="H164" s="47">
        <v>159</v>
      </c>
      <c r="I164" s="47" t="s">
        <v>113</v>
      </c>
      <c r="J164" s="47">
        <v>4.6296296296296298</v>
      </c>
      <c r="K164" s="47">
        <v>17.547425474254698</v>
      </c>
      <c r="L164" s="47">
        <v>29.516711833784999</v>
      </c>
      <c r="M164" s="47">
        <v>30.1716350496838</v>
      </c>
      <c r="N164" s="47">
        <v>14.543812104787699</v>
      </c>
      <c r="O164" s="47">
        <v>3.59078590785907</v>
      </c>
    </row>
    <row r="165" spans="1:15" x14ac:dyDescent="0.25">
      <c r="A165" t="s">
        <v>336</v>
      </c>
      <c r="B165" s="47">
        <v>172</v>
      </c>
      <c r="C165" s="47">
        <v>6</v>
      </c>
      <c r="D165" s="47">
        <v>24</v>
      </c>
      <c r="E165" s="47">
        <v>44</v>
      </c>
      <c r="F165" s="47">
        <v>49</v>
      </c>
      <c r="G165" s="47">
        <v>39</v>
      </c>
      <c r="H165" s="47">
        <v>10</v>
      </c>
      <c r="I165" s="47" t="s">
        <v>113</v>
      </c>
      <c r="J165" s="47">
        <v>3.48837209302325</v>
      </c>
      <c r="K165" s="47">
        <v>13.953488372093</v>
      </c>
      <c r="L165" s="47">
        <v>25.581395348837201</v>
      </c>
      <c r="M165" s="47">
        <v>28.488372093023202</v>
      </c>
      <c r="N165" s="47">
        <v>22.674418604651098</v>
      </c>
      <c r="O165" s="47">
        <v>5.81395348837209</v>
      </c>
    </row>
    <row r="166" spans="1:15" x14ac:dyDescent="0.25">
      <c r="A166" t="s">
        <v>337</v>
      </c>
      <c r="B166" s="47">
        <v>54725</v>
      </c>
      <c r="C166" s="47">
        <v>2330</v>
      </c>
      <c r="D166" s="47">
        <v>9023</v>
      </c>
      <c r="E166" s="47">
        <v>15232</v>
      </c>
      <c r="F166" s="47">
        <v>17100</v>
      </c>
      <c r="G166" s="47">
        <v>9022</v>
      </c>
      <c r="H166" s="47">
        <v>2018</v>
      </c>
      <c r="I166" s="47" t="s">
        <v>113</v>
      </c>
      <c r="J166" s="47">
        <v>4.2576518958428498</v>
      </c>
      <c r="K166" s="47">
        <v>16.487894015532198</v>
      </c>
      <c r="L166" s="47">
        <v>27.833714024668701</v>
      </c>
      <c r="M166" s="47">
        <v>31.247144814984001</v>
      </c>
      <c r="N166" s="47">
        <v>16.486066697121899</v>
      </c>
      <c r="O166" s="47">
        <v>3.6875285518501499</v>
      </c>
    </row>
    <row r="167" spans="1:15" x14ac:dyDescent="0.25">
      <c r="A167" t="s">
        <v>338</v>
      </c>
      <c r="B167" s="47">
        <v>3419</v>
      </c>
      <c r="C167" s="47">
        <v>180</v>
      </c>
      <c r="D167" s="47">
        <v>664</v>
      </c>
      <c r="E167" s="47">
        <v>1026</v>
      </c>
      <c r="F167" s="47">
        <v>936</v>
      </c>
      <c r="G167" s="47">
        <v>503</v>
      </c>
      <c r="H167" s="47">
        <v>110</v>
      </c>
      <c r="I167" s="47" t="s">
        <v>113</v>
      </c>
      <c r="J167" s="47">
        <v>5.2646972799064002</v>
      </c>
      <c r="K167" s="47">
        <v>19.4208832992102</v>
      </c>
      <c r="L167" s="47">
        <v>30.008774495466501</v>
      </c>
      <c r="M167" s="47">
        <v>27.3764258555133</v>
      </c>
      <c r="N167" s="47">
        <v>14.711904065516199</v>
      </c>
      <c r="O167" s="47">
        <v>3.2173150043872401</v>
      </c>
    </row>
    <row r="168" spans="1:15" x14ac:dyDescent="0.25">
      <c r="A168" t="s">
        <v>339</v>
      </c>
      <c r="B168" s="47">
        <v>1047</v>
      </c>
      <c r="C168" s="47">
        <v>41</v>
      </c>
      <c r="D168" s="47">
        <v>182</v>
      </c>
      <c r="E168" s="47">
        <v>295</v>
      </c>
      <c r="F168" s="47">
        <v>331</v>
      </c>
      <c r="G168" s="47">
        <v>161</v>
      </c>
      <c r="H168" s="47">
        <v>37</v>
      </c>
      <c r="I168" s="47" t="s">
        <v>113</v>
      </c>
      <c r="J168" s="47">
        <v>3.9159503342884401</v>
      </c>
      <c r="K168" s="47">
        <v>17.382999044890099</v>
      </c>
      <c r="L168" s="47">
        <v>28.175740210124101</v>
      </c>
      <c r="M168" s="47">
        <v>31.614135625596901</v>
      </c>
      <c r="N168" s="47">
        <v>15.3772683858643</v>
      </c>
      <c r="O168" s="47">
        <v>3.5339063992359101</v>
      </c>
    </row>
    <row r="169" spans="1:15" x14ac:dyDescent="0.25">
      <c r="A169" t="s">
        <v>340</v>
      </c>
      <c r="B169" s="47">
        <v>1253</v>
      </c>
      <c r="C169" s="47">
        <v>56</v>
      </c>
      <c r="D169" s="47">
        <v>250</v>
      </c>
      <c r="E169" s="47">
        <v>430</v>
      </c>
      <c r="F169" s="47">
        <v>336</v>
      </c>
      <c r="G169" s="47">
        <v>146</v>
      </c>
      <c r="H169" s="47">
        <v>35</v>
      </c>
      <c r="I169" s="47" t="s">
        <v>113</v>
      </c>
      <c r="J169" s="47">
        <v>4.4692737430167497</v>
      </c>
      <c r="K169" s="47">
        <v>19.952114924181899</v>
      </c>
      <c r="L169" s="47">
        <v>34.317637669592898</v>
      </c>
      <c r="M169" s="47">
        <v>26.815642458100498</v>
      </c>
      <c r="N169" s="47">
        <v>11.6520351157222</v>
      </c>
      <c r="O169" s="47">
        <v>2.7932960893854699</v>
      </c>
    </row>
    <row r="170" spans="1:15" x14ac:dyDescent="0.25">
      <c r="A170" t="s">
        <v>341</v>
      </c>
      <c r="B170" s="47">
        <v>3318</v>
      </c>
      <c r="C170" s="47">
        <v>192</v>
      </c>
      <c r="D170" s="47">
        <v>644</v>
      </c>
      <c r="E170" s="47">
        <v>973</v>
      </c>
      <c r="F170" s="47">
        <v>944</v>
      </c>
      <c r="G170" s="47">
        <v>466</v>
      </c>
      <c r="H170" s="47">
        <v>99</v>
      </c>
      <c r="I170" s="47" t="s">
        <v>113</v>
      </c>
      <c r="J170" s="47">
        <v>5.7866184448462903</v>
      </c>
      <c r="K170" s="47">
        <v>19.409282700421901</v>
      </c>
      <c r="L170" s="47">
        <v>29.324894514767902</v>
      </c>
      <c r="M170" s="47">
        <v>28.450874020494201</v>
      </c>
      <c r="N170" s="47">
        <v>14.044605183845601</v>
      </c>
      <c r="O170" s="47">
        <v>2.9837251356238599</v>
      </c>
    </row>
    <row r="171" spans="1:15" x14ac:dyDescent="0.25">
      <c r="A171" t="s">
        <v>342</v>
      </c>
      <c r="B171" s="47">
        <v>3089</v>
      </c>
      <c r="C171" s="47">
        <v>132</v>
      </c>
      <c r="D171" s="47">
        <v>551</v>
      </c>
      <c r="E171" s="47">
        <v>845</v>
      </c>
      <c r="F171" s="47">
        <v>909</v>
      </c>
      <c r="G171" s="47">
        <v>545</v>
      </c>
      <c r="H171" s="47">
        <v>107</v>
      </c>
      <c r="I171" s="47" t="s">
        <v>113</v>
      </c>
      <c r="J171" s="47">
        <v>4.2732275817416596</v>
      </c>
      <c r="K171" s="47">
        <v>17.837487860148901</v>
      </c>
      <c r="L171" s="47">
        <v>27.355131110391699</v>
      </c>
      <c r="M171" s="47">
        <v>29.426999028811899</v>
      </c>
      <c r="N171" s="47">
        <v>17.643250242796999</v>
      </c>
      <c r="O171" s="47">
        <v>3.4639041761087701</v>
      </c>
    </row>
    <row r="172" spans="1:15" x14ac:dyDescent="0.25">
      <c r="A172" t="s">
        <v>343</v>
      </c>
      <c r="B172" s="47">
        <v>6416</v>
      </c>
      <c r="C172" s="47">
        <v>191</v>
      </c>
      <c r="D172" s="47">
        <v>902</v>
      </c>
      <c r="E172" s="47">
        <v>1863</v>
      </c>
      <c r="F172" s="47">
        <v>2137</v>
      </c>
      <c r="G172" s="47">
        <v>1086</v>
      </c>
      <c r="H172" s="47">
        <v>237</v>
      </c>
      <c r="I172" s="47" t="s">
        <v>113</v>
      </c>
      <c r="J172" s="47">
        <v>2.9769326683291699</v>
      </c>
      <c r="K172" s="47">
        <v>14.0586034912718</v>
      </c>
      <c r="L172" s="47">
        <v>29.036783042393999</v>
      </c>
      <c r="M172" s="47">
        <v>33.307356608478798</v>
      </c>
      <c r="N172" s="47">
        <v>16.926433915211899</v>
      </c>
      <c r="O172" s="47">
        <v>3.6938902743142101</v>
      </c>
    </row>
    <row r="173" spans="1:15" x14ac:dyDescent="0.25">
      <c r="A173" t="s">
        <v>344</v>
      </c>
      <c r="B173" s="47">
        <v>14866</v>
      </c>
      <c r="C173" s="47">
        <v>534</v>
      </c>
      <c r="D173" s="47">
        <v>2184</v>
      </c>
      <c r="E173" s="47">
        <v>4009</v>
      </c>
      <c r="F173" s="47">
        <v>4814</v>
      </c>
      <c r="G173" s="47">
        <v>2685</v>
      </c>
      <c r="H173" s="47">
        <v>640</v>
      </c>
      <c r="I173" s="47" t="s">
        <v>113</v>
      </c>
      <c r="J173" s="47">
        <v>3.5920893313601501</v>
      </c>
      <c r="K173" s="47">
        <v>14.6912417597201</v>
      </c>
      <c r="L173" s="47">
        <v>26.967577021391001</v>
      </c>
      <c r="M173" s="47">
        <v>32.382618054621197</v>
      </c>
      <c r="N173" s="47">
        <v>18.061348042513099</v>
      </c>
      <c r="O173" s="47">
        <v>4.3051257903941798</v>
      </c>
    </row>
    <row r="174" spans="1:15" x14ac:dyDescent="0.25">
      <c r="A174" t="s">
        <v>345</v>
      </c>
      <c r="B174" s="47">
        <v>2209</v>
      </c>
      <c r="C174" s="47">
        <v>76</v>
      </c>
      <c r="D174" s="47">
        <v>427</v>
      </c>
      <c r="E174" s="47">
        <v>647</v>
      </c>
      <c r="F174" s="47">
        <v>621</v>
      </c>
      <c r="G174" s="47">
        <v>344</v>
      </c>
      <c r="H174" s="47">
        <v>94</v>
      </c>
      <c r="I174" s="47" t="s">
        <v>113</v>
      </c>
      <c r="J174" s="47">
        <v>3.4404708012675398</v>
      </c>
      <c r="K174" s="47">
        <v>19.330013580805701</v>
      </c>
      <c r="L174" s="47">
        <v>29.289271163422299</v>
      </c>
      <c r="M174" s="47">
        <v>28.112267994567599</v>
      </c>
      <c r="N174" s="47">
        <v>15.5726573110004</v>
      </c>
      <c r="O174" s="47">
        <v>4.2553191489361701</v>
      </c>
    </row>
    <row r="175" spans="1:15" x14ac:dyDescent="0.25">
      <c r="A175" t="s">
        <v>346</v>
      </c>
      <c r="B175" s="47">
        <v>4445</v>
      </c>
      <c r="C175" s="47">
        <v>207</v>
      </c>
      <c r="D175" s="47">
        <v>783</v>
      </c>
      <c r="E175" s="47">
        <v>1285</v>
      </c>
      <c r="F175" s="47">
        <v>1354</v>
      </c>
      <c r="G175" s="47">
        <v>684</v>
      </c>
      <c r="H175" s="47">
        <v>132</v>
      </c>
      <c r="I175" s="47" t="s">
        <v>113</v>
      </c>
      <c r="J175" s="47">
        <v>4.65691788526434</v>
      </c>
      <c r="K175" s="47">
        <v>17.615298087738999</v>
      </c>
      <c r="L175" s="47">
        <v>28.908886389201299</v>
      </c>
      <c r="M175" s="47">
        <v>30.4611923509561</v>
      </c>
      <c r="N175" s="47">
        <v>15.3880764904386</v>
      </c>
      <c r="O175" s="47">
        <v>2.96962879640044</v>
      </c>
    </row>
    <row r="176" spans="1:15" x14ac:dyDescent="0.25">
      <c r="A176" t="s">
        <v>347</v>
      </c>
      <c r="B176" s="47">
        <v>9308</v>
      </c>
      <c r="C176" s="47">
        <v>300</v>
      </c>
      <c r="D176" s="47">
        <v>1166</v>
      </c>
      <c r="E176" s="47">
        <v>2355</v>
      </c>
      <c r="F176" s="47">
        <v>3168</v>
      </c>
      <c r="G176" s="47">
        <v>1933</v>
      </c>
      <c r="H176" s="47">
        <v>386</v>
      </c>
      <c r="I176" s="47" t="s">
        <v>113</v>
      </c>
      <c r="J176" s="47">
        <v>3.2230339492909299</v>
      </c>
      <c r="K176" s="47">
        <v>12.526858616244001</v>
      </c>
      <c r="L176" s="47">
        <v>25.300816501933799</v>
      </c>
      <c r="M176" s="47">
        <v>34.035238504512201</v>
      </c>
      <c r="N176" s="47">
        <v>20.7670820799312</v>
      </c>
      <c r="O176" s="47">
        <v>4.1469703480876596</v>
      </c>
    </row>
    <row r="177" spans="1:15" x14ac:dyDescent="0.25">
      <c r="A177" t="s">
        <v>348</v>
      </c>
      <c r="B177" s="47">
        <v>124</v>
      </c>
      <c r="C177" s="47">
        <v>2</v>
      </c>
      <c r="D177" s="47">
        <v>22</v>
      </c>
      <c r="E177" s="47">
        <v>42</v>
      </c>
      <c r="F177" s="47">
        <v>34</v>
      </c>
      <c r="G177" s="47">
        <v>20</v>
      </c>
      <c r="H177" s="47">
        <v>4</v>
      </c>
      <c r="I177" s="47" t="s">
        <v>113</v>
      </c>
      <c r="J177" s="47">
        <v>1.61290322580645</v>
      </c>
      <c r="K177" s="47">
        <v>17.7419354838709</v>
      </c>
      <c r="L177" s="47">
        <v>33.870967741935402</v>
      </c>
      <c r="M177" s="47">
        <v>27.419354838709602</v>
      </c>
      <c r="N177" s="47">
        <v>16.129032258064498</v>
      </c>
      <c r="O177" s="47">
        <v>3.2258064516128999</v>
      </c>
    </row>
    <row r="178" spans="1:15" x14ac:dyDescent="0.25">
      <c r="A178" t="s">
        <v>349</v>
      </c>
      <c r="B178" s="47">
        <v>125</v>
      </c>
      <c r="C178" s="47">
        <v>6</v>
      </c>
      <c r="D178" s="47">
        <v>19</v>
      </c>
      <c r="E178" s="47">
        <v>36</v>
      </c>
      <c r="F178" s="47">
        <v>42</v>
      </c>
      <c r="G178" s="47">
        <v>21</v>
      </c>
      <c r="H178" s="47">
        <v>1</v>
      </c>
      <c r="I178" s="47" t="s">
        <v>113</v>
      </c>
      <c r="J178" s="47">
        <v>4.8</v>
      </c>
      <c r="K178" s="47">
        <v>15.2</v>
      </c>
      <c r="L178" s="47">
        <v>28.799999999999901</v>
      </c>
      <c r="M178" s="47">
        <v>33.6</v>
      </c>
      <c r="N178" s="47">
        <v>16.8</v>
      </c>
      <c r="O178" s="47">
        <v>0.8</v>
      </c>
    </row>
    <row r="179" spans="1:15" x14ac:dyDescent="0.25">
      <c r="A179" t="s">
        <v>350</v>
      </c>
      <c r="B179" s="47">
        <v>4179</v>
      </c>
      <c r="C179" s="47">
        <v>170</v>
      </c>
      <c r="D179" s="47">
        <v>760</v>
      </c>
      <c r="E179" s="47">
        <v>1147</v>
      </c>
      <c r="F179" s="47">
        <v>1312</v>
      </c>
      <c r="G179" s="47">
        <v>649</v>
      </c>
      <c r="H179" s="47">
        <v>141</v>
      </c>
      <c r="I179" s="47" t="s">
        <v>113</v>
      </c>
      <c r="J179" s="47">
        <v>4.0679588418281796</v>
      </c>
      <c r="K179" s="47">
        <v>18.186168939937701</v>
      </c>
      <c r="L179" s="47">
        <v>27.446757597511301</v>
      </c>
      <c r="M179" s="47">
        <v>31.395070591050398</v>
      </c>
      <c r="N179" s="47">
        <v>15.5300311079205</v>
      </c>
      <c r="O179" s="47">
        <v>3.3740129217516102</v>
      </c>
    </row>
    <row r="180" spans="1:15" x14ac:dyDescent="0.25">
      <c r="A180" t="s">
        <v>351</v>
      </c>
      <c r="B180" s="47">
        <v>183</v>
      </c>
      <c r="C180" s="47">
        <v>13</v>
      </c>
      <c r="D180" s="47">
        <v>29</v>
      </c>
      <c r="E180" s="47">
        <v>50</v>
      </c>
      <c r="F180" s="47">
        <v>47</v>
      </c>
      <c r="G180" s="47">
        <v>35</v>
      </c>
      <c r="H180" s="47">
        <v>9</v>
      </c>
      <c r="I180" s="47" t="s">
        <v>113</v>
      </c>
      <c r="J180" s="47">
        <v>7.10382513661202</v>
      </c>
      <c r="K180" s="47">
        <v>15.8469945355191</v>
      </c>
      <c r="L180" s="47">
        <v>27.3224043715847</v>
      </c>
      <c r="M180" s="47">
        <v>25.683060109289599</v>
      </c>
      <c r="N180" s="47">
        <v>19.1256830601092</v>
      </c>
      <c r="O180" s="47">
        <v>4.9180327868852398</v>
      </c>
    </row>
    <row r="181" spans="1:15" x14ac:dyDescent="0.25">
      <c r="A181" t="s">
        <v>352</v>
      </c>
      <c r="B181" s="47">
        <v>53981</v>
      </c>
      <c r="C181" s="47">
        <v>2100</v>
      </c>
      <c r="D181" s="47">
        <v>8583</v>
      </c>
      <c r="E181" s="47">
        <v>15003</v>
      </c>
      <c r="F181" s="47">
        <v>16985</v>
      </c>
      <c r="G181" s="47">
        <v>9278</v>
      </c>
      <c r="H181" s="47">
        <v>2032</v>
      </c>
      <c r="I181" s="47" t="s">
        <v>113</v>
      </c>
      <c r="J181" s="47">
        <v>3.8902576832589202</v>
      </c>
      <c r="K181" s="47">
        <v>15.900038902576799</v>
      </c>
      <c r="L181" s="47">
        <v>27.7931123913969</v>
      </c>
      <c r="M181" s="47">
        <v>31.4647746429299</v>
      </c>
      <c r="N181" s="47">
        <v>17.1875289453696</v>
      </c>
      <c r="O181" s="47">
        <v>3.76428743446768</v>
      </c>
    </row>
    <row r="182" spans="1:15" x14ac:dyDescent="0.25">
      <c r="A182" t="s">
        <v>353</v>
      </c>
      <c r="B182" s="47">
        <v>3296</v>
      </c>
      <c r="C182" s="47">
        <v>152</v>
      </c>
      <c r="D182" s="47">
        <v>664</v>
      </c>
      <c r="E182" s="47">
        <v>967</v>
      </c>
      <c r="F182" s="47">
        <v>931</v>
      </c>
      <c r="G182" s="47">
        <v>475</v>
      </c>
      <c r="H182" s="47">
        <v>107</v>
      </c>
      <c r="I182" s="47" t="s">
        <v>113</v>
      </c>
      <c r="J182" s="47">
        <v>4.6116504854368898</v>
      </c>
      <c r="K182" s="47">
        <v>20.145631067961101</v>
      </c>
      <c r="L182" s="47">
        <v>29.338592233009699</v>
      </c>
      <c r="M182" s="47">
        <v>28.2463592233009</v>
      </c>
      <c r="N182" s="47">
        <v>14.4114077669902</v>
      </c>
      <c r="O182" s="47">
        <v>3.2463592233009702</v>
      </c>
    </row>
    <row r="183" spans="1:15" x14ac:dyDescent="0.25">
      <c r="A183" t="s">
        <v>354</v>
      </c>
      <c r="B183" s="47">
        <v>976</v>
      </c>
      <c r="C183" s="47">
        <v>42</v>
      </c>
      <c r="D183" s="47">
        <v>149</v>
      </c>
      <c r="E183" s="47">
        <v>269</v>
      </c>
      <c r="F183" s="47">
        <v>314</v>
      </c>
      <c r="G183" s="47">
        <v>155</v>
      </c>
      <c r="H183" s="47">
        <v>47</v>
      </c>
      <c r="I183" s="47" t="s">
        <v>113</v>
      </c>
      <c r="J183" s="47">
        <v>4.3032786885245899</v>
      </c>
      <c r="K183" s="47">
        <v>15.266393442622901</v>
      </c>
      <c r="L183" s="47">
        <v>27.561475409836</v>
      </c>
      <c r="M183" s="47">
        <v>32.172131147540902</v>
      </c>
      <c r="N183" s="47">
        <v>15.8811475409836</v>
      </c>
      <c r="O183" s="47">
        <v>4.8155737704917998</v>
      </c>
    </row>
    <row r="184" spans="1:15" x14ac:dyDescent="0.25">
      <c r="A184" t="s">
        <v>355</v>
      </c>
      <c r="B184" s="47">
        <v>1221</v>
      </c>
      <c r="C184" s="47">
        <v>64</v>
      </c>
      <c r="D184" s="47">
        <v>255</v>
      </c>
      <c r="E184" s="47">
        <v>372</v>
      </c>
      <c r="F184" s="47">
        <v>321</v>
      </c>
      <c r="G184" s="47">
        <v>171</v>
      </c>
      <c r="H184" s="47">
        <v>38</v>
      </c>
      <c r="I184" s="47" t="s">
        <v>113</v>
      </c>
      <c r="J184" s="47">
        <v>5.2416052416052397</v>
      </c>
      <c r="K184" s="47">
        <v>20.8845208845208</v>
      </c>
      <c r="L184" s="47">
        <v>30.466830466830402</v>
      </c>
      <c r="M184" s="47">
        <v>26.2899262899262</v>
      </c>
      <c r="N184" s="47">
        <v>14.004914004913999</v>
      </c>
      <c r="O184" s="47">
        <v>3.11220311220311</v>
      </c>
    </row>
    <row r="185" spans="1:15" x14ac:dyDescent="0.25">
      <c r="A185" t="s">
        <v>356</v>
      </c>
      <c r="B185" s="47">
        <v>3315</v>
      </c>
      <c r="C185" s="47">
        <v>186</v>
      </c>
      <c r="D185" s="47">
        <v>626</v>
      </c>
      <c r="E185" s="47">
        <v>1012</v>
      </c>
      <c r="F185" s="47">
        <v>875</v>
      </c>
      <c r="G185" s="47">
        <v>508</v>
      </c>
      <c r="H185" s="47">
        <v>108</v>
      </c>
      <c r="I185" s="47" t="s">
        <v>113</v>
      </c>
      <c r="J185" s="47">
        <v>5.6108597285067798</v>
      </c>
      <c r="K185" s="47">
        <v>18.883861236802399</v>
      </c>
      <c r="L185" s="47">
        <v>30.527903469079899</v>
      </c>
      <c r="M185" s="47">
        <v>26.3951734539969</v>
      </c>
      <c r="N185" s="47">
        <v>15.3242835595776</v>
      </c>
      <c r="O185" s="47">
        <v>3.2579185520361902</v>
      </c>
    </row>
    <row r="186" spans="1:15" x14ac:dyDescent="0.25">
      <c r="A186" t="s">
        <v>357</v>
      </c>
      <c r="B186" s="47">
        <v>3073</v>
      </c>
      <c r="C186" s="47">
        <v>115</v>
      </c>
      <c r="D186" s="47">
        <v>521</v>
      </c>
      <c r="E186" s="47">
        <v>825</v>
      </c>
      <c r="F186" s="47">
        <v>969</v>
      </c>
      <c r="G186" s="47">
        <v>517</v>
      </c>
      <c r="H186" s="47">
        <v>126</v>
      </c>
      <c r="I186" s="47" t="s">
        <v>113</v>
      </c>
      <c r="J186" s="47">
        <v>3.7422713960299299</v>
      </c>
      <c r="K186" s="47">
        <v>16.954116498535601</v>
      </c>
      <c r="L186" s="47">
        <v>26.846729580214699</v>
      </c>
      <c r="M186" s="47">
        <v>31.532704197852201</v>
      </c>
      <c r="N186" s="47">
        <v>16.8239505369345</v>
      </c>
      <c r="O186" s="47">
        <v>4.1002277904328004</v>
      </c>
    </row>
    <row r="187" spans="1:15" x14ac:dyDescent="0.25">
      <c r="A187" t="s">
        <v>358</v>
      </c>
      <c r="B187" s="47">
        <v>6223</v>
      </c>
      <c r="C187" s="47">
        <v>155</v>
      </c>
      <c r="D187" s="47">
        <v>895</v>
      </c>
      <c r="E187" s="47">
        <v>1757</v>
      </c>
      <c r="F187" s="47">
        <v>2142</v>
      </c>
      <c r="G187" s="47">
        <v>1054</v>
      </c>
      <c r="H187" s="47">
        <v>220</v>
      </c>
      <c r="I187" s="47" t="s">
        <v>113</v>
      </c>
      <c r="J187" s="47">
        <v>2.4907600835609802</v>
      </c>
      <c r="K187" s="47">
        <v>14.3821308050779</v>
      </c>
      <c r="L187" s="47">
        <v>28.233970753655701</v>
      </c>
      <c r="M187" s="47">
        <v>34.420697412823401</v>
      </c>
      <c r="N187" s="47">
        <v>16.937168568214599</v>
      </c>
      <c r="O187" s="47">
        <v>3.5352723766672001</v>
      </c>
    </row>
    <row r="188" spans="1:15" x14ac:dyDescent="0.25">
      <c r="A188" t="s">
        <v>359</v>
      </c>
      <c r="B188" s="47">
        <v>14681</v>
      </c>
      <c r="C188" s="47">
        <v>476</v>
      </c>
      <c r="D188" s="47">
        <v>2059</v>
      </c>
      <c r="E188" s="47">
        <v>3923</v>
      </c>
      <c r="F188" s="47">
        <v>4880</v>
      </c>
      <c r="G188" s="47">
        <v>2723</v>
      </c>
      <c r="H188" s="47">
        <v>620</v>
      </c>
      <c r="I188" s="47" t="s">
        <v>113</v>
      </c>
      <c r="J188" s="47">
        <v>3.24228594782371</v>
      </c>
      <c r="K188" s="47">
        <v>14.024930181867701</v>
      </c>
      <c r="L188" s="47">
        <v>26.721612969143699</v>
      </c>
      <c r="M188" s="47">
        <v>33.240242490293497</v>
      </c>
      <c r="N188" s="47">
        <v>18.5477828485797</v>
      </c>
      <c r="O188" s="47">
        <v>4.22314556229139</v>
      </c>
    </row>
    <row r="189" spans="1:15" x14ac:dyDescent="0.25">
      <c r="A189" t="s">
        <v>360</v>
      </c>
      <c r="B189" s="47">
        <v>2147</v>
      </c>
      <c r="C189" s="47">
        <v>83</v>
      </c>
      <c r="D189" s="47">
        <v>336</v>
      </c>
      <c r="E189" s="47">
        <v>611</v>
      </c>
      <c r="F189" s="47">
        <v>655</v>
      </c>
      <c r="G189" s="47">
        <v>367</v>
      </c>
      <c r="H189" s="47">
        <v>95</v>
      </c>
      <c r="I189" s="47" t="s">
        <v>113</v>
      </c>
      <c r="J189" s="47">
        <v>3.8658593386120099</v>
      </c>
      <c r="K189" s="47">
        <v>15.649743828598</v>
      </c>
      <c r="L189" s="47">
        <v>28.458313926408898</v>
      </c>
      <c r="M189" s="47">
        <v>30.507685142058602</v>
      </c>
      <c r="N189" s="47">
        <v>17.093619003260301</v>
      </c>
      <c r="O189" s="47">
        <v>4.4247787610619396</v>
      </c>
    </row>
    <row r="190" spans="1:15" x14ac:dyDescent="0.25">
      <c r="A190" t="s">
        <v>361</v>
      </c>
      <c r="B190" s="47">
        <v>4435</v>
      </c>
      <c r="C190" s="47">
        <v>209</v>
      </c>
      <c r="D190" s="47">
        <v>737</v>
      </c>
      <c r="E190" s="47">
        <v>1265</v>
      </c>
      <c r="F190" s="47">
        <v>1400</v>
      </c>
      <c r="G190" s="47">
        <v>678</v>
      </c>
      <c r="H190" s="47">
        <v>146</v>
      </c>
      <c r="I190" s="47" t="s">
        <v>113</v>
      </c>
      <c r="J190" s="47">
        <v>4.7125140924464404</v>
      </c>
      <c r="K190" s="47">
        <v>16.617812852311101</v>
      </c>
      <c r="L190" s="47">
        <v>28.5231116121758</v>
      </c>
      <c r="M190" s="47">
        <v>31.5670800450958</v>
      </c>
      <c r="N190" s="47">
        <v>15.287485907553499</v>
      </c>
      <c r="O190" s="47">
        <v>3.29199549041713</v>
      </c>
    </row>
    <row r="191" spans="1:15" x14ac:dyDescent="0.25">
      <c r="A191" t="s">
        <v>362</v>
      </c>
      <c r="B191" s="47">
        <v>9143</v>
      </c>
      <c r="C191" s="47">
        <v>254</v>
      </c>
      <c r="D191" s="47">
        <v>1137</v>
      </c>
      <c r="E191" s="47">
        <v>2314</v>
      </c>
      <c r="F191" s="47">
        <v>3055</v>
      </c>
      <c r="G191" s="47">
        <v>1928</v>
      </c>
      <c r="H191" s="47">
        <v>455</v>
      </c>
      <c r="I191" s="47" t="s">
        <v>113</v>
      </c>
      <c r="J191" s="47">
        <v>2.7780815924751101</v>
      </c>
      <c r="K191" s="47">
        <v>12.4357431915126</v>
      </c>
      <c r="L191" s="47">
        <v>25.3089795471945</v>
      </c>
      <c r="M191" s="47">
        <v>33.413540413431001</v>
      </c>
      <c r="N191" s="47">
        <v>21.0871705129607</v>
      </c>
      <c r="O191" s="47">
        <v>4.9764847424258898</v>
      </c>
    </row>
    <row r="192" spans="1:15" x14ac:dyDescent="0.25">
      <c r="A192" t="s">
        <v>363</v>
      </c>
      <c r="B192" s="47">
        <v>111</v>
      </c>
      <c r="C192" s="47">
        <v>2</v>
      </c>
      <c r="D192" s="47">
        <v>19</v>
      </c>
      <c r="E192" s="47">
        <v>36</v>
      </c>
      <c r="F192" s="47">
        <v>33</v>
      </c>
      <c r="G192" s="47">
        <v>17</v>
      </c>
      <c r="H192" s="47">
        <v>4</v>
      </c>
      <c r="I192" s="47" t="s">
        <v>113</v>
      </c>
      <c r="J192" s="47">
        <v>1.8018018018018001</v>
      </c>
      <c r="K192" s="47">
        <v>17.1171171171171</v>
      </c>
      <c r="L192" s="47">
        <v>32.4324324324324</v>
      </c>
      <c r="M192" s="47">
        <v>29.729729729729701</v>
      </c>
      <c r="N192" s="47">
        <v>15.315315315315299</v>
      </c>
      <c r="O192" s="47">
        <v>3.6036036036036001</v>
      </c>
    </row>
    <row r="193" spans="1:15" x14ac:dyDescent="0.25">
      <c r="A193" t="s">
        <v>364</v>
      </c>
      <c r="B193" s="47">
        <v>138</v>
      </c>
      <c r="C193" s="47">
        <v>4</v>
      </c>
      <c r="D193" s="47">
        <v>13</v>
      </c>
      <c r="E193" s="47">
        <v>62</v>
      </c>
      <c r="F193" s="47">
        <v>37</v>
      </c>
      <c r="G193" s="47">
        <v>17</v>
      </c>
      <c r="H193" s="47">
        <v>5</v>
      </c>
      <c r="I193" s="47" t="s">
        <v>113</v>
      </c>
      <c r="J193" s="47">
        <v>2.8985507246376798</v>
      </c>
      <c r="K193" s="47">
        <v>9.4202898550724594</v>
      </c>
      <c r="L193" s="47">
        <v>44.927536231883998</v>
      </c>
      <c r="M193" s="47">
        <v>26.811594202898501</v>
      </c>
      <c r="N193" s="47">
        <v>12.3188405797101</v>
      </c>
      <c r="O193" s="47">
        <v>3.6231884057971002</v>
      </c>
    </row>
    <row r="194" spans="1:15" x14ac:dyDescent="0.25">
      <c r="A194" t="s">
        <v>365</v>
      </c>
      <c r="B194" s="47">
        <v>4098</v>
      </c>
      <c r="C194" s="47">
        <v>169</v>
      </c>
      <c r="D194" s="47">
        <v>695</v>
      </c>
      <c r="E194" s="47">
        <v>1199</v>
      </c>
      <c r="F194" s="47">
        <v>1298</v>
      </c>
      <c r="G194" s="47">
        <v>611</v>
      </c>
      <c r="H194" s="47">
        <v>126</v>
      </c>
      <c r="I194" s="47" t="s">
        <v>113</v>
      </c>
      <c r="J194" s="47">
        <v>4.1239629087359599</v>
      </c>
      <c r="K194" s="47">
        <v>16.959492435334301</v>
      </c>
      <c r="L194" s="47">
        <v>29.258174719375301</v>
      </c>
      <c r="M194" s="47">
        <v>31.673987310883302</v>
      </c>
      <c r="N194" s="47">
        <v>14.909712054660799</v>
      </c>
      <c r="O194" s="47">
        <v>3.0746705710102402</v>
      </c>
    </row>
    <row r="195" spans="1:15" x14ac:dyDescent="0.25">
      <c r="A195" t="s">
        <v>366</v>
      </c>
      <c r="B195" s="47">
        <v>184</v>
      </c>
      <c r="C195" s="47">
        <v>9</v>
      </c>
      <c r="D195" s="47">
        <v>21</v>
      </c>
      <c r="E195" s="47">
        <v>52</v>
      </c>
      <c r="F195" s="47">
        <v>58</v>
      </c>
      <c r="G195" s="47">
        <v>37</v>
      </c>
      <c r="H195" s="47">
        <v>7</v>
      </c>
      <c r="I195" s="47" t="s">
        <v>113</v>
      </c>
      <c r="J195" s="47">
        <v>4.8913043478260798</v>
      </c>
      <c r="K195" s="47">
        <v>11.4130434782608</v>
      </c>
      <c r="L195" s="47">
        <v>28.260869565217298</v>
      </c>
      <c r="M195" s="47">
        <v>31.5217391304347</v>
      </c>
      <c r="N195" s="47">
        <v>20.1086956521739</v>
      </c>
      <c r="O195" s="47">
        <v>3.8043478260869499</v>
      </c>
    </row>
    <row r="196" spans="1:15" x14ac:dyDescent="0.25">
      <c r="A196" t="s">
        <v>367</v>
      </c>
      <c r="B196" s="47">
        <v>53045</v>
      </c>
      <c r="C196" s="47">
        <v>1920</v>
      </c>
      <c r="D196" s="47">
        <v>8127</v>
      </c>
      <c r="E196" s="47">
        <v>14664</v>
      </c>
      <c r="F196" s="47">
        <v>16969</v>
      </c>
      <c r="G196" s="47">
        <v>9260</v>
      </c>
      <c r="H196" s="47">
        <v>2105</v>
      </c>
      <c r="I196" s="47" t="s">
        <v>113</v>
      </c>
      <c r="J196" s="47">
        <v>3.6195682910736098</v>
      </c>
      <c r="K196" s="47">
        <v>15.32095390706</v>
      </c>
      <c r="L196" s="47">
        <v>27.644452823074701</v>
      </c>
      <c r="M196" s="47">
        <v>31.989819964181301</v>
      </c>
      <c r="N196" s="47">
        <v>17.4568762371571</v>
      </c>
      <c r="O196" s="47">
        <v>3.9683287774531002</v>
      </c>
    </row>
    <row r="197" spans="1:15" x14ac:dyDescent="0.25">
      <c r="A197" t="s">
        <v>368</v>
      </c>
      <c r="B197" s="47">
        <v>3198</v>
      </c>
      <c r="C197" s="47">
        <v>148</v>
      </c>
      <c r="D197" s="47">
        <v>580</v>
      </c>
      <c r="E197" s="47">
        <v>1002</v>
      </c>
      <c r="F197" s="47">
        <v>936</v>
      </c>
      <c r="G197" s="47">
        <v>443</v>
      </c>
      <c r="H197" s="47">
        <v>89</v>
      </c>
      <c r="I197" s="47" t="s">
        <v>113</v>
      </c>
      <c r="J197" s="47">
        <v>4.62789243277048</v>
      </c>
      <c r="K197" s="47">
        <v>18.136335209505901</v>
      </c>
      <c r="L197" s="47">
        <v>31.332082551594699</v>
      </c>
      <c r="M197" s="47">
        <v>29.268292682926798</v>
      </c>
      <c r="N197" s="47">
        <v>13.8524077548467</v>
      </c>
      <c r="O197" s="47">
        <v>2.7829893683552198</v>
      </c>
    </row>
    <row r="198" spans="1:15" x14ac:dyDescent="0.25">
      <c r="A198" t="s">
        <v>369</v>
      </c>
      <c r="B198" s="47">
        <v>986</v>
      </c>
      <c r="C198" s="47">
        <v>24</v>
      </c>
      <c r="D198" s="47">
        <v>145</v>
      </c>
      <c r="E198" s="47">
        <v>303</v>
      </c>
      <c r="F198" s="47">
        <v>303</v>
      </c>
      <c r="G198" s="47">
        <v>171</v>
      </c>
      <c r="H198" s="47">
        <v>40</v>
      </c>
      <c r="I198" s="47" t="s">
        <v>113</v>
      </c>
      <c r="J198" s="47">
        <v>2.4340770791074999</v>
      </c>
      <c r="K198" s="47">
        <v>14.705882352941099</v>
      </c>
      <c r="L198" s="47">
        <v>30.730223123732198</v>
      </c>
      <c r="M198" s="47">
        <v>30.730223123732198</v>
      </c>
      <c r="N198" s="47">
        <v>17.3427991886409</v>
      </c>
      <c r="O198" s="47">
        <v>4.0567951318458402</v>
      </c>
    </row>
    <row r="199" spans="1:15" x14ac:dyDescent="0.25">
      <c r="A199" t="s">
        <v>370</v>
      </c>
      <c r="B199" s="47">
        <v>1247</v>
      </c>
      <c r="C199" s="47">
        <v>55</v>
      </c>
      <c r="D199" s="47">
        <v>240</v>
      </c>
      <c r="E199" s="47">
        <v>384</v>
      </c>
      <c r="F199" s="47">
        <v>345</v>
      </c>
      <c r="G199" s="47">
        <v>183</v>
      </c>
      <c r="H199" s="47">
        <v>40</v>
      </c>
      <c r="I199" s="47" t="s">
        <v>113</v>
      </c>
      <c r="J199" s="47">
        <v>4.41058540497193</v>
      </c>
      <c r="K199" s="47">
        <v>19.2461908580593</v>
      </c>
      <c r="L199" s="47">
        <v>30.793905372894901</v>
      </c>
      <c r="M199" s="47">
        <v>27.6663993584603</v>
      </c>
      <c r="N199" s="47">
        <v>14.6752205292702</v>
      </c>
      <c r="O199" s="47">
        <v>3.2076984763432201</v>
      </c>
    </row>
    <row r="200" spans="1:15" x14ac:dyDescent="0.25">
      <c r="A200" t="s">
        <v>371</v>
      </c>
      <c r="B200" s="47">
        <v>3135</v>
      </c>
      <c r="C200" s="47">
        <v>169</v>
      </c>
      <c r="D200" s="47">
        <v>599</v>
      </c>
      <c r="E200" s="47">
        <v>908</v>
      </c>
      <c r="F200" s="47">
        <v>907</v>
      </c>
      <c r="G200" s="47">
        <v>450</v>
      </c>
      <c r="H200" s="47">
        <v>102</v>
      </c>
      <c r="I200" s="47" t="s">
        <v>113</v>
      </c>
      <c r="J200" s="47">
        <v>5.3907496012759104</v>
      </c>
      <c r="K200" s="47">
        <v>19.1068580542264</v>
      </c>
      <c r="L200" s="47">
        <v>28.963317384370001</v>
      </c>
      <c r="M200" s="47">
        <v>28.931419457735199</v>
      </c>
      <c r="N200" s="47">
        <v>14.3540669856459</v>
      </c>
      <c r="O200" s="47">
        <v>3.2535885167464098</v>
      </c>
    </row>
    <row r="201" spans="1:15" x14ac:dyDescent="0.25">
      <c r="A201" t="s">
        <v>372</v>
      </c>
      <c r="B201" s="47">
        <v>2986</v>
      </c>
      <c r="C201" s="47">
        <v>108</v>
      </c>
      <c r="D201" s="47">
        <v>476</v>
      </c>
      <c r="E201" s="47">
        <v>865</v>
      </c>
      <c r="F201" s="47">
        <v>917</v>
      </c>
      <c r="G201" s="47">
        <v>511</v>
      </c>
      <c r="H201" s="47">
        <v>109</v>
      </c>
      <c r="I201" s="47" t="s">
        <v>113</v>
      </c>
      <c r="J201" s="47">
        <v>3.61687876758204</v>
      </c>
      <c r="K201" s="47">
        <v>15.941058271935599</v>
      </c>
      <c r="L201" s="47">
        <v>28.968519758874699</v>
      </c>
      <c r="M201" s="47">
        <v>30.709979906229002</v>
      </c>
      <c r="N201" s="47">
        <v>17.113194909577999</v>
      </c>
      <c r="O201" s="47">
        <v>3.6503683858003999</v>
      </c>
    </row>
    <row r="202" spans="1:15" x14ac:dyDescent="0.25">
      <c r="A202" t="s">
        <v>373</v>
      </c>
      <c r="B202" s="47">
        <v>5894</v>
      </c>
      <c r="C202" s="47">
        <v>140</v>
      </c>
      <c r="D202" s="47">
        <v>793</v>
      </c>
      <c r="E202" s="47">
        <v>1726</v>
      </c>
      <c r="F202" s="47">
        <v>1964</v>
      </c>
      <c r="G202" s="47">
        <v>1052</v>
      </c>
      <c r="H202" s="47">
        <v>219</v>
      </c>
      <c r="I202" s="47" t="s">
        <v>113</v>
      </c>
      <c r="J202" s="47">
        <v>2.3752969121140102</v>
      </c>
      <c r="K202" s="47">
        <v>13.454360366474299</v>
      </c>
      <c r="L202" s="47">
        <v>29.284017645062701</v>
      </c>
      <c r="M202" s="47">
        <v>33.322022395656496</v>
      </c>
      <c r="N202" s="47">
        <v>17.848659653885299</v>
      </c>
      <c r="O202" s="47">
        <v>3.7156430268069198</v>
      </c>
    </row>
    <row r="203" spans="1:15" x14ac:dyDescent="0.25">
      <c r="A203" t="s">
        <v>374</v>
      </c>
      <c r="B203" s="47">
        <v>14477</v>
      </c>
      <c r="C203" s="47">
        <v>422</v>
      </c>
      <c r="D203" s="47">
        <v>1967</v>
      </c>
      <c r="E203" s="47">
        <v>3880</v>
      </c>
      <c r="F203" s="47">
        <v>4746</v>
      </c>
      <c r="G203" s="47">
        <v>2849</v>
      </c>
      <c r="H203" s="47">
        <v>613</v>
      </c>
      <c r="I203" s="47" t="s">
        <v>113</v>
      </c>
      <c r="J203" s="47">
        <v>2.9149685708364901</v>
      </c>
      <c r="K203" s="47">
        <v>13.587069144159701</v>
      </c>
      <c r="L203" s="47">
        <v>26.801132831387701</v>
      </c>
      <c r="M203" s="47">
        <v>32.783035159218002</v>
      </c>
      <c r="N203" s="47">
        <v>19.679491607377201</v>
      </c>
      <c r="O203" s="47">
        <v>4.23430268702079</v>
      </c>
    </row>
    <row r="204" spans="1:15" x14ac:dyDescent="0.25">
      <c r="A204" t="s">
        <v>375</v>
      </c>
      <c r="B204" s="47">
        <v>2062</v>
      </c>
      <c r="C204" s="47">
        <v>89</v>
      </c>
      <c r="D204" s="47">
        <v>326</v>
      </c>
      <c r="E204" s="47">
        <v>580</v>
      </c>
      <c r="F204" s="47">
        <v>610</v>
      </c>
      <c r="G204" s="47">
        <v>367</v>
      </c>
      <c r="H204" s="47">
        <v>90</v>
      </c>
      <c r="I204" s="47" t="s">
        <v>113</v>
      </c>
      <c r="J204" s="47">
        <v>4.3161978661493698</v>
      </c>
      <c r="K204" s="47">
        <v>15.8098933074684</v>
      </c>
      <c r="L204" s="47">
        <v>28.128031037827299</v>
      </c>
      <c r="M204" s="47">
        <v>29.5829291949563</v>
      </c>
      <c r="N204" s="47">
        <v>17.7982541222114</v>
      </c>
      <c r="O204" s="47">
        <v>4.3646944713869997</v>
      </c>
    </row>
    <row r="205" spans="1:15" x14ac:dyDescent="0.25">
      <c r="A205" t="s">
        <v>376</v>
      </c>
      <c r="B205" s="47">
        <v>4350</v>
      </c>
      <c r="C205" s="47">
        <v>178</v>
      </c>
      <c r="D205" s="47">
        <v>747</v>
      </c>
      <c r="E205" s="47">
        <v>1276</v>
      </c>
      <c r="F205" s="47">
        <v>1311</v>
      </c>
      <c r="G205" s="47">
        <v>696</v>
      </c>
      <c r="H205" s="47">
        <v>142</v>
      </c>
      <c r="I205" s="47" t="s">
        <v>113</v>
      </c>
      <c r="J205" s="47">
        <v>4.0919540229885003</v>
      </c>
      <c r="K205" s="47">
        <v>17.172413793103399</v>
      </c>
      <c r="L205" s="47">
        <v>29.3333333333333</v>
      </c>
      <c r="M205" s="47">
        <v>30.137931034482701</v>
      </c>
      <c r="N205" s="47">
        <v>16</v>
      </c>
      <c r="O205" s="47">
        <v>3.26436781609195</v>
      </c>
    </row>
    <row r="206" spans="1:15" x14ac:dyDescent="0.25">
      <c r="A206" t="s">
        <v>377</v>
      </c>
      <c r="B206" s="47">
        <v>8851</v>
      </c>
      <c r="C206" s="47">
        <v>242</v>
      </c>
      <c r="D206" s="47">
        <v>1054</v>
      </c>
      <c r="E206" s="47">
        <v>2152</v>
      </c>
      <c r="F206" s="47">
        <v>3017</v>
      </c>
      <c r="G206" s="47">
        <v>1947</v>
      </c>
      <c r="H206" s="47">
        <v>439</v>
      </c>
      <c r="I206" s="47" t="s">
        <v>113</v>
      </c>
      <c r="J206" s="47">
        <v>2.7341543328437399</v>
      </c>
      <c r="K206" s="47">
        <v>11.908258953790501</v>
      </c>
      <c r="L206" s="47">
        <v>24.313636877189001</v>
      </c>
      <c r="M206" s="47">
        <v>34.086543893345301</v>
      </c>
      <c r="N206" s="47">
        <v>21.9975144051519</v>
      </c>
      <c r="O206" s="47">
        <v>4.9598915376793498</v>
      </c>
    </row>
    <row r="207" spans="1:15" x14ac:dyDescent="0.25">
      <c r="A207" t="s">
        <v>378</v>
      </c>
      <c r="B207" s="47">
        <v>115</v>
      </c>
      <c r="C207" s="47">
        <v>1</v>
      </c>
      <c r="D207" s="47">
        <v>8</v>
      </c>
      <c r="E207" s="47">
        <v>30</v>
      </c>
      <c r="F207" s="47">
        <v>51</v>
      </c>
      <c r="G207" s="47">
        <v>22</v>
      </c>
      <c r="H207" s="47">
        <v>3</v>
      </c>
      <c r="I207" s="47" t="s">
        <v>113</v>
      </c>
      <c r="J207" s="47">
        <v>0.86956521739130399</v>
      </c>
      <c r="K207" s="47">
        <v>6.9565217391304301</v>
      </c>
      <c r="L207" s="47">
        <v>26.086956521739101</v>
      </c>
      <c r="M207" s="47">
        <v>44.347826086956502</v>
      </c>
      <c r="N207" s="47">
        <v>19.130434782608599</v>
      </c>
      <c r="O207" s="47">
        <v>2.60869565217391</v>
      </c>
    </row>
    <row r="208" spans="1:15" x14ac:dyDescent="0.25">
      <c r="A208" t="s">
        <v>379</v>
      </c>
      <c r="B208" s="47">
        <v>113</v>
      </c>
      <c r="C208" s="47" t="s">
        <v>113</v>
      </c>
      <c r="D208" s="47">
        <v>16</v>
      </c>
      <c r="E208" s="47">
        <v>39</v>
      </c>
      <c r="F208" s="47">
        <v>42</v>
      </c>
      <c r="G208" s="47">
        <v>14</v>
      </c>
      <c r="H208" s="47">
        <v>2</v>
      </c>
      <c r="I208" s="47" t="s">
        <v>113</v>
      </c>
      <c r="J208" s="47" t="s">
        <v>113</v>
      </c>
      <c r="K208" s="47">
        <v>14.159292035398201</v>
      </c>
      <c r="L208" s="47">
        <v>34.513274336283096</v>
      </c>
      <c r="M208" s="47">
        <v>37.1681415929203</v>
      </c>
      <c r="N208" s="47">
        <v>12.3893805309734</v>
      </c>
      <c r="O208" s="47">
        <v>1.76991150442477</v>
      </c>
    </row>
    <row r="209" spans="1:15" x14ac:dyDescent="0.25">
      <c r="A209" t="s">
        <v>380</v>
      </c>
      <c r="B209" s="47">
        <v>3849</v>
      </c>
      <c r="C209" s="47">
        <v>165</v>
      </c>
      <c r="D209" s="47">
        <v>634</v>
      </c>
      <c r="E209" s="47">
        <v>1060</v>
      </c>
      <c r="F209" s="47">
        <v>1223</v>
      </c>
      <c r="G209" s="47">
        <v>650</v>
      </c>
      <c r="H209" s="47">
        <v>117</v>
      </c>
      <c r="I209" s="47" t="s">
        <v>113</v>
      </c>
      <c r="J209" s="47">
        <v>4.2868277474668703</v>
      </c>
      <c r="K209" s="47">
        <v>16.4718108599636</v>
      </c>
      <c r="L209" s="47">
        <v>27.539620680696199</v>
      </c>
      <c r="M209" s="47">
        <v>31.774486879708999</v>
      </c>
      <c r="N209" s="47">
        <v>16.887503247596701</v>
      </c>
      <c r="O209" s="47">
        <v>3.03975058456742</v>
      </c>
    </row>
    <row r="210" spans="1:15" x14ac:dyDescent="0.25">
      <c r="A210" t="s">
        <v>381</v>
      </c>
      <c r="B210" s="47">
        <v>151</v>
      </c>
      <c r="C210" s="47">
        <v>1</v>
      </c>
      <c r="D210" s="47">
        <v>14</v>
      </c>
      <c r="E210" s="47">
        <v>41</v>
      </c>
      <c r="F210" s="47">
        <v>54</v>
      </c>
      <c r="G210" s="47">
        <v>35</v>
      </c>
      <c r="H210" s="47">
        <v>6</v>
      </c>
      <c r="I210" s="47" t="s">
        <v>113</v>
      </c>
      <c r="J210" s="47">
        <v>0.66225165562913901</v>
      </c>
      <c r="K210" s="47">
        <v>9.2715231788079393</v>
      </c>
      <c r="L210" s="47">
        <v>27.152317880794701</v>
      </c>
      <c r="M210" s="47">
        <v>35.761589403973502</v>
      </c>
      <c r="N210" s="47">
        <v>23.178807947019799</v>
      </c>
      <c r="O210" s="47">
        <v>3.9735099337748299</v>
      </c>
    </row>
    <row r="211" spans="1:15" x14ac:dyDescent="0.25">
      <c r="A211" t="s">
        <v>382</v>
      </c>
      <c r="B211" s="47">
        <v>51415</v>
      </c>
      <c r="C211" s="47">
        <v>1742</v>
      </c>
      <c r="D211" s="47">
        <v>7599</v>
      </c>
      <c r="E211" s="47">
        <v>14247</v>
      </c>
      <c r="F211" s="47">
        <v>16426</v>
      </c>
      <c r="G211" s="47">
        <v>9390</v>
      </c>
      <c r="H211" s="47">
        <v>2011</v>
      </c>
      <c r="I211" s="47" t="s">
        <v>113</v>
      </c>
      <c r="J211" s="47">
        <v>3.3881163084702899</v>
      </c>
      <c r="K211" s="47">
        <v>14.7797335407954</v>
      </c>
      <c r="L211" s="47">
        <v>27.709812311582201</v>
      </c>
      <c r="M211" s="47">
        <v>31.947875133715801</v>
      </c>
      <c r="N211" s="47">
        <v>18.263152776427098</v>
      </c>
      <c r="O211" s="47">
        <v>3.9113099290090401</v>
      </c>
    </row>
    <row r="212" spans="1:15" x14ac:dyDescent="0.25">
      <c r="A212" t="s">
        <v>383</v>
      </c>
      <c r="B212" s="47">
        <v>2991</v>
      </c>
      <c r="C212" s="47">
        <v>129</v>
      </c>
      <c r="D212" s="47">
        <v>542</v>
      </c>
      <c r="E212" s="47">
        <v>877</v>
      </c>
      <c r="F212" s="47">
        <v>891</v>
      </c>
      <c r="G212" s="47">
        <v>469</v>
      </c>
      <c r="H212" s="47">
        <v>83</v>
      </c>
      <c r="I212" s="47" t="s">
        <v>113</v>
      </c>
      <c r="J212" s="47">
        <v>4.3129388164493401</v>
      </c>
      <c r="K212" s="47">
        <v>18.121029755934401</v>
      </c>
      <c r="L212" s="47">
        <v>29.321297225008301</v>
      </c>
      <c r="M212" s="47">
        <v>29.789368104312899</v>
      </c>
      <c r="N212" s="47">
        <v>15.680374456703399</v>
      </c>
      <c r="O212" s="47">
        <v>2.77499164159144</v>
      </c>
    </row>
    <row r="213" spans="1:15" x14ac:dyDescent="0.25">
      <c r="A213" t="s">
        <v>384</v>
      </c>
      <c r="B213" s="47">
        <v>967</v>
      </c>
      <c r="C213" s="47">
        <v>29</v>
      </c>
      <c r="D213" s="47">
        <v>138</v>
      </c>
      <c r="E213" s="47">
        <v>271</v>
      </c>
      <c r="F213" s="47">
        <v>309</v>
      </c>
      <c r="G213" s="47">
        <v>182</v>
      </c>
      <c r="H213" s="47">
        <v>38</v>
      </c>
      <c r="I213" s="47" t="s">
        <v>113</v>
      </c>
      <c r="J213" s="47">
        <v>2.9989658738366001</v>
      </c>
      <c r="K213" s="47">
        <v>14.270941054808601</v>
      </c>
      <c r="L213" s="47">
        <v>28.024819027921399</v>
      </c>
      <c r="M213" s="47">
        <v>31.9544984488107</v>
      </c>
      <c r="N213" s="47">
        <v>18.8210961737331</v>
      </c>
      <c r="O213" s="47">
        <v>3.92967942088934</v>
      </c>
    </row>
    <row r="214" spans="1:15" x14ac:dyDescent="0.25">
      <c r="A214" t="s">
        <v>385</v>
      </c>
      <c r="B214" s="47">
        <v>1129</v>
      </c>
      <c r="C214" s="47">
        <v>37</v>
      </c>
      <c r="D214" s="47">
        <v>223</v>
      </c>
      <c r="E214" s="47">
        <v>360</v>
      </c>
      <c r="F214" s="47">
        <v>333</v>
      </c>
      <c r="G214" s="47">
        <v>133</v>
      </c>
      <c r="H214" s="47">
        <v>43</v>
      </c>
      <c r="I214" s="47" t="s">
        <v>113</v>
      </c>
      <c r="J214" s="47">
        <v>3.2772364924712098</v>
      </c>
      <c r="K214" s="47">
        <v>19.7519929140832</v>
      </c>
      <c r="L214" s="47">
        <v>31.886625332152299</v>
      </c>
      <c r="M214" s="47">
        <v>29.4951284322409</v>
      </c>
      <c r="N214" s="47">
        <v>11.7803365810451</v>
      </c>
      <c r="O214" s="47">
        <v>3.80868024800708</v>
      </c>
    </row>
    <row r="215" spans="1:15" x14ac:dyDescent="0.25">
      <c r="A215" t="s">
        <v>386</v>
      </c>
      <c r="B215" s="47">
        <v>3095</v>
      </c>
      <c r="C215" s="47">
        <v>161</v>
      </c>
      <c r="D215" s="47">
        <v>586</v>
      </c>
      <c r="E215" s="47">
        <v>891</v>
      </c>
      <c r="F215" s="47">
        <v>899</v>
      </c>
      <c r="G215" s="47">
        <v>470</v>
      </c>
      <c r="H215" s="47">
        <v>88</v>
      </c>
      <c r="I215" s="47" t="s">
        <v>113</v>
      </c>
      <c r="J215" s="47">
        <v>5.2019386106623502</v>
      </c>
      <c r="K215" s="47">
        <v>18.933764135702699</v>
      </c>
      <c r="L215" s="47">
        <v>28.788368336025801</v>
      </c>
      <c r="M215" s="47">
        <v>29.046849757673598</v>
      </c>
      <c r="N215" s="47">
        <v>15.1857835218093</v>
      </c>
      <c r="O215" s="47">
        <v>2.8432956381259999</v>
      </c>
    </row>
    <row r="216" spans="1:15" x14ac:dyDescent="0.25">
      <c r="A216" t="s">
        <v>387</v>
      </c>
      <c r="B216" s="47">
        <v>2904</v>
      </c>
      <c r="C216" s="47">
        <v>86</v>
      </c>
      <c r="D216" s="47">
        <v>462</v>
      </c>
      <c r="E216" s="47">
        <v>837</v>
      </c>
      <c r="F216" s="47">
        <v>892</v>
      </c>
      <c r="G216" s="47">
        <v>507</v>
      </c>
      <c r="H216" s="47">
        <v>120</v>
      </c>
      <c r="I216" s="47" t="s">
        <v>113</v>
      </c>
      <c r="J216" s="47">
        <v>2.96143250688705</v>
      </c>
      <c r="K216" s="47">
        <v>15.909090909090899</v>
      </c>
      <c r="L216" s="47">
        <v>28.822314049586701</v>
      </c>
      <c r="M216" s="47">
        <v>30.716253443526099</v>
      </c>
      <c r="N216" s="47">
        <v>17.458677685950398</v>
      </c>
      <c r="O216" s="47">
        <v>4.1322314049586701</v>
      </c>
    </row>
    <row r="217" spans="1:15" x14ac:dyDescent="0.25">
      <c r="A217" t="s">
        <v>388</v>
      </c>
      <c r="B217" s="47">
        <v>5798</v>
      </c>
      <c r="C217" s="47">
        <v>126</v>
      </c>
      <c r="D217" s="47">
        <v>751</v>
      </c>
      <c r="E217" s="47">
        <v>1628</v>
      </c>
      <c r="F217" s="47">
        <v>1973</v>
      </c>
      <c r="G217" s="47">
        <v>1077</v>
      </c>
      <c r="H217" s="47">
        <v>243</v>
      </c>
      <c r="I217" s="47" t="s">
        <v>113</v>
      </c>
      <c r="J217" s="47">
        <v>2.1731631597102399</v>
      </c>
      <c r="K217" s="47">
        <v>12.952742324939599</v>
      </c>
      <c r="L217" s="47">
        <v>28.078647809589501</v>
      </c>
      <c r="M217" s="47">
        <v>34.028975508796101</v>
      </c>
      <c r="N217" s="47">
        <v>18.575370817523201</v>
      </c>
      <c r="O217" s="47">
        <v>4.1911003794411803</v>
      </c>
    </row>
    <row r="218" spans="1:15" x14ac:dyDescent="0.25">
      <c r="A218" t="s">
        <v>389</v>
      </c>
      <c r="B218" s="47">
        <v>14140</v>
      </c>
      <c r="C218" s="47">
        <v>412</v>
      </c>
      <c r="D218" s="47">
        <v>1849</v>
      </c>
      <c r="E218" s="47">
        <v>3739</v>
      </c>
      <c r="F218" s="47">
        <v>4750</v>
      </c>
      <c r="G218" s="47">
        <v>2798</v>
      </c>
      <c r="H218" s="47">
        <v>592</v>
      </c>
      <c r="I218" s="47" t="s">
        <v>113</v>
      </c>
      <c r="J218" s="47">
        <v>2.91371994342291</v>
      </c>
      <c r="K218" s="47">
        <v>13.076379066477999</v>
      </c>
      <c r="L218" s="47">
        <v>26.442715700141399</v>
      </c>
      <c r="M218" s="47">
        <v>33.592644978783497</v>
      </c>
      <c r="N218" s="47">
        <v>19.787835926449699</v>
      </c>
      <c r="O218" s="47">
        <v>4.1867043847241803</v>
      </c>
    </row>
    <row r="219" spans="1:15" x14ac:dyDescent="0.25">
      <c r="A219" t="s">
        <v>390</v>
      </c>
      <c r="B219" s="47">
        <v>1991</v>
      </c>
      <c r="C219" s="47">
        <v>61</v>
      </c>
      <c r="D219" s="47">
        <v>309</v>
      </c>
      <c r="E219" s="47">
        <v>593</v>
      </c>
      <c r="F219" s="47">
        <v>570</v>
      </c>
      <c r="G219" s="47">
        <v>383</v>
      </c>
      <c r="H219" s="47">
        <v>75</v>
      </c>
      <c r="I219" s="47" t="s">
        <v>113</v>
      </c>
      <c r="J219" s="47">
        <v>3.0637870416875899</v>
      </c>
      <c r="K219" s="47">
        <v>15.5198392767453</v>
      </c>
      <c r="L219" s="47">
        <v>29.784028126569499</v>
      </c>
      <c r="M219" s="47">
        <v>28.6288297338021</v>
      </c>
      <c r="N219" s="47">
        <v>19.2365645404319</v>
      </c>
      <c r="O219" s="47">
        <v>3.76695128076343</v>
      </c>
    </row>
    <row r="220" spans="1:15" x14ac:dyDescent="0.25">
      <c r="A220" t="s">
        <v>391</v>
      </c>
      <c r="B220" s="47">
        <v>4220</v>
      </c>
      <c r="C220" s="47">
        <v>176</v>
      </c>
      <c r="D220" s="47">
        <v>659</v>
      </c>
      <c r="E220" s="47">
        <v>1253</v>
      </c>
      <c r="F220" s="47">
        <v>1313</v>
      </c>
      <c r="G220" s="47">
        <v>670</v>
      </c>
      <c r="H220" s="47">
        <v>149</v>
      </c>
      <c r="I220" s="47" t="s">
        <v>113</v>
      </c>
      <c r="J220" s="47">
        <v>4.17061611374407</v>
      </c>
      <c r="K220" s="47">
        <v>15.6161137440758</v>
      </c>
      <c r="L220" s="47">
        <v>29.691943127961999</v>
      </c>
      <c r="M220" s="47">
        <v>31.113744075829299</v>
      </c>
      <c r="N220" s="47">
        <v>15.8767772511848</v>
      </c>
      <c r="O220" s="47">
        <v>3.5308056872037898</v>
      </c>
    </row>
    <row r="221" spans="1:15" x14ac:dyDescent="0.25">
      <c r="A221" t="s">
        <v>392</v>
      </c>
      <c r="B221" s="47">
        <v>8640</v>
      </c>
      <c r="C221" s="47">
        <v>220</v>
      </c>
      <c r="D221" s="47">
        <v>930</v>
      </c>
      <c r="E221" s="47">
        <v>2090</v>
      </c>
      <c r="F221" s="47">
        <v>3019</v>
      </c>
      <c r="G221" s="47">
        <v>1944</v>
      </c>
      <c r="H221" s="47">
        <v>437</v>
      </c>
      <c r="I221" s="47" t="s">
        <v>113</v>
      </c>
      <c r="J221" s="47">
        <v>2.5462962962962901</v>
      </c>
      <c r="K221" s="47">
        <v>10.7638888888888</v>
      </c>
      <c r="L221" s="47">
        <v>24.189814814814799</v>
      </c>
      <c r="M221" s="47">
        <v>34.942129629629598</v>
      </c>
      <c r="N221" s="47">
        <v>22.5</v>
      </c>
      <c r="O221" s="47">
        <v>5.0578703703703702</v>
      </c>
    </row>
    <row r="222" spans="1:15" x14ac:dyDescent="0.25">
      <c r="A222" t="s">
        <v>393</v>
      </c>
      <c r="B222" s="47">
        <v>132</v>
      </c>
      <c r="C222" s="47" t="s">
        <v>113</v>
      </c>
      <c r="D222" s="47">
        <v>10</v>
      </c>
      <c r="E222" s="47">
        <v>38</v>
      </c>
      <c r="F222" s="47">
        <v>50</v>
      </c>
      <c r="G222" s="47">
        <v>30</v>
      </c>
      <c r="H222" s="47">
        <v>4</v>
      </c>
      <c r="I222" s="47" t="s">
        <v>113</v>
      </c>
      <c r="J222" s="47" t="s">
        <v>113</v>
      </c>
      <c r="K222" s="47">
        <v>7.5757575757575699</v>
      </c>
      <c r="L222" s="47">
        <v>28.7878787878787</v>
      </c>
      <c r="M222" s="47">
        <v>37.878787878787797</v>
      </c>
      <c r="N222" s="47">
        <v>22.727272727272702</v>
      </c>
      <c r="O222" s="47">
        <v>3.0303030303030298</v>
      </c>
    </row>
    <row r="223" spans="1:15" x14ac:dyDescent="0.25">
      <c r="A223" t="s">
        <v>394</v>
      </c>
      <c r="B223" s="47">
        <v>92</v>
      </c>
      <c r="C223" s="47" t="s">
        <v>113</v>
      </c>
      <c r="D223" s="47">
        <v>13</v>
      </c>
      <c r="E223" s="47">
        <v>37</v>
      </c>
      <c r="F223" s="47">
        <v>18</v>
      </c>
      <c r="G223" s="47">
        <v>22</v>
      </c>
      <c r="H223" s="47">
        <v>2</v>
      </c>
      <c r="I223" s="47" t="s">
        <v>113</v>
      </c>
      <c r="J223" s="47" t="s">
        <v>113</v>
      </c>
      <c r="K223" s="47">
        <v>14.130434782608599</v>
      </c>
      <c r="L223" s="47">
        <v>40.2173913043478</v>
      </c>
      <c r="M223" s="47">
        <v>19.565217391304301</v>
      </c>
      <c r="N223" s="47">
        <v>23.9130434782608</v>
      </c>
      <c r="O223" s="47">
        <v>2.1739130434782599</v>
      </c>
    </row>
    <row r="224" spans="1:15" x14ac:dyDescent="0.25">
      <c r="A224" t="s">
        <v>395</v>
      </c>
      <c r="B224" s="47">
        <v>3714</v>
      </c>
      <c r="C224" s="47">
        <v>132</v>
      </c>
      <c r="D224" s="47">
        <v>575</v>
      </c>
      <c r="E224" s="47">
        <v>1048</v>
      </c>
      <c r="F224" s="47">
        <v>1146</v>
      </c>
      <c r="G224" s="47">
        <v>665</v>
      </c>
      <c r="H224" s="47">
        <v>148</v>
      </c>
      <c r="I224" s="47" t="s">
        <v>113</v>
      </c>
      <c r="J224" s="47">
        <v>3.55411954765751</v>
      </c>
      <c r="K224" s="47">
        <v>15.4819601507808</v>
      </c>
      <c r="L224" s="47">
        <v>28.217555196553501</v>
      </c>
      <c r="M224" s="47">
        <v>30.8562197092084</v>
      </c>
      <c r="N224" s="47">
        <v>17.905223478729098</v>
      </c>
      <c r="O224" s="47">
        <v>3.9849219170705399</v>
      </c>
    </row>
    <row r="225" spans="1:15" x14ac:dyDescent="0.25">
      <c r="A225" t="s">
        <v>396</v>
      </c>
      <c r="B225" s="47">
        <v>161</v>
      </c>
      <c r="C225" s="47">
        <v>5</v>
      </c>
      <c r="D225" s="47">
        <v>26</v>
      </c>
      <c r="E225" s="47">
        <v>40</v>
      </c>
      <c r="F225" s="47">
        <v>52</v>
      </c>
      <c r="G225" s="47">
        <v>29</v>
      </c>
      <c r="H225" s="47">
        <v>9</v>
      </c>
      <c r="I225" s="47" t="s">
        <v>113</v>
      </c>
      <c r="J225" s="47">
        <v>3.1055900621118</v>
      </c>
      <c r="K225" s="47">
        <v>16.1490683229813</v>
      </c>
      <c r="L225" s="47">
        <v>24.8447204968944</v>
      </c>
      <c r="M225" s="47">
        <v>32.2981366459627</v>
      </c>
      <c r="N225" s="47">
        <v>18.012422360248401</v>
      </c>
      <c r="O225" s="47">
        <v>5.5900621118012399</v>
      </c>
    </row>
    <row r="226" spans="1:15" x14ac:dyDescent="0.25">
      <c r="A226" t="s">
        <v>397</v>
      </c>
      <c r="B226" s="47">
        <v>49977</v>
      </c>
      <c r="C226" s="47">
        <v>1574</v>
      </c>
      <c r="D226" s="47">
        <v>7073</v>
      </c>
      <c r="E226" s="47">
        <v>13702</v>
      </c>
      <c r="F226" s="47">
        <v>16218</v>
      </c>
      <c r="G226" s="47">
        <v>9379</v>
      </c>
      <c r="H226" s="47">
        <v>2031</v>
      </c>
      <c r="I226" s="47" t="s">
        <v>113</v>
      </c>
      <c r="J226" s="47">
        <v>3.1494487464233498</v>
      </c>
      <c r="K226" s="47">
        <v>14.1525101546711</v>
      </c>
      <c r="L226" s="47">
        <v>27.416611641355001</v>
      </c>
      <c r="M226" s="47">
        <v>32.450927426616197</v>
      </c>
      <c r="N226" s="47">
        <v>18.7666326510194</v>
      </c>
      <c r="O226" s="47">
        <v>4.0638693799147596</v>
      </c>
    </row>
    <row r="227" spans="1:15" x14ac:dyDescent="0.25">
      <c r="A227" t="s">
        <v>398</v>
      </c>
      <c r="B227" s="47">
        <v>3064</v>
      </c>
      <c r="C227" s="47">
        <v>135</v>
      </c>
      <c r="D227" s="47">
        <v>525</v>
      </c>
      <c r="E227" s="47">
        <v>928</v>
      </c>
      <c r="F227" s="47">
        <v>935</v>
      </c>
      <c r="G227" s="47">
        <v>441</v>
      </c>
      <c r="H227" s="47">
        <v>100</v>
      </c>
      <c r="I227" s="47" t="s">
        <v>113</v>
      </c>
      <c r="J227" s="47">
        <v>4.4060052219321104</v>
      </c>
      <c r="K227" s="47">
        <v>17.134464751958198</v>
      </c>
      <c r="L227" s="47">
        <v>30.287206266318499</v>
      </c>
      <c r="M227" s="47">
        <v>30.515665796344599</v>
      </c>
      <c r="N227" s="47">
        <v>14.3929503916449</v>
      </c>
      <c r="O227" s="47">
        <v>3.26370757180156</v>
      </c>
    </row>
    <row r="228" spans="1:15" x14ac:dyDescent="0.25">
      <c r="A228" t="s">
        <v>399</v>
      </c>
      <c r="B228" s="47">
        <v>884</v>
      </c>
      <c r="C228" s="47">
        <v>27</v>
      </c>
      <c r="D228" s="47">
        <v>106</v>
      </c>
      <c r="E228" s="47">
        <v>247</v>
      </c>
      <c r="F228" s="47">
        <v>311</v>
      </c>
      <c r="G228" s="47">
        <v>153</v>
      </c>
      <c r="H228" s="47">
        <v>40</v>
      </c>
      <c r="I228" s="47" t="s">
        <v>113</v>
      </c>
      <c r="J228" s="47">
        <v>3.0542986425339298</v>
      </c>
      <c r="K228" s="47">
        <v>11.9909502262443</v>
      </c>
      <c r="L228" s="47">
        <v>27.9411764705882</v>
      </c>
      <c r="M228" s="47">
        <v>35.1809954751131</v>
      </c>
      <c r="N228" s="47">
        <v>17.307692307692299</v>
      </c>
      <c r="O228" s="47">
        <v>4.5248868778280498</v>
      </c>
    </row>
    <row r="229" spans="1:15" x14ac:dyDescent="0.25">
      <c r="A229" t="s">
        <v>400</v>
      </c>
      <c r="B229" s="47">
        <v>1112</v>
      </c>
      <c r="C229" s="47">
        <v>34</v>
      </c>
      <c r="D229" s="47">
        <v>203</v>
      </c>
      <c r="E229" s="47">
        <v>356</v>
      </c>
      <c r="F229" s="47">
        <v>332</v>
      </c>
      <c r="G229" s="47">
        <v>163</v>
      </c>
      <c r="H229" s="47">
        <v>24</v>
      </c>
      <c r="I229" s="47" t="s">
        <v>113</v>
      </c>
      <c r="J229" s="47">
        <v>3.0575539568345298</v>
      </c>
      <c r="K229" s="47">
        <v>18.255395683453202</v>
      </c>
      <c r="L229" s="47">
        <v>32.014388489208599</v>
      </c>
      <c r="M229" s="47">
        <v>29.856115107913599</v>
      </c>
      <c r="N229" s="47">
        <v>14.658273381294901</v>
      </c>
      <c r="O229" s="47">
        <v>2.1582733812949599</v>
      </c>
    </row>
    <row r="230" spans="1:15" x14ac:dyDescent="0.25">
      <c r="A230" t="s">
        <v>401</v>
      </c>
      <c r="B230" s="47">
        <v>2890</v>
      </c>
      <c r="C230" s="47">
        <v>131</v>
      </c>
      <c r="D230" s="47">
        <v>487</v>
      </c>
      <c r="E230" s="47">
        <v>841</v>
      </c>
      <c r="F230" s="47">
        <v>889</v>
      </c>
      <c r="G230" s="47">
        <v>447</v>
      </c>
      <c r="H230" s="47">
        <v>95</v>
      </c>
      <c r="I230" s="47" t="s">
        <v>113</v>
      </c>
      <c r="J230" s="47">
        <v>4.5328719723183299</v>
      </c>
      <c r="K230" s="47">
        <v>16.851211072664299</v>
      </c>
      <c r="L230" s="47">
        <v>29.100346020761201</v>
      </c>
      <c r="M230" s="47">
        <v>30.761245674740401</v>
      </c>
      <c r="N230" s="47">
        <v>15.4671280276816</v>
      </c>
      <c r="O230" s="47">
        <v>3.2871972318339</v>
      </c>
    </row>
    <row r="231" spans="1:15" x14ac:dyDescent="0.25">
      <c r="A231" t="s">
        <v>402</v>
      </c>
      <c r="B231" s="47">
        <v>2779</v>
      </c>
      <c r="C231" s="47">
        <v>87</v>
      </c>
      <c r="D231" s="47">
        <v>375</v>
      </c>
      <c r="E231" s="47">
        <v>795</v>
      </c>
      <c r="F231" s="47">
        <v>902</v>
      </c>
      <c r="G231" s="47">
        <v>527</v>
      </c>
      <c r="H231" s="47">
        <v>93</v>
      </c>
      <c r="I231" s="47" t="s">
        <v>113</v>
      </c>
      <c r="J231" s="47">
        <v>3.1306225260885201</v>
      </c>
      <c r="K231" s="47">
        <v>13.494062612450501</v>
      </c>
      <c r="L231" s="47">
        <v>28.607412738395102</v>
      </c>
      <c r="M231" s="47">
        <v>32.4577186038143</v>
      </c>
      <c r="N231" s="47">
        <v>18.963655991363801</v>
      </c>
      <c r="O231" s="47">
        <v>3.3465275278877198</v>
      </c>
    </row>
    <row r="232" spans="1:15" x14ac:dyDescent="0.25">
      <c r="A232" t="s">
        <v>403</v>
      </c>
      <c r="B232" s="47">
        <v>5364</v>
      </c>
      <c r="C232" s="47">
        <v>122</v>
      </c>
      <c r="D232" s="47">
        <v>592</v>
      </c>
      <c r="E232" s="47">
        <v>1513</v>
      </c>
      <c r="F232" s="47">
        <v>1846</v>
      </c>
      <c r="G232" s="47">
        <v>1059</v>
      </c>
      <c r="H232" s="47">
        <v>232</v>
      </c>
      <c r="I232" s="47" t="s">
        <v>113</v>
      </c>
      <c r="J232" s="47">
        <v>2.2744220730797902</v>
      </c>
      <c r="K232" s="47">
        <v>11.036539895600299</v>
      </c>
      <c r="L232" s="47">
        <v>28.206562266964902</v>
      </c>
      <c r="M232" s="47">
        <v>34.414615958240098</v>
      </c>
      <c r="N232" s="47">
        <v>19.7427293064876</v>
      </c>
      <c r="O232" s="47">
        <v>4.3251304996271402</v>
      </c>
    </row>
    <row r="233" spans="1:15" x14ac:dyDescent="0.25">
      <c r="A233" t="s">
        <v>404</v>
      </c>
      <c r="B233" s="47">
        <v>13571</v>
      </c>
      <c r="C233" s="47">
        <v>371</v>
      </c>
      <c r="D233" s="47">
        <v>1701</v>
      </c>
      <c r="E233" s="47">
        <v>3560</v>
      </c>
      <c r="F233" s="47">
        <v>4655</v>
      </c>
      <c r="G233" s="47">
        <v>2682</v>
      </c>
      <c r="H233" s="47">
        <v>602</v>
      </c>
      <c r="I233" s="47" t="s">
        <v>113</v>
      </c>
      <c r="J233" s="47">
        <v>2.7337705401223098</v>
      </c>
      <c r="K233" s="47">
        <v>12.5340800235796</v>
      </c>
      <c r="L233" s="47">
        <v>26.232407339179101</v>
      </c>
      <c r="M233" s="47">
        <v>34.301083192100798</v>
      </c>
      <c r="N233" s="47">
        <v>19.762729349347801</v>
      </c>
      <c r="O233" s="47">
        <v>4.4359295556701701</v>
      </c>
    </row>
    <row r="234" spans="1:15" x14ac:dyDescent="0.25">
      <c r="A234" t="s">
        <v>405</v>
      </c>
      <c r="B234" s="47">
        <v>1965</v>
      </c>
      <c r="C234" s="47">
        <v>47</v>
      </c>
      <c r="D234" s="47">
        <v>298</v>
      </c>
      <c r="E234" s="47">
        <v>558</v>
      </c>
      <c r="F234" s="47">
        <v>602</v>
      </c>
      <c r="G234" s="47">
        <v>381</v>
      </c>
      <c r="H234" s="47">
        <v>79</v>
      </c>
      <c r="I234" s="47" t="s">
        <v>113</v>
      </c>
      <c r="J234" s="47">
        <v>2.3918575063613199</v>
      </c>
      <c r="K234" s="47">
        <v>15.1653944020356</v>
      </c>
      <c r="L234" s="47">
        <v>28.3969465648854</v>
      </c>
      <c r="M234" s="47">
        <v>30.6361323155216</v>
      </c>
      <c r="N234" s="47">
        <v>19.389312977099198</v>
      </c>
      <c r="O234" s="47">
        <v>4.0203562340966901</v>
      </c>
    </row>
    <row r="235" spans="1:15" x14ac:dyDescent="0.25">
      <c r="A235" t="s">
        <v>406</v>
      </c>
      <c r="B235" s="47">
        <v>4165</v>
      </c>
      <c r="C235" s="47">
        <v>146</v>
      </c>
      <c r="D235" s="47">
        <v>669</v>
      </c>
      <c r="E235" s="47">
        <v>1211</v>
      </c>
      <c r="F235" s="47">
        <v>1284</v>
      </c>
      <c r="G235" s="47">
        <v>717</v>
      </c>
      <c r="H235" s="47">
        <v>138</v>
      </c>
      <c r="I235" s="47" t="s">
        <v>113</v>
      </c>
      <c r="J235" s="47">
        <v>3.5054021608643402</v>
      </c>
      <c r="K235" s="47">
        <v>16.062424969987902</v>
      </c>
      <c r="L235" s="47">
        <v>29.075630252100801</v>
      </c>
      <c r="M235" s="47">
        <v>30.828331332533001</v>
      </c>
      <c r="N235" s="47">
        <v>17.2148859543817</v>
      </c>
      <c r="O235" s="47">
        <v>3.31332533013205</v>
      </c>
    </row>
    <row r="236" spans="1:15" x14ac:dyDescent="0.25">
      <c r="A236" t="s">
        <v>407</v>
      </c>
      <c r="B236" s="47">
        <v>8166</v>
      </c>
      <c r="C236" s="47">
        <v>178</v>
      </c>
      <c r="D236" s="47">
        <v>874</v>
      </c>
      <c r="E236" s="47">
        <v>1913</v>
      </c>
      <c r="F236" s="47">
        <v>2914</v>
      </c>
      <c r="G236" s="47">
        <v>1852</v>
      </c>
      <c r="H236" s="47">
        <v>435</v>
      </c>
      <c r="I236" s="47" t="s">
        <v>113</v>
      </c>
      <c r="J236" s="47">
        <v>2.17976977712466</v>
      </c>
      <c r="K236" s="47">
        <v>10.702914523634499</v>
      </c>
      <c r="L236" s="47">
        <v>23.426402155277898</v>
      </c>
      <c r="M236" s="47">
        <v>35.684545677198102</v>
      </c>
      <c r="N236" s="47">
        <v>22.679402400195901</v>
      </c>
      <c r="O236" s="47">
        <v>5.3269654665686996</v>
      </c>
    </row>
    <row r="237" spans="1:15" x14ac:dyDescent="0.25">
      <c r="A237" t="s">
        <v>408</v>
      </c>
      <c r="B237" s="47">
        <v>138</v>
      </c>
      <c r="C237" s="47">
        <v>3</v>
      </c>
      <c r="D237" s="47">
        <v>12</v>
      </c>
      <c r="E237" s="47">
        <v>43</v>
      </c>
      <c r="F237" s="47">
        <v>44</v>
      </c>
      <c r="G237" s="47">
        <v>29</v>
      </c>
      <c r="H237" s="47">
        <v>7</v>
      </c>
      <c r="I237" s="47" t="s">
        <v>113</v>
      </c>
      <c r="J237" s="47">
        <v>2.1739130434782599</v>
      </c>
      <c r="K237" s="47">
        <v>8.6956521739130395</v>
      </c>
      <c r="L237" s="47">
        <v>31.159420289854999</v>
      </c>
      <c r="M237" s="47">
        <v>31.8840579710144</v>
      </c>
      <c r="N237" s="47">
        <v>21.014492753623099</v>
      </c>
      <c r="O237" s="47">
        <v>5.0724637681159397</v>
      </c>
    </row>
    <row r="238" spans="1:15" x14ac:dyDescent="0.25">
      <c r="A238" t="s">
        <v>409</v>
      </c>
      <c r="B238" s="47">
        <v>114</v>
      </c>
      <c r="C238" s="47">
        <v>1</v>
      </c>
      <c r="D238" s="47">
        <v>9</v>
      </c>
      <c r="E238" s="47">
        <v>32</v>
      </c>
      <c r="F238" s="47">
        <v>52</v>
      </c>
      <c r="G238" s="47">
        <v>19</v>
      </c>
      <c r="H238" s="47">
        <v>1</v>
      </c>
      <c r="I238" s="47" t="s">
        <v>113</v>
      </c>
      <c r="J238" s="47">
        <v>0.87719298245613997</v>
      </c>
      <c r="K238" s="47">
        <v>7.8947368421052602</v>
      </c>
      <c r="L238" s="47">
        <v>28.070175438596401</v>
      </c>
      <c r="M238" s="47">
        <v>45.614035087719202</v>
      </c>
      <c r="N238" s="47">
        <v>16.6666666666666</v>
      </c>
      <c r="O238" s="47">
        <v>0.87719298245613997</v>
      </c>
    </row>
    <row r="239" spans="1:15" x14ac:dyDescent="0.25">
      <c r="A239" t="s">
        <v>410</v>
      </c>
      <c r="B239" s="47">
        <v>3584</v>
      </c>
      <c r="C239" s="47">
        <v>129</v>
      </c>
      <c r="D239" s="47">
        <v>575</v>
      </c>
      <c r="E239" s="47">
        <v>1009</v>
      </c>
      <c r="F239" s="47">
        <v>1138</v>
      </c>
      <c r="G239" s="47">
        <v>610</v>
      </c>
      <c r="H239" s="47">
        <v>123</v>
      </c>
      <c r="I239" s="47" t="s">
        <v>113</v>
      </c>
      <c r="J239" s="47">
        <v>3.5993303571428501</v>
      </c>
      <c r="K239" s="47">
        <v>16.043526785714199</v>
      </c>
      <c r="L239" s="47">
        <v>28.152901785714199</v>
      </c>
      <c r="M239" s="47">
        <v>31.7522321428571</v>
      </c>
      <c r="N239" s="47">
        <v>17.020089285714199</v>
      </c>
      <c r="O239" s="47">
        <v>3.4319196428571401</v>
      </c>
    </row>
    <row r="240" spans="1:15" x14ac:dyDescent="0.25">
      <c r="A240" t="s">
        <v>411</v>
      </c>
      <c r="B240" s="47">
        <v>158</v>
      </c>
      <c r="C240" s="47">
        <v>5</v>
      </c>
      <c r="D240" s="47">
        <v>20</v>
      </c>
      <c r="E240" s="47">
        <v>60</v>
      </c>
      <c r="F240" s="47">
        <v>47</v>
      </c>
      <c r="G240" s="47">
        <v>21</v>
      </c>
      <c r="H240" s="47">
        <v>5</v>
      </c>
      <c r="I240" s="47" t="s">
        <v>113</v>
      </c>
      <c r="J240" s="47">
        <v>3.1645569620253098</v>
      </c>
      <c r="K240" s="47">
        <v>12.6582278481012</v>
      </c>
      <c r="L240" s="47">
        <v>37.974683544303801</v>
      </c>
      <c r="M240" s="47">
        <v>29.746835443037899</v>
      </c>
      <c r="N240" s="47">
        <v>13.2911392405063</v>
      </c>
      <c r="O240" s="47">
        <v>3.1645569620253098</v>
      </c>
    </row>
    <row r="241" spans="1:15" x14ac:dyDescent="0.25">
      <c r="A241" t="s">
        <v>412</v>
      </c>
      <c r="B241" s="47">
        <v>48088</v>
      </c>
      <c r="C241" s="47">
        <v>1416</v>
      </c>
      <c r="D241" s="47">
        <v>6455</v>
      </c>
      <c r="E241" s="47">
        <v>13104</v>
      </c>
      <c r="F241" s="47">
        <v>16000</v>
      </c>
      <c r="G241" s="47">
        <v>9134</v>
      </c>
      <c r="H241" s="47">
        <v>1979</v>
      </c>
      <c r="I241" s="47" t="s">
        <v>113</v>
      </c>
      <c r="J241" s="47">
        <v>2.9446015637996998</v>
      </c>
      <c r="K241" s="47">
        <v>13.4233072700049</v>
      </c>
      <c r="L241" s="47">
        <v>27.250041590417499</v>
      </c>
      <c r="M241" s="47">
        <v>33.272334054233902</v>
      </c>
      <c r="N241" s="47">
        <v>18.994343703210699</v>
      </c>
      <c r="O241" s="47">
        <v>4.1153718183330499</v>
      </c>
    </row>
    <row r="242" spans="1:15" x14ac:dyDescent="0.25">
      <c r="A242" t="s">
        <v>413</v>
      </c>
      <c r="B242" s="47">
        <v>2753</v>
      </c>
      <c r="C242" s="47">
        <v>88</v>
      </c>
      <c r="D242" s="47">
        <v>491</v>
      </c>
      <c r="E242" s="47">
        <v>791</v>
      </c>
      <c r="F242" s="47">
        <v>849</v>
      </c>
      <c r="G242" s="47">
        <v>432</v>
      </c>
      <c r="H242" s="47">
        <v>102</v>
      </c>
      <c r="I242" s="47" t="s">
        <v>113</v>
      </c>
      <c r="J242" s="47">
        <v>3.1965128950236101</v>
      </c>
      <c r="K242" s="47">
        <v>17.8350889938249</v>
      </c>
      <c r="L242" s="47">
        <v>28.732292045041699</v>
      </c>
      <c r="M242" s="47">
        <v>30.839084634943699</v>
      </c>
      <c r="N242" s="47">
        <v>15.6919723937522</v>
      </c>
      <c r="O242" s="47">
        <v>3.7050490374137302</v>
      </c>
    </row>
    <row r="243" spans="1:15" x14ac:dyDescent="0.25">
      <c r="A243" t="s">
        <v>414</v>
      </c>
      <c r="B243" s="47">
        <v>817</v>
      </c>
      <c r="C243" s="47">
        <v>24</v>
      </c>
      <c r="D243" s="47">
        <v>112</v>
      </c>
      <c r="E243" s="47">
        <v>229</v>
      </c>
      <c r="F243" s="47">
        <v>282</v>
      </c>
      <c r="G243" s="47">
        <v>143</v>
      </c>
      <c r="H243" s="47">
        <v>27</v>
      </c>
      <c r="I243" s="47" t="s">
        <v>113</v>
      </c>
      <c r="J243" s="47">
        <v>2.9375764993879998</v>
      </c>
      <c r="K243" s="47">
        <v>13.7086903304773</v>
      </c>
      <c r="L243" s="47">
        <v>28.029375764993802</v>
      </c>
      <c r="M243" s="47">
        <v>34.516523867808999</v>
      </c>
      <c r="N243" s="47">
        <v>17.503059975520099</v>
      </c>
      <c r="O243" s="47">
        <v>3.3047735618114999</v>
      </c>
    </row>
    <row r="244" spans="1:15" x14ac:dyDescent="0.25">
      <c r="A244" t="s">
        <v>415</v>
      </c>
      <c r="B244" s="47">
        <v>1083</v>
      </c>
      <c r="C244" s="47">
        <v>40</v>
      </c>
      <c r="D244" s="47">
        <v>164</v>
      </c>
      <c r="E244" s="47">
        <v>347</v>
      </c>
      <c r="F244" s="47">
        <v>337</v>
      </c>
      <c r="G244" s="47">
        <v>159</v>
      </c>
      <c r="H244" s="47">
        <v>36</v>
      </c>
      <c r="I244" s="47" t="s">
        <v>113</v>
      </c>
      <c r="J244" s="47">
        <v>3.6934441366574302</v>
      </c>
      <c r="K244" s="47">
        <v>15.1431209602954</v>
      </c>
      <c r="L244" s="47">
        <v>32.040627885503199</v>
      </c>
      <c r="M244" s="47">
        <v>31.117266851338801</v>
      </c>
      <c r="N244" s="47">
        <v>14.6814404432132</v>
      </c>
      <c r="O244" s="47">
        <v>3.32409972299169</v>
      </c>
    </row>
    <row r="245" spans="1:15" x14ac:dyDescent="0.25">
      <c r="A245" t="s">
        <v>416</v>
      </c>
      <c r="B245" s="47">
        <v>2724</v>
      </c>
      <c r="C245" s="47">
        <v>128</v>
      </c>
      <c r="D245" s="47">
        <v>454</v>
      </c>
      <c r="E245" s="47">
        <v>768</v>
      </c>
      <c r="F245" s="47">
        <v>876</v>
      </c>
      <c r="G245" s="47">
        <v>394</v>
      </c>
      <c r="H245" s="47">
        <v>104</v>
      </c>
      <c r="I245" s="47" t="s">
        <v>113</v>
      </c>
      <c r="J245" s="47">
        <v>4.6989720998531501</v>
      </c>
      <c r="K245" s="47">
        <v>16.6666666666666</v>
      </c>
      <c r="L245" s="47">
        <v>28.193832599118899</v>
      </c>
      <c r="M245" s="47">
        <v>32.158590308370002</v>
      </c>
      <c r="N245" s="47">
        <v>14.4640234948605</v>
      </c>
      <c r="O245" s="47">
        <v>3.8179148311306901</v>
      </c>
    </row>
    <row r="246" spans="1:15" x14ac:dyDescent="0.25">
      <c r="A246" t="s">
        <v>417</v>
      </c>
      <c r="B246" s="47">
        <v>2816</v>
      </c>
      <c r="C246" s="47">
        <v>75</v>
      </c>
      <c r="D246" s="47">
        <v>397</v>
      </c>
      <c r="E246" s="47">
        <v>809</v>
      </c>
      <c r="F246" s="47">
        <v>911</v>
      </c>
      <c r="G246" s="47">
        <v>527</v>
      </c>
      <c r="H246" s="47">
        <v>97</v>
      </c>
      <c r="I246" s="47" t="s">
        <v>113</v>
      </c>
      <c r="J246" s="47">
        <v>2.6633522727272698</v>
      </c>
      <c r="K246" s="47">
        <v>14.098011363636299</v>
      </c>
      <c r="L246" s="47">
        <v>28.728693181818102</v>
      </c>
      <c r="M246" s="47">
        <v>32.350852272727202</v>
      </c>
      <c r="N246" s="47">
        <v>18.714488636363601</v>
      </c>
      <c r="O246" s="47">
        <v>3.4446022727272698</v>
      </c>
    </row>
    <row r="247" spans="1:15" x14ac:dyDescent="0.25">
      <c r="A247" t="s">
        <v>418</v>
      </c>
      <c r="B247" s="47">
        <v>4928</v>
      </c>
      <c r="C247" s="47">
        <v>104</v>
      </c>
      <c r="D247" s="47">
        <v>558</v>
      </c>
      <c r="E247" s="47">
        <v>1460</v>
      </c>
      <c r="F247" s="47">
        <v>1704</v>
      </c>
      <c r="G247" s="47">
        <v>901</v>
      </c>
      <c r="H247" s="47">
        <v>201</v>
      </c>
      <c r="I247" s="47" t="s">
        <v>113</v>
      </c>
      <c r="J247" s="47">
        <v>2.11038961038961</v>
      </c>
      <c r="K247" s="47">
        <v>11.3230519480519</v>
      </c>
      <c r="L247" s="47">
        <v>29.6266233766233</v>
      </c>
      <c r="M247" s="47">
        <v>34.577922077921997</v>
      </c>
      <c r="N247" s="47">
        <v>18.2832792207792</v>
      </c>
      <c r="O247" s="47">
        <v>4.0787337662337597</v>
      </c>
    </row>
    <row r="248" spans="1:15" x14ac:dyDescent="0.25">
      <c r="A248" t="s">
        <v>419</v>
      </c>
      <c r="B248" s="47">
        <v>12768</v>
      </c>
      <c r="C248" s="47">
        <v>284</v>
      </c>
      <c r="D248" s="47">
        <v>1512</v>
      </c>
      <c r="E248" s="47">
        <v>3374</v>
      </c>
      <c r="F248" s="47">
        <v>4434</v>
      </c>
      <c r="G248" s="47">
        <v>2583</v>
      </c>
      <c r="H248" s="47">
        <v>581</v>
      </c>
      <c r="I248" s="47" t="s">
        <v>113</v>
      </c>
      <c r="J248" s="47">
        <v>2.22431077694235</v>
      </c>
      <c r="K248" s="47">
        <v>11.8421052631578</v>
      </c>
      <c r="L248" s="47">
        <v>26.425438596491201</v>
      </c>
      <c r="M248" s="47">
        <v>34.727443609022501</v>
      </c>
      <c r="N248" s="47">
        <v>20.230263157894701</v>
      </c>
      <c r="O248" s="47">
        <v>4.5504385964912197</v>
      </c>
    </row>
    <row r="249" spans="1:15" x14ac:dyDescent="0.25">
      <c r="A249" t="s">
        <v>420</v>
      </c>
      <c r="B249" s="47">
        <v>1845</v>
      </c>
      <c r="C249" s="47">
        <v>53</v>
      </c>
      <c r="D249" s="47">
        <v>249</v>
      </c>
      <c r="E249" s="47">
        <v>504</v>
      </c>
      <c r="F249" s="47">
        <v>597</v>
      </c>
      <c r="G249" s="47">
        <v>335</v>
      </c>
      <c r="H249" s="47">
        <v>107</v>
      </c>
      <c r="I249" s="47" t="s">
        <v>113</v>
      </c>
      <c r="J249" s="47">
        <v>2.8726287262872598</v>
      </c>
      <c r="K249" s="47">
        <v>13.495934959349499</v>
      </c>
      <c r="L249" s="47">
        <v>27.3170731707317</v>
      </c>
      <c r="M249" s="47">
        <v>32.357723577235703</v>
      </c>
      <c r="N249" s="47">
        <v>18.157181571815698</v>
      </c>
      <c r="O249" s="47">
        <v>5.7994579945799396</v>
      </c>
    </row>
    <row r="250" spans="1:15" x14ac:dyDescent="0.25">
      <c r="A250" t="s">
        <v>421</v>
      </c>
      <c r="B250" s="47">
        <v>4081</v>
      </c>
      <c r="C250" s="47">
        <v>129</v>
      </c>
      <c r="D250" s="47">
        <v>635</v>
      </c>
      <c r="E250" s="47">
        <v>1183</v>
      </c>
      <c r="F250" s="47">
        <v>1304</v>
      </c>
      <c r="G250" s="47">
        <v>696</v>
      </c>
      <c r="H250" s="47">
        <v>133</v>
      </c>
      <c r="I250" s="47">
        <v>1</v>
      </c>
      <c r="J250" s="47">
        <v>3.1617647058823501</v>
      </c>
      <c r="K250" s="47">
        <v>15.563725490195999</v>
      </c>
      <c r="L250" s="47">
        <v>28.995098039215598</v>
      </c>
      <c r="M250" s="47">
        <v>31.960784313725402</v>
      </c>
      <c r="N250" s="47">
        <v>17.058823529411701</v>
      </c>
      <c r="O250" s="47">
        <v>3.2598039215686199</v>
      </c>
    </row>
    <row r="251" spans="1:15" x14ac:dyDescent="0.25">
      <c r="A251" t="s">
        <v>422</v>
      </c>
      <c r="B251" s="47">
        <v>8053</v>
      </c>
      <c r="C251" s="47">
        <v>138</v>
      </c>
      <c r="D251" s="47">
        <v>805</v>
      </c>
      <c r="E251" s="47">
        <v>1810</v>
      </c>
      <c r="F251" s="47">
        <v>3013</v>
      </c>
      <c r="G251" s="47">
        <v>1863</v>
      </c>
      <c r="H251" s="47">
        <v>424</v>
      </c>
      <c r="I251" s="47" t="s">
        <v>113</v>
      </c>
      <c r="J251" s="47">
        <v>1.7136470880417201</v>
      </c>
      <c r="K251" s="47">
        <v>9.9962746802433795</v>
      </c>
      <c r="L251" s="47">
        <v>22.476095864895001</v>
      </c>
      <c r="M251" s="47">
        <v>37.414628088910902</v>
      </c>
      <c r="N251" s="47">
        <v>23.134235688563201</v>
      </c>
      <c r="O251" s="47">
        <v>5.2651185893455796</v>
      </c>
    </row>
    <row r="252" spans="1:15" x14ac:dyDescent="0.25">
      <c r="A252" t="s">
        <v>423</v>
      </c>
      <c r="B252" s="47">
        <v>142</v>
      </c>
      <c r="C252" s="47">
        <v>2</v>
      </c>
      <c r="D252" s="47">
        <v>12</v>
      </c>
      <c r="E252" s="47">
        <v>49</v>
      </c>
      <c r="F252" s="47">
        <v>51</v>
      </c>
      <c r="G252" s="47">
        <v>22</v>
      </c>
      <c r="H252" s="47">
        <v>6</v>
      </c>
      <c r="I252" s="47" t="s">
        <v>113</v>
      </c>
      <c r="J252" s="47">
        <v>1.40845070422535</v>
      </c>
      <c r="K252" s="47">
        <v>8.4507042253521103</v>
      </c>
      <c r="L252" s="47">
        <v>34.507042253521099</v>
      </c>
      <c r="M252" s="47">
        <v>35.915492957746402</v>
      </c>
      <c r="N252" s="47">
        <v>15.492957746478799</v>
      </c>
      <c r="O252" s="47">
        <v>4.2253521126760498</v>
      </c>
    </row>
    <row r="253" spans="1:15" x14ac:dyDescent="0.25">
      <c r="A253" t="s">
        <v>424</v>
      </c>
      <c r="B253" s="47">
        <v>105</v>
      </c>
      <c r="C253" s="47">
        <v>2</v>
      </c>
      <c r="D253" s="47">
        <v>10</v>
      </c>
      <c r="E253" s="47">
        <v>38</v>
      </c>
      <c r="F253" s="47">
        <v>40</v>
      </c>
      <c r="G253" s="47">
        <v>13</v>
      </c>
      <c r="H253" s="47">
        <v>2</v>
      </c>
      <c r="I253" s="47" t="s">
        <v>113</v>
      </c>
      <c r="J253" s="47">
        <v>1.9047619047619</v>
      </c>
      <c r="K253" s="47">
        <v>9.5238095238095202</v>
      </c>
      <c r="L253" s="47">
        <v>36.190476190476097</v>
      </c>
      <c r="M253" s="47">
        <v>38.095238095238003</v>
      </c>
      <c r="N253" s="47">
        <v>12.3809523809523</v>
      </c>
      <c r="O253" s="47">
        <v>1.9047619047619</v>
      </c>
    </row>
    <row r="254" spans="1:15" x14ac:dyDescent="0.25">
      <c r="A254" t="s">
        <v>425</v>
      </c>
      <c r="B254" s="47">
        <v>3339</v>
      </c>
      <c r="C254" s="47">
        <v>108</v>
      </c>
      <c r="D254" s="47">
        <v>471</v>
      </c>
      <c r="E254" s="47">
        <v>970</v>
      </c>
      <c r="F254" s="47">
        <v>1065</v>
      </c>
      <c r="G254" s="47">
        <v>588</v>
      </c>
      <c r="H254" s="47">
        <v>136</v>
      </c>
      <c r="I254" s="47">
        <v>1</v>
      </c>
      <c r="J254" s="47">
        <v>3.23547034152186</v>
      </c>
      <c r="K254" s="47">
        <v>14.1102456560814</v>
      </c>
      <c r="L254" s="47">
        <v>29.059316956261199</v>
      </c>
      <c r="M254" s="47">
        <v>31.905332534451698</v>
      </c>
      <c r="N254" s="47">
        <v>17.6153385260635</v>
      </c>
      <c r="O254" s="47">
        <v>4.0742959856201297</v>
      </c>
    </row>
    <row r="255" spans="1:15" x14ac:dyDescent="0.25">
      <c r="A255" t="s">
        <v>426</v>
      </c>
      <c r="B255" s="47">
        <v>124</v>
      </c>
      <c r="C255" s="47">
        <v>4</v>
      </c>
      <c r="D255" s="47">
        <v>17</v>
      </c>
      <c r="E255" s="47">
        <v>20</v>
      </c>
      <c r="F255" s="47">
        <v>49</v>
      </c>
      <c r="G255" s="47">
        <v>21</v>
      </c>
      <c r="H255" s="47">
        <v>13</v>
      </c>
      <c r="I255" s="47" t="s">
        <v>113</v>
      </c>
      <c r="J255" s="47">
        <v>3.2258064516128999</v>
      </c>
      <c r="K255" s="47">
        <v>13.709677419354801</v>
      </c>
      <c r="L255" s="47">
        <v>16.129032258064498</v>
      </c>
      <c r="M255" s="47">
        <v>39.516129032258</v>
      </c>
      <c r="N255" s="47">
        <v>16.935483870967701</v>
      </c>
      <c r="O255" s="47">
        <v>10.4838709677419</v>
      </c>
    </row>
    <row r="256" spans="1:15" x14ac:dyDescent="0.25">
      <c r="A256" t="s">
        <v>427</v>
      </c>
      <c r="B256" s="47">
        <v>45715</v>
      </c>
      <c r="C256" s="47">
        <v>1180</v>
      </c>
      <c r="D256" s="47">
        <v>5900</v>
      </c>
      <c r="E256" s="47">
        <v>12385</v>
      </c>
      <c r="F256" s="47">
        <v>15569</v>
      </c>
      <c r="G256" s="47">
        <v>8707</v>
      </c>
      <c r="H256" s="47">
        <v>1972</v>
      </c>
      <c r="I256" s="47">
        <v>2</v>
      </c>
      <c r="J256" s="47">
        <v>2.58132259969811</v>
      </c>
      <c r="K256" s="47">
        <v>12.9066129984905</v>
      </c>
      <c r="L256" s="47">
        <v>27.092949489204301</v>
      </c>
      <c r="M256" s="47">
        <v>34.058145385338896</v>
      </c>
      <c r="N256" s="47">
        <v>19.0470981996368</v>
      </c>
      <c r="O256" s="47">
        <v>4.3138713276310803</v>
      </c>
    </row>
    <row r="257" spans="1:15" x14ac:dyDescent="0.25">
      <c r="A257" t="s">
        <v>428</v>
      </c>
      <c r="B257" s="47">
        <v>2851</v>
      </c>
      <c r="C257" s="47">
        <v>89</v>
      </c>
      <c r="D257" s="47">
        <v>452</v>
      </c>
      <c r="E257" s="47">
        <v>820</v>
      </c>
      <c r="F257" s="47">
        <v>927</v>
      </c>
      <c r="G257" s="47">
        <v>473</v>
      </c>
      <c r="H257" s="47">
        <v>90</v>
      </c>
      <c r="I257" s="47" t="s">
        <v>113</v>
      </c>
      <c r="J257" s="47">
        <v>3.1217116801122402</v>
      </c>
      <c r="K257" s="47">
        <v>15.8540862855138</v>
      </c>
      <c r="L257" s="47">
        <v>28.761837951595901</v>
      </c>
      <c r="M257" s="47">
        <v>32.514907050157802</v>
      </c>
      <c r="N257" s="47">
        <v>16.5906699403718</v>
      </c>
      <c r="O257" s="47">
        <v>3.1567870922483299</v>
      </c>
    </row>
    <row r="258" spans="1:15" x14ac:dyDescent="0.25">
      <c r="A258" t="s">
        <v>429</v>
      </c>
      <c r="B258" s="47">
        <v>842</v>
      </c>
      <c r="C258" s="47">
        <v>23</v>
      </c>
      <c r="D258" s="47">
        <v>101</v>
      </c>
      <c r="E258" s="47">
        <v>235</v>
      </c>
      <c r="F258" s="47">
        <v>300</v>
      </c>
      <c r="G258" s="47">
        <v>145</v>
      </c>
      <c r="H258" s="47">
        <v>38</v>
      </c>
      <c r="I258" s="47" t="s">
        <v>113</v>
      </c>
      <c r="J258" s="47">
        <v>2.7315914489311099</v>
      </c>
      <c r="K258" s="47">
        <v>11.9952494061757</v>
      </c>
      <c r="L258" s="47">
        <v>27.9097387173396</v>
      </c>
      <c r="M258" s="47">
        <v>35.629453681710203</v>
      </c>
      <c r="N258" s="47">
        <v>17.220902612826599</v>
      </c>
      <c r="O258" s="47">
        <v>4.5130641330166199</v>
      </c>
    </row>
    <row r="259" spans="1:15" x14ac:dyDescent="0.25">
      <c r="A259" t="s">
        <v>430</v>
      </c>
      <c r="B259" s="47">
        <v>1076</v>
      </c>
      <c r="C259" s="47">
        <v>31</v>
      </c>
      <c r="D259" s="47">
        <v>149</v>
      </c>
      <c r="E259" s="47">
        <v>351</v>
      </c>
      <c r="F259" s="47">
        <v>353</v>
      </c>
      <c r="G259" s="47">
        <v>157</v>
      </c>
      <c r="H259" s="47">
        <v>35</v>
      </c>
      <c r="I259" s="47" t="s">
        <v>113</v>
      </c>
      <c r="J259" s="47">
        <v>2.8810408921933002</v>
      </c>
      <c r="K259" s="47">
        <v>13.847583643122601</v>
      </c>
      <c r="L259" s="47">
        <v>32.620817843866099</v>
      </c>
      <c r="M259" s="47">
        <v>32.806691449814103</v>
      </c>
      <c r="N259" s="47">
        <v>14.591078066914401</v>
      </c>
      <c r="O259" s="47">
        <v>3.2527881040892099</v>
      </c>
    </row>
    <row r="260" spans="1:15" x14ac:dyDescent="0.25">
      <c r="A260" t="s">
        <v>431</v>
      </c>
      <c r="B260" s="47">
        <v>2674</v>
      </c>
      <c r="C260" s="47">
        <v>94</v>
      </c>
      <c r="D260" s="47">
        <v>417</v>
      </c>
      <c r="E260" s="47">
        <v>834</v>
      </c>
      <c r="F260" s="47">
        <v>801</v>
      </c>
      <c r="G260" s="47">
        <v>446</v>
      </c>
      <c r="H260" s="47">
        <v>82</v>
      </c>
      <c r="I260" s="47" t="s">
        <v>113</v>
      </c>
      <c r="J260" s="47">
        <v>3.51533283470456</v>
      </c>
      <c r="K260" s="47">
        <v>15.5946148092744</v>
      </c>
      <c r="L260" s="47">
        <v>31.1892296185489</v>
      </c>
      <c r="M260" s="47">
        <v>29.9551234106207</v>
      </c>
      <c r="N260" s="47">
        <v>16.679132385938601</v>
      </c>
      <c r="O260" s="47">
        <v>3.06656694091249</v>
      </c>
    </row>
    <row r="261" spans="1:15" x14ac:dyDescent="0.25">
      <c r="A261" t="s">
        <v>432</v>
      </c>
      <c r="B261" s="47">
        <v>2861</v>
      </c>
      <c r="C261" s="47">
        <v>70</v>
      </c>
      <c r="D261" s="47">
        <v>361</v>
      </c>
      <c r="E261" s="47">
        <v>843</v>
      </c>
      <c r="F261" s="47">
        <v>975</v>
      </c>
      <c r="G261" s="47">
        <v>511</v>
      </c>
      <c r="H261" s="47">
        <v>101</v>
      </c>
      <c r="I261" s="47" t="s">
        <v>113</v>
      </c>
      <c r="J261" s="47">
        <v>2.4466969591051999</v>
      </c>
      <c r="K261" s="47">
        <v>12.617965746242501</v>
      </c>
      <c r="L261" s="47">
        <v>29.465221950366999</v>
      </c>
      <c r="M261" s="47">
        <v>34.078993358965398</v>
      </c>
      <c r="N261" s="47">
        <v>17.860887801467999</v>
      </c>
      <c r="O261" s="47">
        <v>3.5302341838518001</v>
      </c>
    </row>
    <row r="262" spans="1:15" x14ac:dyDescent="0.25">
      <c r="A262" t="s">
        <v>433</v>
      </c>
      <c r="B262" s="47">
        <v>5132</v>
      </c>
      <c r="C262" s="47">
        <v>103</v>
      </c>
      <c r="D262" s="47">
        <v>563</v>
      </c>
      <c r="E262" s="47">
        <v>1407</v>
      </c>
      <c r="F262" s="47">
        <v>1773</v>
      </c>
      <c r="G262" s="47">
        <v>1054</v>
      </c>
      <c r="H262" s="47">
        <v>232</v>
      </c>
      <c r="I262" s="47" t="s">
        <v>113</v>
      </c>
      <c r="J262" s="47">
        <v>2.0070148090413</v>
      </c>
      <c r="K262" s="47">
        <v>10.970381917381101</v>
      </c>
      <c r="L262" s="47">
        <v>27.4162120031176</v>
      </c>
      <c r="M262" s="47">
        <v>34.547934528448899</v>
      </c>
      <c r="N262" s="47">
        <v>20.537802026500302</v>
      </c>
      <c r="O262" s="47">
        <v>4.5206547155105197</v>
      </c>
    </row>
    <row r="263" spans="1:15" x14ac:dyDescent="0.25">
      <c r="A263" t="s">
        <v>434</v>
      </c>
      <c r="B263" s="47">
        <v>13073</v>
      </c>
      <c r="C263" s="47">
        <v>272</v>
      </c>
      <c r="D263" s="47">
        <v>1429</v>
      </c>
      <c r="E263" s="47">
        <v>3350</v>
      </c>
      <c r="F263" s="47">
        <v>4574</v>
      </c>
      <c r="G263" s="47">
        <v>2795</v>
      </c>
      <c r="H263" s="47">
        <v>653</v>
      </c>
      <c r="I263" s="47" t="s">
        <v>113</v>
      </c>
      <c r="J263" s="47">
        <v>2.0806241872561699</v>
      </c>
      <c r="K263" s="47">
        <v>10.9309263367245</v>
      </c>
      <c r="L263" s="47">
        <v>25.625334659221199</v>
      </c>
      <c r="M263" s="47">
        <v>34.988143501873999</v>
      </c>
      <c r="N263" s="47">
        <v>21.379943394783101</v>
      </c>
      <c r="O263" s="47">
        <v>4.9950279201407399</v>
      </c>
    </row>
    <row r="264" spans="1:15" x14ac:dyDescent="0.25">
      <c r="A264" t="s">
        <v>435</v>
      </c>
      <c r="B264" s="47">
        <v>1884</v>
      </c>
      <c r="C264" s="47">
        <v>48</v>
      </c>
      <c r="D264" s="47">
        <v>246</v>
      </c>
      <c r="E264" s="47">
        <v>563</v>
      </c>
      <c r="F264" s="47">
        <v>581</v>
      </c>
      <c r="G264" s="47">
        <v>350</v>
      </c>
      <c r="H264" s="47">
        <v>96</v>
      </c>
      <c r="I264" s="47" t="s">
        <v>113</v>
      </c>
      <c r="J264" s="47">
        <v>2.5477707006369399</v>
      </c>
      <c r="K264" s="47">
        <v>13.0573248407643</v>
      </c>
      <c r="L264" s="47">
        <v>29.883227176220799</v>
      </c>
      <c r="M264" s="47">
        <v>30.838641188959599</v>
      </c>
      <c r="N264" s="47">
        <v>18.577494692144299</v>
      </c>
      <c r="O264" s="47">
        <v>5.0955414012738798</v>
      </c>
    </row>
    <row r="265" spans="1:15" x14ac:dyDescent="0.25">
      <c r="A265" t="s">
        <v>436</v>
      </c>
      <c r="B265" s="47">
        <v>4166</v>
      </c>
      <c r="C265" s="47">
        <v>96</v>
      </c>
      <c r="D265" s="47">
        <v>593</v>
      </c>
      <c r="E265" s="47">
        <v>1189</v>
      </c>
      <c r="F265" s="47">
        <v>1384</v>
      </c>
      <c r="G265" s="47">
        <v>760</v>
      </c>
      <c r="H265" s="47">
        <v>144</v>
      </c>
      <c r="I265" s="47" t="s">
        <v>113</v>
      </c>
      <c r="J265" s="47">
        <v>2.3043686989918299</v>
      </c>
      <c r="K265" s="47">
        <v>14.2342774843975</v>
      </c>
      <c r="L265" s="47">
        <v>28.540566490638501</v>
      </c>
      <c r="M265" s="47">
        <v>33.2213154104656</v>
      </c>
      <c r="N265" s="47">
        <v>18.242918867018702</v>
      </c>
      <c r="O265" s="47">
        <v>3.4565530484877498</v>
      </c>
    </row>
    <row r="266" spans="1:15" x14ac:dyDescent="0.25">
      <c r="A266" t="s">
        <v>437</v>
      </c>
      <c r="B266" s="47">
        <v>8413</v>
      </c>
      <c r="C266" s="47">
        <v>142</v>
      </c>
      <c r="D266" s="47">
        <v>715</v>
      </c>
      <c r="E266" s="47">
        <v>1862</v>
      </c>
      <c r="F266" s="47">
        <v>3169</v>
      </c>
      <c r="G266" s="47">
        <v>2074</v>
      </c>
      <c r="H266" s="47">
        <v>451</v>
      </c>
      <c r="I266" s="47" t="s">
        <v>113</v>
      </c>
      <c r="J266" s="47">
        <v>1.68786401996909</v>
      </c>
      <c r="K266" s="47">
        <v>8.4987519315345299</v>
      </c>
      <c r="L266" s="47">
        <v>22.132414121003201</v>
      </c>
      <c r="M266" s="47">
        <v>37.667894924521498</v>
      </c>
      <c r="N266" s="47">
        <v>24.652323784619</v>
      </c>
      <c r="O266" s="47">
        <v>5.3607512183525499</v>
      </c>
    </row>
    <row r="267" spans="1:15" x14ac:dyDescent="0.25">
      <c r="A267" t="s">
        <v>438</v>
      </c>
      <c r="B267" s="47">
        <v>143</v>
      </c>
      <c r="C267" s="47" t="s">
        <v>113</v>
      </c>
      <c r="D267" s="47">
        <v>7</v>
      </c>
      <c r="E267" s="47">
        <v>39</v>
      </c>
      <c r="F267" s="47">
        <v>48</v>
      </c>
      <c r="G267" s="47">
        <v>39</v>
      </c>
      <c r="H267" s="47">
        <v>10</v>
      </c>
      <c r="I267" s="47" t="s">
        <v>113</v>
      </c>
      <c r="J267" s="47" t="s">
        <v>113</v>
      </c>
      <c r="K267" s="47">
        <v>4.8951048951048897</v>
      </c>
      <c r="L267" s="47">
        <v>27.272727272727199</v>
      </c>
      <c r="M267" s="47">
        <v>33.566433566433503</v>
      </c>
      <c r="N267" s="47">
        <v>27.272727272727199</v>
      </c>
      <c r="O267" s="47">
        <v>6.9930069930069898</v>
      </c>
    </row>
    <row r="268" spans="1:15" x14ac:dyDescent="0.25">
      <c r="A268" t="s">
        <v>439</v>
      </c>
      <c r="B268" s="47">
        <v>84</v>
      </c>
      <c r="C268" s="47">
        <v>2</v>
      </c>
      <c r="D268" s="47">
        <v>7</v>
      </c>
      <c r="E268" s="47">
        <v>31</v>
      </c>
      <c r="F268" s="47">
        <v>24</v>
      </c>
      <c r="G268" s="47">
        <v>18</v>
      </c>
      <c r="H268" s="47">
        <v>2</v>
      </c>
      <c r="I268" s="47" t="s">
        <v>113</v>
      </c>
      <c r="J268" s="47">
        <v>2.38095238095238</v>
      </c>
      <c r="K268" s="47">
        <v>8.3333333333333304</v>
      </c>
      <c r="L268" s="47">
        <v>36.904761904761898</v>
      </c>
      <c r="M268" s="47">
        <v>28.571428571428498</v>
      </c>
      <c r="N268" s="47">
        <v>21.428571428571399</v>
      </c>
      <c r="O268" s="47">
        <v>2.38095238095238</v>
      </c>
    </row>
    <row r="269" spans="1:15" x14ac:dyDescent="0.25">
      <c r="A269" t="s">
        <v>440</v>
      </c>
      <c r="B269" s="47">
        <v>3532</v>
      </c>
      <c r="C269" s="47">
        <v>93</v>
      </c>
      <c r="D269" s="47">
        <v>502</v>
      </c>
      <c r="E269" s="47">
        <v>1007</v>
      </c>
      <c r="F269" s="47">
        <v>1157</v>
      </c>
      <c r="G269" s="47">
        <v>632</v>
      </c>
      <c r="H269" s="47">
        <v>141</v>
      </c>
      <c r="I269" s="47" t="s">
        <v>113</v>
      </c>
      <c r="J269" s="47">
        <v>2.6330690826727001</v>
      </c>
      <c r="K269" s="47">
        <v>14.2129105322763</v>
      </c>
      <c r="L269" s="47">
        <v>28.5107587768969</v>
      </c>
      <c r="M269" s="47">
        <v>32.757644394110898</v>
      </c>
      <c r="N269" s="47">
        <v>17.893544733861798</v>
      </c>
      <c r="O269" s="47">
        <v>3.9920724801812</v>
      </c>
    </row>
    <row r="270" spans="1:15" x14ac:dyDescent="0.25">
      <c r="A270" t="s">
        <v>441</v>
      </c>
      <c r="B270" s="47">
        <v>157</v>
      </c>
      <c r="C270" s="47">
        <v>5</v>
      </c>
      <c r="D270" s="47">
        <v>17</v>
      </c>
      <c r="E270" s="47">
        <v>48</v>
      </c>
      <c r="F270" s="47">
        <v>55</v>
      </c>
      <c r="G270" s="47">
        <v>27</v>
      </c>
      <c r="H270" s="47">
        <v>5</v>
      </c>
      <c r="I270" s="47" t="s">
        <v>113</v>
      </c>
      <c r="J270" s="47">
        <v>3.1847133757961701</v>
      </c>
      <c r="K270" s="47">
        <v>10.828025477707</v>
      </c>
      <c r="L270" s="47">
        <v>30.573248407643302</v>
      </c>
      <c r="M270" s="47">
        <v>35.0318471337579</v>
      </c>
      <c r="N270" s="47">
        <v>17.197452229299302</v>
      </c>
      <c r="O270" s="47">
        <v>3.1847133757961701</v>
      </c>
    </row>
    <row r="271" spans="1:15" x14ac:dyDescent="0.25">
      <c r="A271" t="s">
        <v>442</v>
      </c>
      <c r="B271" s="47">
        <v>47113</v>
      </c>
      <c r="C271" s="47">
        <v>1070</v>
      </c>
      <c r="D271" s="47">
        <v>5581</v>
      </c>
      <c r="E271" s="47">
        <v>12624</v>
      </c>
      <c r="F271" s="47">
        <v>16207</v>
      </c>
      <c r="G271" s="47">
        <v>9542</v>
      </c>
      <c r="H271" s="47">
        <v>2089</v>
      </c>
      <c r="I271" s="47" t="s">
        <v>113</v>
      </c>
      <c r="J271" s="47">
        <v>2.2711353554220701</v>
      </c>
      <c r="K271" s="47">
        <v>11.845987307112599</v>
      </c>
      <c r="L271" s="47">
        <v>26.795152081166499</v>
      </c>
      <c r="M271" s="47">
        <v>34.400271687219998</v>
      </c>
      <c r="N271" s="47">
        <v>20.253433234988201</v>
      </c>
      <c r="O271" s="47">
        <v>4.4340203340903699</v>
      </c>
    </row>
    <row r="272" spans="1:15" x14ac:dyDescent="0.25">
      <c r="A272" t="s">
        <v>443</v>
      </c>
      <c r="B272" s="47">
        <v>2644</v>
      </c>
      <c r="C272" s="47">
        <v>94</v>
      </c>
      <c r="D272" s="47">
        <v>393</v>
      </c>
      <c r="E272" s="47">
        <v>757</v>
      </c>
      <c r="F272" s="47">
        <v>854</v>
      </c>
      <c r="G272" s="47">
        <v>446</v>
      </c>
      <c r="H272" s="47">
        <v>100</v>
      </c>
      <c r="I272" s="47" t="s">
        <v>113</v>
      </c>
      <c r="J272" s="47">
        <v>3.5552193645990902</v>
      </c>
      <c r="K272" s="47">
        <v>14.863842662632299</v>
      </c>
      <c r="L272" s="47">
        <v>28.6308623298033</v>
      </c>
      <c r="M272" s="47">
        <v>32.299546142208698</v>
      </c>
      <c r="N272" s="47">
        <v>16.868381240544601</v>
      </c>
      <c r="O272" s="47">
        <v>3.7821482602118</v>
      </c>
    </row>
    <row r="273" spans="1:15" x14ac:dyDescent="0.25">
      <c r="A273" t="s">
        <v>444</v>
      </c>
      <c r="B273" s="47">
        <v>666</v>
      </c>
      <c r="C273" s="47">
        <v>16</v>
      </c>
      <c r="D273" s="47">
        <v>104</v>
      </c>
      <c r="E273" s="47">
        <v>176</v>
      </c>
      <c r="F273" s="47">
        <v>226</v>
      </c>
      <c r="G273" s="47">
        <v>119</v>
      </c>
      <c r="H273" s="47">
        <v>25</v>
      </c>
      <c r="I273" s="47" t="s">
        <v>113</v>
      </c>
      <c r="J273" s="47">
        <v>2.4024024024024002</v>
      </c>
      <c r="K273" s="47">
        <v>15.615615615615599</v>
      </c>
      <c r="L273" s="47">
        <v>26.426426426426399</v>
      </c>
      <c r="M273" s="47">
        <v>33.933933933933901</v>
      </c>
      <c r="N273" s="47">
        <v>17.867867867867801</v>
      </c>
      <c r="O273" s="47">
        <v>3.7537537537537502</v>
      </c>
    </row>
    <row r="274" spans="1:15" x14ac:dyDescent="0.25">
      <c r="A274" t="s">
        <v>445</v>
      </c>
      <c r="B274" s="47">
        <v>1064</v>
      </c>
      <c r="C274" s="47">
        <v>29</v>
      </c>
      <c r="D274" s="47">
        <v>155</v>
      </c>
      <c r="E274" s="47">
        <v>336</v>
      </c>
      <c r="F274" s="47">
        <v>359</v>
      </c>
      <c r="G274" s="47">
        <v>150</v>
      </c>
      <c r="H274" s="47">
        <v>35</v>
      </c>
      <c r="I274" s="47" t="s">
        <v>113</v>
      </c>
      <c r="J274" s="47">
        <v>2.7255639097744302</v>
      </c>
      <c r="K274" s="47">
        <v>14.5676691729323</v>
      </c>
      <c r="L274" s="47">
        <v>31.578947368421002</v>
      </c>
      <c r="M274" s="47">
        <v>33.7406015037594</v>
      </c>
      <c r="N274" s="47">
        <v>14.097744360902199</v>
      </c>
      <c r="O274" s="47">
        <v>3.2894736842105199</v>
      </c>
    </row>
    <row r="275" spans="1:15" x14ac:dyDescent="0.25">
      <c r="A275" t="s">
        <v>446</v>
      </c>
      <c r="B275" s="47">
        <v>2538</v>
      </c>
      <c r="C275" s="47">
        <v>94</v>
      </c>
      <c r="D275" s="47">
        <v>386</v>
      </c>
      <c r="E275" s="47">
        <v>732</v>
      </c>
      <c r="F275" s="47">
        <v>778</v>
      </c>
      <c r="G275" s="47">
        <v>454</v>
      </c>
      <c r="H275" s="47">
        <v>94</v>
      </c>
      <c r="I275" s="47" t="s">
        <v>113</v>
      </c>
      <c r="J275" s="47">
        <v>3.7037037037037002</v>
      </c>
      <c r="K275" s="47">
        <v>15.2088258471237</v>
      </c>
      <c r="L275" s="47">
        <v>28.841607565011799</v>
      </c>
      <c r="M275" s="47">
        <v>30.654058313632699</v>
      </c>
      <c r="N275" s="47">
        <v>17.8881008668242</v>
      </c>
      <c r="O275" s="47">
        <v>3.7037037037037002</v>
      </c>
    </row>
    <row r="276" spans="1:15" x14ac:dyDescent="0.25">
      <c r="A276" t="s">
        <v>447</v>
      </c>
      <c r="B276" s="47">
        <v>2749</v>
      </c>
      <c r="C276" s="47">
        <v>63</v>
      </c>
      <c r="D276" s="47">
        <v>376</v>
      </c>
      <c r="E276" s="47">
        <v>748</v>
      </c>
      <c r="F276" s="47">
        <v>941</v>
      </c>
      <c r="G276" s="47">
        <v>505</v>
      </c>
      <c r="H276" s="47">
        <v>116</v>
      </c>
      <c r="I276" s="47" t="s">
        <v>113</v>
      </c>
      <c r="J276" s="47">
        <v>2.2917424518006499</v>
      </c>
      <c r="K276" s="47">
        <v>13.677700982175301</v>
      </c>
      <c r="L276" s="47">
        <v>27.209894507093399</v>
      </c>
      <c r="M276" s="47">
        <v>34.230629319752602</v>
      </c>
      <c r="N276" s="47">
        <v>18.370316478719499</v>
      </c>
      <c r="O276" s="47">
        <v>4.2197162604583403</v>
      </c>
    </row>
    <row r="277" spans="1:15" x14ac:dyDescent="0.25">
      <c r="A277" t="s">
        <v>448</v>
      </c>
      <c r="B277" s="47">
        <v>4704</v>
      </c>
      <c r="C277" s="47">
        <v>81</v>
      </c>
      <c r="D277" s="47">
        <v>519</v>
      </c>
      <c r="E277" s="47">
        <v>1226</v>
      </c>
      <c r="F277" s="47">
        <v>1775</v>
      </c>
      <c r="G277" s="47">
        <v>900</v>
      </c>
      <c r="H277" s="47">
        <v>203</v>
      </c>
      <c r="I277" s="47" t="s">
        <v>113</v>
      </c>
      <c r="J277" s="47">
        <v>1.7219387755102</v>
      </c>
      <c r="K277" s="47">
        <v>11.033163265306101</v>
      </c>
      <c r="L277" s="47">
        <v>26.062925170067999</v>
      </c>
      <c r="M277" s="47">
        <v>37.733843537414899</v>
      </c>
      <c r="N277" s="47">
        <v>19.132653061224399</v>
      </c>
      <c r="O277" s="47">
        <v>4.3154761904761898</v>
      </c>
    </row>
    <row r="278" spans="1:15" x14ac:dyDescent="0.25">
      <c r="A278" t="s">
        <v>449</v>
      </c>
      <c r="B278" s="47">
        <v>12803</v>
      </c>
      <c r="C278" s="47">
        <v>277</v>
      </c>
      <c r="D278" s="47">
        <v>1409</v>
      </c>
      <c r="E278" s="47">
        <v>3339</v>
      </c>
      <c r="F278" s="47">
        <v>4460</v>
      </c>
      <c r="G278" s="47">
        <v>2678</v>
      </c>
      <c r="H278" s="47">
        <v>640</v>
      </c>
      <c r="I278" s="47" t="s">
        <v>113</v>
      </c>
      <c r="J278" s="47">
        <v>2.1635554166992099</v>
      </c>
      <c r="K278" s="47">
        <v>11.0052331484808</v>
      </c>
      <c r="L278" s="47">
        <v>26.079825041006</v>
      </c>
      <c r="M278" s="47">
        <v>34.835585409669598</v>
      </c>
      <c r="N278" s="47">
        <v>20.9169725845504</v>
      </c>
      <c r="O278" s="47">
        <v>4.9988283995938403</v>
      </c>
    </row>
    <row r="279" spans="1:15" x14ac:dyDescent="0.25">
      <c r="A279" t="s">
        <v>450</v>
      </c>
      <c r="B279" s="47">
        <v>1864</v>
      </c>
      <c r="C279" s="47">
        <v>56</v>
      </c>
      <c r="D279" s="47">
        <v>236</v>
      </c>
      <c r="E279" s="47">
        <v>519</v>
      </c>
      <c r="F279" s="47">
        <v>585</v>
      </c>
      <c r="G279" s="47">
        <v>386</v>
      </c>
      <c r="H279" s="47">
        <v>82</v>
      </c>
      <c r="I279" s="47" t="s">
        <v>113</v>
      </c>
      <c r="J279" s="47">
        <v>3.0042918454935599</v>
      </c>
      <c r="K279" s="47">
        <v>12.6609442060085</v>
      </c>
      <c r="L279" s="47">
        <v>27.8433476394849</v>
      </c>
      <c r="M279" s="47">
        <v>31.3841201716738</v>
      </c>
      <c r="N279" s="47">
        <v>20.708154506437701</v>
      </c>
      <c r="O279" s="47">
        <v>4.3991416309012799</v>
      </c>
    </row>
    <row r="280" spans="1:15" x14ac:dyDescent="0.25">
      <c r="A280" t="s">
        <v>451</v>
      </c>
      <c r="B280" s="47">
        <v>4005</v>
      </c>
      <c r="C280" s="47">
        <v>109</v>
      </c>
      <c r="D280" s="47">
        <v>552</v>
      </c>
      <c r="E280" s="47">
        <v>1126</v>
      </c>
      <c r="F280" s="47">
        <v>1313</v>
      </c>
      <c r="G280" s="47">
        <v>756</v>
      </c>
      <c r="H280" s="47">
        <v>149</v>
      </c>
      <c r="I280" s="47" t="s">
        <v>113</v>
      </c>
      <c r="J280" s="47">
        <v>2.72159800249687</v>
      </c>
      <c r="K280" s="47">
        <v>13.782771535580499</v>
      </c>
      <c r="L280" s="47">
        <v>28.114856429463099</v>
      </c>
      <c r="M280" s="47">
        <v>32.7840199750312</v>
      </c>
      <c r="N280" s="47">
        <v>18.876404494382001</v>
      </c>
      <c r="O280" s="47">
        <v>3.7203495630461898</v>
      </c>
    </row>
    <row r="281" spans="1:15" x14ac:dyDescent="0.25">
      <c r="A281" t="s">
        <v>452</v>
      </c>
      <c r="B281" s="47">
        <v>7778</v>
      </c>
      <c r="C281" s="47">
        <v>151</v>
      </c>
      <c r="D281" s="47">
        <v>718</v>
      </c>
      <c r="E281" s="47">
        <v>1649</v>
      </c>
      <c r="F281" s="47">
        <v>2895</v>
      </c>
      <c r="G281" s="47">
        <v>1899</v>
      </c>
      <c r="H281" s="47">
        <v>466</v>
      </c>
      <c r="I281" s="47" t="s">
        <v>113</v>
      </c>
      <c r="J281" s="47">
        <v>1.9413731036256101</v>
      </c>
      <c r="K281" s="47">
        <v>9.2311648238621693</v>
      </c>
      <c r="L281" s="47">
        <v>21.2008228336333</v>
      </c>
      <c r="M281" s="47">
        <v>37.220365132424703</v>
      </c>
      <c r="N281" s="47">
        <v>24.4150167138081</v>
      </c>
      <c r="O281" s="47">
        <v>5.9912573926459203</v>
      </c>
    </row>
    <row r="282" spans="1:15" x14ac:dyDescent="0.25">
      <c r="A282" t="s">
        <v>453</v>
      </c>
      <c r="B282" s="47">
        <v>124</v>
      </c>
      <c r="C282" s="47">
        <v>2</v>
      </c>
      <c r="D282" s="47">
        <v>16</v>
      </c>
      <c r="E282" s="47">
        <v>26</v>
      </c>
      <c r="F282" s="47">
        <v>50</v>
      </c>
      <c r="G282" s="47">
        <v>21</v>
      </c>
      <c r="H282" s="47">
        <v>9</v>
      </c>
      <c r="I282" s="47" t="s">
        <v>113</v>
      </c>
      <c r="J282" s="47">
        <v>1.61290322580645</v>
      </c>
      <c r="K282" s="47">
        <v>12.9032258064516</v>
      </c>
      <c r="L282" s="47">
        <v>20.967741935483801</v>
      </c>
      <c r="M282" s="47">
        <v>40.322580645161203</v>
      </c>
      <c r="N282" s="47">
        <v>16.935483870967701</v>
      </c>
      <c r="O282" s="47">
        <v>7.2580645161290303</v>
      </c>
    </row>
    <row r="283" spans="1:15" x14ac:dyDescent="0.25">
      <c r="A283" t="s">
        <v>454</v>
      </c>
      <c r="B283" s="47">
        <v>101</v>
      </c>
      <c r="C283" s="47">
        <v>2</v>
      </c>
      <c r="D283" s="47">
        <v>9</v>
      </c>
      <c r="E283" s="47">
        <v>30</v>
      </c>
      <c r="F283" s="47">
        <v>46</v>
      </c>
      <c r="G283" s="47">
        <v>14</v>
      </c>
      <c r="H283" s="47" t="s">
        <v>113</v>
      </c>
      <c r="I283" s="47" t="s">
        <v>113</v>
      </c>
      <c r="J283" s="47">
        <v>1.98019801980198</v>
      </c>
      <c r="K283" s="47">
        <v>8.9108910891089099</v>
      </c>
      <c r="L283" s="47">
        <v>29.702970297029701</v>
      </c>
      <c r="M283" s="47">
        <v>45.5445544554455</v>
      </c>
      <c r="N283" s="47">
        <v>13.861386138613801</v>
      </c>
      <c r="O283" s="47" t="s">
        <v>113</v>
      </c>
    </row>
    <row r="284" spans="1:15" x14ac:dyDescent="0.25">
      <c r="A284" t="s">
        <v>455</v>
      </c>
      <c r="B284" s="47">
        <v>3343</v>
      </c>
      <c r="C284" s="47">
        <v>108</v>
      </c>
      <c r="D284" s="47">
        <v>430</v>
      </c>
      <c r="E284" s="47">
        <v>921</v>
      </c>
      <c r="F284" s="47">
        <v>1178</v>
      </c>
      <c r="G284" s="47">
        <v>567</v>
      </c>
      <c r="H284" s="47">
        <v>139</v>
      </c>
      <c r="I284" s="47" t="s">
        <v>113</v>
      </c>
      <c r="J284" s="47">
        <v>3.23063116960813</v>
      </c>
      <c r="K284" s="47">
        <v>12.8626981752916</v>
      </c>
      <c r="L284" s="47">
        <v>27.550104696380401</v>
      </c>
      <c r="M284" s="47">
        <v>35.237810349984997</v>
      </c>
      <c r="N284" s="47">
        <v>16.960813640442701</v>
      </c>
      <c r="O284" s="47">
        <v>4.1579419682919498</v>
      </c>
    </row>
    <row r="285" spans="1:15" x14ac:dyDescent="0.25">
      <c r="A285" t="s">
        <v>456</v>
      </c>
      <c r="B285" s="47">
        <v>120</v>
      </c>
      <c r="C285" s="47">
        <v>5</v>
      </c>
      <c r="D285" s="47">
        <v>11</v>
      </c>
      <c r="E285" s="47">
        <v>28</v>
      </c>
      <c r="F285" s="47">
        <v>49</v>
      </c>
      <c r="G285" s="47">
        <v>23</v>
      </c>
      <c r="H285" s="47">
        <v>4</v>
      </c>
      <c r="I285" s="47" t="s">
        <v>113</v>
      </c>
      <c r="J285" s="47">
        <v>4.1666666666666599</v>
      </c>
      <c r="K285" s="47">
        <v>9.1666666666666607</v>
      </c>
      <c r="L285" s="47">
        <v>23.3333333333333</v>
      </c>
      <c r="M285" s="47">
        <v>40.8333333333333</v>
      </c>
      <c r="N285" s="47">
        <v>19.1666666666666</v>
      </c>
      <c r="O285" s="47">
        <v>3.3333333333333299</v>
      </c>
    </row>
    <row r="286" spans="1:15" x14ac:dyDescent="0.25">
      <c r="A286" t="s">
        <v>457</v>
      </c>
      <c r="B286" s="47">
        <v>44714</v>
      </c>
      <c r="C286" s="47">
        <v>1089</v>
      </c>
      <c r="D286" s="47">
        <v>5323</v>
      </c>
      <c r="E286" s="47">
        <v>11660</v>
      </c>
      <c r="F286" s="47">
        <v>15597</v>
      </c>
      <c r="G286" s="47">
        <v>8974</v>
      </c>
      <c r="H286" s="47">
        <v>2071</v>
      </c>
      <c r="I286" s="47" t="s">
        <v>113</v>
      </c>
      <c r="J286" s="47">
        <v>2.4354788209509302</v>
      </c>
      <c r="K286" s="47">
        <v>11.904548910855601</v>
      </c>
      <c r="L286" s="47">
        <v>26.076843941494801</v>
      </c>
      <c r="M286" s="47">
        <v>34.881692534776498</v>
      </c>
      <c r="N286" s="47">
        <v>20.069776803685599</v>
      </c>
      <c r="O286" s="47">
        <v>4.6316589882363397</v>
      </c>
    </row>
    <row r="287" spans="1:15" x14ac:dyDescent="0.25">
      <c r="A287" t="s">
        <v>493</v>
      </c>
      <c r="B287" s="47">
        <v>2652</v>
      </c>
      <c r="C287" s="47">
        <v>87</v>
      </c>
      <c r="D287" s="47">
        <v>413</v>
      </c>
      <c r="E287" s="47">
        <v>751</v>
      </c>
      <c r="F287" s="47">
        <v>866</v>
      </c>
      <c r="G287" s="47">
        <v>463</v>
      </c>
      <c r="H287" s="47">
        <v>72</v>
      </c>
      <c r="I287" s="47" t="s">
        <v>113</v>
      </c>
      <c r="J287" s="47">
        <v>3.2805429864253299</v>
      </c>
      <c r="K287" s="47">
        <v>15.5731523378582</v>
      </c>
      <c r="L287" s="47">
        <v>28.318250377073898</v>
      </c>
      <c r="M287" s="47">
        <v>32.654600301659102</v>
      </c>
      <c r="N287" s="47">
        <v>17.4585218702865</v>
      </c>
      <c r="O287" s="47">
        <v>2.71493212669683</v>
      </c>
    </row>
    <row r="288" spans="1:15" x14ac:dyDescent="0.25">
      <c r="A288" t="s">
        <v>494</v>
      </c>
      <c r="B288" s="47">
        <v>615</v>
      </c>
      <c r="C288" s="47">
        <v>14</v>
      </c>
      <c r="D288" s="47">
        <v>84</v>
      </c>
      <c r="E288" s="47">
        <v>156</v>
      </c>
      <c r="F288" s="47">
        <v>228</v>
      </c>
      <c r="G288" s="47">
        <v>105</v>
      </c>
      <c r="H288" s="47">
        <v>28</v>
      </c>
      <c r="I288" s="47" t="s">
        <v>113</v>
      </c>
      <c r="J288" s="47">
        <v>2.27642276422764</v>
      </c>
      <c r="K288" s="47">
        <v>13.6585365853658</v>
      </c>
      <c r="L288" s="47">
        <v>25.365853658536501</v>
      </c>
      <c r="M288" s="47">
        <v>37.0731707317073</v>
      </c>
      <c r="N288" s="47">
        <v>17.0731707317073</v>
      </c>
      <c r="O288" s="47">
        <v>4.55284552845528</v>
      </c>
    </row>
    <row r="289" spans="1:15" x14ac:dyDescent="0.25">
      <c r="A289" t="s">
        <v>495</v>
      </c>
      <c r="B289" s="47">
        <v>1079</v>
      </c>
      <c r="C289" s="47">
        <v>36</v>
      </c>
      <c r="D289" s="47">
        <v>144</v>
      </c>
      <c r="E289" s="47">
        <v>324</v>
      </c>
      <c r="F289" s="47">
        <v>376</v>
      </c>
      <c r="G289" s="47">
        <v>162</v>
      </c>
      <c r="H289" s="47">
        <v>37</v>
      </c>
      <c r="I289" s="47" t="s">
        <v>113</v>
      </c>
      <c r="J289" s="47">
        <v>3.33642261353104</v>
      </c>
      <c r="K289" s="47">
        <v>13.345690454124099</v>
      </c>
      <c r="L289" s="47">
        <v>30.027803521779401</v>
      </c>
      <c r="M289" s="47">
        <v>34.8470806302131</v>
      </c>
      <c r="N289" s="47">
        <v>15.0139017608897</v>
      </c>
      <c r="O289" s="47">
        <v>3.4291010194624598</v>
      </c>
    </row>
    <row r="290" spans="1:15" x14ac:dyDescent="0.25">
      <c r="A290" t="s">
        <v>496</v>
      </c>
      <c r="B290" s="47">
        <v>2654</v>
      </c>
      <c r="C290" s="47">
        <v>83</v>
      </c>
      <c r="D290" s="47">
        <v>404</v>
      </c>
      <c r="E290" s="47">
        <v>765</v>
      </c>
      <c r="F290" s="47">
        <v>873</v>
      </c>
      <c r="G290" s="47">
        <v>441</v>
      </c>
      <c r="H290" s="47">
        <v>88</v>
      </c>
      <c r="I290" s="47" t="s">
        <v>113</v>
      </c>
      <c r="J290" s="47">
        <v>3.12735493594574</v>
      </c>
      <c r="K290" s="47">
        <v>15.222305953277999</v>
      </c>
      <c r="L290" s="47">
        <v>28.824415975885401</v>
      </c>
      <c r="M290" s="47">
        <v>32.893745290128102</v>
      </c>
      <c r="N290" s="47">
        <v>16.616428033157401</v>
      </c>
      <c r="O290" s="47">
        <v>3.3157498116051198</v>
      </c>
    </row>
    <row r="291" spans="1:15" x14ac:dyDescent="0.25">
      <c r="A291" t="s">
        <v>497</v>
      </c>
      <c r="B291" s="47">
        <v>2672</v>
      </c>
      <c r="C291" s="47">
        <v>67</v>
      </c>
      <c r="D291" s="47">
        <v>310</v>
      </c>
      <c r="E291" s="47">
        <v>742</v>
      </c>
      <c r="F291" s="47">
        <v>934</v>
      </c>
      <c r="G291" s="47">
        <v>503</v>
      </c>
      <c r="H291" s="47">
        <v>116</v>
      </c>
      <c r="I291" s="47" t="s">
        <v>113</v>
      </c>
      <c r="J291" s="47">
        <v>2.5074850299401099</v>
      </c>
      <c r="K291" s="47">
        <v>11.601796407185599</v>
      </c>
      <c r="L291" s="47">
        <v>27.769461077844301</v>
      </c>
      <c r="M291" s="47">
        <v>34.955089820359198</v>
      </c>
      <c r="N291" s="47">
        <v>18.824850299401199</v>
      </c>
      <c r="O291" s="47">
        <v>4.3413173652694601</v>
      </c>
    </row>
    <row r="292" spans="1:15" x14ac:dyDescent="0.25">
      <c r="A292" t="s">
        <v>498</v>
      </c>
      <c r="B292" s="47">
        <v>4613</v>
      </c>
      <c r="C292" s="47">
        <v>82</v>
      </c>
      <c r="D292" s="47">
        <v>454</v>
      </c>
      <c r="E292" s="47">
        <v>1266</v>
      </c>
      <c r="F292" s="47">
        <v>1655</v>
      </c>
      <c r="G292" s="47">
        <v>915</v>
      </c>
      <c r="H292" s="47">
        <v>241</v>
      </c>
      <c r="I292" s="47" t="s">
        <v>113</v>
      </c>
      <c r="J292" s="47">
        <v>1.7775850856275699</v>
      </c>
      <c r="K292" s="47">
        <v>9.8417515716453501</v>
      </c>
      <c r="L292" s="47">
        <v>27.444179492737899</v>
      </c>
      <c r="M292" s="47">
        <v>35.876869716019897</v>
      </c>
      <c r="N292" s="47">
        <v>19.835248211575902</v>
      </c>
      <c r="O292" s="47">
        <v>5.2243659223932299</v>
      </c>
    </row>
    <row r="293" spans="1:15" x14ac:dyDescent="0.25">
      <c r="A293" t="s">
        <v>499</v>
      </c>
      <c r="B293" s="47">
        <v>13268</v>
      </c>
      <c r="C293" s="47">
        <v>296</v>
      </c>
      <c r="D293" s="47">
        <v>1373</v>
      </c>
      <c r="E293" s="47">
        <v>3331</v>
      </c>
      <c r="F293" s="47">
        <v>4769</v>
      </c>
      <c r="G293" s="47">
        <v>2840</v>
      </c>
      <c r="H293" s="47">
        <v>659</v>
      </c>
      <c r="I293" s="47" t="s">
        <v>113</v>
      </c>
      <c r="J293" s="47">
        <v>2.2309315646668599</v>
      </c>
      <c r="K293" s="47">
        <v>10.348206210431099</v>
      </c>
      <c r="L293" s="47">
        <v>25.105517033463901</v>
      </c>
      <c r="M293" s="47">
        <v>35.943623756406303</v>
      </c>
      <c r="N293" s="47">
        <v>21.4048839312631</v>
      </c>
      <c r="O293" s="47">
        <v>4.9668375037684598</v>
      </c>
    </row>
    <row r="294" spans="1:15" x14ac:dyDescent="0.25">
      <c r="A294" t="s">
        <v>500</v>
      </c>
      <c r="B294" s="47">
        <v>1785</v>
      </c>
      <c r="C294" s="47">
        <v>38</v>
      </c>
      <c r="D294" s="47">
        <v>228</v>
      </c>
      <c r="E294" s="47">
        <v>475</v>
      </c>
      <c r="F294" s="47">
        <v>604</v>
      </c>
      <c r="G294" s="47">
        <v>351</v>
      </c>
      <c r="H294" s="47">
        <v>89</v>
      </c>
      <c r="I294" s="47" t="s">
        <v>113</v>
      </c>
      <c r="J294" s="47">
        <v>2.1288515406162398</v>
      </c>
      <c r="K294" s="47">
        <v>12.7731092436974</v>
      </c>
      <c r="L294" s="47">
        <v>26.610644257703001</v>
      </c>
      <c r="M294" s="47">
        <v>33.837535014005603</v>
      </c>
      <c r="N294" s="47">
        <v>19.6638655462184</v>
      </c>
      <c r="O294" s="47">
        <v>4.9859943977591001</v>
      </c>
    </row>
    <row r="295" spans="1:15" x14ac:dyDescent="0.25">
      <c r="A295" t="s">
        <v>501</v>
      </c>
      <c r="B295" s="47">
        <v>3957</v>
      </c>
      <c r="C295" s="47">
        <v>105</v>
      </c>
      <c r="D295" s="47">
        <v>546</v>
      </c>
      <c r="E295" s="47">
        <v>1130</v>
      </c>
      <c r="F295" s="47">
        <v>1325</v>
      </c>
      <c r="G295" s="47">
        <v>713</v>
      </c>
      <c r="H295" s="47">
        <v>138</v>
      </c>
      <c r="I295" s="47" t="s">
        <v>113</v>
      </c>
      <c r="J295" s="47">
        <v>2.6535253980287998</v>
      </c>
      <c r="K295" s="47">
        <v>13.798332069749801</v>
      </c>
      <c r="L295" s="47">
        <v>28.556987616881401</v>
      </c>
      <c r="M295" s="47">
        <v>33.484963356077799</v>
      </c>
      <c r="N295" s="47">
        <v>18.018701036138399</v>
      </c>
      <c r="O295" s="47">
        <v>3.48749052312357</v>
      </c>
    </row>
    <row r="296" spans="1:15" x14ac:dyDescent="0.25">
      <c r="A296" t="s">
        <v>502</v>
      </c>
      <c r="B296" s="47">
        <v>7396</v>
      </c>
      <c r="C296" s="47">
        <v>156</v>
      </c>
      <c r="D296" s="47">
        <v>678</v>
      </c>
      <c r="E296" s="47">
        <v>1610</v>
      </c>
      <c r="F296" s="47">
        <v>2786</v>
      </c>
      <c r="G296" s="47">
        <v>1738</v>
      </c>
      <c r="H296" s="47">
        <v>428</v>
      </c>
      <c r="I296" s="47" t="s">
        <v>113</v>
      </c>
      <c r="J296" s="47">
        <v>2.10924824229313</v>
      </c>
      <c r="K296" s="47">
        <v>9.1671173607355296</v>
      </c>
      <c r="L296" s="47">
        <v>21.7685235262303</v>
      </c>
      <c r="M296" s="47">
        <v>37.669010275824697</v>
      </c>
      <c r="N296" s="47">
        <v>23.499188750676002</v>
      </c>
      <c r="O296" s="47">
        <v>5.7869118442401302</v>
      </c>
    </row>
    <row r="297" spans="1:15" x14ac:dyDescent="0.25">
      <c r="A297" t="s">
        <v>503</v>
      </c>
      <c r="B297" s="47">
        <v>107</v>
      </c>
      <c r="C297" s="47" t="s">
        <v>113</v>
      </c>
      <c r="D297" s="47">
        <v>9</v>
      </c>
      <c r="E297" s="47">
        <v>26</v>
      </c>
      <c r="F297" s="47">
        <v>41</v>
      </c>
      <c r="G297" s="47">
        <v>26</v>
      </c>
      <c r="H297" s="47">
        <v>5</v>
      </c>
      <c r="I297" s="47" t="s">
        <v>113</v>
      </c>
      <c r="J297" s="47" t="s">
        <v>113</v>
      </c>
      <c r="K297" s="47">
        <v>8.4112149532710205</v>
      </c>
      <c r="L297" s="47">
        <v>24.299065420560702</v>
      </c>
      <c r="M297" s="47">
        <v>38.317757009345698</v>
      </c>
      <c r="N297" s="47">
        <v>24.299065420560702</v>
      </c>
      <c r="O297" s="47">
        <v>4.6728971962616797</v>
      </c>
    </row>
    <row r="298" spans="1:15" x14ac:dyDescent="0.25">
      <c r="A298" t="s">
        <v>504</v>
      </c>
      <c r="B298" s="47">
        <v>65</v>
      </c>
      <c r="C298" s="47" t="s">
        <v>113</v>
      </c>
      <c r="D298" s="47">
        <v>7</v>
      </c>
      <c r="E298" s="47">
        <v>20</v>
      </c>
      <c r="F298" s="47">
        <v>22</v>
      </c>
      <c r="G298" s="47">
        <v>11</v>
      </c>
      <c r="H298" s="47">
        <v>5</v>
      </c>
      <c r="I298" s="47" t="s">
        <v>113</v>
      </c>
      <c r="J298" s="47" t="s">
        <v>113</v>
      </c>
      <c r="K298" s="47">
        <v>10.769230769230701</v>
      </c>
      <c r="L298" s="47">
        <v>30.769230769230699</v>
      </c>
      <c r="M298" s="47">
        <v>33.846153846153797</v>
      </c>
      <c r="N298" s="47">
        <v>16.923076923076898</v>
      </c>
      <c r="O298" s="47">
        <v>7.6923076923076898</v>
      </c>
    </row>
    <row r="299" spans="1:15" x14ac:dyDescent="0.25">
      <c r="A299" t="s">
        <v>505</v>
      </c>
      <c r="B299" s="47">
        <v>3175</v>
      </c>
      <c r="C299" s="47">
        <v>121</v>
      </c>
      <c r="D299" s="47">
        <v>403</v>
      </c>
      <c r="E299" s="47">
        <v>867</v>
      </c>
      <c r="F299" s="47">
        <v>1071</v>
      </c>
      <c r="G299" s="47">
        <v>598</v>
      </c>
      <c r="H299" s="47">
        <v>115</v>
      </c>
      <c r="I299" s="47" t="s">
        <v>113</v>
      </c>
      <c r="J299" s="47">
        <v>3.81102362204724</v>
      </c>
      <c r="K299" s="47">
        <v>12.692913385826699</v>
      </c>
      <c r="L299" s="47">
        <v>27.307086614173201</v>
      </c>
      <c r="M299" s="47">
        <v>33.732283464566898</v>
      </c>
      <c r="N299" s="47">
        <v>18.834645669291302</v>
      </c>
      <c r="O299" s="47">
        <v>3.62204724409448</v>
      </c>
    </row>
    <row r="300" spans="1:15" x14ac:dyDescent="0.25">
      <c r="A300" t="s">
        <v>506</v>
      </c>
      <c r="B300" s="47">
        <v>136</v>
      </c>
      <c r="C300" s="47">
        <v>3</v>
      </c>
      <c r="D300" s="47">
        <v>14</v>
      </c>
      <c r="E300" s="47">
        <v>34</v>
      </c>
      <c r="F300" s="47">
        <v>52</v>
      </c>
      <c r="G300" s="47">
        <v>24</v>
      </c>
      <c r="H300" s="47">
        <v>9</v>
      </c>
      <c r="I300" s="47" t="s">
        <v>113</v>
      </c>
      <c r="J300" s="47">
        <v>2.20588235294117</v>
      </c>
      <c r="K300" s="47">
        <v>10.294117647058799</v>
      </c>
      <c r="L300" s="47">
        <v>25</v>
      </c>
      <c r="M300" s="47">
        <v>38.235294117647001</v>
      </c>
      <c r="N300" s="47">
        <v>17.647058823529399</v>
      </c>
      <c r="O300" s="47">
        <v>6.6176470588235299</v>
      </c>
    </row>
    <row r="301" spans="1:15" x14ac:dyDescent="0.25">
      <c r="A301" t="s">
        <v>507</v>
      </c>
      <c r="B301" s="47">
        <v>44383</v>
      </c>
      <c r="C301" s="47">
        <v>1088</v>
      </c>
      <c r="D301" s="47">
        <v>5072</v>
      </c>
      <c r="E301" s="47">
        <v>11544</v>
      </c>
      <c r="F301" s="47">
        <v>15686</v>
      </c>
      <c r="G301" s="47">
        <v>8946</v>
      </c>
      <c r="H301" s="47">
        <v>2047</v>
      </c>
      <c r="I301" s="47" t="s">
        <v>113</v>
      </c>
      <c r="J301" s="47">
        <v>2.4513890453551999</v>
      </c>
      <c r="K301" s="47">
        <v>11.427798932023499</v>
      </c>
      <c r="L301" s="47">
        <v>26.0099587679967</v>
      </c>
      <c r="M301" s="47">
        <v>35.342360813825103</v>
      </c>
      <c r="N301" s="47">
        <v>20.156366176238599</v>
      </c>
      <c r="O301" s="47">
        <v>4.6121262645607501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85808-F094-4FA0-A14D-32F8050FDEB9}">
  <dimension ref="A1:P27"/>
  <sheetViews>
    <sheetView topLeftCell="B1" zoomScaleNormal="100" workbookViewId="0">
      <selection activeCell="B3" sqref="B3"/>
    </sheetView>
  </sheetViews>
  <sheetFormatPr defaultRowHeight="14.25" x14ac:dyDescent="0.2"/>
  <cols>
    <col min="1" max="1" width="9.140625" style="7" hidden="1" customWidth="1"/>
    <col min="2" max="2" width="23.7109375" style="7" customWidth="1"/>
    <col min="3" max="9" width="9.140625" style="7"/>
    <col min="10" max="10" width="2.7109375" style="7" customWidth="1"/>
    <col min="11" max="16384" width="9.140625" style="7"/>
  </cols>
  <sheetData>
    <row r="1" spans="1:16" ht="15.75" x14ac:dyDescent="0.25">
      <c r="B1" s="8" t="s">
        <v>513</v>
      </c>
    </row>
    <row r="2" spans="1:16" ht="15.75" x14ac:dyDescent="0.25">
      <c r="B2" s="8" t="s">
        <v>89</v>
      </c>
    </row>
    <row r="3" spans="1:16" ht="15.75" x14ac:dyDescent="0.25">
      <c r="B3" s="8"/>
    </row>
    <row r="4" spans="1:16" s="17" customFormat="1" ht="12.75" x14ac:dyDescent="0.2">
      <c r="B4" s="18" t="s">
        <v>160</v>
      </c>
    </row>
    <row r="5" spans="1:16" s="17" customFormat="1" ht="12.75" x14ac:dyDescent="0.2">
      <c r="C5" s="19" t="s">
        <v>0</v>
      </c>
      <c r="K5" s="19" t="s">
        <v>1</v>
      </c>
    </row>
    <row r="6" spans="1:16" s="17" customFormat="1" ht="25.5" x14ac:dyDescent="0.2">
      <c r="C6" s="25" t="s">
        <v>18</v>
      </c>
      <c r="D6" s="25" t="s">
        <v>25</v>
      </c>
      <c r="E6" s="25">
        <v>2</v>
      </c>
      <c r="F6" s="25">
        <v>3</v>
      </c>
      <c r="G6" s="25">
        <v>4</v>
      </c>
      <c r="H6" s="25" t="s">
        <v>26</v>
      </c>
      <c r="I6" s="25" t="s">
        <v>33</v>
      </c>
      <c r="J6" s="33"/>
      <c r="K6" s="25" t="s">
        <v>25</v>
      </c>
      <c r="L6" s="25">
        <v>2</v>
      </c>
      <c r="M6" s="25">
        <v>3</v>
      </c>
      <c r="N6" s="25">
        <v>4</v>
      </c>
      <c r="O6" s="25" t="s">
        <v>26</v>
      </c>
      <c r="P6" s="34"/>
    </row>
    <row r="7" spans="1:16" s="17" customFormat="1" ht="12.75" x14ac:dyDescent="0.2">
      <c r="A7" s="6" t="s">
        <v>34</v>
      </c>
      <c r="B7" s="17" t="s">
        <v>4</v>
      </c>
      <c r="C7" s="27">
        <f>VLOOKUP(CONCATENATE(Lookup!$F$2,$A7), t1.4, 2)</f>
        <v>2652</v>
      </c>
      <c r="D7" s="27">
        <f>VLOOKUP(CONCATENATE(Lookup!$F$2,$A7), t1.4, 3)</f>
        <v>931</v>
      </c>
      <c r="E7" s="27">
        <f>VLOOKUP(CONCATENATE(Lookup!$F$2,$A7), t1.4, 4)</f>
        <v>562</v>
      </c>
      <c r="F7" s="27">
        <f>VLOOKUP(CONCATENATE(Lookup!$F$2,$A7), t1.4, 5)</f>
        <v>534</v>
      </c>
      <c r="G7" s="27">
        <f>VLOOKUP(CONCATENATE(Lookup!$F$2,$A7), t1.4, 6)</f>
        <v>372</v>
      </c>
      <c r="H7" s="27">
        <f>VLOOKUP(CONCATENATE(Lookup!$F$2,$A7), t1.4, 7)</f>
        <v>253</v>
      </c>
      <c r="I7" s="27" t="str">
        <f>VLOOKUP(CONCATENATE(Lookup!$F$2,$A7), t1.4, 8)</f>
        <v>-</v>
      </c>
      <c r="J7" s="27" t="s">
        <v>32</v>
      </c>
      <c r="K7" s="39">
        <f>VLOOKUP(CONCATENATE(Lookup!$F$2,$A7), t1.4, 9)</f>
        <v>35.105580693815902</v>
      </c>
      <c r="L7" s="39">
        <f>VLOOKUP(CONCATENATE(Lookup!$F$2,$A7), t1.4, 10)</f>
        <v>21.191553544494699</v>
      </c>
      <c r="M7" s="39">
        <f>VLOOKUP(CONCATENATE(Lookup!$F$2,$A7), t1.4, 11)</f>
        <v>20.135746606334799</v>
      </c>
      <c r="N7" s="39">
        <f>VLOOKUP(CONCATENATE(Lookup!$F$2,$A7), t1.4, 12)</f>
        <v>14.027149321266901</v>
      </c>
      <c r="O7" s="39">
        <f>VLOOKUP(CONCATENATE(Lookup!$F$2,$A7), t1.4, 13)</f>
        <v>9.5399698340874792</v>
      </c>
    </row>
    <row r="8" spans="1:16" s="17" customFormat="1" ht="12.75" x14ac:dyDescent="0.2">
      <c r="A8" s="6" t="s">
        <v>35</v>
      </c>
      <c r="B8" s="17" t="s">
        <v>5</v>
      </c>
      <c r="C8" s="27">
        <f>VLOOKUP(CONCATENATE(Lookup!$F$2,$A8), t1.4, 2)</f>
        <v>615</v>
      </c>
      <c r="D8" s="27">
        <f>VLOOKUP(CONCATENATE(Lookup!$F$2,$A8), t1.4, 3)</f>
        <v>45</v>
      </c>
      <c r="E8" s="27">
        <f>VLOOKUP(CONCATENATE(Lookup!$F$2,$A8), t1.4, 4)</f>
        <v>129</v>
      </c>
      <c r="F8" s="27">
        <f>VLOOKUP(CONCATENATE(Lookup!$F$2,$A8), t1.4, 5)</f>
        <v>229</v>
      </c>
      <c r="G8" s="27">
        <f>VLOOKUP(CONCATENATE(Lookup!$F$2,$A8), t1.4, 6)</f>
        <v>151</v>
      </c>
      <c r="H8" s="27">
        <f>VLOOKUP(CONCATENATE(Lookup!$F$2,$A8), t1.4, 7)</f>
        <v>29</v>
      </c>
      <c r="I8" s="27">
        <f>VLOOKUP(CONCATENATE(Lookup!$F$2,$A8), t1.4, 8)</f>
        <v>32</v>
      </c>
      <c r="J8" s="27" t="s">
        <v>32</v>
      </c>
      <c r="K8" s="39">
        <f>VLOOKUP(CONCATENATE(Lookup!$F$2,$A8), t1.4, 9)</f>
        <v>7.7186963979416801</v>
      </c>
      <c r="L8" s="39">
        <f>VLOOKUP(CONCATENATE(Lookup!$F$2,$A8), t1.4, 10)</f>
        <v>22.126929674099401</v>
      </c>
      <c r="M8" s="39">
        <f>VLOOKUP(CONCATENATE(Lookup!$F$2,$A8), t1.4, 11)</f>
        <v>39.279588336192099</v>
      </c>
      <c r="N8" s="39">
        <f>VLOOKUP(CONCATENATE(Lookup!$F$2,$A8), t1.4, 12)</f>
        <v>25.9005145797598</v>
      </c>
      <c r="O8" s="39">
        <f>VLOOKUP(CONCATENATE(Lookup!$F$2,$A8), t1.4, 13)</f>
        <v>4.9742710120068603</v>
      </c>
    </row>
    <row r="9" spans="1:16" s="17" customFormat="1" ht="12.75" x14ac:dyDescent="0.2">
      <c r="A9" s="6" t="s">
        <v>36</v>
      </c>
      <c r="B9" s="17" t="s">
        <v>6</v>
      </c>
      <c r="C9" s="27">
        <f>VLOOKUP(CONCATENATE(Lookup!$F$2,$A9), t1.4, 2)</f>
        <v>1079</v>
      </c>
      <c r="D9" s="27">
        <f>VLOOKUP(CONCATENATE(Lookup!$F$2,$A9), t1.4, 3)</f>
        <v>146</v>
      </c>
      <c r="E9" s="27">
        <f>VLOOKUP(CONCATENATE(Lookup!$F$2,$A9), t1.4, 4)</f>
        <v>299</v>
      </c>
      <c r="F9" s="27">
        <f>VLOOKUP(CONCATENATE(Lookup!$F$2,$A9), t1.4, 5)</f>
        <v>390</v>
      </c>
      <c r="G9" s="27">
        <f>VLOOKUP(CONCATENATE(Lookup!$F$2,$A9), t1.4, 6)</f>
        <v>132</v>
      </c>
      <c r="H9" s="27">
        <f>VLOOKUP(CONCATENATE(Lookup!$F$2,$A9), t1.4, 7)</f>
        <v>108</v>
      </c>
      <c r="I9" s="27">
        <f>VLOOKUP(CONCATENATE(Lookup!$F$2,$A9), t1.4, 8)</f>
        <v>4</v>
      </c>
      <c r="J9" s="27" t="s">
        <v>32</v>
      </c>
      <c r="K9" s="39">
        <f>VLOOKUP(CONCATENATE(Lookup!$F$2,$A9), t1.4, 9)</f>
        <v>13.5813953488372</v>
      </c>
      <c r="L9" s="39">
        <f>VLOOKUP(CONCATENATE(Lookup!$F$2,$A9), t1.4, 10)</f>
        <v>27.813953488372</v>
      </c>
      <c r="M9" s="39">
        <f>VLOOKUP(CONCATENATE(Lookup!$F$2,$A9), t1.4, 11)</f>
        <v>36.279069767441797</v>
      </c>
      <c r="N9" s="39">
        <f>VLOOKUP(CONCATENATE(Lookup!$F$2,$A9), t1.4, 12)</f>
        <v>12.279069767441801</v>
      </c>
      <c r="O9" s="39">
        <f>VLOOKUP(CONCATENATE(Lookup!$F$2,$A9), t1.4, 13)</f>
        <v>10.0465116279069</v>
      </c>
    </row>
    <row r="10" spans="1:16" s="17" customFormat="1" ht="12.75" x14ac:dyDescent="0.2">
      <c r="A10" s="6" t="s">
        <v>37</v>
      </c>
      <c r="B10" s="17" t="s">
        <v>7</v>
      </c>
      <c r="C10" s="27">
        <f>VLOOKUP(CONCATENATE(Lookup!$F$2,$A10), t1.4, 2)</f>
        <v>2654</v>
      </c>
      <c r="D10" s="27">
        <f>VLOOKUP(CONCATENATE(Lookup!$F$2,$A10), t1.4, 3)</f>
        <v>743</v>
      </c>
      <c r="E10" s="27">
        <f>VLOOKUP(CONCATENATE(Lookup!$F$2,$A10), t1.4, 4)</f>
        <v>640</v>
      </c>
      <c r="F10" s="27">
        <f>VLOOKUP(CONCATENATE(Lookup!$F$2,$A10), t1.4, 5)</f>
        <v>462</v>
      </c>
      <c r="G10" s="27">
        <f>VLOOKUP(CONCATENATE(Lookup!$F$2,$A10), t1.4, 6)</f>
        <v>398</v>
      </c>
      <c r="H10" s="27">
        <f>VLOOKUP(CONCATENATE(Lookup!$F$2,$A10), t1.4, 7)</f>
        <v>411</v>
      </c>
      <c r="I10" s="27" t="str">
        <f>VLOOKUP(CONCATENATE(Lookup!$F$2,$A10), t1.4, 8)</f>
        <v>-</v>
      </c>
      <c r="J10" s="27" t="s">
        <v>32</v>
      </c>
      <c r="K10" s="39">
        <f>VLOOKUP(CONCATENATE(Lookup!$F$2,$A10), t1.4, 9)</f>
        <v>27.995478522984101</v>
      </c>
      <c r="L10" s="39">
        <f>VLOOKUP(CONCATENATE(Lookup!$F$2,$A10), t1.4, 10)</f>
        <v>24.114544084400901</v>
      </c>
      <c r="M10" s="39">
        <f>VLOOKUP(CONCATENATE(Lookup!$F$2,$A10), t1.4, 11)</f>
        <v>17.407686510926901</v>
      </c>
      <c r="N10" s="39">
        <f>VLOOKUP(CONCATENATE(Lookup!$F$2,$A10), t1.4, 12)</f>
        <v>14.9962321024868</v>
      </c>
      <c r="O10" s="39">
        <f>VLOOKUP(CONCATENATE(Lookup!$F$2,$A10), t1.4, 13)</f>
        <v>15.486058779201199</v>
      </c>
    </row>
    <row r="11" spans="1:16" s="17" customFormat="1" ht="12.75" x14ac:dyDescent="0.2">
      <c r="A11" s="6" t="s">
        <v>38</v>
      </c>
      <c r="B11" s="17" t="s">
        <v>8</v>
      </c>
      <c r="C11" s="27">
        <f>VLOOKUP(CONCATENATE(Lookup!$F$2,$A11), t1.4, 2)</f>
        <v>2672</v>
      </c>
      <c r="D11" s="27">
        <f>VLOOKUP(CONCATENATE(Lookup!$F$2,$A11), t1.4, 3)</f>
        <v>541</v>
      </c>
      <c r="E11" s="27">
        <f>VLOOKUP(CONCATENATE(Lookup!$F$2,$A11), t1.4, 4)</f>
        <v>603</v>
      </c>
      <c r="F11" s="27">
        <f>VLOOKUP(CONCATENATE(Lookup!$F$2,$A11), t1.4, 5)</f>
        <v>596</v>
      </c>
      <c r="G11" s="27">
        <f>VLOOKUP(CONCATENATE(Lookup!$F$2,$A11), t1.4, 6)</f>
        <v>454</v>
      </c>
      <c r="H11" s="27">
        <f>VLOOKUP(CONCATENATE(Lookup!$F$2,$A11), t1.4, 7)</f>
        <v>470</v>
      </c>
      <c r="I11" s="27">
        <f>VLOOKUP(CONCATENATE(Lookup!$F$2,$A11), t1.4, 8)</f>
        <v>8</v>
      </c>
      <c r="J11" s="27" t="s">
        <v>32</v>
      </c>
      <c r="K11" s="39">
        <f>VLOOKUP(CONCATENATE(Lookup!$F$2,$A11), t1.4, 9)</f>
        <v>20.307807807807801</v>
      </c>
      <c r="L11" s="39">
        <f>VLOOKUP(CONCATENATE(Lookup!$F$2,$A11), t1.4, 10)</f>
        <v>22.635135135135101</v>
      </c>
      <c r="M11" s="39">
        <f>VLOOKUP(CONCATENATE(Lookup!$F$2,$A11), t1.4, 11)</f>
        <v>22.3723723723723</v>
      </c>
      <c r="N11" s="39">
        <f>VLOOKUP(CONCATENATE(Lookup!$F$2,$A11), t1.4, 12)</f>
        <v>17.042042042041999</v>
      </c>
      <c r="O11" s="39">
        <f>VLOOKUP(CONCATENATE(Lookup!$F$2,$A11), t1.4, 13)</f>
        <v>17.642642642642599</v>
      </c>
    </row>
    <row r="12" spans="1:16" s="17" customFormat="1" ht="12.75" x14ac:dyDescent="0.2">
      <c r="A12" s="6" t="s">
        <v>39</v>
      </c>
      <c r="B12" s="17" t="s">
        <v>9</v>
      </c>
      <c r="C12" s="27">
        <f>VLOOKUP(CONCATENATE(Lookup!$F$2,$A12), t1.4, 2)</f>
        <v>4613</v>
      </c>
      <c r="D12" s="27">
        <f>VLOOKUP(CONCATENATE(Lookup!$F$2,$A12), t1.4, 3)</f>
        <v>274</v>
      </c>
      <c r="E12" s="27">
        <f>VLOOKUP(CONCATENATE(Lookup!$F$2,$A12), t1.4, 4)</f>
        <v>742</v>
      </c>
      <c r="F12" s="27">
        <f>VLOOKUP(CONCATENATE(Lookup!$F$2,$A12), t1.4, 5)</f>
        <v>957</v>
      </c>
      <c r="G12" s="27">
        <f>VLOOKUP(CONCATENATE(Lookup!$F$2,$A12), t1.4, 6)</f>
        <v>1464</v>
      </c>
      <c r="H12" s="27">
        <f>VLOOKUP(CONCATENATE(Lookup!$F$2,$A12), t1.4, 7)</f>
        <v>1174</v>
      </c>
      <c r="I12" s="27">
        <f>VLOOKUP(CONCATENATE(Lookup!$F$2,$A12), t1.4, 8)</f>
        <v>2</v>
      </c>
      <c r="J12" s="27" t="s">
        <v>32</v>
      </c>
      <c r="K12" s="39">
        <f>VLOOKUP(CONCATENATE(Lookup!$F$2,$A12), t1.4, 9)</f>
        <v>5.9423118629364504</v>
      </c>
      <c r="L12" s="39">
        <f>VLOOKUP(CONCATENATE(Lookup!$F$2,$A12), t1.4, 10)</f>
        <v>16.091954022988499</v>
      </c>
      <c r="M12" s="39">
        <f>VLOOKUP(CONCATENATE(Lookup!$F$2,$A12), t1.4, 11)</f>
        <v>20.754716981131999</v>
      </c>
      <c r="N12" s="39">
        <f>VLOOKUP(CONCATENATE(Lookup!$F$2,$A12), t1.4, 12)</f>
        <v>31.750162654521699</v>
      </c>
      <c r="O12" s="39">
        <f>VLOOKUP(CONCATENATE(Lookup!$F$2,$A12), t1.4, 13)</f>
        <v>25.460854478421101</v>
      </c>
    </row>
    <row r="13" spans="1:16" s="17" customFormat="1" ht="12.75" x14ac:dyDescent="0.2">
      <c r="A13" s="6" t="s">
        <v>40</v>
      </c>
      <c r="B13" s="17" t="s">
        <v>10</v>
      </c>
      <c r="C13" s="27">
        <f>VLOOKUP(CONCATENATE(Lookup!$F$2,$A13), t1.4, 2)</f>
        <v>13268</v>
      </c>
      <c r="D13" s="27">
        <f>VLOOKUP(CONCATENATE(Lookup!$F$2,$A13), t1.4, 3)</f>
        <v>4833</v>
      </c>
      <c r="E13" s="27">
        <f>VLOOKUP(CONCATENATE(Lookup!$F$2,$A13), t1.4, 4)</f>
        <v>2437</v>
      </c>
      <c r="F13" s="27">
        <f>VLOOKUP(CONCATENATE(Lookup!$F$2,$A13), t1.4, 5)</f>
        <v>1850</v>
      </c>
      <c r="G13" s="27">
        <f>VLOOKUP(CONCATENATE(Lookup!$F$2,$A13), t1.4, 6)</f>
        <v>1988</v>
      </c>
      <c r="H13" s="27">
        <f>VLOOKUP(CONCATENATE(Lookup!$F$2,$A13), t1.4, 7)</f>
        <v>2153</v>
      </c>
      <c r="I13" s="27">
        <f>VLOOKUP(CONCATENATE(Lookup!$F$2,$A13), t1.4, 8)</f>
        <v>7</v>
      </c>
      <c r="J13" s="27" t="s">
        <v>32</v>
      </c>
      <c r="K13" s="39">
        <f>VLOOKUP(CONCATENATE(Lookup!$F$2,$A13), t1.4, 9)</f>
        <v>36.445215292964299</v>
      </c>
      <c r="L13" s="39">
        <f>VLOOKUP(CONCATENATE(Lookup!$F$2,$A13), t1.4, 10)</f>
        <v>18.377196289872501</v>
      </c>
      <c r="M13" s="39">
        <f>VLOOKUP(CONCATENATE(Lookup!$F$2,$A13), t1.4, 11)</f>
        <v>13.950682452303701</v>
      </c>
      <c r="N13" s="39">
        <f>VLOOKUP(CONCATENATE(Lookup!$F$2,$A13), t1.4, 12)</f>
        <v>14.991327954151201</v>
      </c>
      <c r="O13" s="39">
        <f>VLOOKUP(CONCATENATE(Lookup!$F$2,$A13), t1.4, 13)</f>
        <v>16.235578010708</v>
      </c>
    </row>
    <row r="14" spans="1:16" s="17" customFormat="1" ht="12.75" x14ac:dyDescent="0.2">
      <c r="A14" s="6" t="s">
        <v>41</v>
      </c>
      <c r="B14" s="17" t="s">
        <v>11</v>
      </c>
      <c r="C14" s="27">
        <f>VLOOKUP(CONCATENATE(Lookup!$F$2,$A14), t1.4, 2)</f>
        <v>1785</v>
      </c>
      <c r="D14" s="27">
        <f>VLOOKUP(CONCATENATE(Lookup!$F$2,$A14), t1.4, 3)</f>
        <v>216</v>
      </c>
      <c r="E14" s="27">
        <f>VLOOKUP(CONCATENATE(Lookup!$F$2,$A14), t1.4, 4)</f>
        <v>326</v>
      </c>
      <c r="F14" s="27">
        <f>VLOOKUP(CONCATENATE(Lookup!$F$2,$A14), t1.4, 5)</f>
        <v>594</v>
      </c>
      <c r="G14" s="27">
        <f>VLOOKUP(CONCATENATE(Lookup!$F$2,$A14), t1.4, 6)</f>
        <v>553</v>
      </c>
      <c r="H14" s="27">
        <f>VLOOKUP(CONCATENATE(Lookup!$F$2,$A14), t1.4, 7)</f>
        <v>96</v>
      </c>
      <c r="I14" s="27" t="str">
        <f>VLOOKUP(CONCATENATE(Lookup!$F$2,$A14), t1.4, 8)</f>
        <v>-</v>
      </c>
      <c r="J14" s="27" t="s">
        <v>32</v>
      </c>
      <c r="K14" s="39">
        <f>VLOOKUP(CONCATENATE(Lookup!$F$2,$A14), t1.4, 9)</f>
        <v>12.1008403361344</v>
      </c>
      <c r="L14" s="39">
        <f>VLOOKUP(CONCATENATE(Lookup!$F$2,$A14), t1.4, 10)</f>
        <v>18.263305322128801</v>
      </c>
      <c r="M14" s="39">
        <f>VLOOKUP(CONCATENATE(Lookup!$F$2,$A14), t1.4, 11)</f>
        <v>33.277310924369701</v>
      </c>
      <c r="N14" s="39">
        <f>VLOOKUP(CONCATENATE(Lookup!$F$2,$A14), t1.4, 12)</f>
        <v>30.980392156862699</v>
      </c>
      <c r="O14" s="39">
        <f>VLOOKUP(CONCATENATE(Lookup!$F$2,$A14), t1.4, 13)</f>
        <v>5.3781512605042003</v>
      </c>
    </row>
    <row r="15" spans="1:16" s="17" customFormat="1" ht="12.75" x14ac:dyDescent="0.2">
      <c r="A15" s="6" t="s">
        <v>42</v>
      </c>
      <c r="B15" s="17" t="s">
        <v>12</v>
      </c>
      <c r="C15" s="27">
        <f>VLOOKUP(CONCATENATE(Lookup!$F$2,$A15), t1.4, 2)</f>
        <v>3957</v>
      </c>
      <c r="D15" s="27">
        <f>VLOOKUP(CONCATENATE(Lookup!$F$2,$A15), t1.4, 3)</f>
        <v>1194</v>
      </c>
      <c r="E15" s="27">
        <f>VLOOKUP(CONCATENATE(Lookup!$F$2,$A15), t1.4, 4)</f>
        <v>1026</v>
      </c>
      <c r="F15" s="27">
        <f>VLOOKUP(CONCATENATE(Lookup!$F$2,$A15), t1.4, 5)</f>
        <v>608</v>
      </c>
      <c r="G15" s="27">
        <f>VLOOKUP(CONCATENATE(Lookup!$F$2,$A15), t1.4, 6)</f>
        <v>777</v>
      </c>
      <c r="H15" s="27">
        <f>VLOOKUP(CONCATENATE(Lookup!$F$2,$A15), t1.4, 7)</f>
        <v>351</v>
      </c>
      <c r="I15" s="27">
        <f>VLOOKUP(CONCATENATE(Lookup!$F$2,$A15), t1.4, 8)</f>
        <v>1</v>
      </c>
      <c r="J15" s="27" t="s">
        <v>32</v>
      </c>
      <c r="K15" s="39">
        <f>VLOOKUP(CONCATENATE(Lookup!$F$2,$A15), t1.4, 9)</f>
        <v>30.1820020222446</v>
      </c>
      <c r="L15" s="39">
        <f>VLOOKUP(CONCATENATE(Lookup!$F$2,$A15), t1.4, 10)</f>
        <v>25.9352881698685</v>
      </c>
      <c r="M15" s="39">
        <f>VLOOKUP(CONCATENATE(Lookup!$F$2,$A15), t1.4, 11)</f>
        <v>15.369059656218401</v>
      </c>
      <c r="N15" s="39">
        <f>VLOOKUP(CONCATENATE(Lookup!$F$2,$A15), t1.4, 12)</f>
        <v>19.6410515672396</v>
      </c>
      <c r="O15" s="39">
        <f>VLOOKUP(CONCATENATE(Lookup!$F$2,$A15), t1.4, 13)</f>
        <v>8.8725985844287099</v>
      </c>
    </row>
    <row r="16" spans="1:16" s="17" customFormat="1" ht="12.75" x14ac:dyDescent="0.2">
      <c r="A16" s="6" t="s">
        <v>43</v>
      </c>
      <c r="B16" s="17" t="s">
        <v>13</v>
      </c>
      <c r="C16" s="27">
        <f>VLOOKUP(CONCATENATE(Lookup!$F$2,$A16), t1.4, 2)</f>
        <v>7396</v>
      </c>
      <c r="D16" s="27">
        <f>VLOOKUP(CONCATENATE(Lookup!$F$2,$A16), t1.4, 3)</f>
        <v>1066</v>
      </c>
      <c r="E16" s="27">
        <f>VLOOKUP(CONCATENATE(Lookup!$F$2,$A16), t1.4, 4)</f>
        <v>1642</v>
      </c>
      <c r="F16" s="27">
        <f>VLOOKUP(CONCATENATE(Lookup!$F$2,$A16), t1.4, 5)</f>
        <v>1151</v>
      </c>
      <c r="G16" s="27">
        <f>VLOOKUP(CONCATENATE(Lookup!$F$2,$A16), t1.4, 6)</f>
        <v>1782</v>
      </c>
      <c r="H16" s="27">
        <f>VLOOKUP(CONCATENATE(Lookup!$F$2,$A16), t1.4, 7)</f>
        <v>1734</v>
      </c>
      <c r="I16" s="27">
        <f>VLOOKUP(CONCATENATE(Lookup!$F$2,$A16), t1.4, 8)</f>
        <v>21</v>
      </c>
      <c r="J16" s="27" t="s">
        <v>32</v>
      </c>
      <c r="K16" s="39">
        <f>VLOOKUP(CONCATENATE(Lookup!$F$2,$A16), t1.4, 9)</f>
        <v>14.4542372881355</v>
      </c>
      <c r="L16" s="39">
        <f>VLOOKUP(CONCATENATE(Lookup!$F$2,$A16), t1.4, 10)</f>
        <v>22.264406779661002</v>
      </c>
      <c r="M16" s="39">
        <f>VLOOKUP(CONCATENATE(Lookup!$F$2,$A16), t1.4, 11)</f>
        <v>15.606779661016899</v>
      </c>
      <c r="N16" s="39">
        <f>VLOOKUP(CONCATENATE(Lookup!$F$2,$A16), t1.4, 12)</f>
        <v>24.162711864406699</v>
      </c>
      <c r="O16" s="39">
        <f>VLOOKUP(CONCATENATE(Lookup!$F$2,$A16), t1.4, 13)</f>
        <v>23.511864406779601</v>
      </c>
    </row>
    <row r="17" spans="1:15" s="17" customFormat="1" ht="12.75" x14ac:dyDescent="0.2">
      <c r="A17" s="6" t="s">
        <v>44</v>
      </c>
      <c r="B17" s="17" t="s">
        <v>14</v>
      </c>
      <c r="C17" s="27">
        <f>VLOOKUP(CONCATENATE(Lookup!$F$2,$A17), t1.4, 2)</f>
        <v>107</v>
      </c>
      <c r="D17" s="27" t="str">
        <f>VLOOKUP(CONCATENATE(Lookup!$F$2,$A17), t1.4, 3)</f>
        <v>-</v>
      </c>
      <c r="E17" s="27">
        <f>VLOOKUP(CONCATENATE(Lookup!$F$2,$A17), t1.4, 4)</f>
        <v>9</v>
      </c>
      <c r="F17" s="27">
        <f>VLOOKUP(CONCATENATE(Lookup!$F$2,$A17), t1.4, 5)</f>
        <v>11</v>
      </c>
      <c r="G17" s="27">
        <f>VLOOKUP(CONCATENATE(Lookup!$F$2,$A17), t1.4, 6)</f>
        <v>87</v>
      </c>
      <c r="H17" s="27" t="str">
        <f>VLOOKUP(CONCATENATE(Lookup!$F$2,$A17), t1.4, 7)</f>
        <v>-</v>
      </c>
      <c r="I17" s="27" t="str">
        <f>VLOOKUP(CONCATENATE(Lookup!$F$2,$A17), t1.4, 8)</f>
        <v>-</v>
      </c>
      <c r="J17" s="27" t="s">
        <v>32</v>
      </c>
      <c r="K17" s="39" t="str">
        <f>VLOOKUP(CONCATENATE(Lookup!$F$2,$A17), t1.4, 9)</f>
        <v>-</v>
      </c>
      <c r="L17" s="39">
        <f>VLOOKUP(CONCATENATE(Lookup!$F$2,$A17), t1.4, 10)</f>
        <v>8.4112149532710205</v>
      </c>
      <c r="M17" s="39">
        <f>VLOOKUP(CONCATENATE(Lookup!$F$2,$A17), t1.4, 11)</f>
        <v>10.2803738317757</v>
      </c>
      <c r="N17" s="39">
        <f>VLOOKUP(CONCATENATE(Lookup!$F$2,$A17), t1.4, 12)</f>
        <v>81.308411214953196</v>
      </c>
      <c r="O17" s="39" t="str">
        <f>VLOOKUP(CONCATENATE(Lookup!$F$2,$A17), t1.4, 13)</f>
        <v>-</v>
      </c>
    </row>
    <row r="18" spans="1:15" s="17" customFormat="1" ht="12.75" x14ac:dyDescent="0.2">
      <c r="A18" s="6" t="s">
        <v>45</v>
      </c>
      <c r="B18" s="17" t="s">
        <v>15</v>
      </c>
      <c r="C18" s="27">
        <f>VLOOKUP(CONCATENATE(Lookup!$F$2,$A18), t1.4, 2)</f>
        <v>65</v>
      </c>
      <c r="D18" s="27" t="str">
        <f>VLOOKUP(CONCATENATE(Lookup!$F$2,$A18), t1.4, 3)</f>
        <v>-</v>
      </c>
      <c r="E18" s="27">
        <f>VLOOKUP(CONCATENATE(Lookup!$F$2,$A18), t1.4, 4)</f>
        <v>2</v>
      </c>
      <c r="F18" s="27">
        <f>VLOOKUP(CONCATENATE(Lookup!$F$2,$A18), t1.4, 5)</f>
        <v>21</v>
      </c>
      <c r="G18" s="27">
        <f>VLOOKUP(CONCATENATE(Lookup!$F$2,$A18), t1.4, 6)</f>
        <v>42</v>
      </c>
      <c r="H18" s="27" t="str">
        <f>VLOOKUP(CONCATENATE(Lookup!$F$2,$A18), t1.4, 7)</f>
        <v>-</v>
      </c>
      <c r="I18" s="27" t="str">
        <f>VLOOKUP(CONCATENATE(Lookup!$F$2,$A18), t1.4, 8)</f>
        <v>-</v>
      </c>
      <c r="J18" s="27" t="s">
        <v>32</v>
      </c>
      <c r="K18" s="39" t="str">
        <f>VLOOKUP(CONCATENATE(Lookup!$F$2,$A18), t1.4, 9)</f>
        <v>-</v>
      </c>
      <c r="L18" s="39">
        <f>VLOOKUP(CONCATENATE(Lookup!$F$2,$A18), t1.4, 10)</f>
        <v>3.07692307692307</v>
      </c>
      <c r="M18" s="39">
        <f>VLOOKUP(CONCATENATE(Lookup!$F$2,$A18), t1.4, 11)</f>
        <v>32.307692307692299</v>
      </c>
      <c r="N18" s="39">
        <f>VLOOKUP(CONCATENATE(Lookup!$F$2,$A18), t1.4, 12)</f>
        <v>64.615384615384599</v>
      </c>
      <c r="O18" s="39" t="str">
        <f>VLOOKUP(CONCATENATE(Lookup!$F$2,$A18), t1.4, 13)</f>
        <v>-</v>
      </c>
    </row>
    <row r="19" spans="1:15" s="17" customFormat="1" ht="12.75" x14ac:dyDescent="0.2">
      <c r="A19" s="6" t="s">
        <v>46</v>
      </c>
      <c r="B19" s="17" t="s">
        <v>16</v>
      </c>
      <c r="C19" s="27">
        <f>VLOOKUP(CONCATENATE(Lookup!$F$2,$A19), t1.4, 2)</f>
        <v>3175</v>
      </c>
      <c r="D19" s="27">
        <f>VLOOKUP(CONCATENATE(Lookup!$F$2,$A19), t1.4, 3)</f>
        <v>792</v>
      </c>
      <c r="E19" s="27">
        <f>VLOOKUP(CONCATENATE(Lookup!$F$2,$A19), t1.4, 4)</f>
        <v>615</v>
      </c>
      <c r="F19" s="27">
        <f>VLOOKUP(CONCATENATE(Lookup!$F$2,$A19), t1.4, 5)</f>
        <v>590</v>
      </c>
      <c r="G19" s="27">
        <f>VLOOKUP(CONCATENATE(Lookup!$F$2,$A19), t1.4, 6)</f>
        <v>740</v>
      </c>
      <c r="H19" s="27">
        <f>VLOOKUP(CONCATENATE(Lookup!$F$2,$A19), t1.4, 7)</f>
        <v>434</v>
      </c>
      <c r="I19" s="27">
        <f>VLOOKUP(CONCATENATE(Lookup!$F$2,$A19), t1.4, 8)</f>
        <v>4</v>
      </c>
      <c r="J19" s="27" t="s">
        <v>32</v>
      </c>
      <c r="K19" s="39">
        <f>VLOOKUP(CONCATENATE(Lookup!$F$2,$A19), t1.4, 9)</f>
        <v>24.976348155156099</v>
      </c>
      <c r="L19" s="39">
        <f>VLOOKUP(CONCATENATE(Lookup!$F$2,$A19), t1.4, 10)</f>
        <v>19.394512771996201</v>
      </c>
      <c r="M19" s="39">
        <f>VLOOKUP(CONCATENATE(Lookup!$F$2,$A19), t1.4, 11)</f>
        <v>18.606117943866199</v>
      </c>
      <c r="N19" s="39">
        <f>VLOOKUP(CONCATENATE(Lookup!$F$2,$A19), t1.4, 12)</f>
        <v>23.3364869126458</v>
      </c>
      <c r="O19" s="39">
        <f>VLOOKUP(CONCATENATE(Lookup!$F$2,$A19), t1.4, 13)</f>
        <v>13.686534216335501</v>
      </c>
    </row>
    <row r="20" spans="1:15" s="17" customFormat="1" ht="12.75" x14ac:dyDescent="0.2">
      <c r="A20" s="6" t="s">
        <v>47</v>
      </c>
      <c r="B20" s="17" t="s">
        <v>17</v>
      </c>
      <c r="C20" s="27">
        <f>VLOOKUP(CONCATENATE(Lookup!$F$2,$A20), t1.4, 2)</f>
        <v>136</v>
      </c>
      <c r="D20" s="27" t="str">
        <f>VLOOKUP(CONCATENATE(Lookup!$F$2,$A20), t1.4, 3)</f>
        <v>-</v>
      </c>
      <c r="E20" s="27">
        <f>VLOOKUP(CONCATENATE(Lookup!$F$2,$A20), t1.4, 4)</f>
        <v>28</v>
      </c>
      <c r="F20" s="27">
        <f>VLOOKUP(CONCATENATE(Lookup!$F$2,$A20), t1.4, 5)</f>
        <v>107</v>
      </c>
      <c r="G20" s="27">
        <f>VLOOKUP(CONCATENATE(Lookup!$F$2,$A20), t1.4, 6)</f>
        <v>1</v>
      </c>
      <c r="H20" s="27" t="str">
        <f>VLOOKUP(CONCATENATE(Lookup!$F$2,$A20), t1.4, 7)</f>
        <v>-</v>
      </c>
      <c r="I20" s="27" t="str">
        <f>VLOOKUP(CONCATENATE(Lookup!$F$2,$A20), t1.4, 8)</f>
        <v>-</v>
      </c>
      <c r="J20" s="27" t="s">
        <v>32</v>
      </c>
      <c r="K20" s="39" t="str">
        <f>VLOOKUP(CONCATENATE(Lookup!$F$2,$A20), t1.4, 9)</f>
        <v>-</v>
      </c>
      <c r="L20" s="39">
        <f>VLOOKUP(CONCATENATE(Lookup!$F$2,$A20), t1.4, 10)</f>
        <v>20.588235294117599</v>
      </c>
      <c r="M20" s="39">
        <f>VLOOKUP(CONCATENATE(Lookup!$F$2,$A20), t1.4, 11)</f>
        <v>78.676470588235205</v>
      </c>
      <c r="N20" s="39">
        <f>VLOOKUP(CONCATENATE(Lookup!$F$2,$A20), t1.4, 12)</f>
        <v>0.73529411764705799</v>
      </c>
      <c r="O20" s="39" t="str">
        <f>VLOOKUP(CONCATENATE(Lookup!$F$2,$A20), t1.4, 13)</f>
        <v>-</v>
      </c>
    </row>
    <row r="21" spans="1:15" s="17" customFormat="1" ht="12.75" x14ac:dyDescent="0.2">
      <c r="A21" s="6" t="s">
        <v>3</v>
      </c>
      <c r="B21" s="19" t="s">
        <v>3</v>
      </c>
      <c r="C21" s="29">
        <f>VLOOKUP(CONCATENATE(Lookup!$F$2,$A21), t1.4, 2)</f>
        <v>44383</v>
      </c>
      <c r="D21" s="29">
        <f>VLOOKUP(CONCATENATE(Lookup!$F$2,$A21), t1.4, 3)</f>
        <v>10817</v>
      </c>
      <c r="E21" s="29">
        <f>VLOOKUP(CONCATENATE(Lookup!$F$2,$A21), t1.4, 4)</f>
        <v>9091</v>
      </c>
      <c r="F21" s="29">
        <f>VLOOKUP(CONCATENATE(Lookup!$F$2,$A21), t1.4, 5)</f>
        <v>8154</v>
      </c>
      <c r="G21" s="29">
        <f>VLOOKUP(CONCATENATE(Lookup!$F$2,$A21), t1.4, 6)</f>
        <v>8988</v>
      </c>
      <c r="H21" s="29">
        <f>VLOOKUP(CONCATENATE(Lookup!$F$2,$A21), t1.4, 7)</f>
        <v>7253</v>
      </c>
      <c r="I21" s="29">
        <f>VLOOKUP(CONCATENATE(Lookup!$F$2,$A21), t1.4, 8)</f>
        <v>80</v>
      </c>
      <c r="J21" s="29" t="s">
        <v>32</v>
      </c>
      <c r="K21" s="40">
        <f>VLOOKUP(CONCATENATE(Lookup!$F$2,$A21), t1.4, 9)</f>
        <v>24.415953772882101</v>
      </c>
      <c r="L21" s="40">
        <f>VLOOKUP(CONCATENATE(Lookup!$F$2,$A21), t1.4, 10)</f>
        <v>20.520055075277</v>
      </c>
      <c r="M21" s="40">
        <f>VLOOKUP(CONCATENATE(Lookup!$F$2,$A21), t1.4, 11)</f>
        <v>18.4050741484775</v>
      </c>
      <c r="N21" s="40">
        <f>VLOOKUP(CONCATENATE(Lookup!$F$2,$A21), t1.4, 12)</f>
        <v>20.2875651761731</v>
      </c>
      <c r="O21" s="40">
        <f>VLOOKUP(CONCATENATE(Lookup!$F$2,$A21), t1.4, 13)</f>
        <v>16.371351827190001</v>
      </c>
    </row>
    <row r="22" spans="1:15" s="17" customFormat="1" ht="12.75" x14ac:dyDescent="0.2">
      <c r="A22" s="6" t="s">
        <v>32</v>
      </c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</row>
    <row r="23" spans="1:15" x14ac:dyDescent="0.2">
      <c r="B23" s="10" t="s">
        <v>492</v>
      </c>
    </row>
    <row r="24" spans="1:15" x14ac:dyDescent="0.2">
      <c r="B24" s="10" t="s">
        <v>93</v>
      </c>
    </row>
    <row r="25" spans="1:15" x14ac:dyDescent="0.2">
      <c r="B25" s="10" t="s">
        <v>90</v>
      </c>
    </row>
    <row r="26" spans="1:15" x14ac:dyDescent="0.2">
      <c r="B26" s="10" t="s">
        <v>115</v>
      </c>
    </row>
    <row r="27" spans="1:15" x14ac:dyDescent="0.2">
      <c r="B27" s="10" t="s">
        <v>117</v>
      </c>
    </row>
  </sheetData>
  <phoneticPr fontId="2" type="noConversion"/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3" name="Drop Down 1">
              <controlPr defaultSize="0" autoLine="0" autoPict="0">
                <anchor moveWithCells="1">
                  <from>
                    <xdr:col>1</xdr:col>
                    <xdr:colOff>485775</xdr:colOff>
                    <xdr:row>2</xdr:row>
                    <xdr:rowOff>190500</xdr:rowOff>
                  </from>
                  <to>
                    <xdr:col>1</xdr:col>
                    <xdr:colOff>1552575</xdr:colOff>
                    <xdr:row>4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6125C1197DB143B52F93EA145F20C8" ma:contentTypeVersion="19" ma:contentTypeDescription="Create a new document." ma:contentTypeScope="" ma:versionID="bbe9588b99ac0fd282d4758bef350605">
  <xsd:schema xmlns:xsd="http://www.w3.org/2001/XMLSchema" xmlns:xs="http://www.w3.org/2001/XMLSchema" xmlns:p="http://schemas.microsoft.com/office/2006/metadata/properties" xmlns:ns2="158eac70-73b0-45c8-8281-c2471280e21a" xmlns:ns3="15e9c7c7-720e-457f-8d7f-28edf1a58f24" targetNamespace="http://schemas.microsoft.com/office/2006/metadata/properties" ma:root="true" ma:fieldsID="fde598f1fe38cd6dee17c787b68c48aa" ns2:_="" ns3:_="">
    <xsd:import namespace="158eac70-73b0-45c8-8281-c2471280e21a"/>
    <xsd:import namespace="15e9c7c7-720e-457f-8d7f-28edf1a58f2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8eac70-73b0-45c8-8281-c2471280e21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description="" ma:hidden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16ac32b6-d060-42fb-93c0-6c46742e1ae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earchProperties" ma:index="18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e9c7c7-720e-457f-8d7f-28edf1a58f24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d617566a-e273-4538-bac9-becd14a1bc44}" ma:internalName="TaxCatchAll" ma:showField="CatchAllData" ma:web="15e9c7c7-720e-457f-8d7f-28edf1a58f2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5e9c7c7-720e-457f-8d7f-28edf1a58f24" xsi:nil="true"/>
    <lcf76f155ced4ddcb4097134ff3c332f xmlns="158eac70-73b0-45c8-8281-c2471280e21a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004295EF-67DC-4A9D-A265-63EF0A9746B5}"/>
</file>

<file path=customXml/itemProps2.xml><?xml version="1.0" encoding="utf-8"?>
<ds:datastoreItem xmlns:ds="http://schemas.openxmlformats.org/officeDocument/2006/customXml" ds:itemID="{95C88090-E6A3-45D0-988B-DD440ACA2EFD}"/>
</file>

<file path=customXml/itemProps3.xml><?xml version="1.0" encoding="utf-8"?>
<ds:datastoreItem xmlns:ds="http://schemas.openxmlformats.org/officeDocument/2006/customXml" ds:itemID="{2FCD92E6-ACC8-4CF9-8ED8-BBEDCF53F6B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13</vt:i4>
      </vt:variant>
      <vt:variant>
        <vt:lpstr>Charts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20" baseType="lpstr">
      <vt:lpstr>Index</vt:lpstr>
      <vt:lpstr>1.1</vt:lpstr>
      <vt:lpstr>1.1_data</vt:lpstr>
      <vt:lpstr>Figure1.1.2+1.4_data</vt:lpstr>
      <vt:lpstr>1.2</vt:lpstr>
      <vt:lpstr>1.2_data</vt:lpstr>
      <vt:lpstr>1.3</vt:lpstr>
      <vt:lpstr>1.3_data</vt:lpstr>
      <vt:lpstr>1.4</vt:lpstr>
      <vt:lpstr>1.4_data</vt:lpstr>
      <vt:lpstr>1.5</vt:lpstr>
      <vt:lpstr>1.6</vt:lpstr>
      <vt:lpstr>Lookup</vt:lpstr>
      <vt:lpstr>Figure1.1.1</vt:lpstr>
      <vt:lpstr>Figure1.1.2</vt:lpstr>
      <vt:lpstr>Figure1.4</vt:lpstr>
      <vt:lpstr>t1.1</vt:lpstr>
      <vt:lpstr>t1.2</vt:lpstr>
      <vt:lpstr>t1.3</vt:lpstr>
      <vt:lpstr>t1.4</vt:lpstr>
    </vt:vector>
  </TitlesOfParts>
  <Company>NHSS National Services Scotland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stuarw02</dc:creator>
  <cp:lastModifiedBy>Stuart Wrigglesworth</cp:lastModifiedBy>
  <dcterms:created xsi:type="dcterms:W3CDTF">2022-10-03T13:52:18Z</dcterms:created>
  <dcterms:modified xsi:type="dcterms:W3CDTF">2024-10-16T14:54:34Z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0x010100956125C1197DB143B52F93EA145F20C8</vt:lpwstr>
  </property>
</Properties>
</file>