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a\OneDrive\Bureau\Git\Change\P3-ProjetExcel\"/>
    </mc:Choice>
  </mc:AlternateContent>
  <xr:revisionPtr revIDLastSave="0" documentId="13_ncr:1_{54161C40-5331-4883-80F4-0B494E00A0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cel_base.xlxs" sheetId="1" r:id="rId1"/>
    <sheet name="Département" sheetId="3" r:id="rId2"/>
    <sheet name="Liste des Cours et Subventions" sheetId="2" r:id="rId3"/>
    <sheet name="CI - Dominique Paquette" sheetId="17" r:id="rId4"/>
    <sheet name="CI - Édolia Bourdeau " sheetId="20" r:id="rId5"/>
    <sheet name="CI - Émerique Lebeau" sheetId="21" r:id="rId6"/>
    <sheet name="CI - Jade Poirier" sheetId="23" r:id="rId7"/>
    <sheet name="CI - Olivier Hallé" sheetId="25" r:id="rId8"/>
    <sheet name="CI - Cyrianne Gagnon" sheetId="27" r:id="rId9"/>
    <sheet name="CI - Joelle Chevrier" sheetId="29" r:id="rId10"/>
    <sheet name="CI - Katherine Gascon" sheetId="30" r:id="rId11"/>
    <sheet name="CI - Uldor Lafortune" sheetId="31" r:id="rId12"/>
    <sheet name="CI - Katherine Chen" sheetId="36" r:id="rId13"/>
    <sheet name="CI - Villandré Coutu" sheetId="34" r:id="rId14"/>
    <sheet name="CI - Maika Marleau" sheetId="35" r:id="rId15"/>
  </sheets>
  <externalReferences>
    <externalReference r:id="rId1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3" l="1"/>
  <c r="D14" i="2"/>
  <c r="H14" i="2"/>
  <c r="D13" i="2"/>
  <c r="H13" i="2"/>
  <c r="D11" i="2"/>
  <c r="H11" i="2"/>
  <c r="D8" i="2"/>
  <c r="H7" i="2"/>
  <c r="D6" i="2"/>
  <c r="H4" i="2"/>
  <c r="D3" i="2"/>
  <c r="H3" i="2"/>
  <c r="D7" i="2"/>
  <c r="B32" i="3"/>
  <c r="B31" i="3"/>
  <c r="B30" i="3"/>
  <c r="B27" i="3" s="1"/>
  <c r="F38" i="36"/>
  <c r="F33" i="36"/>
  <c r="H8" i="36"/>
  <c r="G8" i="36"/>
  <c r="F8" i="36"/>
  <c r="H7" i="36"/>
  <c r="G7" i="36"/>
  <c r="F7" i="36"/>
  <c r="H6" i="36"/>
  <c r="G6" i="36"/>
  <c r="F6" i="36"/>
  <c r="H5" i="36"/>
  <c r="G5" i="36"/>
  <c r="F5" i="36"/>
  <c r="I15" i="36"/>
  <c r="F15" i="36"/>
  <c r="F16" i="36" s="1" a="1"/>
  <c r="F16" i="36" s="1"/>
  <c r="J53" i="2"/>
  <c r="J50" i="2"/>
  <c r="J51" i="2"/>
  <c r="J49" i="2"/>
  <c r="G99" i="2"/>
  <c r="G98" i="2"/>
  <c r="G97" i="2"/>
  <c r="G95" i="2"/>
  <c r="G94" i="2"/>
  <c r="G93" i="2"/>
  <c r="G91" i="2"/>
  <c r="G90" i="2"/>
  <c r="G89" i="2"/>
  <c r="G87" i="2"/>
  <c r="G86" i="2"/>
  <c r="G85" i="2"/>
  <c r="G83" i="2"/>
  <c r="G82" i="2"/>
  <c r="G81" i="2"/>
  <c r="G79" i="2"/>
  <c r="G78" i="2"/>
  <c r="G77" i="2"/>
  <c r="G67" i="2"/>
  <c r="G66" i="2"/>
  <c r="G65" i="2"/>
  <c r="G63" i="2"/>
  <c r="G62" i="2"/>
  <c r="G61" i="2"/>
  <c r="G59" i="2"/>
  <c r="G58" i="2"/>
  <c r="G57" i="2"/>
  <c r="G55" i="2"/>
  <c r="G54" i="2"/>
  <c r="G53" i="2"/>
  <c r="G51" i="2"/>
  <c r="G50" i="2"/>
  <c r="G49" i="2"/>
  <c r="G45" i="2"/>
  <c r="F99" i="2"/>
  <c r="F98" i="2"/>
  <c r="F97" i="2"/>
  <c r="D16" i="2"/>
  <c r="F95" i="2"/>
  <c r="F94" i="2"/>
  <c r="F93" i="2"/>
  <c r="D15" i="2"/>
  <c r="F91" i="2"/>
  <c r="F90" i="2"/>
  <c r="F89" i="2"/>
  <c r="F46" i="2"/>
  <c r="G46" i="2" s="1"/>
  <c r="F47" i="2"/>
  <c r="G47" i="2" s="1"/>
  <c r="F50" i="2"/>
  <c r="F51" i="2"/>
  <c r="F54" i="2"/>
  <c r="F55" i="2"/>
  <c r="F58" i="2"/>
  <c r="F59" i="2"/>
  <c r="F62" i="2"/>
  <c r="F63" i="2"/>
  <c r="F78" i="2"/>
  <c r="F79" i="2"/>
  <c r="F82" i="2"/>
  <c r="F83" i="2"/>
  <c r="F86" i="2"/>
  <c r="F85" i="2"/>
  <c r="F87" i="2"/>
  <c r="F81" i="2"/>
  <c r="D12" i="2"/>
  <c r="F77" i="2"/>
  <c r="F67" i="2"/>
  <c r="F66" i="2"/>
  <c r="F65" i="2"/>
  <c r="F61" i="2"/>
  <c r="F57" i="2"/>
  <c r="F53" i="2"/>
  <c r="D5" i="2"/>
  <c r="F49" i="2"/>
  <c r="D4" i="2"/>
  <c r="F45" i="2"/>
  <c r="H17" i="2"/>
  <c r="D10" i="2"/>
  <c r="D9" i="2"/>
  <c r="H16" i="2"/>
  <c r="H18" i="2"/>
  <c r="H19" i="2"/>
  <c r="F38" i="35"/>
  <c r="F33" i="35"/>
  <c r="H8" i="35"/>
  <c r="G8" i="35"/>
  <c r="F8" i="35"/>
  <c r="H7" i="35"/>
  <c r="G7" i="35"/>
  <c r="F7" i="35"/>
  <c r="H6" i="35"/>
  <c r="G6" i="35"/>
  <c r="F6" i="35"/>
  <c r="H5" i="35"/>
  <c r="G5" i="35"/>
  <c r="F5" i="35"/>
  <c r="I15" i="35"/>
  <c r="F4" i="35"/>
  <c r="F38" i="34"/>
  <c r="F33" i="34"/>
  <c r="H8" i="34"/>
  <c r="G8" i="34"/>
  <c r="F8" i="34"/>
  <c r="H7" i="34"/>
  <c r="G7" i="34"/>
  <c r="F7" i="34"/>
  <c r="H6" i="34"/>
  <c r="G6" i="34"/>
  <c r="F6" i="34"/>
  <c r="H5" i="34"/>
  <c r="G5" i="34"/>
  <c r="F5" i="34"/>
  <c r="I15" i="34"/>
  <c r="F4" i="34"/>
  <c r="F38" i="31"/>
  <c r="F33" i="31"/>
  <c r="H8" i="31"/>
  <c r="G8" i="31"/>
  <c r="F8" i="31"/>
  <c r="H7" i="31"/>
  <c r="G7" i="31"/>
  <c r="F7" i="31"/>
  <c r="H6" i="31"/>
  <c r="G6" i="31"/>
  <c r="F6" i="31"/>
  <c r="H5" i="31"/>
  <c r="G5" i="31"/>
  <c r="F5" i="31"/>
  <c r="F4" i="31"/>
  <c r="F38" i="30"/>
  <c r="F33" i="30"/>
  <c r="H8" i="30"/>
  <c r="G8" i="30"/>
  <c r="F8" i="30"/>
  <c r="H7" i="30"/>
  <c r="G7" i="30"/>
  <c r="F7" i="30"/>
  <c r="H6" i="30"/>
  <c r="G6" i="30"/>
  <c r="F6" i="30"/>
  <c r="H5" i="30"/>
  <c r="G5" i="30"/>
  <c r="F5" i="30"/>
  <c r="F4" i="30"/>
  <c r="F38" i="29"/>
  <c r="F33" i="29"/>
  <c r="H8" i="29"/>
  <c r="G8" i="29"/>
  <c r="F8" i="29"/>
  <c r="H7" i="29"/>
  <c r="G7" i="29"/>
  <c r="F7" i="29"/>
  <c r="H6" i="29"/>
  <c r="G6" i="29"/>
  <c r="F6" i="29"/>
  <c r="H5" i="29"/>
  <c r="G5" i="29"/>
  <c r="F5" i="29"/>
  <c r="F4" i="29"/>
  <c r="F38" i="27"/>
  <c r="F33" i="27"/>
  <c r="H8" i="27"/>
  <c r="G8" i="27"/>
  <c r="F8" i="27"/>
  <c r="H7" i="27"/>
  <c r="G7" i="27"/>
  <c r="F7" i="27"/>
  <c r="H6" i="27"/>
  <c r="G6" i="27"/>
  <c r="F6" i="27"/>
  <c r="F5" i="27"/>
  <c r="F4" i="27"/>
  <c r="F38" i="25"/>
  <c r="F33" i="25"/>
  <c r="H8" i="25"/>
  <c r="G8" i="25"/>
  <c r="F8" i="25"/>
  <c r="H7" i="25"/>
  <c r="G7" i="25"/>
  <c r="F7" i="25"/>
  <c r="H6" i="25"/>
  <c r="G6" i="25"/>
  <c r="F6" i="25"/>
  <c r="F5" i="25"/>
  <c r="F4" i="25"/>
  <c r="F38" i="23"/>
  <c r="F33" i="23"/>
  <c r="H8" i="23"/>
  <c r="G8" i="23"/>
  <c r="F8" i="23"/>
  <c r="H7" i="23"/>
  <c r="G7" i="23"/>
  <c r="F7" i="23"/>
  <c r="H6" i="23"/>
  <c r="G6" i="23"/>
  <c r="F6" i="23"/>
  <c r="F5" i="23"/>
  <c r="F4" i="23"/>
  <c r="G6" i="21"/>
  <c r="G7" i="21"/>
  <c r="I18" i="21" s="1"/>
  <c r="G8" i="21"/>
  <c r="F5" i="21"/>
  <c r="F38" i="20"/>
  <c r="F38" i="17"/>
  <c r="F38" i="21"/>
  <c r="F33" i="21"/>
  <c r="F4" i="21"/>
  <c r="H5" i="17"/>
  <c r="G5" i="17"/>
  <c r="F5" i="17"/>
  <c r="F4" i="17"/>
  <c r="F4" i="20"/>
  <c r="F33" i="20"/>
  <c r="I26" i="20"/>
  <c r="F26" i="20"/>
  <c r="I25" i="20"/>
  <c r="F25" i="20"/>
  <c r="I24" i="20"/>
  <c r="F24" i="20"/>
  <c r="I19" i="20"/>
  <c r="I18" i="20"/>
  <c r="I17" i="20"/>
  <c r="I23" i="20"/>
  <c r="F23" i="20"/>
  <c r="F33" i="17"/>
  <c r="I24" i="17"/>
  <c r="I25" i="17"/>
  <c r="I26" i="17"/>
  <c r="F24" i="17"/>
  <c r="F25" i="17"/>
  <c r="F26" i="17"/>
  <c r="I17" i="17"/>
  <c r="I18" i="17"/>
  <c r="I19" i="17"/>
  <c r="C2" i="3"/>
  <c r="C4" i="3"/>
  <c r="B1" i="3"/>
  <c r="C1" i="3"/>
  <c r="D1" i="3"/>
  <c r="E1" i="3"/>
  <c r="B2" i="3"/>
  <c r="D2" i="3"/>
  <c r="E2" i="3"/>
  <c r="B3" i="3"/>
  <c r="C3" i="3"/>
  <c r="D3" i="3"/>
  <c r="E3" i="3"/>
  <c r="B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A1" i="3"/>
  <c r="A2" i="3"/>
  <c r="A3" i="3"/>
  <c r="A4" i="3"/>
  <c r="A5" i="3"/>
  <c r="A6" i="3"/>
  <c r="A7" i="3"/>
  <c r="A8" i="3"/>
  <c r="A9" i="3"/>
  <c r="A10" i="3"/>
  <c r="A11" i="3"/>
  <c r="A12" i="3"/>
  <c r="A13" i="3"/>
  <c r="I26" i="36" l="1"/>
  <c r="I25" i="36"/>
  <c r="I23" i="36"/>
  <c r="F24" i="36"/>
  <c r="I24" i="36"/>
  <c r="I18" i="36"/>
  <c r="I19" i="36"/>
  <c r="I17" i="36"/>
  <c r="I16" i="36"/>
  <c r="F25" i="36"/>
  <c r="F22" i="36"/>
  <c r="F26" i="36"/>
  <c r="F17" i="36"/>
  <c r="F14" i="36" s="1"/>
  <c r="I22" i="36"/>
  <c r="F23" i="36"/>
  <c r="H20" i="2"/>
  <c r="I19" i="34"/>
  <c r="F23" i="34"/>
  <c r="I16" i="35"/>
  <c r="I17" i="35"/>
  <c r="I25" i="35"/>
  <c r="I17" i="25"/>
  <c r="I25" i="31"/>
  <c r="I18" i="34"/>
  <c r="I24" i="35"/>
  <c r="I23" i="30"/>
  <c r="I18" i="35"/>
  <c r="I18" i="25"/>
  <c r="I23" i="34"/>
  <c r="I23" i="35"/>
  <c r="F15" i="34"/>
  <c r="F16" i="34" s="1" a="1"/>
  <c r="F16" i="34" s="1"/>
  <c r="F15" i="35"/>
  <c r="F16" i="35" s="1" a="1"/>
  <c r="F16" i="35" s="1"/>
  <c r="F23" i="35"/>
  <c r="I25" i="34"/>
  <c r="I26" i="34"/>
  <c r="F26" i="35"/>
  <c r="F24" i="34"/>
  <c r="I24" i="34"/>
  <c r="I24" i="23"/>
  <c r="F25" i="34"/>
  <c r="I19" i="35"/>
  <c r="F25" i="35"/>
  <c r="F17" i="35"/>
  <c r="I26" i="35"/>
  <c r="F24" i="35"/>
  <c r="I16" i="34"/>
  <c r="F26" i="34"/>
  <c r="F17" i="34"/>
  <c r="I17" i="34"/>
  <c r="I25" i="23"/>
  <c r="I24" i="29"/>
  <c r="I26" i="31"/>
  <c r="F23" i="30"/>
  <c r="I25" i="27"/>
  <c r="I18" i="29"/>
  <c r="F15" i="31"/>
  <c r="F16" i="31" s="1" a="1"/>
  <c r="F16" i="31" s="1"/>
  <c r="I18" i="31"/>
  <c r="I19" i="25"/>
  <c r="I25" i="21"/>
  <c r="I24" i="27"/>
  <c r="I25" i="25"/>
  <c r="I19" i="30"/>
  <c r="I24" i="25"/>
  <c r="I17" i="29"/>
  <c r="F25" i="30"/>
  <c r="I16" i="29"/>
  <c r="I25" i="30"/>
  <c r="I26" i="23"/>
  <c r="F26" i="25"/>
  <c r="F24" i="30"/>
  <c r="F23" i="31"/>
  <c r="F24" i="23"/>
  <c r="I25" i="29"/>
  <c r="I24" i="30"/>
  <c r="I23" i="31"/>
  <c r="I19" i="31"/>
  <c r="F15" i="30"/>
  <c r="F16" i="30" s="1" a="1"/>
  <c r="F16" i="30" s="1"/>
  <c r="I26" i="27"/>
  <c r="I23" i="29"/>
  <c r="F26" i="29"/>
  <c r="I18" i="30"/>
  <c r="F24" i="31"/>
  <c r="I18" i="23"/>
  <c r="F24" i="27"/>
  <c r="I26" i="29"/>
  <c r="I24" i="31"/>
  <c r="I19" i="23"/>
  <c r="I18" i="27"/>
  <c r="F24" i="29"/>
  <c r="I19" i="29"/>
  <c r="I26" i="30"/>
  <c r="F25" i="31"/>
  <c r="I16" i="31"/>
  <c r="F26" i="31"/>
  <c r="I17" i="31"/>
  <c r="I16" i="30"/>
  <c r="F26" i="30"/>
  <c r="I17" i="30"/>
  <c r="F15" i="29"/>
  <c r="F16" i="29" s="1" a="1"/>
  <c r="F16" i="29" s="1"/>
  <c r="F23" i="29"/>
  <c r="F25" i="29"/>
  <c r="F15" i="27"/>
  <c r="F16" i="27" s="1" a="1"/>
  <c r="F16" i="27" s="1"/>
  <c r="I19" i="27"/>
  <c r="F25" i="27"/>
  <c r="F26" i="27"/>
  <c r="I17" i="27"/>
  <c r="F15" i="25"/>
  <c r="F16" i="25" s="1" a="1"/>
  <c r="F16" i="25" s="1"/>
  <c r="F25" i="25"/>
  <c r="I26" i="25"/>
  <c r="F24" i="25"/>
  <c r="F15" i="23"/>
  <c r="F16" i="23" s="1" a="1"/>
  <c r="F16" i="23" s="1"/>
  <c r="F25" i="23"/>
  <c r="F26" i="23"/>
  <c r="I17" i="23"/>
  <c r="I26" i="21"/>
  <c r="I24" i="21"/>
  <c r="F25" i="21"/>
  <c r="I19" i="21"/>
  <c r="F26" i="21"/>
  <c r="I17" i="21"/>
  <c r="F15" i="21"/>
  <c r="F16" i="21" s="1" a="1"/>
  <c r="F16" i="21" s="1"/>
  <c r="F24" i="21"/>
  <c r="I16" i="17"/>
  <c r="F15" i="20"/>
  <c r="F16" i="20" s="1" a="1"/>
  <c r="F16" i="20" s="1"/>
  <c r="I16" i="20"/>
  <c r="F15" i="17"/>
  <c r="F16" i="17" s="1" a="1"/>
  <c r="F16" i="17" s="1"/>
  <c r="H12" i="2"/>
  <c r="H35" i="2"/>
  <c r="E35" i="2" s="1"/>
  <c r="H10" i="2"/>
  <c r="H9" i="2"/>
  <c r="H32" i="2"/>
  <c r="E32" i="2" s="1"/>
  <c r="H8" i="2"/>
  <c r="H6" i="2"/>
  <c r="H31" i="2" s="1"/>
  <c r="E31" i="2" s="1"/>
  <c r="G5" i="21" s="1"/>
  <c r="I16" i="21" s="1"/>
  <c r="H5" i="2"/>
  <c r="H30" i="2"/>
  <c r="E30" i="2" s="1"/>
  <c r="G4" i="21" s="1"/>
  <c r="I15" i="21" s="1"/>
  <c r="I27" i="36" l="1"/>
  <c r="I21" i="36" s="1" a="1"/>
  <c r="I21" i="36" s="1"/>
  <c r="I14" i="36"/>
  <c r="F27" i="36"/>
  <c r="F21" i="36" s="1"/>
  <c r="F32" i="2"/>
  <c r="H4" i="23" s="1"/>
  <c r="G4" i="23"/>
  <c r="F35" i="2"/>
  <c r="H4" i="27" s="1"/>
  <c r="G4" i="27"/>
  <c r="F14" i="35"/>
  <c r="F14" i="34"/>
  <c r="F17" i="21"/>
  <c r="F14" i="21" s="1"/>
  <c r="I14" i="35"/>
  <c r="I14" i="34"/>
  <c r="I14" i="21"/>
  <c r="H34" i="2"/>
  <c r="E34" i="2" s="1"/>
  <c r="G4" i="25" s="1"/>
  <c r="H38" i="2"/>
  <c r="E38" i="2" s="1"/>
  <c r="H37" i="2"/>
  <c r="E37" i="2" s="1"/>
  <c r="F31" i="2"/>
  <c r="H5" i="21" s="1"/>
  <c r="F23" i="21" s="1"/>
  <c r="F30" i="2"/>
  <c r="H4" i="21" s="1"/>
  <c r="F22" i="21" s="1"/>
  <c r="H36" i="2"/>
  <c r="E36" i="2" s="1"/>
  <c r="F12" i="36" l="1"/>
  <c r="B4" i="36" s="1"/>
  <c r="F11" i="3" s="1"/>
  <c r="H11" i="3" s="1"/>
  <c r="I15" i="27"/>
  <c r="I22" i="27"/>
  <c r="F22" i="27"/>
  <c r="F38" i="2"/>
  <c r="H4" i="30" s="1"/>
  <c r="G4" i="30"/>
  <c r="F37" i="2"/>
  <c r="H4" i="29" s="1"/>
  <c r="G4" i="29"/>
  <c r="I15" i="23"/>
  <c r="I22" i="23"/>
  <c r="F22" i="23"/>
  <c r="F36" i="2"/>
  <c r="H5" i="27" s="1"/>
  <c r="G5" i="27"/>
  <c r="I15" i="25"/>
  <c r="F27" i="21"/>
  <c r="F21" i="21" s="1"/>
  <c r="I23" i="21"/>
  <c r="I22" i="21"/>
  <c r="H4" i="25"/>
  <c r="F22" i="25" s="1"/>
  <c r="H27" i="2"/>
  <c r="E27" i="2" s="1"/>
  <c r="G4" i="17" s="1"/>
  <c r="H39" i="2"/>
  <c r="E39" i="2" s="1"/>
  <c r="H28" i="2"/>
  <c r="E28" i="2" s="1"/>
  <c r="G5" i="25" s="1"/>
  <c r="H33" i="2"/>
  <c r="E33" i="2" s="1"/>
  <c r="H29" i="2"/>
  <c r="E29" i="2" s="1"/>
  <c r="H40" i="2"/>
  <c r="E40" i="2" s="1"/>
  <c r="F40" i="2" s="1"/>
  <c r="I15" i="29" l="1"/>
  <c r="I14" i="29" s="1"/>
  <c r="F17" i="29"/>
  <c r="F14" i="29" s="1"/>
  <c r="F22" i="29"/>
  <c r="F27" i="29" s="1"/>
  <c r="F21" i="29" s="1"/>
  <c r="I22" i="29"/>
  <c r="I27" i="29" s="1"/>
  <c r="I21" i="29" s="1" a="1"/>
  <c r="I21" i="29" s="1"/>
  <c r="I15" i="30"/>
  <c r="I14" i="30" s="1"/>
  <c r="F22" i="30"/>
  <c r="F27" i="30" s="1"/>
  <c r="F21" i="30" s="1"/>
  <c r="F17" i="30"/>
  <c r="F14" i="30" s="1"/>
  <c r="I22" i="30"/>
  <c r="I27" i="30" s="1"/>
  <c r="I21" i="30" s="1" a="1"/>
  <c r="I21" i="30" s="1"/>
  <c r="H4" i="34"/>
  <c r="H4" i="35"/>
  <c r="F39" i="2"/>
  <c r="H4" i="31" s="1"/>
  <c r="G4" i="31"/>
  <c r="F17" i="27"/>
  <c r="F14" i="27" s="1"/>
  <c r="F23" i="27"/>
  <c r="F27" i="27" s="1"/>
  <c r="F21" i="27" s="1"/>
  <c r="I16" i="27"/>
  <c r="I14" i="27" s="1"/>
  <c r="I23" i="27"/>
  <c r="I27" i="27" s="1"/>
  <c r="I21" i="27" s="1" a="1"/>
  <c r="I21" i="27" s="1"/>
  <c r="I22" i="25"/>
  <c r="I27" i="21"/>
  <c r="I21" i="21" s="1" a="1"/>
  <c r="I21" i="21" s="1"/>
  <c r="F12" i="21" s="1"/>
  <c r="B4" i="21" s="1"/>
  <c r="F4" i="3" s="1"/>
  <c r="H4" i="3" s="1"/>
  <c r="H5" i="23"/>
  <c r="G5" i="23"/>
  <c r="I15" i="17"/>
  <c r="I14" i="17" s="1"/>
  <c r="F17" i="17"/>
  <c r="F14" i="17" s="1"/>
  <c r="F29" i="2"/>
  <c r="H4" i="20" s="1"/>
  <c r="G4" i="20"/>
  <c r="I16" i="25"/>
  <c r="I14" i="25" s="1"/>
  <c r="F17" i="25"/>
  <c r="F14" i="25" s="1"/>
  <c r="F28" i="2"/>
  <c r="H5" i="25" s="1"/>
  <c r="I23" i="25" s="1"/>
  <c r="F27" i="2"/>
  <c r="H4" i="17" s="1"/>
  <c r="I27" i="25" l="1"/>
  <c r="I21" i="25" s="1" a="1"/>
  <c r="I21" i="25" s="1"/>
  <c r="F12" i="30"/>
  <c r="B4" i="30" s="1"/>
  <c r="F9" i="3" s="1"/>
  <c r="H9" i="3" s="1"/>
  <c r="F12" i="29"/>
  <c r="B4" i="29" s="1"/>
  <c r="F8" i="3" s="1"/>
  <c r="H8" i="3" s="1"/>
  <c r="F22" i="35"/>
  <c r="F27" i="35" s="1"/>
  <c r="F21" i="35" s="1"/>
  <c r="I22" i="35"/>
  <c r="I27" i="35" s="1"/>
  <c r="I21" i="35" s="1" a="1"/>
  <c r="I21" i="35" s="1"/>
  <c r="I22" i="34"/>
  <c r="I27" i="34" s="1"/>
  <c r="I21" i="34" s="1" a="1"/>
  <c r="I21" i="34" s="1"/>
  <c r="F22" i="34"/>
  <c r="F27" i="34" s="1"/>
  <c r="F21" i="34" s="1"/>
  <c r="I15" i="31"/>
  <c r="I14" i="31" s="1"/>
  <c r="F22" i="31"/>
  <c r="F27" i="31" s="1"/>
  <c r="F21" i="31" s="1"/>
  <c r="F17" i="31"/>
  <c r="F14" i="31" s="1"/>
  <c r="I22" i="31"/>
  <c r="I27" i="31" s="1"/>
  <c r="I21" i="31" s="1" a="1"/>
  <c r="I21" i="31" s="1"/>
  <c r="F12" i="27"/>
  <c r="B4" i="27" s="1"/>
  <c r="F7" i="3" s="1"/>
  <c r="H7" i="3" s="1"/>
  <c r="I16" i="23"/>
  <c r="I14" i="23" s="1"/>
  <c r="F17" i="23"/>
  <c r="F14" i="23" s="1"/>
  <c r="F23" i="23"/>
  <c r="F27" i="23" s="1"/>
  <c r="F21" i="23" s="1"/>
  <c r="I23" i="23"/>
  <c r="I27" i="23" s="1"/>
  <c r="I21" i="23" s="1" a="1"/>
  <c r="I21" i="23" s="1"/>
  <c r="I15" i="20"/>
  <c r="I14" i="20" s="1"/>
  <c r="F22" i="20"/>
  <c r="F27" i="20" s="1"/>
  <c r="F21" i="20" s="1"/>
  <c r="F17" i="20"/>
  <c r="F14" i="20" s="1"/>
  <c r="I22" i="20"/>
  <c r="I27" i="20" s="1"/>
  <c r="I21" i="20" s="1" a="1"/>
  <c r="I21" i="20" s="1"/>
  <c r="F23" i="25"/>
  <c r="F27" i="25" s="1"/>
  <c r="F21" i="25" s="1"/>
  <c r="I23" i="17"/>
  <c r="F23" i="17"/>
  <c r="I22" i="17"/>
  <c r="F22" i="17"/>
  <c r="F12" i="25" l="1"/>
  <c r="B4" i="25" s="1"/>
  <c r="F6" i="3" s="1"/>
  <c r="H6" i="3" s="1"/>
  <c r="F12" i="35"/>
  <c r="B4" i="35" s="1"/>
  <c r="F13" i="3" s="1"/>
  <c r="H13" i="3" s="1"/>
  <c r="F12" i="34"/>
  <c r="B4" i="34" s="1"/>
  <c r="F12" i="3" s="1"/>
  <c r="H12" i="3" s="1"/>
  <c r="F12" i="31"/>
  <c r="B4" i="31" s="1"/>
  <c r="F10" i="3" s="1"/>
  <c r="H10" i="3" s="1"/>
  <c r="F12" i="23"/>
  <c r="B4" i="23" s="1"/>
  <c r="F5" i="3" s="1"/>
  <c r="H5" i="3" s="1"/>
  <c r="F12" i="20"/>
  <c r="B4" i="20" s="1"/>
  <c r="F3" i="3" s="1"/>
  <c r="H3" i="3" s="1"/>
  <c r="I27" i="17"/>
  <c r="I21" i="17" s="1" a="1"/>
  <c r="I21" i="17" s="1"/>
  <c r="F27" i="17"/>
  <c r="F21" i="17" s="1"/>
  <c r="F12" i="17" l="1"/>
  <c r="B4" i="17" s="1"/>
  <c r="F2" i="3" s="1"/>
  <c r="H2" i="3" s="1"/>
  <c r="B2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Maltais François</author>
  </authors>
  <commentList>
    <comment ref="E48" authorId="0" shapeId="0" xr:uid="{79489895-801D-4FDB-A253-0E0494BC5D25}">
      <text>
        <r>
          <rPr>
            <b/>
            <sz val="9"/>
            <color indexed="81"/>
            <rFont val="Tahoma"/>
            <charset val="1"/>
          </rPr>
          <t>Maltais François: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<sst xmlns="http://schemas.openxmlformats.org/spreadsheetml/2006/main" count="704" uniqueCount="118">
  <si>
    <t>Annee</t>
  </si>
  <si>
    <t>Programme</t>
  </si>
  <si>
    <t>D11</t>
  </si>
  <si>
    <t>D12</t>
  </si>
  <si>
    <t>D13</t>
  </si>
  <si>
    <t>D31</t>
  </si>
  <si>
    <t>D32</t>
  </si>
  <si>
    <t>D33</t>
  </si>
  <si>
    <t>D34</t>
  </si>
  <si>
    <t>D35</t>
  </si>
  <si>
    <t>D51</t>
  </si>
  <si>
    <t>D52</t>
  </si>
  <si>
    <t>D53</t>
  </si>
  <si>
    <t>D54</t>
  </si>
  <si>
    <t>Nom du cours</t>
  </si>
  <si>
    <t>Nb personnes ayant réussi préalable</t>
  </si>
  <si>
    <t>D21</t>
  </si>
  <si>
    <t>D22</t>
  </si>
  <si>
    <t>D23</t>
  </si>
  <si>
    <t>D24</t>
  </si>
  <si>
    <t>D41</t>
  </si>
  <si>
    <t>D42</t>
  </si>
  <si>
    <t>D43</t>
  </si>
  <si>
    <t>D44</t>
  </si>
  <si>
    <t>D61</t>
  </si>
  <si>
    <t>D63</t>
  </si>
  <si>
    <t>D64</t>
  </si>
  <si>
    <t>D65</t>
  </si>
  <si>
    <t>D66</t>
  </si>
  <si>
    <t>420,ZX</t>
  </si>
  <si>
    <t>200,ZZ</t>
  </si>
  <si>
    <t>420,ZY</t>
  </si>
  <si>
    <t>R-D11</t>
  </si>
  <si>
    <t>R-D12</t>
  </si>
  <si>
    <t>R-D13</t>
  </si>
  <si>
    <t>R-D31</t>
  </si>
  <si>
    <t>R-D32</t>
  </si>
  <si>
    <t>R-D33</t>
  </si>
  <si>
    <t>R-D34</t>
  </si>
  <si>
    <t>R-D35</t>
  </si>
  <si>
    <t>R-D51</t>
  </si>
  <si>
    <t>R-D52</t>
  </si>
  <si>
    <t>R-D53</t>
  </si>
  <si>
    <t>R-D54</t>
  </si>
  <si>
    <t>D62</t>
  </si>
  <si>
    <t>NB de groupes</t>
  </si>
  <si>
    <t>NB moyen Etud/groupe</t>
  </si>
  <si>
    <t>NB de groupes Arrondis</t>
  </si>
  <si>
    <t>Nom Cours</t>
  </si>
  <si>
    <t>NB Réussite</t>
  </si>
  <si>
    <t>NB heures de cours</t>
  </si>
  <si>
    <t>Dominic Paquette</t>
  </si>
  <si>
    <t>Calcul de la charge individuelle</t>
  </si>
  <si>
    <t>Nom du professeur :</t>
  </si>
  <si>
    <t>CI pour la session :</t>
  </si>
  <si>
    <t>Information sur les cours</t>
  </si>
  <si>
    <t>Nb d'heures de cours</t>
  </si>
  <si>
    <t>Nb de groupes</t>
  </si>
  <si>
    <t>Nb étudiants par groupe</t>
  </si>
  <si>
    <t>Calcul CIp</t>
  </si>
  <si>
    <t>Hp</t>
  </si>
  <si>
    <t>Nb de prep</t>
  </si>
  <si>
    <t>Facteur Prep</t>
  </si>
  <si>
    <t>Nb Heure de cours</t>
  </si>
  <si>
    <t>HC</t>
  </si>
  <si>
    <t>NbHeureCours1</t>
  </si>
  <si>
    <t>NbHeureCours2</t>
  </si>
  <si>
    <t>NbHeureCours3</t>
  </si>
  <si>
    <t>NbHeureCours4</t>
  </si>
  <si>
    <t>NbHeureCours5</t>
  </si>
  <si>
    <t>PES</t>
  </si>
  <si>
    <t>EH Cours 1</t>
  </si>
  <si>
    <t>EH Cours 2</t>
  </si>
  <si>
    <t>EH Cours 3</t>
  </si>
  <si>
    <t>EH Cours 4</t>
  </si>
  <si>
    <t>EH Cours 5</t>
  </si>
  <si>
    <t>EH Total</t>
  </si>
  <si>
    <t>NES</t>
  </si>
  <si>
    <t>Etud Cours 1</t>
  </si>
  <si>
    <t>Etud Cours 2</t>
  </si>
  <si>
    <t>Etud Cours 3</t>
  </si>
  <si>
    <t>Etud Cours 4</t>
  </si>
  <si>
    <t>Etud Cours 5</t>
  </si>
  <si>
    <t>Total</t>
  </si>
  <si>
    <t>Calcul Cid</t>
  </si>
  <si>
    <t xml:space="preserve">Libération : </t>
  </si>
  <si>
    <t>Calcul Sid</t>
  </si>
  <si>
    <t>Déplacement lent</t>
  </si>
  <si>
    <t>Déplacement rapide</t>
  </si>
  <si>
    <t>Édolia Bourdeau</t>
  </si>
  <si>
    <t>Émerique Lebeau</t>
  </si>
  <si>
    <t>Jade Poirier</t>
  </si>
  <si>
    <t>Olivier Hallé</t>
  </si>
  <si>
    <t>Cyrianne Gagnon</t>
  </si>
  <si>
    <t>Joelle Chevrier</t>
  </si>
  <si>
    <t>Katherine Gascon</t>
  </si>
  <si>
    <t>Uldor Lafortune</t>
  </si>
  <si>
    <t>Villandré Coutu</t>
  </si>
  <si>
    <t>Maika Marleau</t>
  </si>
  <si>
    <t>Total d'étudiant</t>
  </si>
  <si>
    <t>Étudiant en 420.ZX</t>
  </si>
  <si>
    <t>Étudiant en 420.ZY</t>
  </si>
  <si>
    <t>Étudiant en 200,ZZ</t>
  </si>
  <si>
    <t xml:space="preserve">Autre </t>
  </si>
  <si>
    <t xml:space="preserve">D21 </t>
  </si>
  <si>
    <t xml:space="preserve">Total Subvention 420.ZX </t>
  </si>
  <si>
    <t>Total Subvention 420.ZY</t>
  </si>
  <si>
    <t>Total Subvention 200,ZZ</t>
  </si>
  <si>
    <t xml:space="preserve">Subvention Totale </t>
  </si>
  <si>
    <t>Subvention Gouvernementale</t>
  </si>
  <si>
    <t>Ci</t>
  </si>
  <si>
    <t>Katherine Chen</t>
  </si>
  <si>
    <t>Taux</t>
  </si>
  <si>
    <t xml:space="preserve">Est-ce que le département doit engager de nouvelles personnes ? </t>
  </si>
  <si>
    <t>Non puisque tous les cours ont été attribués.</t>
  </si>
  <si>
    <t>Salaires</t>
  </si>
  <si>
    <t>Masse Salariale</t>
  </si>
  <si>
    <t>Est-ce qu'un enseignant a une CI superieur a 55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</si>
</sst>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\ &quot;$&quot;_ ;_ * \(#,##0.00\)\ &quot;$&quot;_ ;_ * &quot;-&quot;??_)\ &quot;$&quot;_ ;_ @_ "/>
    <numFmt numFmtId="165" formatCode="_ * #,##0.00_)_ ;_ * \(#,##0.00\)_ ;_ * &quot;-&quot;??_)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2">
    <xf numFmtId="0" fontId="0" fillId="0" borderId="0" xfId="0"/>
    <xf numFmtId="0" fontId="0" fillId="38" borderId="27" xfId="0" applyFill="1" applyBorder="1" applyAlignment="1">
      <alignment horizontal="center" vertical="center"/>
    </xf>
    <xf numFmtId="0" fontId="0" fillId="38" borderId="2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3" borderId="27" xfId="0" applyFill="1" applyBorder="1" applyAlignment="1">
      <alignment horizontal="center" vertical="center"/>
    </xf>
    <xf numFmtId="0" fontId="0" fillId="42" borderId="11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/>
    </xf>
    <xf numFmtId="0" fontId="0" fillId="39" borderId="22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8" borderId="25" xfId="0" applyFill="1" applyBorder="1" applyAlignment="1">
      <alignment horizontal="center" vertical="center"/>
    </xf>
    <xf numFmtId="0" fontId="0" fillId="40" borderId="17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5" borderId="0" xfId="0" applyFill="1"/>
    <xf numFmtId="0" fontId="0" fillId="35" borderId="10" xfId="0" applyFill="1" applyBorder="1"/>
    <xf numFmtId="0" fontId="0" fillId="35" borderId="17" xfId="0" applyFill="1" applyBorder="1"/>
    <xf numFmtId="0" fontId="0" fillId="35" borderId="16" xfId="0" applyFill="1" applyBorder="1"/>
    <xf numFmtId="0" fontId="0" fillId="35" borderId="18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38" xfId="0" applyFill="1" applyBorder="1"/>
    <xf numFmtId="0" fontId="0" fillId="35" borderId="39" xfId="0" applyFill="1" applyBorder="1"/>
    <xf numFmtId="0" fontId="0" fillId="35" borderId="27" xfId="0" applyFill="1" applyBorder="1"/>
    <xf numFmtId="0" fontId="0" fillId="35" borderId="28" xfId="0" applyFill="1" applyBorder="1"/>
    <xf numFmtId="0" fontId="0" fillId="36" borderId="39" xfId="0" applyFill="1" applyBorder="1" applyAlignment="1">
      <alignment horizontal="center" vertical="center"/>
    </xf>
    <xf numFmtId="0" fontId="0" fillId="35" borderId="38" xfId="0" applyFill="1" applyBorder="1" applyAlignment="1">
      <alignment horizontal="center" vertical="center"/>
    </xf>
    <xf numFmtId="0" fontId="0" fillId="36" borderId="26" xfId="0" applyFill="1" applyBorder="1" applyAlignment="1">
      <alignment horizontal="center" vertical="center"/>
    </xf>
    <xf numFmtId="0" fontId="0" fillId="36" borderId="40" xfId="0" applyFill="1" applyBorder="1" applyAlignment="1">
      <alignment horizontal="center" vertical="center"/>
    </xf>
    <xf numFmtId="0" fontId="0" fillId="36" borderId="31" xfId="0" applyFill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  <xf numFmtId="0" fontId="0" fillId="35" borderId="28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6" borderId="27" xfId="0" applyFill="1" applyBorder="1" applyAlignment="1">
      <alignment horizontal="center" vertical="center"/>
    </xf>
    <xf numFmtId="0" fontId="0" fillId="36" borderId="28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4" borderId="39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5" borderId="41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41" borderId="33" xfId="0" applyFill="1" applyBorder="1"/>
    <xf numFmtId="0" fontId="0" fillId="41" borderId="31" xfId="0" applyFill="1" applyBorder="1" applyAlignment="1">
      <alignment vertical="center"/>
    </xf>
    <xf numFmtId="0" fontId="0" fillId="41" borderId="37" xfId="0" applyFill="1" applyBorder="1" applyAlignment="1">
      <alignment vertical="center"/>
    </xf>
    <xf numFmtId="0" fontId="0" fillId="41" borderId="36" xfId="0" applyFill="1" applyBorder="1"/>
    <xf numFmtId="0" fontId="0" fillId="41" borderId="0" xfId="0" applyFill="1"/>
    <xf numFmtId="0" fontId="0" fillId="41" borderId="37" xfId="0" applyFill="1" applyBorder="1"/>
    <xf numFmtId="0" fontId="0" fillId="41" borderId="35" xfId="0" applyFill="1" applyBorder="1"/>
    <xf numFmtId="0" fontId="0" fillId="41" borderId="34" xfId="0" applyFill="1" applyBorder="1"/>
    <xf numFmtId="0" fontId="0" fillId="41" borderId="31" xfId="0" applyFill="1" applyBorder="1"/>
    <xf numFmtId="0" fontId="0" fillId="41" borderId="0" xfId="0" applyFill="1" applyAlignment="1">
      <alignment horizontal="center" vertical="center"/>
    </xf>
    <xf numFmtId="0" fontId="0" fillId="41" borderId="37" xfId="0" applyFill="1" applyBorder="1" applyAlignment="1">
      <alignment horizontal="center" vertical="center"/>
    </xf>
    <xf numFmtId="0" fontId="0" fillId="41" borderId="36" xfId="0" applyFill="1" applyBorder="1" applyAlignment="1">
      <alignment horizontal="center" vertical="center"/>
    </xf>
    <xf numFmtId="0" fontId="0" fillId="34" borderId="38" xfId="0" applyFill="1" applyBorder="1" applyAlignment="1">
      <alignment horizontal="center"/>
    </xf>
    <xf numFmtId="0" fontId="0" fillId="34" borderId="26" xfId="0" applyFill="1" applyBorder="1" applyAlignment="1">
      <alignment horizontal="center"/>
    </xf>
    <xf numFmtId="0" fontId="0" fillId="34" borderId="39" xfId="0" applyFill="1" applyBorder="1" applyAlignment="1">
      <alignment horizontal="center"/>
    </xf>
    <xf numFmtId="0" fontId="0" fillId="33" borderId="17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45" borderId="10" xfId="0" applyFill="1" applyBorder="1" applyAlignment="1">
      <alignment horizontal="center" vertical="center"/>
    </xf>
    <xf numFmtId="0" fontId="0" fillId="41" borderId="11" xfId="0" applyFill="1" applyBorder="1" applyAlignment="1">
      <alignment horizontal="center" vertical="center"/>
    </xf>
    <xf numFmtId="0" fontId="0" fillId="41" borderId="12" xfId="0" applyFill="1" applyBorder="1" applyAlignment="1">
      <alignment horizontal="center" vertical="center"/>
    </xf>
    <xf numFmtId="0" fontId="0" fillId="41" borderId="13" xfId="0" applyFill="1" applyBorder="1" applyAlignment="1">
      <alignment horizontal="center" vertical="center"/>
    </xf>
    <xf numFmtId="0" fontId="0" fillId="41" borderId="15" xfId="0" applyFill="1" applyBorder="1" applyAlignment="1">
      <alignment horizontal="center" vertical="center"/>
    </xf>
    <xf numFmtId="0" fontId="0" fillId="41" borderId="27" xfId="0" applyFill="1" applyBorder="1" applyAlignment="1">
      <alignment horizontal="center" vertical="center"/>
    </xf>
    <xf numFmtId="0" fontId="0" fillId="41" borderId="28" xfId="0" applyFill="1" applyBorder="1" applyAlignment="1">
      <alignment horizontal="center" vertical="center"/>
    </xf>
    <xf numFmtId="0" fontId="0" fillId="39" borderId="27" xfId="0" applyFill="1" applyBorder="1"/>
    <xf numFmtId="164" fontId="0" fillId="39" borderId="28" xfId="0" applyNumberFormat="1" applyFill="1" applyBorder="1"/>
    <xf numFmtId="0" fontId="0" fillId="39" borderId="11" xfId="0" applyFill="1" applyBorder="1"/>
    <xf numFmtId="164" fontId="0" fillId="39" borderId="12" xfId="0" applyNumberFormat="1" applyFill="1" applyBorder="1"/>
    <xf numFmtId="0" fontId="0" fillId="39" borderId="13" xfId="0" applyFill="1" applyBorder="1"/>
    <xf numFmtId="164" fontId="0" fillId="39" borderId="15" xfId="0" applyNumberFormat="1" applyFill="1" applyBorder="1"/>
    <xf numFmtId="0" fontId="0" fillId="39" borderId="19" xfId="0" applyFill="1" applyBorder="1"/>
    <xf numFmtId="164" fontId="0" fillId="39" borderId="39" xfId="0" applyNumberFormat="1" applyFill="1" applyBorder="1"/>
    <xf numFmtId="0" fontId="0" fillId="39" borderId="26" xfId="0" applyFill="1" applyBorder="1"/>
    <xf numFmtId="0" fontId="0" fillId="38" borderId="42" xfId="0" applyFill="1" applyBorder="1" applyAlignment="1">
      <alignment horizontal="center" vertical="center"/>
    </xf>
    <xf numFmtId="0" fontId="0" fillId="40" borderId="43" xfId="0" applyFill="1" applyBorder="1" applyAlignment="1">
      <alignment horizontal="center" vertical="center"/>
    </xf>
    <xf numFmtId="0" fontId="0" fillId="42" borderId="13" xfId="0" applyFill="1" applyBorder="1" applyAlignment="1">
      <alignment horizontal="center" vertical="center"/>
    </xf>
    <xf numFmtId="0" fontId="0" fillId="35" borderId="26" xfId="0" applyFill="1" applyBorder="1" applyAlignment="1">
      <alignment horizontal="center" vertical="center"/>
    </xf>
    <xf numFmtId="0" fontId="0" fillId="36" borderId="54" xfId="0" applyFill="1" applyBorder="1" applyAlignment="1">
      <alignment horizontal="center" vertical="center"/>
    </xf>
    <xf numFmtId="0" fontId="0" fillId="36" borderId="52" xfId="0" applyFill="1" applyBorder="1" applyAlignment="1">
      <alignment horizontal="center" vertical="center"/>
    </xf>
    <xf numFmtId="0" fontId="0" fillId="36" borderId="53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32" xfId="0" applyFill="1" applyBorder="1" applyAlignment="1">
      <alignment horizontal="center" vertical="center"/>
    </xf>
    <xf numFmtId="10" fontId="0" fillId="36" borderId="32" xfId="1" applyNumberFormat="1" applyFont="1" applyFill="1" applyBorder="1" applyAlignment="1">
      <alignment horizontal="center" vertical="center"/>
    </xf>
    <xf numFmtId="10" fontId="0" fillId="36" borderId="45" xfId="1" applyNumberFormat="1" applyFont="1" applyFill="1" applyBorder="1" applyAlignment="1">
      <alignment horizontal="center" vertical="center"/>
    </xf>
    <xf numFmtId="0" fontId="0" fillId="36" borderId="5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10" fontId="0" fillId="36" borderId="10" xfId="1" applyNumberFormat="1" applyFont="1" applyFill="1" applyBorder="1" applyAlignment="1">
      <alignment horizontal="center" vertical="center"/>
    </xf>
    <xf numFmtId="10" fontId="0" fillId="36" borderId="46" xfId="1" applyNumberFormat="1" applyFont="1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10" fontId="0" fillId="36" borderId="14" xfId="1" applyNumberFormat="1" applyFont="1" applyFill="1" applyBorder="1" applyAlignment="1">
      <alignment horizontal="center" vertical="center"/>
    </xf>
    <xf numFmtId="10" fontId="0" fillId="36" borderId="47" xfId="1" applyNumberFormat="1" applyFont="1" applyFill="1" applyBorder="1" applyAlignment="1">
      <alignment horizontal="center" vertical="center"/>
    </xf>
    <xf numFmtId="164" fontId="0" fillId="36" borderId="50" xfId="44" applyFont="1" applyFill="1" applyBorder="1" applyAlignment="1">
      <alignment horizontal="center" vertical="center"/>
    </xf>
    <xf numFmtId="164" fontId="0" fillId="36" borderId="48" xfId="44" applyFont="1" applyFill="1" applyBorder="1" applyAlignment="1">
      <alignment horizontal="center" vertical="center"/>
    </xf>
    <xf numFmtId="164" fontId="0" fillId="36" borderId="49" xfId="44" applyFont="1" applyFill="1" applyBorder="1" applyAlignment="1">
      <alignment horizontal="center" vertical="center"/>
    </xf>
    <xf numFmtId="164" fontId="0" fillId="39" borderId="55" xfId="0" applyNumberFormat="1" applyFill="1" applyBorder="1"/>
    <xf numFmtId="164" fontId="0" fillId="39" borderId="56" xfId="0" applyNumberFormat="1" applyFill="1" applyBorder="1"/>
    <xf numFmtId="164" fontId="0" fillId="39" borderId="57" xfId="0" applyNumberFormat="1" applyFill="1" applyBorder="1"/>
    <xf numFmtId="0" fontId="0" fillId="37" borderId="31" xfId="0" applyFill="1" applyBorder="1"/>
    <xf numFmtId="0" fontId="0" fillId="37" borderId="37" xfId="0" applyFill="1" applyBorder="1"/>
    <xf numFmtId="0" fontId="0" fillId="37" borderId="36" xfId="0" applyFill="1" applyBorder="1"/>
    <xf numFmtId="0" fontId="0" fillId="37" borderId="0" xfId="0" applyFill="1"/>
    <xf numFmtId="0" fontId="0" fillId="37" borderId="35" xfId="0" applyFill="1" applyBorder="1"/>
    <xf numFmtId="0" fontId="0" fillId="37" borderId="33" xfId="0" applyFill="1" applyBorder="1"/>
    <xf numFmtId="0" fontId="0" fillId="37" borderId="34" xfId="0" applyFill="1" applyBorder="1"/>
    <xf numFmtId="0" fontId="0" fillId="40" borderId="16" xfId="0" applyFill="1" applyBorder="1" applyAlignment="1">
      <alignment horizontal="center" vertical="center"/>
    </xf>
    <xf numFmtId="0" fontId="0" fillId="40" borderId="18" xfId="0" applyFill="1" applyBorder="1" applyAlignment="1">
      <alignment horizontal="center" vertical="center"/>
    </xf>
    <xf numFmtId="0" fontId="0" fillId="40" borderId="11" xfId="0" applyFill="1" applyBorder="1" applyAlignment="1">
      <alignment horizontal="center" vertical="center"/>
    </xf>
    <xf numFmtId="0" fontId="0" fillId="40" borderId="12" xfId="0" applyFill="1" applyBorder="1" applyAlignment="1">
      <alignment horizontal="center" vertical="center"/>
    </xf>
    <xf numFmtId="0" fontId="0" fillId="40" borderId="13" xfId="0" applyFill="1" applyBorder="1" applyAlignment="1">
      <alignment horizontal="center" vertical="center"/>
    </xf>
    <xf numFmtId="0" fontId="0" fillId="40" borderId="15" xfId="0" applyFill="1" applyBorder="1" applyAlignment="1">
      <alignment horizontal="center" vertical="center"/>
    </xf>
    <xf numFmtId="0" fontId="0" fillId="39" borderId="21" xfId="0" applyFill="1" applyBorder="1"/>
    <xf numFmtId="0" fontId="0" fillId="39" borderId="27" xfId="0" applyFill="1" applyBorder="1" applyAlignment="1">
      <alignment horizontal="center" vertical="center"/>
    </xf>
    <xf numFmtId="0" fontId="0" fillId="39" borderId="28" xfId="0" applyFill="1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7" borderId="29" xfId="0" applyFill="1" applyBorder="1"/>
    <xf numFmtId="0" fontId="0" fillId="37" borderId="30" xfId="0" applyFill="1" applyBorder="1"/>
    <xf numFmtId="0" fontId="0" fillId="40" borderId="29" xfId="0" applyFill="1" applyBorder="1"/>
    <xf numFmtId="0" fontId="0" fillId="40" borderId="36" xfId="0" applyFill="1" applyBorder="1"/>
    <xf numFmtId="0" fontId="0" fillId="40" borderId="35" xfId="0" applyFill="1" applyBorder="1"/>
    <xf numFmtId="0" fontId="0" fillId="40" borderId="33" xfId="0" applyFill="1" applyBorder="1"/>
    <xf numFmtId="164" fontId="0" fillId="40" borderId="34" xfId="44" applyFont="1" applyFill="1" applyBorder="1"/>
    <xf numFmtId="164" fontId="0" fillId="40" borderId="31" xfId="44" applyFont="1" applyFill="1" applyBorder="1"/>
    <xf numFmtId="164" fontId="0" fillId="40" borderId="37" xfId="44" applyFont="1" applyFill="1" applyBorder="1"/>
    <xf numFmtId="0" fontId="0" fillId="40" borderId="34" xfId="0" applyFill="1" applyBorder="1"/>
    <xf numFmtId="0" fontId="0" fillId="38" borderId="11" xfId="0" applyFill="1" applyBorder="1" applyAlignment="1">
      <alignment horizontal="center" vertical="center"/>
    </xf>
    <xf numFmtId="0" fontId="0" fillId="38" borderId="12" xfId="0" applyFill="1" applyBorder="1" applyAlignment="1">
      <alignment horizontal="center" vertical="center"/>
    </xf>
    <xf numFmtId="0" fontId="0" fillId="36" borderId="29" xfId="0" applyFill="1" applyBorder="1" applyAlignment="1">
      <alignment horizontal="center" vertical="center"/>
    </xf>
    <xf numFmtId="0" fontId="0" fillId="36" borderId="30" xfId="0" applyFill="1" applyBorder="1" applyAlignment="1">
      <alignment horizontal="center" vertical="center"/>
    </xf>
    <xf numFmtId="0" fontId="0" fillId="36" borderId="31" xfId="0" applyFill="1" applyBorder="1" applyAlignment="1">
      <alignment horizontal="center" vertical="center"/>
    </xf>
    <xf numFmtId="0" fontId="0" fillId="36" borderId="35" xfId="0" applyFill="1" applyBorder="1" applyAlignment="1">
      <alignment horizontal="center" vertical="center"/>
    </xf>
    <xf numFmtId="0" fontId="0" fillId="36" borderId="33" xfId="0" applyFill="1" applyBorder="1" applyAlignment="1">
      <alignment horizontal="center" vertical="center"/>
    </xf>
    <xf numFmtId="0" fontId="0" fillId="36" borderId="34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6" borderId="22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9" borderId="38" xfId="0" applyFill="1" applyBorder="1" applyAlignment="1">
      <alignment horizontal="center"/>
    </xf>
    <xf numFmtId="0" fontId="0" fillId="39" borderId="39" xfId="0" applyFill="1" applyBorder="1" applyAlignment="1">
      <alignment horizontal="center"/>
    </xf>
    <xf numFmtId="0" fontId="0" fillId="35" borderId="42" xfId="0" applyFill="1" applyBorder="1" applyAlignment="1">
      <alignment horizontal="center" vertical="center"/>
    </xf>
    <xf numFmtId="0" fontId="0" fillId="35" borderId="44" xfId="0" applyFill="1" applyBorder="1" applyAlignment="1">
      <alignment horizontal="center" vertical="center"/>
    </xf>
    <xf numFmtId="0" fontId="0" fillId="34" borderId="29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34" borderId="35" xfId="0" applyFill="1" applyBorder="1" applyAlignment="1">
      <alignment horizontal="center" vertical="center"/>
    </xf>
    <xf numFmtId="0" fontId="0" fillId="34" borderId="34" xfId="0" applyFill="1" applyBorder="1" applyAlignment="1">
      <alignment horizontal="center" vertical="center"/>
    </xf>
    <xf numFmtId="0" fontId="0" fillId="46" borderId="26" xfId="0" applyFill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44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Milliers 2" xfId="43" xr:uid="{8E42E275-A20F-48F1-87F2-2675116D8F62}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274447\Downloads\liste_professeur_e_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Professeur.e.s</v>
          </cell>
          <cell r="B1" t="str">
            <v>Échellon</v>
          </cell>
          <cell r="C1" t="str">
            <v>Libération pour coordination</v>
          </cell>
          <cell r="D1" t="str">
            <v>Libération pour aide aux étudiant.e.s</v>
          </cell>
          <cell r="E1" t="str">
            <v>Libération pour syndicat</v>
          </cell>
        </row>
        <row r="2">
          <cell r="A2" t="str">
            <v>Dominic Paquette</v>
          </cell>
          <cell r="B2">
            <v>11</v>
          </cell>
        </row>
        <row r="3">
          <cell r="A3" t="str">
            <v>Edolia Bourbeau</v>
          </cell>
          <cell r="B3">
            <v>7</v>
          </cell>
          <cell r="E3">
            <v>0.25</v>
          </cell>
        </row>
        <row r="4">
          <cell r="A4" t="str">
            <v>Emérique Lebeau</v>
          </cell>
          <cell r="B4">
            <v>6</v>
          </cell>
          <cell r="C4">
            <v>0.8</v>
          </cell>
        </row>
        <row r="5">
          <cell r="A5" t="str">
            <v>Jade Poirier</v>
          </cell>
          <cell r="B5">
            <v>8</v>
          </cell>
        </row>
        <row r="6">
          <cell r="A6" t="str">
            <v>Olivier Hallé</v>
          </cell>
          <cell r="B6">
            <v>14</v>
          </cell>
          <cell r="E6">
            <v>0.35</v>
          </cell>
        </row>
        <row r="7">
          <cell r="A7" t="str">
            <v>Cyrianne Garon</v>
          </cell>
          <cell r="B7">
            <v>11</v>
          </cell>
        </row>
        <row r="8">
          <cell r="A8" t="str">
            <v>Joel Chevrier</v>
          </cell>
          <cell r="B8">
            <v>15</v>
          </cell>
        </row>
        <row r="9">
          <cell r="A9" t="str">
            <v>Katherine Gascon</v>
          </cell>
          <cell r="B9">
            <v>2</v>
          </cell>
        </row>
        <row r="10">
          <cell r="A10" t="str">
            <v>Uldor Lafortune</v>
          </cell>
          <cell r="B10">
            <v>17</v>
          </cell>
          <cell r="D10">
            <v>0.1</v>
          </cell>
        </row>
        <row r="11">
          <cell r="A11" t="str">
            <v>Katherine Chen</v>
          </cell>
          <cell r="B11">
            <v>17</v>
          </cell>
          <cell r="E11">
            <v>1</v>
          </cell>
        </row>
        <row r="12">
          <cell r="A12" t="str">
            <v>Villandré Coutu</v>
          </cell>
          <cell r="B12">
            <v>1</v>
          </cell>
        </row>
        <row r="13">
          <cell r="A13" t="str">
            <v>Maika Marleau</v>
          </cell>
          <cell r="B13">
            <v>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opLeftCell="A51" workbookViewId="0">
      <selection activeCell="F1" sqref="F1"/>
    </sheetView>
  </sheetViews>
  <sheetFormatPr defaultColWidth="11.5546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29</v>
      </c>
      <c r="C2">
        <v>76.758200000000002</v>
      </c>
      <c r="D2">
        <v>69.906700000000001</v>
      </c>
      <c r="E2">
        <v>68.171999999999997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t="s">
        <v>29</v>
      </c>
      <c r="C3">
        <v>38.166699999999999</v>
      </c>
      <c r="D3">
        <v>75.074100000000001</v>
      </c>
      <c r="E3">
        <v>87.632499999999993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1</v>
      </c>
      <c r="B4" t="s">
        <v>29</v>
      </c>
      <c r="C4">
        <v>58.499099999999999</v>
      </c>
      <c r="D4">
        <v>93.027299999999997</v>
      </c>
      <c r="E4">
        <v>23.2653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1</v>
      </c>
      <c r="B5" t="s">
        <v>29</v>
      </c>
      <c r="C5">
        <v>43.368499999999997</v>
      </c>
      <c r="D5">
        <v>85.194400000000002</v>
      </c>
      <c r="E5">
        <v>69.619299999999996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1</v>
      </c>
      <c r="B6" t="s">
        <v>29</v>
      </c>
      <c r="C6">
        <v>100</v>
      </c>
      <c r="D6">
        <v>19.361499999999999</v>
      </c>
      <c r="E6">
        <v>83.317599999999999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1</v>
      </c>
      <c r="B7" t="s">
        <v>30</v>
      </c>
      <c r="C7">
        <v>56.4255</v>
      </c>
      <c r="D7">
        <v>99.617699999999999</v>
      </c>
      <c r="E7">
        <v>50.345300000000002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</v>
      </c>
      <c r="B8" t="s">
        <v>31</v>
      </c>
      <c r="C8">
        <v>54.765099999999997</v>
      </c>
      <c r="D8">
        <v>56.918900000000001</v>
      </c>
      <c r="E8">
        <v>58.617899999999999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</v>
      </c>
      <c r="B9" t="s">
        <v>31</v>
      </c>
      <c r="C9">
        <v>100</v>
      </c>
      <c r="D9">
        <v>100</v>
      </c>
      <c r="E9">
        <v>99.903700000000001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1</v>
      </c>
      <c r="B10" t="s">
        <v>29</v>
      </c>
      <c r="C10">
        <v>69.967399999999998</v>
      </c>
      <c r="D10">
        <v>90.301400000000001</v>
      </c>
      <c r="E10">
        <v>59.128500000000003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</v>
      </c>
      <c r="B11" t="s">
        <v>29</v>
      </c>
      <c r="C11">
        <v>63.8581</v>
      </c>
      <c r="D11">
        <v>57.527999999999999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</v>
      </c>
      <c r="B12" t="s">
        <v>29</v>
      </c>
      <c r="C12">
        <v>81.930999999999997</v>
      </c>
      <c r="D12">
        <v>93.176400000000001</v>
      </c>
      <c r="E12">
        <v>63.671999999999997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</v>
      </c>
      <c r="B13" t="s">
        <v>30</v>
      </c>
      <c r="C13">
        <v>77.387900000000002</v>
      </c>
      <c r="D13">
        <v>100</v>
      </c>
      <c r="E13">
        <v>56.623100000000001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</v>
      </c>
      <c r="B14" t="s">
        <v>29</v>
      </c>
      <c r="C14">
        <v>99.228200000000001</v>
      </c>
      <c r="D14">
        <v>74.406000000000006</v>
      </c>
      <c r="E14">
        <v>94.796700000000001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</v>
      </c>
      <c r="B15" t="s">
        <v>29</v>
      </c>
      <c r="C15">
        <v>54.886800000000001</v>
      </c>
      <c r="D15">
        <v>42.916499999999999</v>
      </c>
      <c r="E15">
        <v>98.285600000000002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</v>
      </c>
      <c r="B16" t="s">
        <v>29</v>
      </c>
      <c r="C16">
        <v>100</v>
      </c>
      <c r="D16">
        <v>60.9649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</v>
      </c>
      <c r="B17" t="s">
        <v>31</v>
      </c>
      <c r="C17">
        <v>75.491100000000003</v>
      </c>
      <c r="D17">
        <v>94.225899999999996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</v>
      </c>
      <c r="B18" t="s">
        <v>29</v>
      </c>
      <c r="C18">
        <v>100</v>
      </c>
      <c r="D18">
        <v>58.284700000000001</v>
      </c>
      <c r="E18">
        <v>79.821899999999999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</v>
      </c>
      <c r="B19" t="s">
        <v>31</v>
      </c>
      <c r="C19">
        <v>66.316800000000001</v>
      </c>
      <c r="D19">
        <v>81.685500000000005</v>
      </c>
      <c r="E19">
        <v>51.132300000000001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</v>
      </c>
      <c r="B20" t="s">
        <v>30</v>
      </c>
      <c r="C20">
        <v>100</v>
      </c>
      <c r="D20">
        <v>57.454000000000001</v>
      </c>
      <c r="E20">
        <v>43.436100000000003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</v>
      </c>
      <c r="B21" t="s">
        <v>29</v>
      </c>
      <c r="C21">
        <v>80.592699999999994</v>
      </c>
      <c r="D21">
        <v>89.7059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1</v>
      </c>
      <c r="B22" t="s">
        <v>29</v>
      </c>
      <c r="C22">
        <v>67.412400000000005</v>
      </c>
      <c r="D22">
        <v>67.402799999999999</v>
      </c>
      <c r="E22">
        <v>25.041899999999998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1</v>
      </c>
      <c r="B23" t="s">
        <v>29</v>
      </c>
      <c r="C23">
        <v>98.794300000000007</v>
      </c>
      <c r="D23">
        <v>89.950199999999995</v>
      </c>
      <c r="E23">
        <v>68.804900000000004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1</v>
      </c>
      <c r="B24" t="s">
        <v>31</v>
      </c>
      <c r="C24">
        <v>100</v>
      </c>
      <c r="D24">
        <v>76.447400000000002</v>
      </c>
      <c r="E24">
        <v>71.2072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1</v>
      </c>
      <c r="B25" t="s">
        <v>29</v>
      </c>
      <c r="C25">
        <v>83.217299999999994</v>
      </c>
      <c r="D25">
        <v>61.512900000000002</v>
      </c>
      <c r="E25">
        <v>63.985199999999999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1</v>
      </c>
      <c r="B26" t="s">
        <v>31</v>
      </c>
      <c r="C26">
        <v>53.294600000000003</v>
      </c>
      <c r="D26">
        <v>57.613</v>
      </c>
      <c r="E26">
        <v>82.9495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1</v>
      </c>
      <c r="B27" t="s">
        <v>31</v>
      </c>
      <c r="C27">
        <v>100</v>
      </c>
      <c r="D27">
        <v>67.490899999999996</v>
      </c>
      <c r="E27">
        <v>87.763099999999994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1</v>
      </c>
      <c r="B28" t="s">
        <v>29</v>
      </c>
      <c r="C28">
        <v>95.460400000000007</v>
      </c>
      <c r="D28">
        <v>66.213200000000001</v>
      </c>
      <c r="E28">
        <v>82.166600000000003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1</v>
      </c>
      <c r="B29" t="s">
        <v>31</v>
      </c>
      <c r="C29">
        <v>33.7012</v>
      </c>
      <c r="D29">
        <v>84.236999999999995</v>
      </c>
      <c r="E29">
        <v>66.898099999999999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1</v>
      </c>
      <c r="B30" t="s">
        <v>31</v>
      </c>
      <c r="C30">
        <v>99.0929</v>
      </c>
      <c r="D30">
        <v>100</v>
      </c>
      <c r="E30">
        <v>63.391500000000001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1</v>
      </c>
      <c r="B31" t="s">
        <v>29</v>
      </c>
      <c r="C31">
        <v>77.055000000000007</v>
      </c>
      <c r="D31">
        <v>37.401200000000003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1</v>
      </c>
      <c r="B32" t="s">
        <v>29</v>
      </c>
      <c r="C32">
        <v>73.980800000000002</v>
      </c>
      <c r="D32">
        <v>71.614199999999997</v>
      </c>
      <c r="E32">
        <v>59.900799999999997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1</v>
      </c>
      <c r="B33" t="s">
        <v>31</v>
      </c>
      <c r="C33">
        <v>66.141000000000005</v>
      </c>
      <c r="D33">
        <v>64.028599999999997</v>
      </c>
      <c r="E33">
        <v>59.650799999999997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1</v>
      </c>
      <c r="B34" t="s">
        <v>31</v>
      </c>
      <c r="C34">
        <v>84.821600000000004</v>
      </c>
      <c r="D34">
        <v>71.113399999999999</v>
      </c>
      <c r="E34">
        <v>95.155500000000004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1</v>
      </c>
      <c r="B35" t="s">
        <v>30</v>
      </c>
      <c r="C35">
        <v>70.572500000000005</v>
      </c>
      <c r="D35">
        <v>93.926699999999997</v>
      </c>
      <c r="E35">
        <v>39.119799999999998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1</v>
      </c>
      <c r="B36" t="s">
        <v>29</v>
      </c>
      <c r="C36">
        <v>100</v>
      </c>
      <c r="D36">
        <v>84.558000000000007</v>
      </c>
      <c r="E36">
        <v>65.075000000000003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1</v>
      </c>
      <c r="B37" t="s">
        <v>30</v>
      </c>
      <c r="C37">
        <v>92.733400000000003</v>
      </c>
      <c r="D37">
        <v>73.999899999999997</v>
      </c>
      <c r="E37">
        <v>48.3003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1</v>
      </c>
      <c r="B38" t="s">
        <v>29</v>
      </c>
      <c r="C38">
        <v>85.240300000000005</v>
      </c>
      <c r="D38">
        <v>98.733800000000002</v>
      </c>
      <c r="E38">
        <v>31.8965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1</v>
      </c>
      <c r="B39" t="s">
        <v>30</v>
      </c>
      <c r="C39">
        <v>71.254099999999994</v>
      </c>
      <c r="D39">
        <v>88.6845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1</v>
      </c>
      <c r="B40" t="s">
        <v>30</v>
      </c>
      <c r="C40">
        <v>63.850700000000003</v>
      </c>
      <c r="D40">
        <v>48.2455</v>
      </c>
      <c r="E40">
        <v>77.764700000000005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1</v>
      </c>
      <c r="B41" t="s">
        <v>31</v>
      </c>
      <c r="C41">
        <v>100</v>
      </c>
      <c r="D41">
        <v>69.397099999999995</v>
      </c>
      <c r="E41">
        <v>95.241900000000001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3</v>
      </c>
      <c r="B42" t="s">
        <v>31</v>
      </c>
      <c r="C42">
        <v>0</v>
      </c>
      <c r="D42">
        <v>0</v>
      </c>
      <c r="E42">
        <v>0</v>
      </c>
      <c r="F42">
        <v>0</v>
      </c>
      <c r="G42">
        <v>100</v>
      </c>
      <c r="H42">
        <v>0</v>
      </c>
      <c r="I42">
        <v>0</v>
      </c>
      <c r="J42">
        <v>0</v>
      </c>
      <c r="K42">
        <v>52.790100000000002</v>
      </c>
      <c r="L42">
        <v>80.437799999999996</v>
      </c>
      <c r="M42">
        <v>95.075400000000002</v>
      </c>
      <c r="N42">
        <v>68.882599999999996</v>
      </c>
    </row>
    <row r="43" spans="1:14" x14ac:dyDescent="0.3">
      <c r="A43">
        <v>3</v>
      </c>
      <c r="B43" t="s">
        <v>29</v>
      </c>
      <c r="C43">
        <v>0</v>
      </c>
      <c r="D43">
        <v>0</v>
      </c>
      <c r="E43">
        <v>0</v>
      </c>
      <c r="F43">
        <v>83.739199999999997</v>
      </c>
      <c r="G43">
        <v>0</v>
      </c>
      <c r="H43">
        <v>0</v>
      </c>
      <c r="I43">
        <v>0</v>
      </c>
      <c r="J43">
        <v>0</v>
      </c>
      <c r="K43">
        <v>61.833199999999998</v>
      </c>
      <c r="L43">
        <v>84.6678</v>
      </c>
      <c r="M43">
        <v>92.445599999999999</v>
      </c>
      <c r="N43">
        <v>63.405299999999997</v>
      </c>
    </row>
    <row r="44" spans="1:14" x14ac:dyDescent="0.3">
      <c r="A44">
        <v>3</v>
      </c>
      <c r="B44" t="s">
        <v>29</v>
      </c>
      <c r="C44">
        <v>0</v>
      </c>
      <c r="D44">
        <v>0</v>
      </c>
      <c r="E44">
        <v>78.447800000000001</v>
      </c>
      <c r="F44">
        <v>0</v>
      </c>
      <c r="G44">
        <v>43.1297</v>
      </c>
      <c r="H44">
        <v>0</v>
      </c>
      <c r="I44">
        <v>0</v>
      </c>
      <c r="J44">
        <v>0</v>
      </c>
      <c r="K44">
        <v>43.197400000000002</v>
      </c>
      <c r="L44">
        <v>53.539499999999997</v>
      </c>
      <c r="M44">
        <v>65.851399999999998</v>
      </c>
      <c r="N44">
        <v>49.856299999999997</v>
      </c>
    </row>
    <row r="45" spans="1:14" x14ac:dyDescent="0.3">
      <c r="A45">
        <v>3</v>
      </c>
      <c r="B45" t="s">
        <v>29</v>
      </c>
      <c r="C45">
        <v>0</v>
      </c>
      <c r="D45">
        <v>0</v>
      </c>
      <c r="E45">
        <v>0</v>
      </c>
      <c r="F45">
        <v>0</v>
      </c>
      <c r="G45">
        <v>72.904200000000003</v>
      </c>
      <c r="H45">
        <v>0</v>
      </c>
      <c r="I45">
        <v>0</v>
      </c>
      <c r="J45">
        <v>0</v>
      </c>
      <c r="K45">
        <v>36.290100000000002</v>
      </c>
      <c r="L45">
        <v>28.0059</v>
      </c>
      <c r="M45">
        <v>100</v>
      </c>
      <c r="N45">
        <v>48.856000000000002</v>
      </c>
    </row>
    <row r="46" spans="1:14" x14ac:dyDescent="0.3">
      <c r="A46">
        <v>3</v>
      </c>
      <c r="B46" t="s">
        <v>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63.726700000000001</v>
      </c>
      <c r="L46">
        <v>68.586399999999998</v>
      </c>
      <c r="M46">
        <v>97.518699999999995</v>
      </c>
      <c r="N46">
        <v>79.5625</v>
      </c>
    </row>
    <row r="47" spans="1:14" x14ac:dyDescent="0.3">
      <c r="A47">
        <v>3</v>
      </c>
      <c r="B47" t="s">
        <v>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68.034800000000004</v>
      </c>
      <c r="L47">
        <v>66.752700000000004</v>
      </c>
      <c r="M47">
        <v>83.707400000000007</v>
      </c>
      <c r="N47">
        <v>100</v>
      </c>
    </row>
    <row r="48" spans="1:14" x14ac:dyDescent="0.3">
      <c r="A48">
        <v>3</v>
      </c>
      <c r="B48" t="s">
        <v>29</v>
      </c>
      <c r="C48">
        <v>0</v>
      </c>
      <c r="D48">
        <v>0</v>
      </c>
      <c r="E48">
        <v>0</v>
      </c>
      <c r="F48">
        <v>0</v>
      </c>
      <c r="G48">
        <v>0</v>
      </c>
      <c r="H48">
        <v>71.205399999999997</v>
      </c>
      <c r="I48">
        <v>0</v>
      </c>
      <c r="J48">
        <v>0</v>
      </c>
      <c r="K48">
        <v>77.938000000000002</v>
      </c>
      <c r="L48">
        <v>30.281400000000001</v>
      </c>
      <c r="M48">
        <v>68.332599999999999</v>
      </c>
      <c r="N48">
        <v>50.311500000000002</v>
      </c>
    </row>
    <row r="49" spans="1:14" x14ac:dyDescent="0.3">
      <c r="A49">
        <v>3</v>
      </c>
      <c r="B49" t="s">
        <v>30</v>
      </c>
      <c r="C49">
        <v>0</v>
      </c>
      <c r="D49">
        <v>74.833500000000001</v>
      </c>
      <c r="E49">
        <v>10.0624</v>
      </c>
      <c r="F49">
        <v>0</v>
      </c>
      <c r="G49">
        <v>0</v>
      </c>
      <c r="H49">
        <v>0</v>
      </c>
      <c r="I49">
        <v>0</v>
      </c>
      <c r="J49">
        <v>0</v>
      </c>
      <c r="K49">
        <v>100</v>
      </c>
      <c r="L49">
        <v>49.424599999999998</v>
      </c>
      <c r="M49">
        <v>67.950999999999993</v>
      </c>
      <c r="N49">
        <v>100</v>
      </c>
    </row>
    <row r="50" spans="1:14" x14ac:dyDescent="0.3">
      <c r="A50">
        <v>3</v>
      </c>
      <c r="B50" t="s">
        <v>29</v>
      </c>
      <c r="C50">
        <v>0</v>
      </c>
      <c r="D50">
        <v>0</v>
      </c>
      <c r="E50">
        <v>0</v>
      </c>
      <c r="F50">
        <v>100</v>
      </c>
      <c r="G50">
        <v>0</v>
      </c>
      <c r="H50">
        <v>76.769199999999998</v>
      </c>
      <c r="I50">
        <v>0</v>
      </c>
      <c r="J50">
        <v>100</v>
      </c>
      <c r="K50">
        <v>46.6464</v>
      </c>
      <c r="L50">
        <v>100</v>
      </c>
      <c r="M50">
        <v>11.883800000000001</v>
      </c>
      <c r="N50">
        <v>31.731400000000001</v>
      </c>
    </row>
    <row r="51" spans="1:14" x14ac:dyDescent="0.3">
      <c r="A51">
        <v>3</v>
      </c>
      <c r="B51" t="s">
        <v>29</v>
      </c>
      <c r="C51">
        <v>0</v>
      </c>
      <c r="D51">
        <v>76.213200000000001</v>
      </c>
      <c r="E51">
        <v>0</v>
      </c>
      <c r="F51">
        <v>0</v>
      </c>
      <c r="G51">
        <v>0</v>
      </c>
      <c r="H51">
        <v>77.315100000000001</v>
      </c>
      <c r="I51">
        <v>0</v>
      </c>
      <c r="J51">
        <v>81.39</v>
      </c>
      <c r="K51">
        <v>61.645499999999998</v>
      </c>
      <c r="L51">
        <v>51.355699999999999</v>
      </c>
      <c r="M51">
        <v>84.471299999999999</v>
      </c>
      <c r="N51">
        <v>79.762100000000004</v>
      </c>
    </row>
    <row r="52" spans="1:14" x14ac:dyDescent="0.3">
      <c r="A52">
        <v>3</v>
      </c>
      <c r="B52" t="s">
        <v>31</v>
      </c>
      <c r="C52">
        <v>88.135999999999996</v>
      </c>
      <c r="D52">
        <v>0</v>
      </c>
      <c r="E52">
        <v>0</v>
      </c>
      <c r="F52">
        <v>100</v>
      </c>
      <c r="G52">
        <v>0</v>
      </c>
      <c r="H52">
        <v>0</v>
      </c>
      <c r="I52">
        <v>0</v>
      </c>
      <c r="J52">
        <v>0</v>
      </c>
      <c r="K52">
        <v>65.025000000000006</v>
      </c>
      <c r="L52">
        <v>56.499899999999997</v>
      </c>
      <c r="M52">
        <v>55.405900000000003</v>
      </c>
      <c r="N52">
        <v>100</v>
      </c>
    </row>
    <row r="53" spans="1:14" x14ac:dyDescent="0.3">
      <c r="A53">
        <v>3</v>
      </c>
      <c r="B53" t="s">
        <v>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29.1249</v>
      </c>
      <c r="J53">
        <v>73.326099999999997</v>
      </c>
      <c r="K53">
        <v>68.384799999999998</v>
      </c>
      <c r="L53">
        <v>75.682199999999995</v>
      </c>
      <c r="M53">
        <v>71.2804</v>
      </c>
      <c r="N53">
        <v>55.633800000000001</v>
      </c>
    </row>
    <row r="54" spans="1:14" x14ac:dyDescent="0.3">
      <c r="A54">
        <v>3</v>
      </c>
      <c r="B54" t="s">
        <v>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42.154899999999998</v>
      </c>
      <c r="J54">
        <v>48.454599999999999</v>
      </c>
      <c r="K54">
        <v>80.428799999999995</v>
      </c>
      <c r="L54">
        <v>100</v>
      </c>
      <c r="M54">
        <v>75.595699999999994</v>
      </c>
      <c r="N54">
        <v>73.6357</v>
      </c>
    </row>
    <row r="55" spans="1:14" x14ac:dyDescent="0.3">
      <c r="A55">
        <v>3</v>
      </c>
      <c r="B55" t="s">
        <v>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73.770600000000002</v>
      </c>
      <c r="K55">
        <v>13.9849</v>
      </c>
      <c r="L55">
        <v>100</v>
      </c>
      <c r="M55">
        <v>88.795500000000004</v>
      </c>
      <c r="N55">
        <v>100</v>
      </c>
    </row>
    <row r="56" spans="1:14" x14ac:dyDescent="0.3">
      <c r="A56">
        <v>3</v>
      </c>
      <c r="B56" t="s">
        <v>31</v>
      </c>
      <c r="C56">
        <v>0</v>
      </c>
      <c r="D56">
        <v>65.191699999999997</v>
      </c>
      <c r="E56">
        <v>0</v>
      </c>
      <c r="F56">
        <v>0</v>
      </c>
      <c r="G56">
        <v>0</v>
      </c>
      <c r="H56">
        <v>0</v>
      </c>
      <c r="I56">
        <v>86.208399999999997</v>
      </c>
      <c r="J56">
        <v>46.185499999999998</v>
      </c>
      <c r="K56">
        <v>58.820099999999996</v>
      </c>
      <c r="L56">
        <v>56.158099999999997</v>
      </c>
      <c r="M56">
        <v>73.867400000000004</v>
      </c>
      <c r="N56">
        <v>99.643600000000006</v>
      </c>
    </row>
    <row r="57" spans="1:14" x14ac:dyDescent="0.3">
      <c r="A57">
        <v>3</v>
      </c>
      <c r="B57" t="s">
        <v>29</v>
      </c>
      <c r="C57">
        <v>0</v>
      </c>
      <c r="D57">
        <v>0</v>
      </c>
      <c r="E57">
        <v>49.16</v>
      </c>
      <c r="F57">
        <v>30.827100000000002</v>
      </c>
      <c r="G57">
        <v>73.731200000000001</v>
      </c>
      <c r="H57">
        <v>100</v>
      </c>
      <c r="I57">
        <v>0</v>
      </c>
      <c r="J57">
        <v>0</v>
      </c>
      <c r="K57">
        <v>29.880299999999998</v>
      </c>
      <c r="L57">
        <v>59.4133</v>
      </c>
      <c r="M57">
        <v>50.099600000000002</v>
      </c>
      <c r="N57">
        <v>46.648899999999998</v>
      </c>
    </row>
    <row r="58" spans="1:14" x14ac:dyDescent="0.3">
      <c r="A58">
        <v>3</v>
      </c>
      <c r="B58" t="s">
        <v>29</v>
      </c>
      <c r="C58">
        <v>0</v>
      </c>
      <c r="D58">
        <v>25.826799999999999</v>
      </c>
      <c r="E58">
        <v>0</v>
      </c>
      <c r="F58">
        <v>0</v>
      </c>
      <c r="G58">
        <v>75.348699999999994</v>
      </c>
      <c r="H58">
        <v>90.61</v>
      </c>
      <c r="I58">
        <v>0</v>
      </c>
      <c r="J58">
        <v>0</v>
      </c>
      <c r="K58">
        <v>100</v>
      </c>
      <c r="L58">
        <v>100</v>
      </c>
      <c r="M58">
        <v>60.440199999999997</v>
      </c>
      <c r="N58">
        <v>84.957700000000003</v>
      </c>
    </row>
    <row r="59" spans="1:14" x14ac:dyDescent="0.3">
      <c r="A59">
        <v>3</v>
      </c>
      <c r="B59" t="s">
        <v>31</v>
      </c>
      <c r="C59">
        <v>0</v>
      </c>
      <c r="D59">
        <v>64.618600000000001</v>
      </c>
      <c r="E59">
        <v>0</v>
      </c>
      <c r="F59">
        <v>0</v>
      </c>
      <c r="G59">
        <v>0</v>
      </c>
      <c r="H59">
        <v>75.816699999999997</v>
      </c>
      <c r="I59">
        <v>85.134399999999999</v>
      </c>
      <c r="J59">
        <v>40.865200000000002</v>
      </c>
      <c r="K59">
        <v>81.954099999999997</v>
      </c>
      <c r="L59">
        <v>67.047499999999999</v>
      </c>
      <c r="M59">
        <v>90.228300000000004</v>
      </c>
      <c r="N59">
        <v>100</v>
      </c>
    </row>
    <row r="60" spans="1:14" x14ac:dyDescent="0.3">
      <c r="A60">
        <v>3</v>
      </c>
      <c r="B60" t="s">
        <v>29</v>
      </c>
      <c r="C60">
        <v>0</v>
      </c>
      <c r="D60">
        <v>0</v>
      </c>
      <c r="E60">
        <v>0</v>
      </c>
      <c r="F60">
        <v>0</v>
      </c>
      <c r="G60">
        <v>38.109699999999997</v>
      </c>
      <c r="H60">
        <v>0</v>
      </c>
      <c r="I60">
        <v>0</v>
      </c>
      <c r="J60">
        <v>69.221199999999996</v>
      </c>
      <c r="K60">
        <v>85.641000000000005</v>
      </c>
      <c r="L60">
        <v>95.312399999999997</v>
      </c>
      <c r="M60">
        <v>77.470100000000002</v>
      </c>
      <c r="N60">
        <v>49.904299999999999</v>
      </c>
    </row>
    <row r="61" spans="1:14" x14ac:dyDescent="0.3">
      <c r="A61">
        <v>3</v>
      </c>
      <c r="B61" t="s">
        <v>31</v>
      </c>
      <c r="C61">
        <v>56.854399999999998</v>
      </c>
      <c r="D61">
        <v>0</v>
      </c>
      <c r="E61">
        <v>0</v>
      </c>
      <c r="F61">
        <v>35.790399999999998</v>
      </c>
      <c r="G61">
        <v>63.286900000000003</v>
      </c>
      <c r="H61">
        <v>0</v>
      </c>
      <c r="I61">
        <v>0</v>
      </c>
      <c r="J61">
        <v>0</v>
      </c>
      <c r="K61">
        <v>69.922399999999996</v>
      </c>
      <c r="L61">
        <v>91.007000000000005</v>
      </c>
      <c r="M61">
        <v>81.257000000000005</v>
      </c>
      <c r="N61">
        <v>89.393600000000006</v>
      </c>
    </row>
    <row r="62" spans="1:14" x14ac:dyDescent="0.3">
      <c r="A62">
        <v>3</v>
      </c>
      <c r="B62" t="s">
        <v>30</v>
      </c>
      <c r="C62">
        <v>0</v>
      </c>
      <c r="D62">
        <v>0</v>
      </c>
      <c r="E62">
        <v>0</v>
      </c>
      <c r="F62">
        <v>85.596800000000002</v>
      </c>
      <c r="G62">
        <v>0</v>
      </c>
      <c r="H62">
        <v>0</v>
      </c>
      <c r="I62">
        <v>0</v>
      </c>
      <c r="J62">
        <v>0</v>
      </c>
      <c r="K62">
        <v>100</v>
      </c>
      <c r="L62">
        <v>37.249099999999999</v>
      </c>
      <c r="M62">
        <v>81.149900000000002</v>
      </c>
      <c r="N62">
        <v>47.893900000000002</v>
      </c>
    </row>
    <row r="63" spans="1:14" x14ac:dyDescent="0.3">
      <c r="A63">
        <v>3</v>
      </c>
      <c r="B63" t="s">
        <v>31</v>
      </c>
      <c r="C63">
        <v>83.2423</v>
      </c>
      <c r="D63">
        <v>73.774500000000003</v>
      </c>
      <c r="E63">
        <v>72.552700000000002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82.473299999999995</v>
      </c>
      <c r="L63">
        <v>96.622399999999999</v>
      </c>
      <c r="M63">
        <v>58.545999999999999</v>
      </c>
      <c r="N63">
        <v>52.385800000000003</v>
      </c>
    </row>
    <row r="64" spans="1:14" x14ac:dyDescent="0.3">
      <c r="A64">
        <v>3</v>
      </c>
      <c r="B64" t="s">
        <v>29</v>
      </c>
      <c r="C64">
        <v>0</v>
      </c>
      <c r="D64">
        <v>0</v>
      </c>
      <c r="E64">
        <v>0</v>
      </c>
      <c r="F64">
        <v>0</v>
      </c>
      <c r="G64">
        <v>76.418599999999998</v>
      </c>
      <c r="H64">
        <v>0</v>
      </c>
      <c r="I64">
        <v>0</v>
      </c>
      <c r="J64">
        <v>0</v>
      </c>
      <c r="K64">
        <v>61.242800000000003</v>
      </c>
      <c r="L64">
        <v>88.499700000000004</v>
      </c>
      <c r="M64">
        <v>53.792700000000004</v>
      </c>
      <c r="N64">
        <v>65.442400000000006</v>
      </c>
    </row>
    <row r="65" spans="1:14" x14ac:dyDescent="0.3">
      <c r="A65">
        <v>3</v>
      </c>
      <c r="B65" t="s">
        <v>31</v>
      </c>
      <c r="C65">
        <v>0</v>
      </c>
      <c r="D65">
        <v>0</v>
      </c>
      <c r="E65">
        <v>0</v>
      </c>
      <c r="F65">
        <v>0</v>
      </c>
      <c r="G65">
        <v>100</v>
      </c>
      <c r="H65">
        <v>0</v>
      </c>
      <c r="I65">
        <v>0</v>
      </c>
      <c r="J65">
        <v>0</v>
      </c>
      <c r="K65">
        <v>85.687600000000003</v>
      </c>
      <c r="L65">
        <v>68.017300000000006</v>
      </c>
      <c r="M65">
        <v>75.5779</v>
      </c>
      <c r="N65">
        <v>52.362499999999997</v>
      </c>
    </row>
    <row r="66" spans="1:14" x14ac:dyDescent="0.3">
      <c r="A66">
        <v>3</v>
      </c>
      <c r="B66" t="s">
        <v>31</v>
      </c>
      <c r="C66">
        <v>0</v>
      </c>
      <c r="D66">
        <v>0</v>
      </c>
      <c r="E66">
        <v>0</v>
      </c>
      <c r="F66">
        <v>0</v>
      </c>
      <c r="G66">
        <v>100</v>
      </c>
      <c r="H66">
        <v>0</v>
      </c>
      <c r="I66">
        <v>0</v>
      </c>
      <c r="J66">
        <v>0</v>
      </c>
      <c r="K66">
        <v>92.839399999999998</v>
      </c>
      <c r="L66">
        <v>78.437200000000004</v>
      </c>
      <c r="M66">
        <v>100</v>
      </c>
      <c r="N66">
        <v>27.258299999999998</v>
      </c>
    </row>
    <row r="67" spans="1:14" x14ac:dyDescent="0.3">
      <c r="A67">
        <v>3</v>
      </c>
      <c r="B67" t="s">
        <v>31</v>
      </c>
      <c r="C67">
        <v>0</v>
      </c>
      <c r="D67">
        <v>0</v>
      </c>
      <c r="E67">
        <v>0</v>
      </c>
      <c r="F67">
        <v>0</v>
      </c>
      <c r="G67">
        <v>0</v>
      </c>
      <c r="H67">
        <v>79.463700000000003</v>
      </c>
      <c r="I67">
        <v>0</v>
      </c>
      <c r="J67">
        <v>0</v>
      </c>
      <c r="K67">
        <v>75.009799999999998</v>
      </c>
      <c r="L67">
        <v>66.6661</v>
      </c>
      <c r="M67">
        <v>93.988200000000006</v>
      </c>
      <c r="N67">
        <v>100</v>
      </c>
    </row>
    <row r="68" spans="1:14" x14ac:dyDescent="0.3">
      <c r="A68">
        <v>3</v>
      </c>
      <c r="B68" t="s">
        <v>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44.652799999999999</v>
      </c>
      <c r="J68">
        <v>71.089299999999994</v>
      </c>
      <c r="K68">
        <v>100</v>
      </c>
      <c r="L68">
        <v>50.251899999999999</v>
      </c>
      <c r="M68">
        <v>100</v>
      </c>
      <c r="N68">
        <v>100</v>
      </c>
    </row>
    <row r="69" spans="1:14" x14ac:dyDescent="0.3">
      <c r="A69">
        <v>3</v>
      </c>
      <c r="B69" t="s">
        <v>31</v>
      </c>
      <c r="C69">
        <v>100</v>
      </c>
      <c r="D69">
        <v>0</v>
      </c>
      <c r="E69">
        <v>0</v>
      </c>
      <c r="F69">
        <v>0</v>
      </c>
      <c r="G69">
        <v>23.8324</v>
      </c>
      <c r="H69">
        <v>0</v>
      </c>
      <c r="I69">
        <v>0</v>
      </c>
      <c r="J69">
        <v>0</v>
      </c>
      <c r="K69">
        <v>70.6203</v>
      </c>
      <c r="L69">
        <v>92.911900000000003</v>
      </c>
      <c r="M69">
        <v>100</v>
      </c>
      <c r="N69">
        <v>89.875100000000003</v>
      </c>
    </row>
    <row r="70" spans="1:14" x14ac:dyDescent="0.3">
      <c r="A70">
        <v>3</v>
      </c>
      <c r="B70" t="s">
        <v>30</v>
      </c>
      <c r="C70">
        <v>0</v>
      </c>
      <c r="D70">
        <v>0</v>
      </c>
      <c r="E70">
        <v>0</v>
      </c>
      <c r="F70">
        <v>100</v>
      </c>
      <c r="G70">
        <v>0</v>
      </c>
      <c r="H70">
        <v>96.245999999999995</v>
      </c>
      <c r="I70">
        <v>21.362500000000001</v>
      </c>
      <c r="J70">
        <v>0</v>
      </c>
      <c r="K70">
        <v>34.408799999999999</v>
      </c>
      <c r="L70">
        <v>73.107600000000005</v>
      </c>
      <c r="M70">
        <v>56.028500000000001</v>
      </c>
      <c r="N70">
        <v>100</v>
      </c>
    </row>
    <row r="71" spans="1:14" x14ac:dyDescent="0.3">
      <c r="A71">
        <v>3</v>
      </c>
      <c r="B71" t="s">
        <v>29</v>
      </c>
      <c r="C71">
        <v>0</v>
      </c>
      <c r="D71">
        <v>50.868600000000001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100</v>
      </c>
      <c r="L71">
        <v>78.6524</v>
      </c>
      <c r="M71">
        <v>87.853399999999993</v>
      </c>
      <c r="N71">
        <v>65.062600000000003</v>
      </c>
    </row>
    <row r="72" spans="1:14" x14ac:dyDescent="0.3">
      <c r="A72">
        <v>3</v>
      </c>
      <c r="B72" t="s">
        <v>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99.758499999999998</v>
      </c>
      <c r="L72">
        <v>100</v>
      </c>
      <c r="M72">
        <v>68.0989</v>
      </c>
      <c r="N72">
        <v>93.350800000000007</v>
      </c>
    </row>
    <row r="73" spans="1:14" x14ac:dyDescent="0.3">
      <c r="A73">
        <v>3</v>
      </c>
      <c r="B73" t="s">
        <v>29</v>
      </c>
      <c r="C73">
        <v>0</v>
      </c>
      <c r="D73">
        <v>0</v>
      </c>
      <c r="E73">
        <v>0</v>
      </c>
      <c r="F73">
        <v>0</v>
      </c>
      <c r="G73">
        <v>100</v>
      </c>
      <c r="H73">
        <v>38.099400000000003</v>
      </c>
      <c r="I73">
        <v>0</v>
      </c>
      <c r="J73">
        <v>0</v>
      </c>
      <c r="K73">
        <v>77.964500000000001</v>
      </c>
      <c r="L73">
        <v>45.302199999999999</v>
      </c>
      <c r="M73">
        <v>100</v>
      </c>
      <c r="N73">
        <v>94.321299999999994</v>
      </c>
    </row>
    <row r="74" spans="1:14" x14ac:dyDescent="0.3">
      <c r="A74">
        <v>3</v>
      </c>
      <c r="B74" t="s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65.003</v>
      </c>
      <c r="L74">
        <v>85.747600000000006</v>
      </c>
      <c r="M74">
        <v>86.245900000000006</v>
      </c>
      <c r="N74">
        <v>58.4343</v>
      </c>
    </row>
    <row r="75" spans="1:14" x14ac:dyDescent="0.3">
      <c r="A75">
        <v>3</v>
      </c>
      <c r="B75" t="s">
        <v>29</v>
      </c>
      <c r="C75">
        <v>74.313800000000001</v>
      </c>
      <c r="D75">
        <v>0</v>
      </c>
      <c r="E75">
        <v>0</v>
      </c>
      <c r="F75">
        <v>57.715299999999999</v>
      </c>
      <c r="G75">
        <v>57.093499999999999</v>
      </c>
      <c r="H75">
        <v>91.302199999999999</v>
      </c>
      <c r="I75">
        <v>0</v>
      </c>
      <c r="J75">
        <v>0</v>
      </c>
      <c r="K75">
        <v>84.445999999999998</v>
      </c>
      <c r="L75">
        <v>81.619399999999999</v>
      </c>
      <c r="M75">
        <v>84.000299999999996</v>
      </c>
      <c r="N75">
        <v>84.0501</v>
      </c>
    </row>
    <row r="76" spans="1:14" x14ac:dyDescent="0.3">
      <c r="A76">
        <v>3</v>
      </c>
      <c r="B76" t="s">
        <v>31</v>
      </c>
      <c r="C76">
        <v>69.732299999999995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55.706099999999999</v>
      </c>
      <c r="L76">
        <v>36.736699999999999</v>
      </c>
      <c r="M76">
        <v>75.910799999999995</v>
      </c>
      <c r="N76">
        <v>100</v>
      </c>
    </row>
    <row r="77" spans="1:14" x14ac:dyDescent="0.3">
      <c r="A77">
        <v>3</v>
      </c>
      <c r="B77" t="s">
        <v>31</v>
      </c>
      <c r="C77">
        <v>75.748099999999994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100</v>
      </c>
      <c r="L77">
        <v>100</v>
      </c>
      <c r="M77">
        <v>71.136899999999997</v>
      </c>
      <c r="N77">
        <v>78.907399999999996</v>
      </c>
    </row>
    <row r="78" spans="1:14" x14ac:dyDescent="0.3">
      <c r="A78">
        <v>3</v>
      </c>
      <c r="B78" t="s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59.898099999999999</v>
      </c>
      <c r="L78">
        <v>82.052999999999997</v>
      </c>
      <c r="M78">
        <v>73.812899999999999</v>
      </c>
      <c r="N78">
        <v>74.909499999999994</v>
      </c>
    </row>
    <row r="79" spans="1:14" x14ac:dyDescent="0.3">
      <c r="A79">
        <v>3</v>
      </c>
      <c r="B79" t="s">
        <v>29</v>
      </c>
      <c r="C79">
        <v>0</v>
      </c>
      <c r="D79">
        <v>99.141999999999996</v>
      </c>
      <c r="E79">
        <v>0</v>
      </c>
      <c r="F79">
        <v>0</v>
      </c>
      <c r="G79">
        <v>0</v>
      </c>
      <c r="H79">
        <v>0</v>
      </c>
      <c r="I79">
        <v>78.168199999999999</v>
      </c>
      <c r="J79">
        <v>0</v>
      </c>
      <c r="K79">
        <v>59.521299999999997</v>
      </c>
      <c r="L79">
        <v>64.403499999999994</v>
      </c>
      <c r="M79">
        <v>80.585400000000007</v>
      </c>
      <c r="N79">
        <v>52.838700000000003</v>
      </c>
    </row>
    <row r="80" spans="1:14" x14ac:dyDescent="0.3">
      <c r="A80">
        <v>3</v>
      </c>
      <c r="B80" t="s">
        <v>30</v>
      </c>
      <c r="C80">
        <v>71.448599999999999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78.7239</v>
      </c>
      <c r="L80">
        <v>100</v>
      </c>
      <c r="M80">
        <v>35.068600000000004</v>
      </c>
      <c r="N80">
        <v>79.032799999999995</v>
      </c>
    </row>
    <row r="81" spans="1:14" x14ac:dyDescent="0.3">
      <c r="A81">
        <v>3</v>
      </c>
      <c r="B81" t="s">
        <v>29</v>
      </c>
      <c r="C81">
        <v>0</v>
      </c>
      <c r="D81">
        <v>0</v>
      </c>
      <c r="E81">
        <v>0</v>
      </c>
      <c r="F81">
        <v>85.137299999999996</v>
      </c>
      <c r="G81">
        <v>0</v>
      </c>
      <c r="H81">
        <v>70.168400000000005</v>
      </c>
      <c r="I81">
        <v>0</v>
      </c>
      <c r="J81">
        <v>0</v>
      </c>
      <c r="K81">
        <v>77.013599999999997</v>
      </c>
      <c r="L81">
        <v>83.580799999999996</v>
      </c>
      <c r="M81">
        <v>73.597800000000007</v>
      </c>
      <c r="N81">
        <v>100</v>
      </c>
    </row>
    <row r="82" spans="1:14" x14ac:dyDescent="0.3">
      <c r="A82">
        <v>3</v>
      </c>
      <c r="B82" t="s">
        <v>30</v>
      </c>
      <c r="C82">
        <v>0</v>
      </c>
      <c r="D82">
        <v>54.712699999999998</v>
      </c>
      <c r="E82">
        <v>0</v>
      </c>
      <c r="F82">
        <v>75.229600000000005</v>
      </c>
      <c r="G82">
        <v>54.134399999999999</v>
      </c>
      <c r="H82">
        <v>0</v>
      </c>
      <c r="I82">
        <v>0</v>
      </c>
      <c r="J82">
        <v>0</v>
      </c>
      <c r="K82">
        <v>92.787199999999999</v>
      </c>
      <c r="L82">
        <v>100</v>
      </c>
      <c r="M82">
        <v>74.469200000000001</v>
      </c>
      <c r="N8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tabSelected="1" topLeftCell="C1" zoomScale="115" zoomScaleNormal="115" workbookViewId="0">
      <selection activeCell="F15" sqref="F15"/>
    </sheetView>
  </sheetViews>
  <sheetFormatPr defaultColWidth="11.5546875" defaultRowHeight="14.4" x14ac:dyDescent="0.3"/>
  <cols>
    <col min="1" max="1" width="23" customWidth="1"/>
    <col min="2" max="2" width="26.33203125" customWidth="1"/>
    <col min="3" max="3" width="29.88671875" customWidth="1"/>
    <col min="4" max="4" width="39.44140625" customWidth="1"/>
    <col min="5" max="5" width="45.109375" customWidth="1"/>
    <col min="6" max="6" width="31.33203125" customWidth="1"/>
    <col min="7" max="7" width="21" customWidth="1"/>
    <col min="8" max="8" width="20.88671875" customWidth="1"/>
    <col min="11" max="11" width="19" customWidth="1"/>
  </cols>
  <sheetData>
    <row r="1" spans="1:9" ht="15" thickBot="1" x14ac:dyDescent="0.35">
      <c r="A1" s="87" t="str">
        <f>[1]Feuil1!A1</f>
        <v>Professeur.e.s</v>
      </c>
      <c r="B1" s="87" t="str">
        <f>[1]Feuil1!B1</f>
        <v>Échellon</v>
      </c>
      <c r="C1" s="87" t="str">
        <f>[1]Feuil1!C1</f>
        <v>Libération pour coordination</v>
      </c>
      <c r="D1" s="87" t="str">
        <f>[1]Feuil1!D1</f>
        <v>Libération pour aide aux étudiant.e.s</v>
      </c>
      <c r="E1" s="29" t="str">
        <f>[1]Feuil1!E1</f>
        <v>Libération pour syndicat</v>
      </c>
      <c r="F1" s="87" t="s">
        <v>110</v>
      </c>
      <c r="G1" s="29" t="s">
        <v>112</v>
      </c>
      <c r="H1" s="87" t="s">
        <v>115</v>
      </c>
      <c r="I1" s="109"/>
    </row>
    <row r="2" spans="1:9" x14ac:dyDescent="0.3">
      <c r="A2" s="39" t="str">
        <f>[1]Feuil1!A2</f>
        <v>Dominic Paquette</v>
      </c>
      <c r="B2" s="92">
        <f>[1]Feuil1!B2</f>
        <v>11</v>
      </c>
      <c r="C2" s="93">
        <f>[1]Feuil1!C2</f>
        <v>0</v>
      </c>
      <c r="D2" s="93">
        <f>[1]Feuil1!D2</f>
        <v>0</v>
      </c>
      <c r="E2" s="94">
        <f>[1]Feuil1!E2</f>
        <v>0</v>
      </c>
      <c r="F2" s="95">
        <f>'CI - Dominique Paquette'!B4</f>
        <v>33.54</v>
      </c>
      <c r="G2" s="88">
        <v>68720</v>
      </c>
      <c r="H2" s="103">
        <f>MIN(F2,40)*G2/80</f>
        <v>28810.859999999997</v>
      </c>
      <c r="I2" s="110"/>
    </row>
    <row r="3" spans="1:9" x14ac:dyDescent="0.3">
      <c r="A3" s="96" t="str">
        <f>[1]Feuil1!A3</f>
        <v>Edolia Bourbeau</v>
      </c>
      <c r="B3" s="91">
        <f>[1]Feuil1!B3</f>
        <v>7</v>
      </c>
      <c r="C3" s="97">
        <f>[1]Feuil1!C3</f>
        <v>0</v>
      </c>
      <c r="D3" s="97">
        <f>[1]Feuil1!D3</f>
        <v>0</v>
      </c>
      <c r="E3" s="98">
        <f>[1]Feuil1!E3</f>
        <v>0.25</v>
      </c>
      <c r="F3" s="89">
        <f>'CI - Édolia Bourdeau '!B4</f>
        <v>13</v>
      </c>
      <c r="G3" s="89">
        <v>57804</v>
      </c>
      <c r="H3" s="104">
        <f t="shared" ref="H3:H13" si="0">MIN(F3,40)*G3/80</f>
        <v>9393.15</v>
      </c>
      <c r="I3" s="110"/>
    </row>
    <row r="4" spans="1:9" x14ac:dyDescent="0.3">
      <c r="A4" s="96" t="str">
        <f>[1]Feuil1!A4</f>
        <v>Emérique Lebeau</v>
      </c>
      <c r="B4" s="91">
        <f>[1]Feuil1!B4</f>
        <v>6</v>
      </c>
      <c r="C4" s="97">
        <f>[1]Feuil1!C4</f>
        <v>0.8</v>
      </c>
      <c r="D4" s="97">
        <f>[1]Feuil1!D4</f>
        <v>0</v>
      </c>
      <c r="E4" s="98">
        <f>[1]Feuil1!E4</f>
        <v>0</v>
      </c>
      <c r="F4" s="89">
        <f>'CI - Émerique Lebeau'!B4</f>
        <v>50.69</v>
      </c>
      <c r="G4" s="89">
        <v>56550</v>
      </c>
      <c r="H4" s="104">
        <f t="shared" si="0"/>
        <v>28275</v>
      </c>
      <c r="I4" s="110"/>
    </row>
    <row r="5" spans="1:9" x14ac:dyDescent="0.3">
      <c r="A5" s="96" t="str">
        <f>[1]Feuil1!A5</f>
        <v>Jade Poirier</v>
      </c>
      <c r="B5" s="91">
        <f>[1]Feuil1!B5</f>
        <v>8</v>
      </c>
      <c r="C5" s="97">
        <f>[1]Feuil1!C5</f>
        <v>0</v>
      </c>
      <c r="D5" s="97">
        <f>[1]Feuil1!D5</f>
        <v>0</v>
      </c>
      <c r="E5" s="98">
        <f>[1]Feuil1!E5</f>
        <v>0</v>
      </c>
      <c r="F5" s="89">
        <f>'CI - Jade Poirier'!B4</f>
        <v>2.5499999999999998</v>
      </c>
      <c r="G5" s="89">
        <v>60263</v>
      </c>
      <c r="H5" s="104">
        <f t="shared" si="0"/>
        <v>1920.8831249999998</v>
      </c>
      <c r="I5" s="110"/>
    </row>
    <row r="6" spans="1:9" x14ac:dyDescent="0.3">
      <c r="A6" s="96" t="str">
        <f>[1]Feuil1!A6</f>
        <v>Olivier Hallé</v>
      </c>
      <c r="B6" s="91">
        <f>[1]Feuil1!B6</f>
        <v>14</v>
      </c>
      <c r="C6" s="97">
        <f>[1]Feuil1!C6</f>
        <v>0</v>
      </c>
      <c r="D6" s="97">
        <f>[1]Feuil1!D6</f>
        <v>0</v>
      </c>
      <c r="E6" s="98">
        <f>[1]Feuil1!E6</f>
        <v>0.35</v>
      </c>
      <c r="F6" s="89">
        <f>'CI - Olivier Hallé'!B4</f>
        <v>24.29</v>
      </c>
      <c r="G6" s="89">
        <v>79522</v>
      </c>
      <c r="H6" s="104">
        <f t="shared" si="0"/>
        <v>24144.867249999999</v>
      </c>
      <c r="I6" s="110"/>
    </row>
    <row r="7" spans="1:9" x14ac:dyDescent="0.3">
      <c r="A7" s="96" t="str">
        <f>[1]Feuil1!A7</f>
        <v>Cyrianne Garon</v>
      </c>
      <c r="B7" s="91">
        <f>[1]Feuil1!B7</f>
        <v>11</v>
      </c>
      <c r="C7" s="97">
        <f>[1]Feuil1!C7</f>
        <v>0</v>
      </c>
      <c r="D7" s="97">
        <f>[1]Feuil1!D7</f>
        <v>0</v>
      </c>
      <c r="E7" s="98">
        <f>[1]Feuil1!E7</f>
        <v>0</v>
      </c>
      <c r="F7" s="89">
        <f>'CI - Cyrianne Gagnon'!B4</f>
        <v>13.379999999999999</v>
      </c>
      <c r="G7" s="89">
        <v>68720</v>
      </c>
      <c r="H7" s="104">
        <f t="shared" si="0"/>
        <v>11493.42</v>
      </c>
      <c r="I7" s="110"/>
    </row>
    <row r="8" spans="1:9" x14ac:dyDescent="0.3">
      <c r="A8" s="96" t="str">
        <f>[1]Feuil1!A8</f>
        <v>Joel Chevrier</v>
      </c>
      <c r="B8" s="91">
        <f>[1]Feuil1!B8</f>
        <v>15</v>
      </c>
      <c r="C8" s="97">
        <f>[1]Feuil1!C8</f>
        <v>0</v>
      </c>
      <c r="D8" s="97">
        <f>[1]Feuil1!D8</f>
        <v>0</v>
      </c>
      <c r="E8" s="98">
        <f>[1]Feuil1!E8</f>
        <v>0</v>
      </c>
      <c r="F8" s="89">
        <f>'CI - Joelle Chevrier'!B4</f>
        <v>9.66</v>
      </c>
      <c r="G8" s="89">
        <v>83480</v>
      </c>
      <c r="H8" s="104">
        <f t="shared" si="0"/>
        <v>10080.210000000001</v>
      </c>
      <c r="I8" s="110"/>
    </row>
    <row r="9" spans="1:9" x14ac:dyDescent="0.3">
      <c r="A9" s="96" t="str">
        <f>[1]Feuil1!A9</f>
        <v>Katherine Gascon</v>
      </c>
      <c r="B9" s="91">
        <f>[1]Feuil1!B9</f>
        <v>2</v>
      </c>
      <c r="C9" s="97">
        <f>[1]Feuil1!C9</f>
        <v>0</v>
      </c>
      <c r="D9" s="97">
        <f>[1]Feuil1!D9</f>
        <v>0</v>
      </c>
      <c r="E9" s="98">
        <f>[1]Feuil1!E9</f>
        <v>0</v>
      </c>
      <c r="F9" s="89">
        <f>'CI - Katherine Gascon'!B4</f>
        <v>3.5</v>
      </c>
      <c r="G9" s="89">
        <v>49636</v>
      </c>
      <c r="H9" s="104">
        <f t="shared" si="0"/>
        <v>2171.5749999999998</v>
      </c>
      <c r="I9" s="110"/>
    </row>
    <row r="10" spans="1:9" x14ac:dyDescent="0.3">
      <c r="A10" s="96" t="str">
        <f>[1]Feuil1!A10</f>
        <v>Uldor Lafortune</v>
      </c>
      <c r="B10" s="91">
        <f>[1]Feuil1!B10</f>
        <v>17</v>
      </c>
      <c r="C10" s="97">
        <f>[1]Feuil1!C10</f>
        <v>0</v>
      </c>
      <c r="D10" s="97">
        <f>[1]Feuil1!D10</f>
        <v>0.1</v>
      </c>
      <c r="E10" s="98">
        <f>[1]Feuil1!E10</f>
        <v>0</v>
      </c>
      <c r="F10" s="89">
        <f>'CI - Uldor Lafortune'!B4</f>
        <v>7.2</v>
      </c>
      <c r="G10" s="89">
        <v>92027</v>
      </c>
      <c r="H10" s="104">
        <f t="shared" si="0"/>
        <v>8282.43</v>
      </c>
      <c r="I10" s="110"/>
    </row>
    <row r="11" spans="1:9" x14ac:dyDescent="0.3">
      <c r="A11" s="96" t="str">
        <f>[1]Feuil1!A11</f>
        <v>Katherine Chen</v>
      </c>
      <c r="B11" s="91">
        <f>[1]Feuil1!B11</f>
        <v>17</v>
      </c>
      <c r="C11" s="97">
        <f>[1]Feuil1!C11</f>
        <v>0</v>
      </c>
      <c r="D11" s="97">
        <f>[1]Feuil1!D11</f>
        <v>0</v>
      </c>
      <c r="E11" s="98">
        <f>[1]Feuil1!E11</f>
        <v>1</v>
      </c>
      <c r="F11" s="89">
        <f>'CI - Katherine Chen'!B4</f>
        <v>40</v>
      </c>
      <c r="G11" s="89">
        <v>92027</v>
      </c>
      <c r="H11" s="104">
        <f t="shared" si="0"/>
        <v>46013.5</v>
      </c>
      <c r="I11" s="110"/>
    </row>
    <row r="12" spans="1:9" x14ac:dyDescent="0.3">
      <c r="A12" s="96" t="str">
        <f>[1]Feuil1!A12</f>
        <v>Villandré Coutu</v>
      </c>
      <c r="B12" s="91">
        <f>[1]Feuil1!B12</f>
        <v>1</v>
      </c>
      <c r="C12" s="97">
        <f>[1]Feuil1!C12</f>
        <v>0</v>
      </c>
      <c r="D12" s="97">
        <f>[1]Feuil1!D12</f>
        <v>0</v>
      </c>
      <c r="E12" s="98">
        <f>[1]Feuil1!E12</f>
        <v>0</v>
      </c>
      <c r="F12" s="89">
        <f>'CI - Villandré Coutu'!B4</f>
        <v>9.3000000000000007</v>
      </c>
      <c r="G12" s="89">
        <v>46527</v>
      </c>
      <c r="H12" s="104">
        <f t="shared" si="0"/>
        <v>5408.7637500000001</v>
      </c>
      <c r="I12" s="110"/>
    </row>
    <row r="13" spans="1:9" ht="15" thickBot="1" x14ac:dyDescent="0.35">
      <c r="A13" s="99" t="str">
        <f>[1]Feuil1!A13</f>
        <v>Maika Marleau</v>
      </c>
      <c r="B13" s="100">
        <f>[1]Feuil1!B13</f>
        <v>18</v>
      </c>
      <c r="C13" s="101">
        <f>[1]Feuil1!C13</f>
        <v>0</v>
      </c>
      <c r="D13" s="101">
        <f>[1]Feuil1!D13</f>
        <v>0</v>
      </c>
      <c r="E13" s="102">
        <f>[1]Feuil1!E13</f>
        <v>0</v>
      </c>
      <c r="F13" s="90">
        <f>'CI - Maika Marleau'!B4</f>
        <v>19.349999999999998</v>
      </c>
      <c r="G13" s="90">
        <v>93527</v>
      </c>
      <c r="H13" s="105">
        <f t="shared" si="0"/>
        <v>22621.843124999996</v>
      </c>
      <c r="I13" s="110"/>
    </row>
    <row r="14" spans="1:9" ht="15" thickBot="1" x14ac:dyDescent="0.35">
      <c r="A14" s="111"/>
      <c r="B14" s="112"/>
      <c r="C14" s="112"/>
      <c r="D14" s="112"/>
      <c r="E14" s="112"/>
      <c r="F14" s="112"/>
      <c r="G14" s="112"/>
      <c r="H14" s="112"/>
      <c r="I14" s="110"/>
    </row>
    <row r="15" spans="1:9" ht="15" thickBot="1" x14ac:dyDescent="0.35">
      <c r="A15" s="111"/>
      <c r="B15" s="112"/>
      <c r="C15" s="112"/>
      <c r="D15" s="112"/>
      <c r="E15" s="171" t="s">
        <v>117</v>
      </c>
      <c r="F15" s="125" t="str">
        <f>IF(COUNTIF(F2:F13,"&gt;55"),"OUI","NON")</f>
        <v>NON</v>
      </c>
      <c r="G15" s="112"/>
      <c r="H15" s="112"/>
      <c r="I15" s="110"/>
    </row>
    <row r="16" spans="1:9" ht="15" thickBot="1" x14ac:dyDescent="0.35">
      <c r="A16" s="111"/>
      <c r="B16" s="112"/>
      <c r="C16" s="112"/>
      <c r="D16" s="112"/>
      <c r="E16" s="112"/>
      <c r="F16" s="112"/>
      <c r="G16" s="112"/>
      <c r="H16" s="112"/>
      <c r="I16" s="110"/>
    </row>
    <row r="17" spans="1:9" x14ac:dyDescent="0.3">
      <c r="A17" s="138" t="s">
        <v>113</v>
      </c>
      <c r="B17" s="139"/>
      <c r="C17" s="139"/>
      <c r="D17" s="139"/>
      <c r="E17" s="140"/>
      <c r="F17" s="112"/>
      <c r="G17" s="112"/>
      <c r="H17" s="112"/>
      <c r="I17" s="110"/>
    </row>
    <row r="18" spans="1:9" ht="15" thickBot="1" x14ac:dyDescent="0.35">
      <c r="A18" s="141"/>
      <c r="B18" s="142"/>
      <c r="C18" s="142"/>
      <c r="D18" s="142"/>
      <c r="E18" s="143"/>
      <c r="F18" s="112"/>
      <c r="G18" s="112"/>
      <c r="H18" s="112"/>
      <c r="I18" s="110"/>
    </row>
    <row r="19" spans="1:9" ht="15" thickBot="1" x14ac:dyDescent="0.35">
      <c r="A19" s="24" t="s">
        <v>114</v>
      </c>
      <c r="B19" s="25"/>
      <c r="C19" s="112"/>
      <c r="D19" s="112"/>
      <c r="E19" s="112"/>
      <c r="F19" s="112"/>
      <c r="G19" s="112"/>
      <c r="H19" s="112"/>
      <c r="I19" s="110"/>
    </row>
    <row r="20" spans="1:9" x14ac:dyDescent="0.3">
      <c r="A20" s="111"/>
      <c r="B20" s="112"/>
      <c r="C20" s="112"/>
      <c r="D20" s="112"/>
      <c r="E20" s="112"/>
      <c r="F20" s="112"/>
      <c r="G20" s="112"/>
      <c r="H20" s="112"/>
      <c r="I20" s="110"/>
    </row>
    <row r="21" spans="1:9" x14ac:dyDescent="0.3">
      <c r="A21" s="111"/>
      <c r="B21" s="112"/>
      <c r="C21" s="112"/>
      <c r="D21" s="112"/>
      <c r="E21" s="112"/>
      <c r="F21" s="112"/>
      <c r="G21" s="112"/>
      <c r="H21" s="112"/>
      <c r="I21" s="110"/>
    </row>
    <row r="22" spans="1:9" ht="15" thickBot="1" x14ac:dyDescent="0.35">
      <c r="A22" s="111"/>
      <c r="B22" s="112"/>
      <c r="C22" s="112"/>
      <c r="D22" s="112"/>
      <c r="E22" s="112"/>
      <c r="F22" s="112"/>
      <c r="G22" s="112"/>
      <c r="H22" s="112"/>
      <c r="I22" s="110"/>
    </row>
    <row r="23" spans="1:9" ht="15" thickBot="1" x14ac:dyDescent="0.35">
      <c r="A23" s="83" t="s">
        <v>116</v>
      </c>
      <c r="B23" s="82">
        <f>SUM(H2:H13)</f>
        <v>198616.50224999999</v>
      </c>
      <c r="C23" s="112"/>
      <c r="D23" s="112"/>
      <c r="E23" s="112"/>
      <c r="F23" s="112"/>
      <c r="G23" s="112"/>
      <c r="H23" s="112"/>
      <c r="I23" s="110"/>
    </row>
    <row r="24" spans="1:9" x14ac:dyDescent="0.3">
      <c r="A24" s="111"/>
      <c r="B24" s="112"/>
      <c r="C24" s="112"/>
      <c r="D24" s="112"/>
      <c r="E24" s="112"/>
      <c r="F24" s="112"/>
      <c r="G24" s="112"/>
      <c r="H24" s="112"/>
      <c r="I24" s="110"/>
    </row>
    <row r="25" spans="1:9" x14ac:dyDescent="0.3">
      <c r="A25" s="111"/>
      <c r="B25" s="112"/>
      <c r="C25" s="112"/>
      <c r="D25" s="112"/>
      <c r="E25" s="112"/>
      <c r="F25" s="112"/>
      <c r="G25" s="112"/>
      <c r="H25" s="112"/>
      <c r="I25" s="110"/>
    </row>
    <row r="26" spans="1:9" ht="15" thickBot="1" x14ac:dyDescent="0.35">
      <c r="A26" s="111"/>
      <c r="B26" s="112"/>
      <c r="C26" s="112"/>
      <c r="D26" s="112"/>
      <c r="E26" s="112"/>
      <c r="F26" s="112"/>
      <c r="G26" s="112"/>
      <c r="H26" s="112"/>
      <c r="I26" s="110"/>
    </row>
    <row r="27" spans="1:9" ht="15" thickBot="1" x14ac:dyDescent="0.35">
      <c r="A27" s="83" t="s">
        <v>108</v>
      </c>
      <c r="B27" s="82">
        <f>SUM(B30:B32)</f>
        <v>554872.5</v>
      </c>
      <c r="C27" s="112"/>
      <c r="D27" s="112"/>
      <c r="E27" s="112"/>
      <c r="F27" s="112"/>
      <c r="G27" s="112"/>
      <c r="H27" s="112"/>
      <c r="I27" s="110"/>
    </row>
    <row r="28" spans="1:9" x14ac:dyDescent="0.3">
      <c r="A28" s="111"/>
      <c r="B28" s="112"/>
      <c r="C28" s="112"/>
      <c r="D28" s="112"/>
      <c r="E28" s="112"/>
      <c r="F28" s="112"/>
      <c r="G28" s="112"/>
      <c r="H28" s="112"/>
      <c r="I28" s="110"/>
    </row>
    <row r="29" spans="1:9" ht="15" thickBot="1" x14ac:dyDescent="0.35">
      <c r="A29" s="111"/>
      <c r="B29" s="112"/>
      <c r="C29" s="112"/>
      <c r="D29" s="112"/>
      <c r="E29" s="112"/>
      <c r="F29" s="112"/>
      <c r="G29" s="112"/>
      <c r="H29" s="112"/>
      <c r="I29" s="110"/>
    </row>
    <row r="30" spans="1:9" ht="15" thickBot="1" x14ac:dyDescent="0.35">
      <c r="A30" s="83" t="s">
        <v>105</v>
      </c>
      <c r="B30" s="106">
        <f>'Liste des Cours et Subventions'!J49</f>
        <v>232177.5</v>
      </c>
      <c r="C30" s="112"/>
      <c r="D30" s="112"/>
      <c r="E30" s="112"/>
      <c r="F30" s="112"/>
      <c r="G30" s="112"/>
      <c r="H30" s="112"/>
      <c r="I30" s="110"/>
    </row>
    <row r="31" spans="1:9" ht="15" thickBot="1" x14ac:dyDescent="0.35">
      <c r="A31" s="83" t="s">
        <v>107</v>
      </c>
      <c r="B31" s="107">
        <f>'Liste des Cours et Subventions'!J50</f>
        <v>247357.5</v>
      </c>
      <c r="C31" s="112"/>
      <c r="D31" s="112"/>
      <c r="E31" s="112"/>
      <c r="F31" s="112"/>
      <c r="G31" s="112"/>
      <c r="H31" s="112"/>
      <c r="I31" s="110"/>
    </row>
    <row r="32" spans="1:9" ht="15" thickBot="1" x14ac:dyDescent="0.35">
      <c r="A32" s="83" t="s">
        <v>106</v>
      </c>
      <c r="B32" s="108">
        <f>'Liste des Cours et Subventions'!J51</f>
        <v>75337.5</v>
      </c>
      <c r="C32" s="112"/>
      <c r="D32" s="112"/>
      <c r="E32" s="112"/>
      <c r="F32" s="112"/>
      <c r="G32" s="112"/>
      <c r="H32" s="112"/>
      <c r="I32" s="110"/>
    </row>
    <row r="33" spans="1:9" ht="15" thickBot="1" x14ac:dyDescent="0.35">
      <c r="A33" s="113"/>
      <c r="B33" s="114"/>
      <c r="C33" s="114"/>
      <c r="D33" s="114"/>
      <c r="E33" s="114"/>
      <c r="F33" s="114"/>
      <c r="G33" s="114"/>
      <c r="H33" s="114"/>
      <c r="I33" s="115"/>
    </row>
  </sheetData>
  <mergeCells count="1">
    <mergeCell ref="A17:E18"/>
  </mergeCells>
  <conditionalFormatting sqref="F2:F13">
    <cfRule type="cellIs" dxfId="10" priority="5" operator="between">
      <formula>0</formula>
      <formula>30</formula>
    </cfRule>
    <cfRule type="cellIs" dxfId="9" priority="4" operator="between">
      <formula>30</formula>
      <formula>55</formula>
    </cfRule>
    <cfRule type="cellIs" dxfId="8" priority="3" operator="between">
      <formula>56</formula>
      <formula>100</formula>
    </cfRule>
  </conditionalFormatting>
  <conditionalFormatting sqref="F17">
    <cfRule type="cellIs" dxfId="7" priority="7" operator="greaterThan">
      <formula>55</formula>
    </cfRule>
  </conditionalFormatting>
  <conditionalFormatting sqref="F15">
    <cfRule type="expression" dxfId="6" priority="2">
      <formula>COUNTIF($F$2:$F$13,"&gt;55")</formula>
    </cfRule>
    <cfRule type="expression" dxfId="5" priority="1">
      <formula>COUNTIF($F$2:$F$13,"&lt;55")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topLeftCell="B6" workbookViewId="0">
      <selection activeCell="F36" sqref="F36"/>
    </sheetView>
  </sheetViews>
  <sheetFormatPr defaultColWidth="11.5546875" defaultRowHeight="14.4" x14ac:dyDescent="0.3"/>
  <cols>
    <col min="4" max="4" width="36.44140625" customWidth="1"/>
    <col min="5" max="5" width="31.109375" customWidth="1"/>
    <col min="6" max="6" width="26.109375" customWidth="1"/>
    <col min="7" max="7" width="34.109375" customWidth="1"/>
    <col min="8" max="8" width="32.44140625" customWidth="1"/>
    <col min="9" max="9" width="29.44140625" customWidth="1"/>
    <col min="10" max="10" width="28.109375" customWidth="1"/>
    <col min="11" max="11" width="28.33203125" customWidth="1"/>
    <col min="12" max="12" width="27" customWidth="1"/>
  </cols>
  <sheetData>
    <row r="1" spans="1:10" ht="15" thickBot="1" x14ac:dyDescent="0.35">
      <c r="A1" s="126"/>
      <c r="B1" s="127"/>
      <c r="C1" s="127"/>
      <c r="D1" s="127"/>
      <c r="E1" s="127"/>
      <c r="F1" s="127"/>
      <c r="G1" s="127"/>
      <c r="H1" s="127"/>
      <c r="I1" s="127"/>
      <c r="J1" s="109"/>
    </row>
    <row r="2" spans="1:10" ht="15" thickBot="1" x14ac:dyDescent="0.35">
      <c r="A2" s="111"/>
      <c r="B2" s="149" t="s">
        <v>14</v>
      </c>
      <c r="C2" s="150"/>
      <c r="D2" s="151" t="s">
        <v>15</v>
      </c>
      <c r="E2" s="152"/>
      <c r="F2" s="150"/>
      <c r="G2" s="81" t="s">
        <v>48</v>
      </c>
      <c r="H2" s="122" t="s">
        <v>49</v>
      </c>
      <c r="I2" s="112"/>
      <c r="J2" s="110"/>
    </row>
    <row r="3" spans="1:10" x14ac:dyDescent="0.3">
      <c r="A3" s="111"/>
      <c r="B3" s="153" t="s">
        <v>16</v>
      </c>
      <c r="C3" s="147"/>
      <c r="D3" s="147">
        <f>COUNTIF(excel_base.xlxs!C$2:C$82,"&gt;60")</f>
        <v>39</v>
      </c>
      <c r="E3" s="147"/>
      <c r="F3" s="148"/>
      <c r="G3" s="116" t="s">
        <v>32</v>
      </c>
      <c r="H3" s="117">
        <f>COUNTIF(excel_base.xlxs!C$2:C$82,"&gt;60")</f>
        <v>39</v>
      </c>
      <c r="I3" s="112"/>
      <c r="J3" s="110"/>
    </row>
    <row r="4" spans="1:10" x14ac:dyDescent="0.3">
      <c r="A4" s="111"/>
      <c r="B4" s="144" t="s">
        <v>17</v>
      </c>
      <c r="C4" s="145"/>
      <c r="D4" s="145">
        <f>COUNTIFS(excel_base.xlxs!C2:C82,"&gt;60",excel_base.xlxs!D2:D82,"&gt;60")</f>
        <v>27</v>
      </c>
      <c r="E4" s="145"/>
      <c r="F4" s="146"/>
      <c r="G4" s="118" t="s">
        <v>33</v>
      </c>
      <c r="H4" s="119">
        <f>COUNTIF(excel_base.xlxs!D$2:D$82,"&gt;60")</f>
        <v>37</v>
      </c>
      <c r="I4" s="112"/>
      <c r="J4" s="110"/>
    </row>
    <row r="5" spans="1:10" x14ac:dyDescent="0.3">
      <c r="A5" s="111"/>
      <c r="B5" s="144" t="s">
        <v>18</v>
      </c>
      <c r="C5" s="145"/>
      <c r="D5" s="145">
        <f>COUNTIFS(excel_base.xlxs!C2:C82,"&gt;60",excel_base.xlxs!D2:D82,"&gt;60",excel_base.xlxs!E2:E82,"&gt;60")</f>
        <v>18</v>
      </c>
      <c r="E5" s="145"/>
      <c r="F5" s="146"/>
      <c r="G5" s="118" t="s">
        <v>34</v>
      </c>
      <c r="H5" s="119">
        <f>COUNTIF(excel_base.xlxs!E$2:E$82,"&gt;60")</f>
        <v>29</v>
      </c>
      <c r="I5" s="112"/>
      <c r="J5" s="110"/>
    </row>
    <row r="6" spans="1:10" x14ac:dyDescent="0.3">
      <c r="A6" s="111"/>
      <c r="B6" s="144" t="s">
        <v>19</v>
      </c>
      <c r="C6" s="145"/>
      <c r="D6" s="145">
        <f>COUNTIF(excel_base.xlxs!D$2:D$82,"&gt;60")</f>
        <v>37</v>
      </c>
      <c r="E6" s="145"/>
      <c r="F6" s="146"/>
      <c r="G6" s="118" t="s">
        <v>35</v>
      </c>
      <c r="H6" s="119">
        <f>COUNTIF(excel_base.xlxs!F$2:F$82,"&gt;60")</f>
        <v>7</v>
      </c>
      <c r="I6" s="112"/>
      <c r="J6" s="110"/>
    </row>
    <row r="7" spans="1:10" x14ac:dyDescent="0.3">
      <c r="A7" s="111"/>
      <c r="B7" s="144" t="s">
        <v>20</v>
      </c>
      <c r="C7" s="145"/>
      <c r="D7" s="145">
        <f>COUNTIFS(excel_base.xlxs!F2:F82,"&gt;60",excel_base.xlxs!H2:H82,"&gt;60")</f>
        <v>3</v>
      </c>
      <c r="E7" s="145"/>
      <c r="F7" s="146"/>
      <c r="G7" s="118" t="s">
        <v>36</v>
      </c>
      <c r="H7" s="119">
        <f>COUNTIF(excel_base.xlxs!G$2:G$82,"&gt;60")</f>
        <v>9</v>
      </c>
      <c r="I7" s="112"/>
      <c r="J7" s="110"/>
    </row>
    <row r="8" spans="1:10" x14ac:dyDescent="0.3">
      <c r="A8" s="111"/>
      <c r="B8" s="144" t="s">
        <v>21</v>
      </c>
      <c r="C8" s="145"/>
      <c r="D8" s="145">
        <f>COUNTIF(excel_base.xlxs!G$2:G$82,"&gt;60")</f>
        <v>9</v>
      </c>
      <c r="E8" s="145"/>
      <c r="F8" s="146"/>
      <c r="G8" s="118" t="s">
        <v>37</v>
      </c>
      <c r="H8" s="119">
        <f>COUNTIF(excel_base.xlxs!H$2:H$82,"&gt;60")</f>
        <v>10</v>
      </c>
      <c r="I8" s="112"/>
      <c r="J8" s="110"/>
    </row>
    <row r="9" spans="1:10" x14ac:dyDescent="0.3">
      <c r="A9" s="111"/>
      <c r="B9" s="144" t="s">
        <v>22</v>
      </c>
      <c r="C9" s="145"/>
      <c r="D9" s="145">
        <f>COUNTIFS(excel_base.xlxs!H2:H82,"&gt;60",excel_base.xlxs!I2:I82,"&gt;60",excel_base.xlxs!J2:J82,"&gt;60")</f>
        <v>0</v>
      </c>
      <c r="E9" s="145"/>
      <c r="F9" s="146"/>
      <c r="G9" s="118" t="s">
        <v>38</v>
      </c>
      <c r="H9" s="119">
        <f>COUNTIF(excel_base.xlxs!I$2:I$82,"&gt;60")</f>
        <v>3</v>
      </c>
      <c r="I9" s="112"/>
      <c r="J9" s="110"/>
    </row>
    <row r="10" spans="1:10" x14ac:dyDescent="0.3">
      <c r="A10" s="111"/>
      <c r="B10" s="144" t="s">
        <v>23</v>
      </c>
      <c r="C10" s="145"/>
      <c r="D10" s="145">
        <f>COUNTIFS(excel_base.xlxs!I2:I82,"&gt;60",excel_base.xlxs!J2:J82,"&gt;60")</f>
        <v>0</v>
      </c>
      <c r="E10" s="145"/>
      <c r="F10" s="146"/>
      <c r="G10" s="118" t="s">
        <v>39</v>
      </c>
      <c r="H10" s="119">
        <f>COUNTIF(excel_base.xlxs!J$2:J$82,"&gt;60")</f>
        <v>6</v>
      </c>
      <c r="I10" s="112"/>
      <c r="J10" s="110"/>
    </row>
    <row r="11" spans="1:10" x14ac:dyDescent="0.3">
      <c r="A11" s="111"/>
      <c r="B11" s="144" t="s">
        <v>24</v>
      </c>
      <c r="C11" s="145"/>
      <c r="D11" s="145">
        <f>COUNTIF(excel_base.xlxs!K$2:K$82,"&gt;60")</f>
        <v>30</v>
      </c>
      <c r="E11" s="145"/>
      <c r="F11" s="146"/>
      <c r="G11" s="118" t="s">
        <v>40</v>
      </c>
      <c r="H11" s="119">
        <f>COUNTIF(excel_base.xlxs!K$2:K$82,"&gt;60")</f>
        <v>30</v>
      </c>
      <c r="I11" s="112"/>
      <c r="J11" s="110"/>
    </row>
    <row r="12" spans="1:10" x14ac:dyDescent="0.3">
      <c r="A12" s="111"/>
      <c r="B12" s="144" t="s">
        <v>44</v>
      </c>
      <c r="C12" s="145"/>
      <c r="D12" s="145">
        <f>COUNTIFS(excel_base.xlxs!L2:L82,"&gt;60",excel_base.xlxs!M2:M82,"&gt;60")</f>
        <v>24</v>
      </c>
      <c r="E12" s="145"/>
      <c r="F12" s="146"/>
      <c r="G12" s="118" t="s">
        <v>41</v>
      </c>
      <c r="H12" s="119">
        <f>COUNTIF(excel_base.xlxs!L$2:L$82,"&gt;60")</f>
        <v>29</v>
      </c>
      <c r="I12" s="112"/>
      <c r="J12" s="110"/>
    </row>
    <row r="13" spans="1:10" x14ac:dyDescent="0.3">
      <c r="A13" s="111"/>
      <c r="B13" s="144" t="s">
        <v>25</v>
      </c>
      <c r="C13" s="145"/>
      <c r="D13" s="145">
        <f>COUNTIF(excel_base.xlxs!M$2:M$82,"&gt;60")</f>
        <v>34</v>
      </c>
      <c r="E13" s="145"/>
      <c r="F13" s="146"/>
      <c r="G13" s="118" t="s">
        <v>42</v>
      </c>
      <c r="H13" s="119">
        <f>COUNTIF(excel_base.xlxs!M$2:M$82,"&gt;60")</f>
        <v>34</v>
      </c>
      <c r="I13" s="112"/>
      <c r="J13" s="110"/>
    </row>
    <row r="14" spans="1:10" ht="15" thickBot="1" x14ac:dyDescent="0.35">
      <c r="A14" s="111"/>
      <c r="B14" s="144" t="s">
        <v>26</v>
      </c>
      <c r="C14" s="145"/>
      <c r="D14" s="145">
        <f>COUNTIF(excel_base.xlxs!N$2:N$82,"&gt;60")</f>
        <v>28</v>
      </c>
      <c r="E14" s="145"/>
      <c r="F14" s="146"/>
      <c r="G14" s="120" t="s">
        <v>43</v>
      </c>
      <c r="H14" s="121">
        <f>COUNTIF(excel_base.xlxs!N$2:N$82,"&gt;60")</f>
        <v>28</v>
      </c>
      <c r="I14" s="112"/>
      <c r="J14" s="110"/>
    </row>
    <row r="15" spans="1:10" ht="15" thickBot="1" x14ac:dyDescent="0.35">
      <c r="A15" s="111"/>
      <c r="B15" s="144" t="s">
        <v>27</v>
      </c>
      <c r="C15" s="145"/>
      <c r="D15" s="158">
        <f>COUNTIFS(excel_base.xlxs!K2:K82,"&gt;60",excel_base.xlxs!N2:N82,"&gt;60")</f>
        <v>22</v>
      </c>
      <c r="E15" s="158"/>
      <c r="F15" s="159"/>
      <c r="G15" s="125"/>
      <c r="H15" s="125"/>
      <c r="I15" s="112"/>
      <c r="J15" s="110"/>
    </row>
    <row r="16" spans="1:10" ht="15" thickBot="1" x14ac:dyDescent="0.35">
      <c r="A16" s="111"/>
      <c r="B16" s="160" t="s">
        <v>28</v>
      </c>
      <c r="C16" s="161"/>
      <c r="D16" s="161">
        <f>COUNTIFS(excel_base.xlxs!K2:K82,"&gt;60",excel_base.xlxs!L2:L82,"&gt;60",excel_base.xlxs!M2:M82,"&gt;60",excel_base.xlxs!N2:N82,"&gt;60")</f>
        <v>15</v>
      </c>
      <c r="E16" s="161"/>
      <c r="F16" s="162"/>
      <c r="G16" s="123" t="s">
        <v>99</v>
      </c>
      <c r="H16" s="124">
        <f>COUNTA(excel_base.xlxs!B2:B82)</f>
        <v>81</v>
      </c>
      <c r="I16" s="112"/>
      <c r="J16" s="110"/>
    </row>
    <row r="17" spans="1:10" x14ac:dyDescent="0.3">
      <c r="A17" s="111"/>
      <c r="B17" s="112"/>
      <c r="C17" s="112"/>
      <c r="D17" s="112"/>
      <c r="E17" s="112"/>
      <c r="F17" s="112"/>
      <c r="G17" s="118" t="s">
        <v>100</v>
      </c>
      <c r="H17" s="119">
        <f>COUNTIF(excel_base.xlxs!B2:B82,"=420,ZX")</f>
        <v>39</v>
      </c>
      <c r="I17" s="112"/>
      <c r="J17" s="110"/>
    </row>
    <row r="18" spans="1:10" x14ac:dyDescent="0.3">
      <c r="A18" s="111"/>
      <c r="B18" s="112"/>
      <c r="C18" s="112"/>
      <c r="D18" s="112"/>
      <c r="E18" s="112"/>
      <c r="F18" s="112"/>
      <c r="G18" s="118" t="s">
        <v>101</v>
      </c>
      <c r="H18" s="119">
        <f>COUNTIF(excel_base.xlxs!B3:B83,"=420,ZY")</f>
        <v>27</v>
      </c>
      <c r="I18" s="112"/>
      <c r="J18" s="110"/>
    </row>
    <row r="19" spans="1:10" x14ac:dyDescent="0.3">
      <c r="A19" s="111"/>
      <c r="B19" s="112"/>
      <c r="C19" s="112"/>
      <c r="D19" s="112"/>
      <c r="E19" s="112"/>
      <c r="F19" s="112"/>
      <c r="G19" s="118" t="s">
        <v>102</v>
      </c>
      <c r="H19" s="119">
        <f>COUNTIF(excel_base.xlxs!B4:B84,"=200,ZZ")</f>
        <v>15</v>
      </c>
      <c r="I19" s="112"/>
      <c r="J19" s="110"/>
    </row>
    <row r="20" spans="1:10" ht="15" thickBot="1" x14ac:dyDescent="0.35">
      <c r="A20" s="111"/>
      <c r="B20" s="112"/>
      <c r="C20" s="112"/>
      <c r="D20" s="112"/>
      <c r="E20" s="112"/>
      <c r="F20" s="112"/>
      <c r="G20" s="120" t="s">
        <v>103</v>
      </c>
      <c r="H20" s="121">
        <f>H16-SUM(H17:H19)</f>
        <v>0</v>
      </c>
      <c r="I20" s="112"/>
      <c r="J20" s="110"/>
    </row>
    <row r="21" spans="1:10" x14ac:dyDescent="0.3">
      <c r="A21" s="111"/>
      <c r="B21" s="112"/>
      <c r="C21" s="112"/>
      <c r="D21" s="112"/>
      <c r="E21" s="112"/>
      <c r="F21" s="112"/>
      <c r="G21" s="112"/>
      <c r="H21" s="112"/>
      <c r="I21" s="112"/>
      <c r="J21" s="110"/>
    </row>
    <row r="22" spans="1:10" x14ac:dyDescent="0.3">
      <c r="A22" s="111"/>
      <c r="B22" s="112"/>
      <c r="C22" s="112"/>
      <c r="D22" s="112"/>
      <c r="E22" s="112"/>
      <c r="F22" s="112"/>
      <c r="G22" s="112"/>
      <c r="H22" s="112"/>
      <c r="I22" s="112"/>
      <c r="J22" s="110"/>
    </row>
    <row r="23" spans="1:10" x14ac:dyDescent="0.3">
      <c r="A23" s="111"/>
      <c r="B23" s="112"/>
      <c r="C23" s="112"/>
      <c r="D23" s="112"/>
      <c r="E23" s="112"/>
      <c r="F23" s="112"/>
      <c r="G23" s="112"/>
      <c r="H23" s="112"/>
      <c r="I23" s="112"/>
      <c r="J23" s="110"/>
    </row>
    <row r="24" spans="1:10" x14ac:dyDescent="0.3">
      <c r="A24" s="111"/>
      <c r="B24" s="112"/>
      <c r="C24" s="112"/>
      <c r="D24" s="112"/>
      <c r="E24" s="112"/>
      <c r="F24" s="112"/>
      <c r="G24" s="112"/>
      <c r="H24" s="112"/>
      <c r="I24" s="112"/>
      <c r="J24" s="110"/>
    </row>
    <row r="25" spans="1:10" ht="15" thickBot="1" x14ac:dyDescent="0.35">
      <c r="A25" s="111"/>
      <c r="B25" s="112"/>
      <c r="C25" s="112"/>
      <c r="D25" s="112"/>
      <c r="E25" s="112"/>
      <c r="F25" s="112"/>
      <c r="G25" s="112"/>
      <c r="H25" s="112"/>
      <c r="I25" s="112"/>
      <c r="J25" s="110"/>
    </row>
    <row r="26" spans="1:10" ht="15" thickBot="1" x14ac:dyDescent="0.35">
      <c r="A26" s="111"/>
      <c r="B26" s="112"/>
      <c r="C26" s="112"/>
      <c r="D26" s="6" t="s">
        <v>14</v>
      </c>
      <c r="E26" s="7" t="s">
        <v>47</v>
      </c>
      <c r="F26" s="8" t="s">
        <v>46</v>
      </c>
      <c r="G26" s="4" t="s">
        <v>50</v>
      </c>
      <c r="H26" s="154" t="s">
        <v>45</v>
      </c>
      <c r="I26" s="155"/>
      <c r="J26" s="110"/>
    </row>
    <row r="27" spans="1:10" x14ac:dyDescent="0.3">
      <c r="A27" s="111"/>
      <c r="B27" s="112"/>
      <c r="C27" s="112"/>
      <c r="D27" s="9" t="s">
        <v>16</v>
      </c>
      <c r="E27" s="10">
        <f t="shared" ref="E27:E40" si="0">ROUNDUP(H27,0)</f>
        <v>2</v>
      </c>
      <c r="F27" s="11">
        <f t="shared" ref="F27:F32" si="1">ROUNDDOWN(D3/E27,0)</f>
        <v>19</v>
      </c>
      <c r="G27" s="5">
        <v>8</v>
      </c>
      <c r="H27" s="156">
        <f t="shared" ref="H27:H40" si="2">D3/30</f>
        <v>1.3</v>
      </c>
      <c r="I27" s="157"/>
      <c r="J27" s="110"/>
    </row>
    <row r="28" spans="1:10" x14ac:dyDescent="0.3">
      <c r="A28" s="111"/>
      <c r="B28" s="112"/>
      <c r="C28" s="112"/>
      <c r="D28" s="12" t="s">
        <v>17</v>
      </c>
      <c r="E28" s="10">
        <f t="shared" si="0"/>
        <v>1</v>
      </c>
      <c r="F28" s="11">
        <f t="shared" si="1"/>
        <v>27</v>
      </c>
      <c r="G28" s="5">
        <v>4</v>
      </c>
      <c r="H28" s="156">
        <f t="shared" si="2"/>
        <v>0.9</v>
      </c>
      <c r="I28" s="157"/>
      <c r="J28" s="110"/>
    </row>
    <row r="29" spans="1:10" x14ac:dyDescent="0.3">
      <c r="A29" s="111"/>
      <c r="B29" s="112"/>
      <c r="C29" s="112"/>
      <c r="D29" s="12" t="s">
        <v>18</v>
      </c>
      <c r="E29" s="10">
        <f t="shared" si="0"/>
        <v>1</v>
      </c>
      <c r="F29" s="11">
        <f t="shared" si="1"/>
        <v>18</v>
      </c>
      <c r="G29" s="5">
        <v>4</v>
      </c>
      <c r="H29" s="156">
        <f t="shared" si="2"/>
        <v>0.6</v>
      </c>
      <c r="I29" s="157"/>
      <c r="J29" s="110"/>
    </row>
    <row r="30" spans="1:10" x14ac:dyDescent="0.3">
      <c r="A30" s="111"/>
      <c r="B30" s="112"/>
      <c r="C30" s="112"/>
      <c r="D30" s="12" t="s">
        <v>19</v>
      </c>
      <c r="E30" s="10">
        <f t="shared" si="0"/>
        <v>2</v>
      </c>
      <c r="F30" s="11">
        <f t="shared" si="1"/>
        <v>18</v>
      </c>
      <c r="G30" s="5">
        <v>3</v>
      </c>
      <c r="H30" s="156">
        <f t="shared" si="2"/>
        <v>1.2333333333333334</v>
      </c>
      <c r="I30" s="157"/>
      <c r="J30" s="110"/>
    </row>
    <row r="31" spans="1:10" x14ac:dyDescent="0.3">
      <c r="A31" s="111"/>
      <c r="B31" s="112"/>
      <c r="C31" s="112"/>
      <c r="D31" s="12" t="s">
        <v>20</v>
      </c>
      <c r="E31" s="10">
        <f t="shared" si="0"/>
        <v>1</v>
      </c>
      <c r="F31" s="11">
        <f t="shared" si="1"/>
        <v>3</v>
      </c>
      <c r="G31" s="5">
        <v>6</v>
      </c>
      <c r="H31" s="156">
        <f t="shared" si="2"/>
        <v>0.1</v>
      </c>
      <c r="I31" s="157"/>
      <c r="J31" s="110"/>
    </row>
    <row r="32" spans="1:10" x14ac:dyDescent="0.3">
      <c r="A32" s="111"/>
      <c r="B32" s="112"/>
      <c r="C32" s="112"/>
      <c r="D32" s="12" t="s">
        <v>21</v>
      </c>
      <c r="E32" s="10">
        <f t="shared" si="0"/>
        <v>1</v>
      </c>
      <c r="F32" s="11">
        <f t="shared" si="1"/>
        <v>9</v>
      </c>
      <c r="G32" s="5">
        <v>6</v>
      </c>
      <c r="H32" s="156">
        <f t="shared" si="2"/>
        <v>0.3</v>
      </c>
      <c r="I32" s="157"/>
      <c r="J32" s="110"/>
    </row>
    <row r="33" spans="1:10" x14ac:dyDescent="0.3">
      <c r="A33" s="111"/>
      <c r="B33" s="112"/>
      <c r="C33" s="112"/>
      <c r="D33" s="12" t="s">
        <v>22</v>
      </c>
      <c r="E33" s="10">
        <f t="shared" si="0"/>
        <v>0</v>
      </c>
      <c r="F33" s="11">
        <v>0</v>
      </c>
      <c r="G33" s="5">
        <v>3</v>
      </c>
      <c r="H33" s="156">
        <f t="shared" si="2"/>
        <v>0</v>
      </c>
      <c r="I33" s="157"/>
      <c r="J33" s="110"/>
    </row>
    <row r="34" spans="1:10" x14ac:dyDescent="0.3">
      <c r="A34" s="111"/>
      <c r="B34" s="112"/>
      <c r="C34" s="112"/>
      <c r="D34" s="12" t="s">
        <v>23</v>
      </c>
      <c r="E34" s="10">
        <f t="shared" si="0"/>
        <v>0</v>
      </c>
      <c r="F34" s="11">
        <v>0</v>
      </c>
      <c r="G34" s="5">
        <v>6</v>
      </c>
      <c r="H34" s="156">
        <f t="shared" si="2"/>
        <v>0</v>
      </c>
      <c r="I34" s="157"/>
      <c r="J34" s="110"/>
    </row>
    <row r="35" spans="1:10" x14ac:dyDescent="0.3">
      <c r="A35" s="111"/>
      <c r="B35" s="112"/>
      <c r="C35" s="112"/>
      <c r="D35" s="12" t="s">
        <v>24</v>
      </c>
      <c r="E35" s="10">
        <f t="shared" si="0"/>
        <v>1</v>
      </c>
      <c r="F35" s="11">
        <f t="shared" ref="F35:F40" si="3">ROUNDDOWN(D11/E35,0)</f>
        <v>30</v>
      </c>
      <c r="G35" s="5">
        <v>4</v>
      </c>
      <c r="H35" s="156">
        <f t="shared" si="2"/>
        <v>1</v>
      </c>
      <c r="I35" s="157"/>
      <c r="J35" s="110"/>
    </row>
    <row r="36" spans="1:10" x14ac:dyDescent="0.3">
      <c r="A36" s="111"/>
      <c r="B36" s="112"/>
      <c r="C36" s="112"/>
      <c r="D36" s="12" t="s">
        <v>44</v>
      </c>
      <c r="E36" s="10">
        <f t="shared" si="0"/>
        <v>1</v>
      </c>
      <c r="F36" s="11">
        <f t="shared" si="3"/>
        <v>24</v>
      </c>
      <c r="G36" s="5">
        <v>4</v>
      </c>
      <c r="H36" s="156">
        <f t="shared" si="2"/>
        <v>0.8</v>
      </c>
      <c r="I36" s="157"/>
      <c r="J36" s="110"/>
    </row>
    <row r="37" spans="1:10" x14ac:dyDescent="0.3">
      <c r="A37" s="111"/>
      <c r="B37" s="112"/>
      <c r="C37" s="112"/>
      <c r="D37" s="12" t="s">
        <v>25</v>
      </c>
      <c r="E37" s="10">
        <f t="shared" si="0"/>
        <v>2</v>
      </c>
      <c r="F37" s="11">
        <f t="shared" si="3"/>
        <v>17</v>
      </c>
      <c r="G37" s="5">
        <v>6</v>
      </c>
      <c r="H37" s="156">
        <f t="shared" si="2"/>
        <v>1.1333333333333333</v>
      </c>
      <c r="I37" s="157"/>
      <c r="J37" s="110"/>
    </row>
    <row r="38" spans="1:10" x14ac:dyDescent="0.3">
      <c r="A38" s="111"/>
      <c r="B38" s="112"/>
      <c r="C38" s="112"/>
      <c r="D38" s="12" t="s">
        <v>26</v>
      </c>
      <c r="E38" s="10">
        <f t="shared" si="0"/>
        <v>1</v>
      </c>
      <c r="F38" s="11">
        <f t="shared" si="3"/>
        <v>28</v>
      </c>
      <c r="G38" s="5">
        <v>7</v>
      </c>
      <c r="H38" s="156">
        <f t="shared" si="2"/>
        <v>0.93333333333333335</v>
      </c>
      <c r="I38" s="157"/>
      <c r="J38" s="110"/>
    </row>
    <row r="39" spans="1:10" x14ac:dyDescent="0.3">
      <c r="A39" s="111"/>
      <c r="B39" s="112"/>
      <c r="C39" s="112"/>
      <c r="D39" s="12" t="s">
        <v>27</v>
      </c>
      <c r="E39" s="10">
        <f t="shared" si="0"/>
        <v>1</v>
      </c>
      <c r="F39" s="11">
        <f t="shared" si="3"/>
        <v>22</v>
      </c>
      <c r="G39" s="5">
        <v>4</v>
      </c>
      <c r="H39" s="156">
        <f t="shared" si="2"/>
        <v>0.73333333333333328</v>
      </c>
      <c r="I39" s="157"/>
      <c r="J39" s="110"/>
    </row>
    <row r="40" spans="1:10" ht="15" thickBot="1" x14ac:dyDescent="0.35">
      <c r="A40" s="111"/>
      <c r="B40" s="112"/>
      <c r="C40" s="112"/>
      <c r="D40" s="13" t="s">
        <v>28</v>
      </c>
      <c r="E40" s="84">
        <f t="shared" si="0"/>
        <v>1</v>
      </c>
      <c r="F40" s="85">
        <f t="shared" si="3"/>
        <v>15</v>
      </c>
      <c r="G40" s="86">
        <v>4</v>
      </c>
      <c r="H40" s="165">
        <f t="shared" si="2"/>
        <v>0.5</v>
      </c>
      <c r="I40" s="166"/>
      <c r="J40" s="110"/>
    </row>
    <row r="41" spans="1:10" x14ac:dyDescent="0.3">
      <c r="A41" s="111"/>
      <c r="B41" s="112"/>
      <c r="C41" s="112"/>
      <c r="D41" s="125"/>
      <c r="E41" s="112"/>
      <c r="F41" s="112"/>
      <c r="G41" s="125"/>
      <c r="H41" s="112"/>
      <c r="I41" s="112"/>
      <c r="J41" s="110"/>
    </row>
    <row r="42" spans="1:10" ht="15" thickBot="1" x14ac:dyDescent="0.35">
      <c r="A42" s="113"/>
      <c r="B42" s="114"/>
      <c r="C42" s="114"/>
      <c r="D42" s="114"/>
      <c r="E42" s="114"/>
      <c r="F42" s="114"/>
      <c r="G42" s="114"/>
      <c r="H42" s="114"/>
      <c r="I42" s="114"/>
      <c r="J42" s="115"/>
    </row>
    <row r="43" spans="1:10" ht="15" thickBot="1" x14ac:dyDescent="0.35">
      <c r="A43" s="111"/>
      <c r="B43" s="112"/>
      <c r="C43" s="112"/>
      <c r="D43" s="112"/>
      <c r="E43" s="163" t="s">
        <v>109</v>
      </c>
      <c r="F43" s="164"/>
      <c r="G43" s="112"/>
      <c r="H43" s="112"/>
      <c r="I43" s="112"/>
      <c r="J43" s="110"/>
    </row>
    <row r="44" spans="1:10" ht="15" thickBot="1" x14ac:dyDescent="0.35">
      <c r="A44" s="111"/>
      <c r="B44" s="112"/>
      <c r="C44" s="112"/>
      <c r="D44" s="112"/>
      <c r="E44" s="112"/>
      <c r="F44" s="112"/>
      <c r="G44" s="112"/>
      <c r="H44" s="112"/>
      <c r="I44" s="112"/>
      <c r="J44" s="110"/>
    </row>
    <row r="45" spans="1:10" x14ac:dyDescent="0.3">
      <c r="A45" s="111"/>
      <c r="B45" s="112"/>
      <c r="C45" s="112"/>
      <c r="D45" s="128" t="s">
        <v>104</v>
      </c>
      <c r="E45" s="73" t="s">
        <v>100</v>
      </c>
      <c r="F45" s="74">
        <f>COUNTIFS(excel_base.xlxs!C$2:C$82,"&gt;60",excel_base.xlxs!B2:B82,"=420,ZY")</f>
        <v>14</v>
      </c>
      <c r="G45" s="133">
        <f>F45*G27*25.5</f>
        <v>2856</v>
      </c>
      <c r="H45" s="112"/>
      <c r="I45" s="112"/>
      <c r="J45" s="110"/>
    </row>
    <row r="46" spans="1:10" x14ac:dyDescent="0.3">
      <c r="A46" s="111"/>
      <c r="B46" s="112"/>
      <c r="C46" s="112"/>
      <c r="D46" s="129"/>
      <c r="E46" s="69" t="s">
        <v>101</v>
      </c>
      <c r="F46" s="70">
        <f>COUNTIFS(excel_base.xlxs!C$2:C$82,"&gt;60",excel_base.xlxs!B2:B82,"=420,ZX")</f>
        <v>18</v>
      </c>
      <c r="G46" s="134">
        <f>F46*G27*29.5</f>
        <v>4248</v>
      </c>
      <c r="H46" s="112"/>
      <c r="I46" s="112"/>
      <c r="J46" s="110"/>
    </row>
    <row r="47" spans="1:10" ht="15" thickBot="1" x14ac:dyDescent="0.35">
      <c r="A47" s="111"/>
      <c r="B47" s="112"/>
      <c r="C47" s="112"/>
      <c r="D47" s="129"/>
      <c r="E47" s="71" t="s">
        <v>102</v>
      </c>
      <c r="F47" s="72">
        <f>COUNTIFS(excel_base.xlxs!C$2:C$82,"&gt;60",excel_base.xlxs!B2:B82,"=200,ZZ")</f>
        <v>7</v>
      </c>
      <c r="G47" s="134">
        <f>F47*G27*20.5</f>
        <v>1148</v>
      </c>
      <c r="H47" s="112"/>
      <c r="I47" s="112"/>
      <c r="J47" s="110"/>
    </row>
    <row r="48" spans="1:10" ht="15" thickBot="1" x14ac:dyDescent="0.35">
      <c r="A48" s="111"/>
      <c r="B48" s="112"/>
      <c r="C48" s="112"/>
      <c r="D48" s="130"/>
      <c r="E48" s="131"/>
      <c r="F48" s="131"/>
      <c r="G48" s="132"/>
      <c r="H48" s="112"/>
      <c r="I48" s="112"/>
      <c r="J48" s="110"/>
    </row>
    <row r="49" spans="1:10" x14ac:dyDescent="0.3">
      <c r="A49" s="111"/>
      <c r="B49" s="112"/>
      <c r="C49" s="112"/>
      <c r="D49" s="128" t="s">
        <v>17</v>
      </c>
      <c r="E49" s="73" t="s">
        <v>100</v>
      </c>
      <c r="F49" s="74">
        <f>COUNTIFS(excel_base.xlxs!C2:C82,"&gt;60",excel_base.xlxs!D2:D82,"&gt;60",excel_base.xlxs!B2:B82,"=420,ZX")</f>
        <v>13</v>
      </c>
      <c r="G49" s="133">
        <f>F49*G28*25.5</f>
        <v>1326</v>
      </c>
      <c r="H49" s="112"/>
      <c r="I49" s="75" t="s">
        <v>105</v>
      </c>
      <c r="J49" s="76">
        <f>SUM(G45,G49,G53,G57,G61,G65,G69,G73,G77,G81,G85,G89,G93,G97)*15</f>
        <v>232177.5</v>
      </c>
    </row>
    <row r="50" spans="1:10" x14ac:dyDescent="0.3">
      <c r="A50" s="111"/>
      <c r="B50" s="112"/>
      <c r="C50" s="112"/>
      <c r="D50" s="129"/>
      <c r="E50" s="69" t="s">
        <v>101</v>
      </c>
      <c r="F50" s="70">
        <f>COUNTIFS(excel_base.xlxs!C3:C83,"&gt;60",excel_base.xlxs!D3:D83,"&gt;60",excel_base.xlxs!B2:B82,"=420,ZY")</f>
        <v>8</v>
      </c>
      <c r="G50" s="134">
        <f>F50*G28*29.5</f>
        <v>944</v>
      </c>
      <c r="H50" s="112"/>
      <c r="I50" s="77" t="s">
        <v>107</v>
      </c>
      <c r="J50" s="78">
        <f t="shared" ref="J50:J51" si="4">SUM(G46,G50,G54,G58,G62,G66,G70,G74,G78,G82,G86,G90,G94,G98)*15</f>
        <v>247357.5</v>
      </c>
    </row>
    <row r="51" spans="1:10" ht="15" thickBot="1" x14ac:dyDescent="0.35">
      <c r="A51" s="111"/>
      <c r="B51" s="112"/>
      <c r="C51" s="112"/>
      <c r="D51" s="129"/>
      <c r="E51" s="69" t="s">
        <v>102</v>
      </c>
      <c r="F51" s="70">
        <f>COUNTIFS(excel_base.xlxs!C4:C84,"&gt;60",excel_base.xlxs!D4:D84,"&gt;60",excel_base.xlxs!B2:B82,"=200,ZZ")</f>
        <v>5</v>
      </c>
      <c r="G51" s="134">
        <f>F51*G28*20.5</f>
        <v>410</v>
      </c>
      <c r="H51" s="112"/>
      <c r="I51" s="79" t="s">
        <v>106</v>
      </c>
      <c r="J51" s="80">
        <f t="shared" si="4"/>
        <v>75337.5</v>
      </c>
    </row>
    <row r="52" spans="1:10" ht="15" thickBot="1" x14ac:dyDescent="0.35">
      <c r="A52" s="111"/>
      <c r="B52" s="112"/>
      <c r="C52" s="112"/>
      <c r="D52" s="130"/>
      <c r="E52" s="131"/>
      <c r="F52" s="131"/>
      <c r="G52" s="132"/>
      <c r="H52" s="112"/>
      <c r="I52" s="112"/>
      <c r="J52" s="110"/>
    </row>
    <row r="53" spans="1:10" ht="15" thickBot="1" x14ac:dyDescent="0.35">
      <c r="A53" s="111"/>
      <c r="B53" s="112"/>
      <c r="C53" s="112"/>
      <c r="D53" s="128" t="s">
        <v>18</v>
      </c>
      <c r="E53" s="73" t="s">
        <v>100</v>
      </c>
      <c r="F53" s="74">
        <f>COUNTIFS(excel_base.xlxs!C2:C82,"&gt;60",excel_base.xlxs!D2:D82,"&gt;60",excel_base.xlxs!E2:E82,"&gt;60",excel_base.xlxs!B2:B82,"=420,ZX")</f>
        <v>9</v>
      </c>
      <c r="G53" s="133">
        <f>F53*G29*25.5</f>
        <v>918</v>
      </c>
      <c r="H53" s="112"/>
      <c r="I53" s="83" t="s">
        <v>108</v>
      </c>
      <c r="J53" s="82">
        <f>SUM(J49:J51)</f>
        <v>554872.5</v>
      </c>
    </row>
    <row r="54" spans="1:10" x14ac:dyDescent="0.3">
      <c r="A54" s="111"/>
      <c r="B54" s="112"/>
      <c r="C54" s="112"/>
      <c r="D54" s="129"/>
      <c r="E54" s="69" t="s">
        <v>101</v>
      </c>
      <c r="F54" s="70">
        <f>COUNTIFS(excel_base.xlxs!C3:C83,"&gt;60",excel_base.xlxs!D3:D83,"&gt;60",excel_base.xlxs!E3:E83,"&gt;60",excel_base.xlxs!B2:B82,"=420,ZY")</f>
        <v>6</v>
      </c>
      <c r="G54" s="134">
        <f>F54*G29*29.5</f>
        <v>708</v>
      </c>
      <c r="H54" s="112"/>
      <c r="I54" s="112"/>
      <c r="J54" s="110"/>
    </row>
    <row r="55" spans="1:10" x14ac:dyDescent="0.3">
      <c r="A55" s="111"/>
      <c r="B55" s="112"/>
      <c r="C55" s="112"/>
      <c r="D55" s="129"/>
      <c r="E55" s="69" t="s">
        <v>102</v>
      </c>
      <c r="F55" s="70">
        <f>COUNTIFS(excel_base.xlxs!C4:C84,"&gt;60",excel_base.xlxs!D4:D84,"&gt;60",excel_base.xlxs!E4:E84,"&gt;60",excel_base.xlxs!B2:B82,"=200,ZZ")</f>
        <v>3</v>
      </c>
      <c r="G55" s="134">
        <f>F55*G29*20.5</f>
        <v>246</v>
      </c>
      <c r="H55" s="112"/>
      <c r="I55" s="112"/>
      <c r="J55" s="110"/>
    </row>
    <row r="56" spans="1:10" ht="15" thickBot="1" x14ac:dyDescent="0.35">
      <c r="A56" s="111"/>
      <c r="B56" s="112"/>
      <c r="C56" s="112"/>
      <c r="D56" s="130"/>
      <c r="E56" s="131"/>
      <c r="F56" s="131"/>
      <c r="G56" s="132"/>
      <c r="H56" s="112"/>
      <c r="I56" s="112"/>
      <c r="J56" s="110"/>
    </row>
    <row r="57" spans="1:10" x14ac:dyDescent="0.3">
      <c r="A57" s="111"/>
      <c r="B57" s="112"/>
      <c r="C57" s="112"/>
      <c r="D57" s="128" t="s">
        <v>19</v>
      </c>
      <c r="E57" s="73" t="s">
        <v>100</v>
      </c>
      <c r="F57" s="74">
        <f>COUNTIFS(excel_base.xlxs!D$2:D$82,"&gt;60",excel_base.xlxs!B2:B82,"=420,ZX")</f>
        <v>18</v>
      </c>
      <c r="G57" s="133">
        <f>F57*G30*25.5</f>
        <v>1377</v>
      </c>
      <c r="H57" s="112"/>
      <c r="I57" s="112"/>
      <c r="J57" s="110"/>
    </row>
    <row r="58" spans="1:10" x14ac:dyDescent="0.3">
      <c r="A58" s="111"/>
      <c r="B58" s="112"/>
      <c r="C58" s="112"/>
      <c r="D58" s="129"/>
      <c r="E58" s="69" t="s">
        <v>101</v>
      </c>
      <c r="F58" s="70">
        <f>COUNTIFS(excel_base.xlxs!D$2:D$82,"&gt;60",excel_base.xlxs!B2:B82,"=420,ZY")</f>
        <v>13</v>
      </c>
      <c r="G58" s="134">
        <f>F58*G30*29.5</f>
        <v>1150.5</v>
      </c>
      <c r="H58" s="112"/>
      <c r="I58" s="112"/>
      <c r="J58" s="110"/>
    </row>
    <row r="59" spans="1:10" x14ac:dyDescent="0.3">
      <c r="A59" s="111"/>
      <c r="B59" s="112"/>
      <c r="C59" s="112"/>
      <c r="D59" s="129"/>
      <c r="E59" s="69" t="s">
        <v>102</v>
      </c>
      <c r="F59" s="70">
        <f>COUNTIFS(excel_base.xlxs!D$2:D$82,"&gt;60",excel_base.xlxs!B2:B82,"=200,ZZ")</f>
        <v>6</v>
      </c>
      <c r="G59" s="134">
        <f>F59*G30*20.5</f>
        <v>369</v>
      </c>
      <c r="H59" s="112"/>
      <c r="I59" s="112"/>
      <c r="J59" s="110"/>
    </row>
    <row r="60" spans="1:10" ht="15" thickBot="1" x14ac:dyDescent="0.35">
      <c r="A60" s="111"/>
      <c r="B60" s="112"/>
      <c r="C60" s="112"/>
      <c r="D60" s="130"/>
      <c r="E60" s="131"/>
      <c r="F60" s="131"/>
      <c r="G60" s="132"/>
      <c r="H60" s="112"/>
      <c r="I60" s="112"/>
      <c r="J60" s="110"/>
    </row>
    <row r="61" spans="1:10" x14ac:dyDescent="0.3">
      <c r="A61" s="111"/>
      <c r="B61" s="112"/>
      <c r="C61" s="112"/>
      <c r="D61" s="128" t="s">
        <v>20</v>
      </c>
      <c r="E61" s="1" t="s">
        <v>100</v>
      </c>
      <c r="F61" s="2">
        <f>COUNTIFS(excel_base.xlxs!F2:F82,"&gt;60",excel_base.xlxs!H2:H82,"&gt;60",excel_base.xlxs!B2:B82,"=420,ZX")</f>
        <v>2</v>
      </c>
      <c r="G61" s="133">
        <f>F61*G31*25.5</f>
        <v>306</v>
      </c>
      <c r="H61" s="112"/>
      <c r="I61" s="112"/>
      <c r="J61" s="110"/>
    </row>
    <row r="62" spans="1:10" x14ac:dyDescent="0.3">
      <c r="A62" s="111"/>
      <c r="B62" s="112"/>
      <c r="C62" s="112"/>
      <c r="D62" s="129"/>
      <c r="E62" s="136" t="s">
        <v>101</v>
      </c>
      <c r="F62" s="137">
        <f>COUNTIFS(excel_base.xlxs!F3:F83,"&gt;60",excel_base.xlxs!H3:H83,"&gt;60",excel_base.xlxs!B2:B82,"=420,ZY")</f>
        <v>1</v>
      </c>
      <c r="G62" s="134">
        <f>F62*G31*29.5</f>
        <v>177</v>
      </c>
      <c r="H62" s="112"/>
      <c r="I62" s="112"/>
      <c r="J62" s="110"/>
    </row>
    <row r="63" spans="1:10" x14ac:dyDescent="0.3">
      <c r="A63" s="111"/>
      <c r="B63" s="112"/>
      <c r="C63" s="112"/>
      <c r="D63" s="129"/>
      <c r="E63" s="136" t="s">
        <v>102</v>
      </c>
      <c r="F63" s="137">
        <f>COUNTIFS(excel_base.xlxs!F4:F84,"&gt;60",excel_base.xlxs!H4:H84,"&gt;60",excel_base.xlxs!B2:B82,"=200,ZZ")</f>
        <v>0</v>
      </c>
      <c r="G63" s="134">
        <f>F63*G31*20.5</f>
        <v>0</v>
      </c>
      <c r="H63" s="112"/>
      <c r="I63" s="112"/>
      <c r="J63" s="110"/>
    </row>
    <row r="64" spans="1:10" ht="15" thickBot="1" x14ac:dyDescent="0.35">
      <c r="A64" s="111"/>
      <c r="B64" s="112"/>
      <c r="C64" s="112"/>
      <c r="D64" s="130"/>
      <c r="E64" s="131"/>
      <c r="F64" s="131"/>
      <c r="G64" s="132"/>
      <c r="H64" s="112"/>
      <c r="I64" s="112"/>
      <c r="J64" s="110"/>
    </row>
    <row r="65" spans="1:10" x14ac:dyDescent="0.3">
      <c r="A65" s="111"/>
      <c r="B65" s="112"/>
      <c r="C65" s="112"/>
      <c r="D65" s="128" t="s">
        <v>21</v>
      </c>
      <c r="E65" s="73" t="s">
        <v>100</v>
      </c>
      <c r="F65" s="74">
        <f>COUNTIFS(excel_base.xlxs!G$2:G$82,"&gt;60",excel_base.xlxs!B2:B82,"=420,ZX")</f>
        <v>5</v>
      </c>
      <c r="G65" s="133">
        <f>F65*G32*25.5</f>
        <v>765</v>
      </c>
      <c r="H65" s="112"/>
      <c r="I65" s="112"/>
      <c r="J65" s="110"/>
    </row>
    <row r="66" spans="1:10" x14ac:dyDescent="0.3">
      <c r="A66" s="111"/>
      <c r="B66" s="112"/>
      <c r="C66" s="112"/>
      <c r="D66" s="129"/>
      <c r="E66" s="69" t="s">
        <v>101</v>
      </c>
      <c r="F66" s="70">
        <f>COUNTIFS(excel_base.xlxs!G$2:G$82,"&gt;60",excel_base.xlxs!B3:B83,"=420,ZY")</f>
        <v>4</v>
      </c>
      <c r="G66" s="134">
        <f>F66*G32*29.5</f>
        <v>708</v>
      </c>
      <c r="H66" s="112"/>
      <c r="I66" s="112"/>
      <c r="J66" s="110"/>
    </row>
    <row r="67" spans="1:10" x14ac:dyDescent="0.3">
      <c r="A67" s="111"/>
      <c r="B67" s="112"/>
      <c r="C67" s="112"/>
      <c r="D67" s="129"/>
      <c r="E67" s="69" t="s">
        <v>102</v>
      </c>
      <c r="F67" s="70">
        <f>COUNTIFS(excel_base.xlxs!G$2:G$82,"&gt;60",excel_base.xlxs!B4:B84,"=200,ZZ")</f>
        <v>0</v>
      </c>
      <c r="G67" s="134">
        <f>F67*G32*20.5</f>
        <v>0</v>
      </c>
      <c r="H67" s="112"/>
      <c r="I67" s="112"/>
      <c r="J67" s="110"/>
    </row>
    <row r="68" spans="1:10" ht="15" thickBot="1" x14ac:dyDescent="0.35">
      <c r="A68" s="111"/>
      <c r="B68" s="112"/>
      <c r="C68" s="112"/>
      <c r="D68" s="130"/>
      <c r="E68" s="131"/>
      <c r="F68" s="131"/>
      <c r="G68" s="132"/>
      <c r="H68" s="112"/>
      <c r="I68" s="112"/>
      <c r="J68" s="110"/>
    </row>
    <row r="69" spans="1:10" x14ac:dyDescent="0.3">
      <c r="A69" s="111"/>
      <c r="B69" s="112"/>
      <c r="C69" s="112"/>
      <c r="D69" s="128" t="s">
        <v>22</v>
      </c>
      <c r="E69" s="73" t="s">
        <v>100</v>
      </c>
      <c r="F69" s="74">
        <v>0</v>
      </c>
      <c r="G69" s="133">
        <v>0</v>
      </c>
      <c r="H69" s="112"/>
      <c r="I69" s="112"/>
      <c r="J69" s="110"/>
    </row>
    <row r="70" spans="1:10" x14ac:dyDescent="0.3">
      <c r="A70" s="111"/>
      <c r="B70" s="112"/>
      <c r="C70" s="112"/>
      <c r="D70" s="129"/>
      <c r="E70" s="69" t="s">
        <v>101</v>
      </c>
      <c r="F70" s="70">
        <v>0</v>
      </c>
      <c r="G70" s="134">
        <v>0</v>
      </c>
      <c r="H70" s="112"/>
      <c r="I70" s="112"/>
      <c r="J70" s="110"/>
    </row>
    <row r="71" spans="1:10" x14ac:dyDescent="0.3">
      <c r="A71" s="111"/>
      <c r="B71" s="112"/>
      <c r="C71" s="112"/>
      <c r="D71" s="129"/>
      <c r="E71" s="69" t="s">
        <v>102</v>
      </c>
      <c r="F71" s="70">
        <v>0</v>
      </c>
      <c r="G71" s="134">
        <v>0</v>
      </c>
      <c r="H71" s="112"/>
      <c r="I71" s="112"/>
      <c r="J71" s="110"/>
    </row>
    <row r="72" spans="1:10" ht="15" thickBot="1" x14ac:dyDescent="0.35">
      <c r="A72" s="111"/>
      <c r="B72" s="112"/>
      <c r="C72" s="112"/>
      <c r="D72" s="130"/>
      <c r="E72" s="131"/>
      <c r="F72" s="131"/>
      <c r="G72" s="132"/>
      <c r="H72" s="112"/>
      <c r="I72" s="112"/>
      <c r="J72" s="110"/>
    </row>
    <row r="73" spans="1:10" x14ac:dyDescent="0.3">
      <c r="A73" s="111"/>
      <c r="B73" s="112"/>
      <c r="C73" s="112"/>
      <c r="D73" s="128" t="s">
        <v>23</v>
      </c>
      <c r="E73" s="73" t="s">
        <v>100</v>
      </c>
      <c r="F73" s="74">
        <v>0</v>
      </c>
      <c r="G73" s="133">
        <v>0</v>
      </c>
      <c r="H73" s="112"/>
      <c r="I73" s="112"/>
      <c r="J73" s="110"/>
    </row>
    <row r="74" spans="1:10" x14ac:dyDescent="0.3">
      <c r="A74" s="111"/>
      <c r="B74" s="112"/>
      <c r="C74" s="112"/>
      <c r="D74" s="129"/>
      <c r="E74" s="69" t="s">
        <v>101</v>
      </c>
      <c r="F74" s="70">
        <v>0</v>
      </c>
      <c r="G74" s="134">
        <v>0</v>
      </c>
      <c r="H74" s="112"/>
      <c r="I74" s="112"/>
      <c r="J74" s="110"/>
    </row>
    <row r="75" spans="1:10" x14ac:dyDescent="0.3">
      <c r="A75" s="111"/>
      <c r="B75" s="112"/>
      <c r="C75" s="112"/>
      <c r="D75" s="129"/>
      <c r="E75" s="69" t="s">
        <v>102</v>
      </c>
      <c r="F75" s="70">
        <v>0</v>
      </c>
      <c r="G75" s="134">
        <v>0</v>
      </c>
      <c r="H75" s="112"/>
      <c r="I75" s="112"/>
      <c r="J75" s="110"/>
    </row>
    <row r="76" spans="1:10" ht="15" thickBot="1" x14ac:dyDescent="0.35">
      <c r="A76" s="111"/>
      <c r="B76" s="112"/>
      <c r="C76" s="112"/>
      <c r="D76" s="130"/>
      <c r="E76" s="131"/>
      <c r="F76" s="131"/>
      <c r="G76" s="132"/>
      <c r="H76" s="112"/>
      <c r="I76" s="112"/>
      <c r="J76" s="110"/>
    </row>
    <row r="77" spans="1:10" x14ac:dyDescent="0.3">
      <c r="A77" s="111"/>
      <c r="B77" s="112"/>
      <c r="C77" s="112"/>
      <c r="D77" s="128" t="s">
        <v>24</v>
      </c>
      <c r="E77" s="73" t="s">
        <v>100</v>
      </c>
      <c r="F77" s="74">
        <f>COUNTIFS(excel_base.xlxs!K$2:K$82,"&gt;60",excel_base.xlxs!B2:B82,"=420,ZX")</f>
        <v>11</v>
      </c>
      <c r="G77" s="133">
        <f>F77*G35*25.5</f>
        <v>1122</v>
      </c>
      <c r="H77" s="112"/>
      <c r="I77" s="112"/>
      <c r="J77" s="110"/>
    </row>
    <row r="78" spans="1:10" x14ac:dyDescent="0.3">
      <c r="A78" s="111"/>
      <c r="B78" s="112"/>
      <c r="C78" s="112"/>
      <c r="D78" s="129"/>
      <c r="E78" s="69" t="s">
        <v>101</v>
      </c>
      <c r="F78" s="70">
        <f>COUNTIFS(excel_base.xlxs!K$2:K$82,"&gt;60",excel_base.xlxs!B2:B82,"=420,ZY")</f>
        <v>12</v>
      </c>
      <c r="G78" s="134">
        <f>F78*G35*29.5</f>
        <v>1416</v>
      </c>
      <c r="H78" s="112"/>
      <c r="I78" s="112"/>
      <c r="J78" s="110"/>
    </row>
    <row r="79" spans="1:10" x14ac:dyDescent="0.3">
      <c r="A79" s="111"/>
      <c r="B79" s="112"/>
      <c r="C79" s="112"/>
      <c r="D79" s="129"/>
      <c r="E79" s="69" t="s">
        <v>102</v>
      </c>
      <c r="F79" s="70">
        <f>COUNTIFS(excel_base.xlxs!K$2:K$82,"&gt;60",excel_base.xlxs!B2:B82,"=200,ZZ")</f>
        <v>7</v>
      </c>
      <c r="G79" s="134">
        <f>F79*G35*20.5</f>
        <v>574</v>
      </c>
      <c r="H79" s="112"/>
      <c r="I79" s="112"/>
      <c r="J79" s="110"/>
    </row>
    <row r="80" spans="1:10" ht="15" thickBot="1" x14ac:dyDescent="0.35">
      <c r="A80" s="111"/>
      <c r="B80" s="112"/>
      <c r="C80" s="112"/>
      <c r="D80" s="130"/>
      <c r="E80" s="131"/>
      <c r="F80" s="131"/>
      <c r="G80" s="132"/>
      <c r="H80" s="112"/>
      <c r="I80" s="112"/>
      <c r="J80" s="110"/>
    </row>
    <row r="81" spans="1:10" x14ac:dyDescent="0.3">
      <c r="A81" s="111"/>
      <c r="B81" s="112"/>
      <c r="C81" s="112"/>
      <c r="D81" s="128" t="s">
        <v>44</v>
      </c>
      <c r="E81" s="73" t="s">
        <v>100</v>
      </c>
      <c r="F81" s="74">
        <f>COUNTIFS(excel_base.xlxs!L2:L82,"&gt;60",excel_base.xlxs!M2:M82,"&gt;60",excel_base.xlxs!B2:B82,"=420,ZX")</f>
        <v>10</v>
      </c>
      <c r="G81" s="133">
        <f>F81*G36*25.5</f>
        <v>1020</v>
      </c>
      <c r="H81" s="112"/>
      <c r="I81" s="112"/>
      <c r="J81" s="110"/>
    </row>
    <row r="82" spans="1:10" x14ac:dyDescent="0.3">
      <c r="A82" s="111"/>
      <c r="B82" s="112"/>
      <c r="C82" s="112"/>
      <c r="D82" s="129"/>
      <c r="E82" s="69" t="s">
        <v>101</v>
      </c>
      <c r="F82" s="70">
        <f>COUNTIFS(excel_base.xlxs!L3:L83,"&gt;60",excel_base.xlxs!M3:M83,"&gt;60",excel_base.xlxs!B2:B82,"=420,ZY")</f>
        <v>9</v>
      </c>
      <c r="G82" s="134">
        <f>F82*G36*29.5</f>
        <v>1062</v>
      </c>
      <c r="H82" s="112"/>
      <c r="I82" s="112"/>
      <c r="J82" s="110"/>
    </row>
    <row r="83" spans="1:10" x14ac:dyDescent="0.3">
      <c r="A83" s="111"/>
      <c r="B83" s="112"/>
      <c r="C83" s="112"/>
      <c r="D83" s="129"/>
      <c r="E83" s="69" t="s">
        <v>102</v>
      </c>
      <c r="F83" s="70">
        <f>COUNTIFS(excel_base.xlxs!L4:L84,"&gt;60",excel_base.xlxs!M4:M84,"&gt;60",excel_base.xlxs!B2:B82,"=200,ZZ")</f>
        <v>4</v>
      </c>
      <c r="G83" s="134">
        <f>F83*G36*20.5</f>
        <v>328</v>
      </c>
      <c r="H83" s="112"/>
      <c r="I83" s="112"/>
      <c r="J83" s="110"/>
    </row>
    <row r="84" spans="1:10" ht="15" thickBot="1" x14ac:dyDescent="0.35">
      <c r="A84" s="111"/>
      <c r="B84" s="112"/>
      <c r="C84" s="112"/>
      <c r="D84" s="130"/>
      <c r="E84" s="131"/>
      <c r="F84" s="131"/>
      <c r="G84" s="132"/>
      <c r="H84" s="112"/>
      <c r="I84" s="112"/>
      <c r="J84" s="110"/>
    </row>
    <row r="85" spans="1:10" x14ac:dyDescent="0.3">
      <c r="A85" s="111"/>
      <c r="B85" s="112"/>
      <c r="C85" s="112"/>
      <c r="D85" s="128" t="s">
        <v>25</v>
      </c>
      <c r="E85" s="73" t="s">
        <v>100</v>
      </c>
      <c r="F85" s="74">
        <f>COUNTIFS(excel_base.xlxs!M$2:M$82,"&gt;60",excel_base.xlxs!B2:B82,"=420,ZX")</f>
        <v>15</v>
      </c>
      <c r="G85" s="133">
        <f>F85*G37*25.5</f>
        <v>2295</v>
      </c>
      <c r="H85" s="112"/>
      <c r="I85" s="112"/>
      <c r="J85" s="110"/>
    </row>
    <row r="86" spans="1:10" x14ac:dyDescent="0.3">
      <c r="A86" s="111"/>
      <c r="B86" s="112"/>
      <c r="C86" s="112"/>
      <c r="D86" s="129"/>
      <c r="E86" s="69" t="s">
        <v>101</v>
      </c>
      <c r="F86" s="70">
        <f>COUNTIFS(excel_base.xlxs!M$2:M$82,"&gt;60",excel_base.xlxs!B2:B82,"=420,ZY")</f>
        <v>13</v>
      </c>
      <c r="G86" s="134">
        <f>F86*G37*29.5</f>
        <v>2301</v>
      </c>
      <c r="H86" s="112"/>
      <c r="I86" s="112"/>
      <c r="J86" s="110"/>
    </row>
    <row r="87" spans="1:10" x14ac:dyDescent="0.3">
      <c r="A87" s="111"/>
      <c r="B87" s="112"/>
      <c r="C87" s="112"/>
      <c r="D87" s="129"/>
      <c r="E87" s="69" t="s">
        <v>102</v>
      </c>
      <c r="F87" s="70">
        <f>COUNTIFS(excel_base.xlxs!M$2:M$82,"&gt;60",excel_base.xlxs!B2:B82,"=200,ZZ")</f>
        <v>6</v>
      </c>
      <c r="G87" s="134">
        <f>F87*G37*20.5</f>
        <v>738</v>
      </c>
      <c r="H87" s="112"/>
      <c r="I87" s="112"/>
      <c r="J87" s="110"/>
    </row>
    <row r="88" spans="1:10" ht="15" thickBot="1" x14ac:dyDescent="0.35">
      <c r="A88" s="111"/>
      <c r="B88" s="112"/>
      <c r="C88" s="112"/>
      <c r="D88" s="130"/>
      <c r="E88" s="131"/>
      <c r="F88" s="131"/>
      <c r="G88" s="132"/>
      <c r="H88" s="112"/>
      <c r="I88" s="112"/>
      <c r="J88" s="110"/>
    </row>
    <row r="89" spans="1:10" x14ac:dyDescent="0.3">
      <c r="A89" s="111"/>
      <c r="B89" s="112"/>
      <c r="C89" s="112"/>
      <c r="D89" s="128" t="s">
        <v>26</v>
      </c>
      <c r="E89" s="73" t="s">
        <v>100</v>
      </c>
      <c r="F89" s="74">
        <f>COUNTIFS(excel_base.xlxs!N$2:N$82,"&gt;60",excel_base.xlxs!$B$2:$B$82,"=420,ZX")</f>
        <v>11</v>
      </c>
      <c r="G89" s="133">
        <f>F89*G38*25.5</f>
        <v>1963.5</v>
      </c>
      <c r="H89" s="112"/>
      <c r="I89" s="112"/>
      <c r="J89" s="110"/>
    </row>
    <row r="90" spans="1:10" x14ac:dyDescent="0.3">
      <c r="A90" s="111"/>
      <c r="B90" s="112"/>
      <c r="C90" s="112"/>
      <c r="D90" s="129"/>
      <c r="E90" s="69" t="s">
        <v>101</v>
      </c>
      <c r="F90" s="70">
        <f>COUNTIFS(excel_base.xlxs!N$2:N$82,"&gt;60",excel_base.xlxs!$B$2:$B$82,"=420,ZY")</f>
        <v>12</v>
      </c>
      <c r="G90" s="134">
        <f>F90*G38*29.5</f>
        <v>2478</v>
      </c>
      <c r="H90" s="112"/>
      <c r="I90" s="112"/>
      <c r="J90" s="110"/>
    </row>
    <row r="91" spans="1:10" x14ac:dyDescent="0.3">
      <c r="A91" s="111"/>
      <c r="B91" s="112"/>
      <c r="C91" s="112"/>
      <c r="D91" s="129"/>
      <c r="E91" s="69" t="s">
        <v>102</v>
      </c>
      <c r="F91" s="70">
        <f>COUNTIFS(excel_base.xlxs!N$2:N$82,"&gt;60",excel_base.xlxs!$B$2:$B$82,"=200,ZZ")</f>
        <v>5</v>
      </c>
      <c r="G91" s="134">
        <f>F91*G38*20.5</f>
        <v>717.5</v>
      </c>
      <c r="H91" s="112"/>
      <c r="I91" s="112"/>
      <c r="J91" s="110"/>
    </row>
    <row r="92" spans="1:10" ht="15" thickBot="1" x14ac:dyDescent="0.35">
      <c r="A92" s="111"/>
      <c r="B92" s="112"/>
      <c r="C92" s="112"/>
      <c r="D92" s="130"/>
      <c r="E92" s="131"/>
      <c r="F92" s="131"/>
      <c r="G92" s="132"/>
      <c r="H92" s="112"/>
      <c r="I92" s="112"/>
      <c r="J92" s="110"/>
    </row>
    <row r="93" spans="1:10" x14ac:dyDescent="0.3">
      <c r="A93" s="111"/>
      <c r="B93" s="112"/>
      <c r="C93" s="112"/>
      <c r="D93" s="128" t="s">
        <v>27</v>
      </c>
      <c r="E93" s="73" t="s">
        <v>100</v>
      </c>
      <c r="F93" s="74">
        <f>COUNTIFS(excel_base.xlxs!K2:K82,"&gt;60",excel_base.xlxs!N2:N82,"&gt;60",excel_base.xlxs!$B$2:$B$82,"=420,ZX")</f>
        <v>9</v>
      </c>
      <c r="G93" s="133">
        <f>F93*G39*25.5</f>
        <v>918</v>
      </c>
      <c r="H93" s="112"/>
      <c r="I93" s="112"/>
      <c r="J93" s="110"/>
    </row>
    <row r="94" spans="1:10" x14ac:dyDescent="0.3">
      <c r="A94" s="111"/>
      <c r="B94" s="112"/>
      <c r="C94" s="112"/>
      <c r="D94" s="129"/>
      <c r="E94" s="69" t="s">
        <v>101</v>
      </c>
      <c r="F94" s="70">
        <f>COUNTIFS(excel_base.xlxs!K3:K83,"&gt;60",excel_base.xlxs!N3:N83,"&gt;60",excel_base.xlxs!$B$2:$B$82,"=420,ZY")</f>
        <v>7</v>
      </c>
      <c r="G94" s="134">
        <f>F94*G39*29.5</f>
        <v>826</v>
      </c>
      <c r="H94" s="112"/>
      <c r="I94" s="112"/>
      <c r="J94" s="110"/>
    </row>
    <row r="95" spans="1:10" x14ac:dyDescent="0.3">
      <c r="A95" s="111"/>
      <c r="B95" s="112"/>
      <c r="C95" s="112"/>
      <c r="D95" s="129"/>
      <c r="E95" s="69" t="s">
        <v>102</v>
      </c>
      <c r="F95" s="70">
        <f>COUNTIFS(excel_base.xlxs!K4:K84,"&gt;60",excel_base.xlxs!N4:N84,"&gt;60",excel_base.xlxs!$B$2:$B$82,"=200,ZZ")</f>
        <v>4</v>
      </c>
      <c r="G95" s="134">
        <f>F95*G39*20.5</f>
        <v>328</v>
      </c>
      <c r="H95" s="112"/>
      <c r="I95" s="112"/>
      <c r="J95" s="110"/>
    </row>
    <row r="96" spans="1:10" ht="15" thickBot="1" x14ac:dyDescent="0.35">
      <c r="A96" s="111"/>
      <c r="B96" s="112"/>
      <c r="C96" s="112"/>
      <c r="D96" s="130"/>
      <c r="E96" s="131"/>
      <c r="F96" s="131"/>
      <c r="G96" s="132"/>
      <c r="H96" s="112"/>
      <c r="I96" s="112"/>
      <c r="J96" s="110"/>
    </row>
    <row r="97" spans="1:10" x14ac:dyDescent="0.3">
      <c r="A97" s="111"/>
      <c r="B97" s="112"/>
      <c r="C97" s="112"/>
      <c r="D97" s="128" t="s">
        <v>28</v>
      </c>
      <c r="E97" s="73" t="s">
        <v>100</v>
      </c>
      <c r="F97" s="74">
        <f>COUNTIFS(excel_base.xlxs!K2:K82,"&gt;60",excel_base.xlxs!L2:L82,"&gt;60",excel_base.xlxs!M2:M82,"&gt;60",excel_base.xlxs!N2:N82,"&gt;60",excel_base.xlxs!$B$2:$B$82,"=420,ZX")</f>
        <v>6</v>
      </c>
      <c r="G97" s="133">
        <f>F97*G40*25.5</f>
        <v>612</v>
      </c>
      <c r="H97" s="112"/>
      <c r="I97" s="112"/>
      <c r="J97" s="110"/>
    </row>
    <row r="98" spans="1:10" x14ac:dyDescent="0.3">
      <c r="A98" s="111"/>
      <c r="B98" s="112"/>
      <c r="C98" s="112"/>
      <c r="D98" s="129"/>
      <c r="E98" s="69" t="s">
        <v>101</v>
      </c>
      <c r="F98" s="70">
        <f>COUNTIFS(excel_base.xlxs!K3:K83,"&gt;60",excel_base.xlxs!L3:L83,"&gt;60",excel_base.xlxs!M3:M83,"&gt;60",excel_base.xlxs!N3:N83,"&gt;60",excel_base.xlxs!$B$2:$B$82,"=420,ZY")</f>
        <v>4</v>
      </c>
      <c r="G98" s="134">
        <f>F98*G40*29.5</f>
        <v>472</v>
      </c>
      <c r="H98" s="112"/>
      <c r="I98" s="112"/>
      <c r="J98" s="110"/>
    </row>
    <row r="99" spans="1:10" x14ac:dyDescent="0.3">
      <c r="A99" s="111"/>
      <c r="B99" s="112"/>
      <c r="C99" s="112"/>
      <c r="D99" s="129"/>
      <c r="E99" s="69" t="s">
        <v>102</v>
      </c>
      <c r="F99" s="70">
        <f>COUNTIFS(excel_base.xlxs!K4:K84,"&gt;60",excel_base.xlxs!L4:L84,"&gt;60",excel_base.xlxs!M4:M84,"&gt;60",excel_base.xlxs!N4:N84,"&gt;60",excel_base.xlxs!$B$2:$B$82,"=200,ZZ")</f>
        <v>2</v>
      </c>
      <c r="G99" s="134">
        <f>F99*G40*20.5</f>
        <v>164</v>
      </c>
      <c r="H99" s="112"/>
      <c r="I99" s="112"/>
      <c r="J99" s="110"/>
    </row>
    <row r="100" spans="1:10" ht="15" thickBot="1" x14ac:dyDescent="0.35">
      <c r="A100" s="111"/>
      <c r="B100" s="112"/>
      <c r="C100" s="112"/>
      <c r="D100" s="130"/>
      <c r="E100" s="131"/>
      <c r="F100" s="131"/>
      <c r="G100" s="135"/>
      <c r="H100" s="112"/>
      <c r="I100" s="112"/>
      <c r="J100" s="110"/>
    </row>
    <row r="101" spans="1:10" x14ac:dyDescent="0.3">
      <c r="A101" s="111"/>
      <c r="B101" s="112"/>
      <c r="C101" s="112"/>
      <c r="D101" s="112"/>
      <c r="E101" s="112"/>
      <c r="F101" s="112"/>
      <c r="G101" s="112"/>
      <c r="H101" s="112"/>
      <c r="I101" s="112"/>
      <c r="J101" s="110"/>
    </row>
    <row r="102" spans="1:10" ht="15" thickBot="1" x14ac:dyDescent="0.35">
      <c r="A102" s="113"/>
      <c r="B102" s="114"/>
      <c r="C102" s="114"/>
      <c r="D102" s="114"/>
      <c r="E102" s="114"/>
      <c r="F102" s="114"/>
      <c r="G102" s="114"/>
      <c r="H102" s="114"/>
      <c r="I102" s="114"/>
      <c r="J102" s="115"/>
    </row>
  </sheetData>
  <mergeCells count="46">
    <mergeCell ref="E43:F43"/>
    <mergeCell ref="H39:I39"/>
    <mergeCell ref="H40:I40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26:I26"/>
    <mergeCell ref="H27:I27"/>
    <mergeCell ref="H28:I28"/>
    <mergeCell ref="D15:F15"/>
    <mergeCell ref="B16:C16"/>
    <mergeCell ref="D16:F16"/>
    <mergeCell ref="B15:C15"/>
    <mergeCell ref="B6:C6"/>
    <mergeCell ref="B2:C2"/>
    <mergeCell ref="D2:F2"/>
    <mergeCell ref="B3:C3"/>
    <mergeCell ref="B4:C4"/>
    <mergeCell ref="B5:C5"/>
    <mergeCell ref="D3:F3"/>
    <mergeCell ref="D4:F4"/>
    <mergeCell ref="D5:F5"/>
    <mergeCell ref="D6:F6"/>
    <mergeCell ref="D7:F7"/>
    <mergeCell ref="B7:C7"/>
    <mergeCell ref="B8:C8"/>
    <mergeCell ref="B9:C9"/>
    <mergeCell ref="B14:C14"/>
    <mergeCell ref="D14:F14"/>
    <mergeCell ref="B10:C10"/>
    <mergeCell ref="B11:C11"/>
    <mergeCell ref="B12:C12"/>
    <mergeCell ref="B13:C13"/>
    <mergeCell ref="D8:F8"/>
    <mergeCell ref="D9:F9"/>
    <mergeCell ref="D10:F10"/>
    <mergeCell ref="D11:F11"/>
    <mergeCell ref="D12:F12"/>
    <mergeCell ref="D13:F13"/>
  </mergeCells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7A2C-6D31-4BF7-98DD-9BFD25D298F1}">
  <dimension ref="A1:J42"/>
  <sheetViews>
    <sheetView workbookViewId="0">
      <selection activeCell="G11" sqref="G11"/>
    </sheetView>
  </sheetViews>
  <sheetFormatPr defaultColWidth="11.5546875" defaultRowHeight="14.4" x14ac:dyDescent="0.3"/>
  <cols>
    <col min="1" max="1" width="28.5546875" customWidth="1"/>
    <col min="2" max="2" width="19.44140625" customWidth="1"/>
    <col min="3" max="3" width="22.33203125" customWidth="1"/>
    <col min="4" max="4" width="1.6640625" customWidth="1"/>
    <col min="5" max="5" width="22.5546875" customWidth="1"/>
    <col min="6" max="6" width="22" customWidth="1"/>
    <col min="7" max="7" width="22.6640625" customWidth="1"/>
    <col min="8" max="8" width="22.88671875" customWidth="1"/>
    <col min="9" max="9" width="23" customWidth="1"/>
    <col min="10" max="10" width="19.33203125" customWidth="1"/>
  </cols>
  <sheetData>
    <row r="1" spans="1:10" x14ac:dyDescent="0.3">
      <c r="A1" s="167" t="s">
        <v>52</v>
      </c>
      <c r="B1" s="168"/>
      <c r="C1" s="50"/>
      <c r="D1" s="3"/>
      <c r="E1" s="138" t="s">
        <v>55</v>
      </c>
      <c r="F1" s="139"/>
      <c r="G1" s="139"/>
      <c r="H1" s="140"/>
      <c r="I1" s="57"/>
      <c r="J1" s="3"/>
    </row>
    <row r="2" spans="1:10" ht="15" thickBot="1" x14ac:dyDescent="0.35">
      <c r="A2" s="169"/>
      <c r="B2" s="170"/>
      <c r="C2" s="51"/>
      <c r="D2" s="3"/>
      <c r="E2" s="141"/>
      <c r="F2" s="142"/>
      <c r="G2" s="142"/>
      <c r="H2" s="143"/>
      <c r="I2" s="54"/>
      <c r="J2" s="3"/>
    </row>
    <row r="3" spans="1:10" x14ac:dyDescent="0.3">
      <c r="A3" s="64" t="s">
        <v>53</v>
      </c>
      <c r="B3" s="65" t="s">
        <v>51</v>
      </c>
      <c r="C3" s="54"/>
      <c r="E3" s="17" t="s">
        <v>14</v>
      </c>
      <c r="F3" s="16" t="s">
        <v>56</v>
      </c>
      <c r="G3" s="16" t="s">
        <v>57</v>
      </c>
      <c r="H3" s="18" t="s">
        <v>58</v>
      </c>
      <c r="I3" s="54"/>
    </row>
    <row r="4" spans="1:10" x14ac:dyDescent="0.3">
      <c r="A4" s="66" t="s">
        <v>54</v>
      </c>
      <c r="B4" s="67">
        <f>SUM(F12,F33,F38)</f>
        <v>33.54</v>
      </c>
      <c r="C4" s="54"/>
      <c r="E4" s="19" t="s">
        <v>16</v>
      </c>
      <c r="F4" s="15">
        <f>_xlfn.XLOOKUP(E4,'Liste des Cours et Subventions'!D27:D40,'Liste des Cours et Subventions'!G27:G40,"ND",0,1)</f>
        <v>8</v>
      </c>
      <c r="G4" s="15">
        <f>_xlfn.XLOOKUP(E4,'Liste des Cours et Subventions'!D27:D40,'Liste des Cours et Subventions'!E27:E40,"ND",0,1)</f>
        <v>2</v>
      </c>
      <c r="H4" s="20">
        <f>_xlfn.XLOOKUP(E4,'Liste des Cours et Subventions'!D27:D40,'Liste des Cours et Subventions'!F27:F40,"ND",0,1)</f>
        <v>19</v>
      </c>
      <c r="I4" s="54"/>
    </row>
    <row r="5" spans="1:10" x14ac:dyDescent="0.3">
      <c r="A5" s="66" t="s">
        <v>85</v>
      </c>
      <c r="B5" s="68">
        <v>0</v>
      </c>
      <c r="C5" s="54"/>
      <c r="E5" s="19"/>
      <c r="F5" s="15">
        <f>_xlfn.XLOOKUP(E5,'Liste des Cours et Subventions'!D28:D41,'Liste des Cours et Subventions'!G28:G41,"ND",0,1)</f>
        <v>0</v>
      </c>
      <c r="G5" s="15">
        <f>_xlfn.XLOOKUP(E5,'Liste des Cours et Subventions'!D28:D41,'Liste des Cours et Subventions'!E28:E41,"ND",0,1)</f>
        <v>0</v>
      </c>
      <c r="H5" s="20">
        <f>_xlfn.XLOOKUP(E5,'Liste des Cours et Subventions'!D28:D41,'Liste des Cours et Subventions'!F28:F41,"ND",0,1)</f>
        <v>0</v>
      </c>
      <c r="I5" s="54"/>
    </row>
    <row r="6" spans="1:10" x14ac:dyDescent="0.3">
      <c r="A6" s="52"/>
      <c r="B6" s="53"/>
      <c r="C6" s="54"/>
      <c r="E6" s="19"/>
      <c r="F6" s="15"/>
      <c r="G6" s="15"/>
      <c r="H6" s="20"/>
      <c r="I6" s="54"/>
    </row>
    <row r="7" spans="1:10" x14ac:dyDescent="0.3">
      <c r="A7" s="52"/>
      <c r="B7" s="53"/>
      <c r="C7" s="54"/>
      <c r="E7" s="19"/>
      <c r="F7" s="15"/>
      <c r="G7" s="15"/>
      <c r="H7" s="20"/>
      <c r="I7" s="54"/>
    </row>
    <row r="8" spans="1:10" ht="15" thickBot="1" x14ac:dyDescent="0.35">
      <c r="A8" s="52"/>
      <c r="B8" s="53"/>
      <c r="C8" s="54"/>
      <c r="E8" s="21"/>
      <c r="F8" s="22"/>
      <c r="G8" s="22"/>
      <c r="H8" s="23"/>
      <c r="I8" s="54"/>
    </row>
    <row r="9" spans="1:10" x14ac:dyDescent="0.3">
      <c r="A9" s="52"/>
      <c r="B9" s="53"/>
      <c r="C9" s="54"/>
      <c r="E9" s="52"/>
      <c r="F9" s="53"/>
      <c r="G9" s="53"/>
      <c r="H9" s="53"/>
      <c r="I9" s="54"/>
    </row>
    <row r="10" spans="1:10" ht="15" thickBot="1" x14ac:dyDescent="0.35">
      <c r="A10" s="52"/>
      <c r="B10" s="53"/>
      <c r="C10" s="54"/>
      <c r="E10" s="55"/>
      <c r="F10" s="49"/>
      <c r="G10" s="49"/>
      <c r="H10" s="49"/>
      <c r="I10" s="56"/>
    </row>
    <row r="11" spans="1:10" ht="15" thickBot="1" x14ac:dyDescent="0.35">
      <c r="A11" s="52"/>
      <c r="B11" s="53"/>
      <c r="C11" s="54"/>
      <c r="E11" s="52"/>
      <c r="F11" s="53"/>
      <c r="G11" s="53"/>
      <c r="H11" s="53"/>
      <c r="I11" s="54"/>
    </row>
    <row r="12" spans="1:10" ht="15" thickBot="1" x14ac:dyDescent="0.35">
      <c r="A12" s="52"/>
      <c r="B12" s="53"/>
      <c r="C12" s="54"/>
      <c r="E12" s="44" t="s">
        <v>59</v>
      </c>
      <c r="F12" s="43">
        <f>F14+(I14*1.2)+F21+I21</f>
        <v>33.54</v>
      </c>
      <c r="G12" s="58"/>
      <c r="H12" s="58"/>
      <c r="I12" s="59"/>
    </row>
    <row r="13" spans="1:10" ht="15" thickBot="1" x14ac:dyDescent="0.35">
      <c r="A13" s="52"/>
      <c r="B13" s="53"/>
      <c r="C13" s="54"/>
      <c r="E13" s="60"/>
      <c r="F13" s="58"/>
      <c r="G13" s="58"/>
      <c r="H13" s="58"/>
      <c r="I13" s="59"/>
    </row>
    <row r="14" spans="1:10" ht="15" thickBot="1" x14ac:dyDescent="0.35">
      <c r="A14" s="52"/>
      <c r="B14" s="53"/>
      <c r="C14" s="54"/>
      <c r="E14" s="31" t="s">
        <v>60</v>
      </c>
      <c r="F14" s="32">
        <f>PRODUCT(F16,F17)</f>
        <v>1.8</v>
      </c>
      <c r="G14" s="58"/>
      <c r="H14" s="30" t="s">
        <v>64</v>
      </c>
      <c r="I14" s="32">
        <f>SUM(I15:I19)</f>
        <v>16</v>
      </c>
    </row>
    <row r="15" spans="1:10" x14ac:dyDescent="0.3">
      <c r="A15" s="52"/>
      <c r="B15" s="53"/>
      <c r="C15" s="54"/>
      <c r="E15" s="33" t="s">
        <v>61</v>
      </c>
      <c r="F15" s="34">
        <f>COUNT(F4:F5)</f>
        <v>2</v>
      </c>
      <c r="G15" s="58"/>
      <c r="H15" s="33" t="s">
        <v>65</v>
      </c>
      <c r="I15" s="34">
        <f>F4*G4</f>
        <v>16</v>
      </c>
    </row>
    <row r="16" spans="1:10" x14ac:dyDescent="0.3">
      <c r="A16" s="52"/>
      <c r="B16" s="53"/>
      <c r="C16" s="54"/>
      <c r="E16" s="35" t="s">
        <v>62</v>
      </c>
      <c r="F16" s="36" cm="1">
        <f t="array" ref="F16">_xlfn.IFS(F15&lt;=2,0.9,F15=3,1.1,F15&gt;=4,1.75)</f>
        <v>0.9</v>
      </c>
      <c r="G16" s="58"/>
      <c r="H16" s="35" t="s">
        <v>66</v>
      </c>
      <c r="I16" s="36">
        <f>F5*G5</f>
        <v>0</v>
      </c>
    </row>
    <row r="17" spans="1:9" ht="15" thickBot="1" x14ac:dyDescent="0.35">
      <c r="A17" s="52"/>
      <c r="B17" s="53"/>
      <c r="C17" s="54"/>
      <c r="E17" s="37" t="s">
        <v>63</v>
      </c>
      <c r="F17" s="38">
        <f>SUM(G4:G9)</f>
        <v>2</v>
      </c>
      <c r="G17" s="58"/>
      <c r="H17" s="35" t="s">
        <v>67</v>
      </c>
      <c r="I17" s="36">
        <f>F6*G6</f>
        <v>0</v>
      </c>
    </row>
    <row r="18" spans="1:9" x14ac:dyDescent="0.3">
      <c r="A18" s="52"/>
      <c r="B18" s="53"/>
      <c r="C18" s="54"/>
      <c r="E18" s="60"/>
      <c r="F18" s="58"/>
      <c r="G18" s="58"/>
      <c r="H18" s="35" t="s">
        <v>68</v>
      </c>
      <c r="I18" s="36">
        <f>F7*G7</f>
        <v>0</v>
      </c>
    </row>
    <row r="19" spans="1:9" ht="15" thickBot="1" x14ac:dyDescent="0.35">
      <c r="A19" s="52"/>
      <c r="B19" s="53"/>
      <c r="C19" s="54"/>
      <c r="E19" s="60"/>
      <c r="F19" s="58"/>
      <c r="G19" s="58"/>
      <c r="H19" s="37" t="s">
        <v>69</v>
      </c>
      <c r="I19" s="38">
        <f>F8*G8</f>
        <v>0</v>
      </c>
    </row>
    <row r="20" spans="1:9" ht="15" thickBot="1" x14ac:dyDescent="0.35">
      <c r="A20" s="52"/>
      <c r="B20" s="53"/>
      <c r="C20" s="54"/>
      <c r="E20" s="60"/>
      <c r="F20" s="58"/>
      <c r="G20" s="58"/>
      <c r="H20" s="58"/>
      <c r="I20" s="59"/>
    </row>
    <row r="21" spans="1:9" ht="15" thickBot="1" x14ac:dyDescent="0.35">
      <c r="A21" s="52"/>
      <c r="B21" s="53"/>
      <c r="C21" s="54"/>
      <c r="E21" s="30" t="s">
        <v>70</v>
      </c>
      <c r="F21" s="28">
        <f>IF(F27&lt;415,F27*0.04,F27*0.04+(F27-415)*0.07)</f>
        <v>12.16</v>
      </c>
      <c r="G21" s="58"/>
      <c r="H21" s="39" t="s">
        <v>77</v>
      </c>
      <c r="I21" s="40" cm="1">
        <f t="array" ref="I21">_xlfn.IFS(I27&gt;=ET75*(I27&lt;160),I27*0.01,I27&gt;=160,I27*0.01+((I27-160)*(I27-160))*0.01,I27&lt;75,0)</f>
        <v>0.38</v>
      </c>
    </row>
    <row r="22" spans="1:9" x14ac:dyDescent="0.3">
      <c r="A22" s="52"/>
      <c r="B22" s="53"/>
      <c r="C22" s="54"/>
      <c r="E22" s="41" t="s">
        <v>71</v>
      </c>
      <c r="F22" s="42">
        <f>F4*(G4*H4)</f>
        <v>304</v>
      </c>
      <c r="G22" s="58"/>
      <c r="H22" s="35" t="s">
        <v>78</v>
      </c>
      <c r="I22" s="36">
        <f>G4*H4</f>
        <v>38</v>
      </c>
    </row>
    <row r="23" spans="1:9" x14ac:dyDescent="0.3">
      <c r="A23" s="52"/>
      <c r="B23" s="53"/>
      <c r="C23" s="54"/>
      <c r="E23" s="35" t="s">
        <v>72</v>
      </c>
      <c r="F23" s="36">
        <f>F5*(G5*H5)</f>
        <v>0</v>
      </c>
      <c r="G23" s="58"/>
      <c r="H23" s="35" t="s">
        <v>79</v>
      </c>
      <c r="I23" s="36">
        <f>G5*H5</f>
        <v>0</v>
      </c>
    </row>
    <row r="24" spans="1:9" x14ac:dyDescent="0.3">
      <c r="A24" s="52"/>
      <c r="B24" s="53"/>
      <c r="C24" s="54"/>
      <c r="E24" s="35" t="s">
        <v>73</v>
      </c>
      <c r="F24" s="36">
        <f>F6*(G6*H6)</f>
        <v>0</v>
      </c>
      <c r="G24" s="58"/>
      <c r="H24" s="35" t="s">
        <v>80</v>
      </c>
      <c r="I24" s="36">
        <f>G6*H6</f>
        <v>0</v>
      </c>
    </row>
    <row r="25" spans="1:9" x14ac:dyDescent="0.3">
      <c r="A25" s="52"/>
      <c r="B25" s="53"/>
      <c r="C25" s="54"/>
      <c r="E25" s="35" t="s">
        <v>74</v>
      </c>
      <c r="F25" s="36">
        <f>F7*(G7*H7)</f>
        <v>0</v>
      </c>
      <c r="G25" s="58"/>
      <c r="H25" s="35" t="s">
        <v>81</v>
      </c>
      <c r="I25" s="36">
        <f>G7*H7</f>
        <v>0</v>
      </c>
    </row>
    <row r="26" spans="1:9" ht="15" thickBot="1" x14ac:dyDescent="0.35">
      <c r="A26" s="52"/>
      <c r="B26" s="53"/>
      <c r="C26" s="54"/>
      <c r="E26" s="45" t="s">
        <v>75</v>
      </c>
      <c r="F26" s="46">
        <f>F8*(G8*H8)</f>
        <v>0</v>
      </c>
      <c r="G26" s="58"/>
      <c r="H26" s="45" t="s">
        <v>82</v>
      </c>
      <c r="I26" s="46">
        <f>G8*H8</f>
        <v>0</v>
      </c>
    </row>
    <row r="27" spans="1:9" ht="15" thickBot="1" x14ac:dyDescent="0.35">
      <c r="A27" s="52"/>
      <c r="B27" s="53"/>
      <c r="C27" s="54"/>
      <c r="E27" s="47" t="s">
        <v>76</v>
      </c>
      <c r="F27" s="48">
        <f>SUM(F22:F26)</f>
        <v>304</v>
      </c>
      <c r="G27" s="58"/>
      <c r="H27" s="47" t="s">
        <v>83</v>
      </c>
      <c r="I27" s="48">
        <f>SUM(I22:I26)</f>
        <v>38</v>
      </c>
    </row>
    <row r="28" spans="1:9" x14ac:dyDescent="0.3">
      <c r="A28" s="52"/>
      <c r="B28" s="53"/>
      <c r="C28" s="54"/>
      <c r="E28" s="52"/>
      <c r="F28" s="53"/>
      <c r="G28" s="53"/>
      <c r="H28" s="53"/>
      <c r="I28" s="54"/>
    </row>
    <row r="29" spans="1:9" x14ac:dyDescent="0.3">
      <c r="A29" s="52"/>
      <c r="B29" s="53"/>
      <c r="C29" s="54"/>
      <c r="E29" s="52"/>
      <c r="F29" s="53"/>
      <c r="G29" s="53"/>
      <c r="H29" s="53"/>
      <c r="I29" s="54"/>
    </row>
    <row r="30" spans="1:9" ht="15" thickBot="1" x14ac:dyDescent="0.35">
      <c r="A30" s="52"/>
      <c r="B30" s="53"/>
      <c r="C30" s="54"/>
      <c r="E30" s="55"/>
      <c r="F30" s="49"/>
      <c r="G30" s="49"/>
      <c r="H30" s="49"/>
      <c r="I30" s="56"/>
    </row>
    <row r="31" spans="1:9" ht="15" thickBot="1" x14ac:dyDescent="0.35">
      <c r="A31" s="52"/>
      <c r="B31" s="53"/>
      <c r="C31" s="54"/>
      <c r="E31" s="52"/>
      <c r="F31" s="53"/>
      <c r="G31" s="53"/>
      <c r="H31" s="53"/>
      <c r="I31" s="54"/>
    </row>
    <row r="32" spans="1:9" ht="15" thickBot="1" x14ac:dyDescent="0.35">
      <c r="A32" s="52"/>
      <c r="B32" s="53"/>
      <c r="C32" s="54"/>
      <c r="E32" s="52"/>
      <c r="F32" s="53"/>
      <c r="G32" s="53"/>
      <c r="H32" s="26" t="s">
        <v>87</v>
      </c>
      <c r="I32" s="27">
        <v>0</v>
      </c>
    </row>
    <row r="33" spans="1:9" ht="15" thickBot="1" x14ac:dyDescent="0.35">
      <c r="A33" s="52"/>
      <c r="B33" s="53"/>
      <c r="C33" s="54"/>
      <c r="E33" s="44" t="s">
        <v>84</v>
      </c>
      <c r="F33" s="63">
        <f>((I32/30)+(I33/80))*(1/15)*0.5</f>
        <v>0</v>
      </c>
      <c r="G33" s="53"/>
      <c r="H33" s="21" t="s">
        <v>88</v>
      </c>
      <c r="I33" s="23">
        <v>0</v>
      </c>
    </row>
    <row r="34" spans="1:9" x14ac:dyDescent="0.3">
      <c r="A34" s="52"/>
      <c r="B34" s="53"/>
      <c r="C34" s="54"/>
      <c r="E34" s="52"/>
      <c r="F34" s="53"/>
      <c r="G34" s="53"/>
      <c r="H34" s="53"/>
      <c r="I34" s="54"/>
    </row>
    <row r="35" spans="1:9" ht="15" thickBot="1" x14ac:dyDescent="0.35">
      <c r="A35" s="52"/>
      <c r="B35" s="53"/>
      <c r="C35" s="54"/>
      <c r="E35" s="55"/>
      <c r="F35" s="49"/>
      <c r="G35" s="49"/>
      <c r="H35" s="49"/>
      <c r="I35" s="56"/>
    </row>
    <row r="36" spans="1:9" x14ac:dyDescent="0.3">
      <c r="A36" s="52"/>
      <c r="B36" s="53"/>
      <c r="C36" s="54"/>
      <c r="E36" s="52"/>
      <c r="F36" s="53"/>
      <c r="G36" s="53"/>
      <c r="H36" s="53"/>
      <c r="I36" s="54"/>
    </row>
    <row r="37" spans="1:9" ht="15" thickBot="1" x14ac:dyDescent="0.35">
      <c r="A37" s="52"/>
      <c r="B37" s="53"/>
      <c r="C37" s="54"/>
      <c r="E37" s="52"/>
      <c r="F37" s="53"/>
      <c r="G37" s="53"/>
      <c r="H37" s="53"/>
      <c r="I37" s="54"/>
    </row>
    <row r="38" spans="1:9" ht="15" thickBot="1" x14ac:dyDescent="0.35">
      <c r="A38" s="52"/>
      <c r="B38" s="53"/>
      <c r="C38" s="54"/>
      <c r="E38" s="61" t="s">
        <v>86</v>
      </c>
      <c r="F38" s="62">
        <f>B5/100*40</f>
        <v>0</v>
      </c>
      <c r="G38" s="53"/>
      <c r="H38" s="53"/>
      <c r="I38" s="54"/>
    </row>
    <row r="39" spans="1:9" x14ac:dyDescent="0.3">
      <c r="A39" s="52"/>
      <c r="B39" s="53"/>
      <c r="C39" s="54"/>
      <c r="E39" s="52"/>
      <c r="F39" s="53"/>
      <c r="G39" s="53"/>
      <c r="H39" s="53"/>
      <c r="I39" s="54"/>
    </row>
    <row r="40" spans="1:9" x14ac:dyDescent="0.3">
      <c r="A40" s="52"/>
      <c r="B40" s="53"/>
      <c r="C40" s="54"/>
      <c r="E40" s="52"/>
      <c r="F40" s="53"/>
      <c r="G40" s="53"/>
      <c r="H40" s="53"/>
      <c r="I40" s="54"/>
    </row>
    <row r="41" spans="1:9" x14ac:dyDescent="0.3">
      <c r="A41" s="52"/>
      <c r="B41" s="53"/>
      <c r="C41" s="54"/>
      <c r="E41" s="52"/>
      <c r="F41" s="53"/>
      <c r="G41" s="53"/>
      <c r="H41" s="53"/>
      <c r="I41" s="54"/>
    </row>
    <row r="42" spans="1:9" ht="15" thickBot="1" x14ac:dyDescent="0.35">
      <c r="A42" s="55"/>
      <c r="B42" s="49"/>
      <c r="C42" s="56"/>
      <c r="E42" s="55"/>
      <c r="F42" s="49"/>
      <c r="G42" s="49"/>
      <c r="H42" s="49"/>
      <c r="I42" s="56"/>
    </row>
  </sheetData>
  <mergeCells count="2">
    <mergeCell ref="A1:B2"/>
    <mergeCell ref="E1:H2"/>
  </mergeCells>
  <phoneticPr fontId="18" type="noConversion"/>
  <conditionalFormatting sqref="B4">
    <cfRule type="colorScale" priority="1">
      <colorScale>
        <cfvo type="min"/>
        <cfvo type="num" val="55"/>
        <color theme="9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B6DA-ECD9-4332-A96A-346BB873F05B}">
  <dimension ref="A1:J42"/>
  <sheetViews>
    <sheetView workbookViewId="0">
      <selection activeCell="B4" sqref="B4"/>
    </sheetView>
  </sheetViews>
  <sheetFormatPr defaultColWidth="11.5546875" defaultRowHeight="14.4" x14ac:dyDescent="0.3"/>
  <cols>
    <col min="1" max="1" width="28.5546875" customWidth="1"/>
    <col min="2" max="2" width="19.44140625" customWidth="1"/>
    <col min="3" max="3" width="22.33203125" customWidth="1"/>
    <col min="4" max="4" width="1.6640625" customWidth="1"/>
    <col min="5" max="5" width="22.5546875" customWidth="1"/>
    <col min="6" max="6" width="22" customWidth="1"/>
    <col min="7" max="7" width="22.6640625" customWidth="1"/>
    <col min="8" max="8" width="22.88671875" customWidth="1"/>
    <col min="9" max="9" width="23" customWidth="1"/>
    <col min="10" max="10" width="19.33203125" customWidth="1"/>
  </cols>
  <sheetData>
    <row r="1" spans="1:10" x14ac:dyDescent="0.3">
      <c r="A1" s="167" t="s">
        <v>52</v>
      </c>
      <c r="B1" s="168"/>
      <c r="C1" s="50"/>
      <c r="D1" s="3"/>
      <c r="E1" s="138" t="s">
        <v>55</v>
      </c>
      <c r="F1" s="139"/>
      <c r="G1" s="139"/>
      <c r="H1" s="140"/>
      <c r="I1" s="57"/>
      <c r="J1" s="3"/>
    </row>
    <row r="2" spans="1:10" ht="15" thickBot="1" x14ac:dyDescent="0.35">
      <c r="A2" s="169"/>
      <c r="B2" s="170"/>
      <c r="C2" s="51"/>
      <c r="D2" s="3"/>
      <c r="E2" s="141"/>
      <c r="F2" s="142"/>
      <c r="G2" s="142"/>
      <c r="H2" s="143"/>
      <c r="I2" s="54"/>
      <c r="J2" s="3"/>
    </row>
    <row r="3" spans="1:10" x14ac:dyDescent="0.3">
      <c r="A3" s="64" t="s">
        <v>53</v>
      </c>
      <c r="B3" s="65" t="s">
        <v>89</v>
      </c>
      <c r="C3" s="54"/>
      <c r="E3" s="17" t="s">
        <v>14</v>
      </c>
      <c r="F3" s="16" t="s">
        <v>56</v>
      </c>
      <c r="G3" s="16" t="s">
        <v>57</v>
      </c>
      <c r="H3" s="18" t="s">
        <v>58</v>
      </c>
      <c r="I3" s="54"/>
    </row>
    <row r="4" spans="1:10" x14ac:dyDescent="0.3">
      <c r="A4" s="66" t="s">
        <v>54</v>
      </c>
      <c r="B4" s="67">
        <f>SUM(F12,F33,F38)</f>
        <v>13</v>
      </c>
      <c r="C4" s="54"/>
      <c r="E4" s="19" t="s">
        <v>18</v>
      </c>
      <c r="F4" s="14">
        <f>_xlfn.XLOOKUP('CI - Édolia Bourdeau '!E4,'Liste des Cours et Subventions'!D27:D40,'Liste des Cours et Subventions'!G27:G40,"ND",0,1)</f>
        <v>4</v>
      </c>
      <c r="G4" s="15">
        <f>_xlfn.XLOOKUP(E4,'Liste des Cours et Subventions'!D27:D40,'Liste des Cours et Subventions'!E27:E40,"ND",0,1)</f>
        <v>1</v>
      </c>
      <c r="H4" s="20">
        <f>_xlfn.XLOOKUP(E4,'Liste des Cours et Subventions'!D27:D40,'Liste des Cours et Subventions'!F27:F40,"ND",0,1)</f>
        <v>18</v>
      </c>
      <c r="I4" s="54"/>
    </row>
    <row r="5" spans="1:10" x14ac:dyDescent="0.3">
      <c r="A5" s="66" t="s">
        <v>85</v>
      </c>
      <c r="B5" s="68">
        <v>25</v>
      </c>
      <c r="C5" s="54"/>
      <c r="E5" s="19"/>
      <c r="F5" s="15"/>
      <c r="G5" s="15"/>
      <c r="H5" s="20"/>
      <c r="I5" s="54"/>
    </row>
    <row r="6" spans="1:10" x14ac:dyDescent="0.3">
      <c r="A6" s="52"/>
      <c r="B6" s="53"/>
      <c r="C6" s="54"/>
      <c r="E6" s="19"/>
      <c r="F6" s="15"/>
      <c r="G6" s="15"/>
      <c r="H6" s="20"/>
      <c r="I6" s="54"/>
    </row>
    <row r="7" spans="1:10" x14ac:dyDescent="0.3">
      <c r="A7" s="52"/>
      <c r="B7" s="53"/>
      <c r="C7" s="54"/>
      <c r="E7" s="19"/>
      <c r="F7" s="15"/>
      <c r="G7" s="15"/>
      <c r="H7" s="20"/>
      <c r="I7" s="54"/>
    </row>
    <row r="8" spans="1:10" ht="15" thickBot="1" x14ac:dyDescent="0.35">
      <c r="A8" s="52"/>
      <c r="B8" s="53"/>
      <c r="C8" s="54"/>
      <c r="E8" s="21"/>
      <c r="F8" s="22"/>
      <c r="G8" s="22"/>
      <c r="H8" s="23"/>
      <c r="I8" s="54"/>
    </row>
    <row r="9" spans="1:10" x14ac:dyDescent="0.3">
      <c r="A9" s="52"/>
      <c r="B9" s="53"/>
      <c r="C9" s="54"/>
      <c r="E9" s="52"/>
      <c r="F9" s="53"/>
      <c r="G9" s="53"/>
      <c r="H9" s="53"/>
      <c r="I9" s="54"/>
    </row>
    <row r="10" spans="1:10" ht="15" thickBot="1" x14ac:dyDescent="0.35">
      <c r="A10" s="52"/>
      <c r="B10" s="53"/>
      <c r="C10" s="54"/>
      <c r="E10" s="55"/>
      <c r="F10" s="49"/>
      <c r="G10" s="49"/>
      <c r="H10" s="49"/>
      <c r="I10" s="56"/>
    </row>
    <row r="11" spans="1:10" ht="15" thickBot="1" x14ac:dyDescent="0.35">
      <c r="A11" s="52"/>
      <c r="B11" s="53"/>
      <c r="C11" s="54"/>
      <c r="E11" s="52"/>
      <c r="F11" s="53"/>
      <c r="G11" s="53"/>
      <c r="H11" s="53"/>
      <c r="I11" s="54"/>
    </row>
    <row r="12" spans="1:10" ht="15" thickBot="1" x14ac:dyDescent="0.35">
      <c r="A12" s="52"/>
      <c r="B12" s="53"/>
      <c r="C12" s="54"/>
      <c r="E12" s="44" t="s">
        <v>59</v>
      </c>
      <c r="F12" s="43">
        <f>F14+(I14*1.2)+F21+I21</f>
        <v>3.0000000000000004</v>
      </c>
      <c r="G12" s="58"/>
      <c r="H12" s="58"/>
      <c r="I12" s="59"/>
    </row>
    <row r="13" spans="1:10" ht="15" thickBot="1" x14ac:dyDescent="0.35">
      <c r="A13" s="52"/>
      <c r="B13" s="53"/>
      <c r="C13" s="54"/>
      <c r="E13" s="60"/>
      <c r="F13" s="58"/>
      <c r="G13" s="58"/>
      <c r="H13" s="58"/>
      <c r="I13" s="59"/>
    </row>
    <row r="14" spans="1:10" ht="15" thickBot="1" x14ac:dyDescent="0.35">
      <c r="A14" s="52"/>
      <c r="B14" s="53"/>
      <c r="C14" s="54"/>
      <c r="E14" s="31" t="s">
        <v>60</v>
      </c>
      <c r="F14" s="32">
        <f>PRODUCT(F16,F17)</f>
        <v>0.9</v>
      </c>
      <c r="G14" s="58"/>
      <c r="H14" s="30" t="s">
        <v>64</v>
      </c>
      <c r="I14" s="32">
        <f>SUM(I15:I19)</f>
        <v>1</v>
      </c>
    </row>
    <row r="15" spans="1:10" x14ac:dyDescent="0.3">
      <c r="A15" s="52"/>
      <c r="B15" s="53"/>
      <c r="C15" s="54"/>
      <c r="E15" s="33" t="s">
        <v>61</v>
      </c>
      <c r="F15" s="34">
        <f>COUNT(F4:F5)</f>
        <v>1</v>
      </c>
      <c r="G15" s="58"/>
      <c r="H15" s="33" t="s">
        <v>65</v>
      </c>
      <c r="I15" s="34">
        <f>G4*G4</f>
        <v>1</v>
      </c>
    </row>
    <row r="16" spans="1:10" x14ac:dyDescent="0.3">
      <c r="A16" s="52"/>
      <c r="B16" s="53"/>
      <c r="C16" s="54"/>
      <c r="E16" s="35" t="s">
        <v>62</v>
      </c>
      <c r="F16" s="36" cm="1">
        <f t="array" ref="F16">_xlfn.IFS(F15&lt;=2,0.9,F15=3,1.1,F15&gt;=4,1.75)</f>
        <v>0.9</v>
      </c>
      <c r="G16" s="58"/>
      <c r="H16" s="35" t="s">
        <v>66</v>
      </c>
      <c r="I16" s="36">
        <f>F5*G5</f>
        <v>0</v>
      </c>
    </row>
    <row r="17" spans="1:9" ht="15" thickBot="1" x14ac:dyDescent="0.35">
      <c r="A17" s="52"/>
      <c r="B17" s="53"/>
      <c r="C17" s="54"/>
      <c r="E17" s="37" t="s">
        <v>63</v>
      </c>
      <c r="F17" s="38">
        <f>SUM(G4:G9)</f>
        <v>1</v>
      </c>
      <c r="G17" s="58"/>
      <c r="H17" s="35" t="s">
        <v>67</v>
      </c>
      <c r="I17" s="36">
        <f>F6*G6</f>
        <v>0</v>
      </c>
    </row>
    <row r="18" spans="1:9" x14ac:dyDescent="0.3">
      <c r="A18" s="52"/>
      <c r="B18" s="53"/>
      <c r="C18" s="54"/>
      <c r="E18" s="60"/>
      <c r="F18" s="58"/>
      <c r="G18" s="58"/>
      <c r="H18" s="35" t="s">
        <v>68</v>
      </c>
      <c r="I18" s="36">
        <f>F7*G7</f>
        <v>0</v>
      </c>
    </row>
    <row r="19" spans="1:9" ht="15" thickBot="1" x14ac:dyDescent="0.35">
      <c r="A19" s="52"/>
      <c r="B19" s="53"/>
      <c r="C19" s="54"/>
      <c r="E19" s="60"/>
      <c r="F19" s="58"/>
      <c r="G19" s="58"/>
      <c r="H19" s="37" t="s">
        <v>69</v>
      </c>
      <c r="I19" s="38">
        <f>F8*G8</f>
        <v>0</v>
      </c>
    </row>
    <row r="20" spans="1:9" ht="15" thickBot="1" x14ac:dyDescent="0.35">
      <c r="A20" s="52"/>
      <c r="B20" s="53"/>
      <c r="C20" s="54"/>
      <c r="E20" s="60"/>
      <c r="F20" s="58"/>
      <c r="G20" s="58"/>
      <c r="H20" s="58"/>
      <c r="I20" s="59"/>
    </row>
    <row r="21" spans="1:9" ht="15" thickBot="1" x14ac:dyDescent="0.35">
      <c r="A21" s="52"/>
      <c r="B21" s="53"/>
      <c r="C21" s="54"/>
      <c r="E21" s="30" t="s">
        <v>70</v>
      </c>
      <c r="F21" s="28">
        <f>IF(F27&lt;415,F27*0.04,F27*0.04+(F27-415)*0.07)</f>
        <v>0.72</v>
      </c>
      <c r="G21" s="58"/>
      <c r="H21" s="39" t="s">
        <v>77</v>
      </c>
      <c r="I21" s="40" cm="1">
        <f t="array" ref="I21">_xlfn.IFS(I27&gt;=ET75*(I27&lt;160),I27*0.01,I27&gt;=160,I27*0.01+((I27-160)*(I27-160))*0.01,I27&lt;75,0)</f>
        <v>0.18</v>
      </c>
    </row>
    <row r="22" spans="1:9" x14ac:dyDescent="0.3">
      <c r="A22" s="52"/>
      <c r="B22" s="53"/>
      <c r="C22" s="54"/>
      <c r="E22" s="41" t="s">
        <v>71</v>
      </c>
      <c r="F22" s="42">
        <f>G4*(G4*H4)</f>
        <v>18</v>
      </c>
      <c r="G22" s="58"/>
      <c r="H22" s="35" t="s">
        <v>78</v>
      </c>
      <c r="I22" s="36">
        <f>G4*H4</f>
        <v>18</v>
      </c>
    </row>
    <row r="23" spans="1:9" x14ac:dyDescent="0.3">
      <c r="A23" s="52"/>
      <c r="B23" s="53"/>
      <c r="C23" s="54"/>
      <c r="E23" s="35" t="s">
        <v>72</v>
      </c>
      <c r="F23" s="36">
        <f>F5*(G5*H5)</f>
        <v>0</v>
      </c>
      <c r="G23" s="58"/>
      <c r="H23" s="35" t="s">
        <v>79</v>
      </c>
      <c r="I23" s="36">
        <f>G5*H5</f>
        <v>0</v>
      </c>
    </row>
    <row r="24" spans="1:9" x14ac:dyDescent="0.3">
      <c r="A24" s="52"/>
      <c r="B24" s="53"/>
      <c r="C24" s="54"/>
      <c r="E24" s="35" t="s">
        <v>73</v>
      </c>
      <c r="F24" s="36">
        <f>F6*(G6*H6)</f>
        <v>0</v>
      </c>
      <c r="G24" s="58"/>
      <c r="H24" s="35" t="s">
        <v>80</v>
      </c>
      <c r="I24" s="36">
        <f>G6*H6</f>
        <v>0</v>
      </c>
    </row>
    <row r="25" spans="1:9" x14ac:dyDescent="0.3">
      <c r="A25" s="52"/>
      <c r="B25" s="53"/>
      <c r="C25" s="54"/>
      <c r="E25" s="35" t="s">
        <v>74</v>
      </c>
      <c r="F25" s="36">
        <f>F7*(G7*H7)</f>
        <v>0</v>
      </c>
      <c r="G25" s="58"/>
      <c r="H25" s="35" t="s">
        <v>81</v>
      </c>
      <c r="I25" s="36">
        <f>G7*H7</f>
        <v>0</v>
      </c>
    </row>
    <row r="26" spans="1:9" ht="15" thickBot="1" x14ac:dyDescent="0.35">
      <c r="A26" s="52"/>
      <c r="B26" s="53"/>
      <c r="C26" s="54"/>
      <c r="E26" s="45" t="s">
        <v>75</v>
      </c>
      <c r="F26" s="46">
        <f>F8*(G8*H8)</f>
        <v>0</v>
      </c>
      <c r="G26" s="58"/>
      <c r="H26" s="45" t="s">
        <v>82</v>
      </c>
      <c r="I26" s="46">
        <f>G8*H8</f>
        <v>0</v>
      </c>
    </row>
    <row r="27" spans="1:9" ht="15" thickBot="1" x14ac:dyDescent="0.35">
      <c r="A27" s="52"/>
      <c r="B27" s="53"/>
      <c r="C27" s="54"/>
      <c r="E27" s="47" t="s">
        <v>76</v>
      </c>
      <c r="F27" s="48">
        <f>SUM(F22:F26)</f>
        <v>18</v>
      </c>
      <c r="G27" s="58"/>
      <c r="H27" s="47" t="s">
        <v>83</v>
      </c>
      <c r="I27" s="48">
        <f>SUM(I22:I26)</f>
        <v>18</v>
      </c>
    </row>
    <row r="28" spans="1:9" x14ac:dyDescent="0.3">
      <c r="A28" s="52"/>
      <c r="B28" s="53"/>
      <c r="C28" s="54"/>
      <c r="E28" s="52"/>
      <c r="F28" s="53"/>
      <c r="G28" s="53"/>
      <c r="H28" s="53"/>
      <c r="I28" s="54"/>
    </row>
    <row r="29" spans="1:9" x14ac:dyDescent="0.3">
      <c r="A29" s="52"/>
      <c r="B29" s="53"/>
      <c r="C29" s="54"/>
      <c r="E29" s="52"/>
      <c r="F29" s="53"/>
      <c r="G29" s="53"/>
      <c r="H29" s="53"/>
      <c r="I29" s="54"/>
    </row>
    <row r="30" spans="1:9" ht="15" thickBot="1" x14ac:dyDescent="0.35">
      <c r="A30" s="52"/>
      <c r="B30" s="53"/>
      <c r="C30" s="54"/>
      <c r="E30" s="55"/>
      <c r="F30" s="49"/>
      <c r="G30" s="49"/>
      <c r="H30" s="49"/>
      <c r="I30" s="56"/>
    </row>
    <row r="31" spans="1:9" ht="15" thickBot="1" x14ac:dyDescent="0.35">
      <c r="A31" s="52"/>
      <c r="B31" s="53"/>
      <c r="C31" s="54"/>
      <c r="E31" s="52"/>
      <c r="F31" s="53"/>
      <c r="G31" s="53"/>
      <c r="H31" s="53"/>
      <c r="I31" s="54"/>
    </row>
    <row r="32" spans="1:9" ht="15" thickBot="1" x14ac:dyDescent="0.35">
      <c r="A32" s="52"/>
      <c r="B32" s="53"/>
      <c r="C32" s="54"/>
      <c r="E32" s="52"/>
      <c r="F32" s="53"/>
      <c r="G32" s="53"/>
      <c r="H32" s="26" t="s">
        <v>87</v>
      </c>
      <c r="I32" s="27">
        <v>0</v>
      </c>
    </row>
    <row r="33" spans="1:9" ht="15" thickBot="1" x14ac:dyDescent="0.35">
      <c r="A33" s="52"/>
      <c r="B33" s="53"/>
      <c r="C33" s="54"/>
      <c r="E33" s="44" t="s">
        <v>84</v>
      </c>
      <c r="F33" s="63">
        <f>((I32/30)+(I33/80))*(1/15)*0.5</f>
        <v>0</v>
      </c>
      <c r="G33" s="53"/>
      <c r="H33" s="21" t="s">
        <v>88</v>
      </c>
      <c r="I33" s="23">
        <v>0</v>
      </c>
    </row>
    <row r="34" spans="1:9" x14ac:dyDescent="0.3">
      <c r="A34" s="52"/>
      <c r="B34" s="53"/>
      <c r="C34" s="54"/>
      <c r="E34" s="52"/>
      <c r="F34" s="53"/>
      <c r="G34" s="53"/>
      <c r="H34" s="53"/>
      <c r="I34" s="54"/>
    </row>
    <row r="35" spans="1:9" ht="15" thickBot="1" x14ac:dyDescent="0.35">
      <c r="A35" s="52"/>
      <c r="B35" s="53"/>
      <c r="C35" s="54"/>
      <c r="E35" s="55"/>
      <c r="F35" s="49"/>
      <c r="G35" s="49"/>
      <c r="H35" s="49"/>
      <c r="I35" s="56"/>
    </row>
    <row r="36" spans="1:9" x14ac:dyDescent="0.3">
      <c r="A36" s="52"/>
      <c r="B36" s="53"/>
      <c r="C36" s="54"/>
      <c r="E36" s="52"/>
      <c r="F36" s="53"/>
      <c r="G36" s="53"/>
      <c r="H36" s="53"/>
      <c r="I36" s="54"/>
    </row>
    <row r="37" spans="1:9" ht="15" thickBot="1" x14ac:dyDescent="0.35">
      <c r="A37" s="52"/>
      <c r="B37" s="53"/>
      <c r="C37" s="54"/>
      <c r="E37" s="52"/>
      <c r="F37" s="53"/>
      <c r="G37" s="53"/>
      <c r="H37" s="53"/>
      <c r="I37" s="54"/>
    </row>
    <row r="38" spans="1:9" ht="15" thickBot="1" x14ac:dyDescent="0.35">
      <c r="A38" s="52"/>
      <c r="B38" s="53"/>
      <c r="C38" s="54"/>
      <c r="E38" s="61" t="s">
        <v>86</v>
      </c>
      <c r="F38" s="62">
        <f>B5/100*40</f>
        <v>10</v>
      </c>
      <c r="G38" s="53"/>
      <c r="H38" s="53"/>
      <c r="I38" s="54"/>
    </row>
    <row r="39" spans="1:9" x14ac:dyDescent="0.3">
      <c r="A39" s="52"/>
      <c r="B39" s="53"/>
      <c r="C39" s="54"/>
      <c r="E39" s="52"/>
      <c r="F39" s="53"/>
      <c r="G39" s="53"/>
      <c r="H39" s="53"/>
      <c r="I39" s="54"/>
    </row>
    <row r="40" spans="1:9" x14ac:dyDescent="0.3">
      <c r="A40" s="52"/>
      <c r="B40" s="53"/>
      <c r="C40" s="54"/>
      <c r="E40" s="52"/>
      <c r="F40" s="53"/>
      <c r="G40" s="53"/>
      <c r="H40" s="53"/>
      <c r="I40" s="54"/>
    </row>
    <row r="41" spans="1:9" x14ac:dyDescent="0.3">
      <c r="A41" s="52"/>
      <c r="B41" s="53"/>
      <c r="C41" s="54"/>
      <c r="E41" s="52"/>
      <c r="F41" s="53"/>
      <c r="G41" s="53"/>
      <c r="H41" s="53"/>
      <c r="I41" s="54"/>
    </row>
    <row r="42" spans="1:9" ht="15" thickBot="1" x14ac:dyDescent="0.35">
      <c r="A42" s="55"/>
      <c r="B42" s="49"/>
      <c r="C42" s="56"/>
      <c r="E42" s="55"/>
      <c r="F42" s="49"/>
      <c r="G42" s="49"/>
      <c r="H42" s="49"/>
      <c r="I42" s="56"/>
    </row>
  </sheetData>
  <mergeCells count="2">
    <mergeCell ref="A1:B2"/>
    <mergeCell ref="E1:H2"/>
  </mergeCells>
  <conditionalFormatting sqref="B4">
    <cfRule type="colorScale" priority="1">
      <colorScale>
        <cfvo type="min"/>
        <cfvo type="num" val="55"/>
        <color theme="9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C20C-079C-4174-AD89-A8AAFEDFFDA1}">
  <dimension ref="A1:J42"/>
  <sheetViews>
    <sheetView workbookViewId="0">
      <selection activeCell="H11" sqref="H11"/>
    </sheetView>
  </sheetViews>
  <sheetFormatPr defaultColWidth="11.5546875" defaultRowHeight="14.4" x14ac:dyDescent="0.3"/>
  <cols>
    <col min="1" max="1" width="28.5546875" customWidth="1"/>
    <col min="2" max="2" width="19.44140625" customWidth="1"/>
    <col min="3" max="3" width="22.33203125" customWidth="1"/>
    <col min="4" max="4" width="1.6640625" customWidth="1"/>
    <col min="5" max="5" width="22.5546875" customWidth="1"/>
    <col min="6" max="6" width="22" customWidth="1"/>
    <col min="7" max="7" width="22.6640625" customWidth="1"/>
    <col min="8" max="8" width="22.88671875" customWidth="1"/>
    <col min="9" max="9" width="23" customWidth="1"/>
    <col min="10" max="10" width="19.33203125" customWidth="1"/>
  </cols>
  <sheetData>
    <row r="1" spans="1:10" x14ac:dyDescent="0.3">
      <c r="A1" s="167" t="s">
        <v>52</v>
      </c>
      <c r="B1" s="168"/>
      <c r="C1" s="50"/>
      <c r="D1" s="3"/>
      <c r="E1" s="138" t="s">
        <v>55</v>
      </c>
      <c r="F1" s="139"/>
      <c r="G1" s="139"/>
      <c r="H1" s="140"/>
      <c r="I1" s="57"/>
      <c r="J1" s="3"/>
    </row>
    <row r="2" spans="1:10" ht="15" thickBot="1" x14ac:dyDescent="0.35">
      <c r="A2" s="169"/>
      <c r="B2" s="170"/>
      <c r="C2" s="51"/>
      <c r="D2" s="3"/>
      <c r="E2" s="141"/>
      <c r="F2" s="142"/>
      <c r="G2" s="142"/>
      <c r="H2" s="143"/>
      <c r="I2" s="54"/>
      <c r="J2" s="3"/>
    </row>
    <row r="3" spans="1:10" x14ac:dyDescent="0.3">
      <c r="A3" s="64" t="s">
        <v>53</v>
      </c>
      <c r="B3" s="65" t="s">
        <v>90</v>
      </c>
      <c r="C3" s="54"/>
      <c r="E3" s="17" t="s">
        <v>14</v>
      </c>
      <c r="F3" s="16" t="s">
        <v>56</v>
      </c>
      <c r="G3" s="16" t="s">
        <v>57</v>
      </c>
      <c r="H3" s="18" t="s">
        <v>58</v>
      </c>
      <c r="I3" s="54"/>
    </row>
    <row r="4" spans="1:10" x14ac:dyDescent="0.3">
      <c r="A4" s="66" t="s">
        <v>54</v>
      </c>
      <c r="B4" s="67">
        <f>SUM(F12,F33,F38)</f>
        <v>50.69</v>
      </c>
      <c r="C4" s="54"/>
      <c r="E4" s="19" t="s">
        <v>19</v>
      </c>
      <c r="F4" s="15">
        <f>_xlfn.XLOOKUP('CI - Émerique Lebeau'!E4,'Liste des Cours et Subventions'!D27:D40,'Liste des Cours et Subventions'!G27:G40,"ND",0,1)</f>
        <v>3</v>
      </c>
      <c r="G4" s="15">
        <f>_xlfn.XLOOKUP(E4,'Liste des Cours et Subventions'!D27:D40,'Liste des Cours et Subventions'!E27:E40,"ND",0,1)</f>
        <v>2</v>
      </c>
      <c r="H4" s="20">
        <f>_xlfn.XLOOKUP(E4,'Liste des Cours et Subventions'!D27:D40,'Liste des Cours et Subventions'!F27:F40,"ND",0,1)</f>
        <v>18</v>
      </c>
      <c r="I4" s="54"/>
    </row>
    <row r="5" spans="1:10" x14ac:dyDescent="0.3">
      <c r="A5" s="66" t="s">
        <v>85</v>
      </c>
      <c r="B5" s="68">
        <v>80</v>
      </c>
      <c r="C5" s="54"/>
      <c r="E5" s="19" t="s">
        <v>20</v>
      </c>
      <c r="F5" s="15">
        <f>_xlfn.XLOOKUP('CI - Émerique Lebeau'!E5,'Liste des Cours et Subventions'!D28:D41,'Liste des Cours et Subventions'!G28:G41,"ND",0,1)</f>
        <v>6</v>
      </c>
      <c r="G5" s="15">
        <f>_xlfn.XLOOKUP(E5,'Liste des Cours et Subventions'!D28:D41,'Liste des Cours et Subventions'!E28:E41,"ND",0,1)</f>
        <v>1</v>
      </c>
      <c r="H5" s="20">
        <f>_xlfn.XLOOKUP(E5,'Liste des Cours et Subventions'!D28:D41,'Liste des Cours et Subventions'!F28:F41,"ND",0,1)</f>
        <v>3</v>
      </c>
      <c r="I5" s="54"/>
    </row>
    <row r="6" spans="1:10" x14ac:dyDescent="0.3">
      <c r="A6" s="52"/>
      <c r="B6" s="53"/>
      <c r="C6" s="54"/>
      <c r="E6" s="19"/>
      <c r="F6" s="15"/>
      <c r="G6" s="15">
        <f>_xlfn.XLOOKUP(E6,'Liste des Cours et Subventions'!D29:D42,'Liste des Cours et Subventions'!E29:E42,"ND",0,1)</f>
        <v>0</v>
      </c>
      <c r="H6" s="20"/>
      <c r="I6" s="54"/>
    </row>
    <row r="7" spans="1:10" x14ac:dyDescent="0.3">
      <c r="A7" s="52"/>
      <c r="B7" s="53"/>
      <c r="C7" s="54"/>
      <c r="E7" s="19"/>
      <c r="F7" s="15"/>
      <c r="G7" s="15">
        <f>_xlfn.XLOOKUP(E7,'Liste des Cours et Subventions'!D30:D43,'Liste des Cours et Subventions'!E30:E43,"ND",0,1)</f>
        <v>0</v>
      </c>
      <c r="H7" s="20"/>
      <c r="I7" s="54"/>
    </row>
    <row r="8" spans="1:10" ht="15" thickBot="1" x14ac:dyDescent="0.35">
      <c r="A8" s="52"/>
      <c r="B8" s="53"/>
      <c r="C8" s="54"/>
      <c r="E8" s="21"/>
      <c r="F8" s="15"/>
      <c r="G8" s="15">
        <f>_xlfn.XLOOKUP(E8,'Liste des Cours et Subventions'!D31:D44,'Liste des Cours et Subventions'!E31:E44,"ND",0,1)</f>
        <v>0</v>
      </c>
      <c r="H8" s="20"/>
      <c r="I8" s="54"/>
    </row>
    <row r="9" spans="1:10" x14ac:dyDescent="0.3">
      <c r="A9" s="52"/>
      <c r="B9" s="53"/>
      <c r="C9" s="54"/>
      <c r="E9" s="52"/>
      <c r="F9" s="53"/>
      <c r="G9" s="53"/>
      <c r="H9" s="53"/>
      <c r="I9" s="54"/>
    </row>
    <row r="10" spans="1:10" ht="15" thickBot="1" x14ac:dyDescent="0.35">
      <c r="A10" s="52"/>
      <c r="B10" s="53"/>
      <c r="C10" s="54"/>
      <c r="E10" s="55"/>
      <c r="F10" s="49"/>
      <c r="G10" s="49"/>
      <c r="H10" s="49"/>
      <c r="I10" s="56"/>
    </row>
    <row r="11" spans="1:10" ht="15" thickBot="1" x14ac:dyDescent="0.35">
      <c r="A11" s="52"/>
      <c r="B11" s="53"/>
      <c r="C11" s="54"/>
      <c r="E11" s="52"/>
      <c r="F11" s="53"/>
      <c r="G11" s="53"/>
      <c r="H11" s="53"/>
      <c r="I11" s="54"/>
    </row>
    <row r="12" spans="1:10" ht="15" thickBot="1" x14ac:dyDescent="0.35">
      <c r="A12" s="52"/>
      <c r="B12" s="53"/>
      <c r="C12" s="54"/>
      <c r="E12" s="44" t="s">
        <v>59</v>
      </c>
      <c r="F12" s="43">
        <f>F14+(I14*1.2)+F21+I21</f>
        <v>18.690000000000001</v>
      </c>
      <c r="G12" s="58"/>
      <c r="H12" s="58"/>
      <c r="I12" s="59"/>
    </row>
    <row r="13" spans="1:10" ht="15" thickBot="1" x14ac:dyDescent="0.35">
      <c r="A13" s="52"/>
      <c r="B13" s="53"/>
      <c r="C13" s="54"/>
      <c r="E13" s="60"/>
      <c r="F13" s="58"/>
      <c r="G13" s="58"/>
      <c r="H13" s="58"/>
      <c r="I13" s="59"/>
    </row>
    <row r="14" spans="1:10" ht="15" thickBot="1" x14ac:dyDescent="0.35">
      <c r="A14" s="52"/>
      <c r="B14" s="53"/>
      <c r="C14" s="54"/>
      <c r="E14" s="31" t="s">
        <v>60</v>
      </c>
      <c r="F14" s="32">
        <f>PRODUCT(F16,F17)</f>
        <v>2.7</v>
      </c>
      <c r="G14" s="58"/>
      <c r="H14" s="30" t="s">
        <v>64</v>
      </c>
      <c r="I14" s="32">
        <f>SUM(I15:I19)</f>
        <v>10</v>
      </c>
    </row>
    <row r="15" spans="1:10" x14ac:dyDescent="0.3">
      <c r="A15" s="52"/>
      <c r="B15" s="53"/>
      <c r="C15" s="54"/>
      <c r="E15" s="33" t="s">
        <v>61</v>
      </c>
      <c r="F15" s="34">
        <f>COUNT(F4:F5)</f>
        <v>2</v>
      </c>
      <c r="G15" s="58"/>
      <c r="H15" s="33" t="s">
        <v>65</v>
      </c>
      <c r="I15" s="34">
        <f>G4*G4</f>
        <v>4</v>
      </c>
    </row>
    <row r="16" spans="1:10" x14ac:dyDescent="0.3">
      <c r="A16" s="52"/>
      <c r="B16" s="53"/>
      <c r="C16" s="54"/>
      <c r="E16" s="35" t="s">
        <v>62</v>
      </c>
      <c r="F16" s="36" cm="1">
        <f t="array" ref="F16">_xlfn.IFS(F15&lt;=2,0.9,F15=3,1.1,F15&gt;=4,1.75)</f>
        <v>0.9</v>
      </c>
      <c r="G16" s="58"/>
      <c r="H16" s="35" t="s">
        <v>66</v>
      </c>
      <c r="I16" s="36">
        <f>F5*G5</f>
        <v>6</v>
      </c>
    </row>
    <row r="17" spans="1:9" ht="15" thickBot="1" x14ac:dyDescent="0.35">
      <c r="A17" s="52"/>
      <c r="B17" s="53"/>
      <c r="C17" s="54"/>
      <c r="E17" s="37" t="s">
        <v>63</v>
      </c>
      <c r="F17" s="38">
        <f>SUM(G4:G9)</f>
        <v>3</v>
      </c>
      <c r="G17" s="58"/>
      <c r="H17" s="35" t="s">
        <v>67</v>
      </c>
      <c r="I17" s="36">
        <f>F6*G6</f>
        <v>0</v>
      </c>
    </row>
    <row r="18" spans="1:9" x14ac:dyDescent="0.3">
      <c r="A18" s="52"/>
      <c r="B18" s="53"/>
      <c r="C18" s="54"/>
      <c r="E18" s="60"/>
      <c r="F18" s="58"/>
      <c r="G18" s="58"/>
      <c r="H18" s="35" t="s">
        <v>68</v>
      </c>
      <c r="I18" s="36">
        <f>F7*G7</f>
        <v>0</v>
      </c>
    </row>
    <row r="19" spans="1:9" ht="15" thickBot="1" x14ac:dyDescent="0.35">
      <c r="A19" s="52"/>
      <c r="B19" s="53"/>
      <c r="C19" s="54"/>
      <c r="E19" s="60"/>
      <c r="F19" s="58"/>
      <c r="G19" s="58"/>
      <c r="H19" s="37" t="s">
        <v>69</v>
      </c>
      <c r="I19" s="38">
        <f>F8*G8</f>
        <v>0</v>
      </c>
    </row>
    <row r="20" spans="1:9" ht="15" thickBot="1" x14ac:dyDescent="0.35">
      <c r="A20" s="52"/>
      <c r="B20" s="53"/>
      <c r="C20" s="54"/>
      <c r="E20" s="60"/>
      <c r="F20" s="58"/>
      <c r="G20" s="58"/>
      <c r="H20" s="58"/>
      <c r="I20" s="59"/>
    </row>
    <row r="21" spans="1:9" ht="15" thickBot="1" x14ac:dyDescent="0.35">
      <c r="A21" s="52"/>
      <c r="B21" s="53"/>
      <c r="C21" s="54"/>
      <c r="E21" s="30" t="s">
        <v>70</v>
      </c>
      <c r="F21" s="28">
        <f>IF(F27&lt;415,F27*0.04,F27*0.04+(F27-415)*0.07)</f>
        <v>3.6</v>
      </c>
      <c r="G21" s="58"/>
      <c r="H21" s="39" t="s">
        <v>77</v>
      </c>
      <c r="I21" s="40" cm="1">
        <f t="array" ref="I21">_xlfn.IFS(I27&gt;=ET75*(I27&lt;160),I27*0.01,I27&gt;=160,I27*0.01+((I27-160)*(I27-160))*0.01,I27&lt;75,0)</f>
        <v>0.39</v>
      </c>
    </row>
    <row r="22" spans="1:9" x14ac:dyDescent="0.3">
      <c r="A22" s="52"/>
      <c r="B22" s="53"/>
      <c r="C22" s="54"/>
      <c r="E22" s="41" t="s">
        <v>71</v>
      </c>
      <c r="F22" s="42">
        <f>G4*(G4*H4)</f>
        <v>72</v>
      </c>
      <c r="G22" s="58"/>
      <c r="H22" s="35" t="s">
        <v>78</v>
      </c>
      <c r="I22" s="36">
        <f>G4*H4</f>
        <v>36</v>
      </c>
    </row>
    <row r="23" spans="1:9" x14ac:dyDescent="0.3">
      <c r="A23" s="52"/>
      <c r="B23" s="53"/>
      <c r="C23" s="54"/>
      <c r="E23" s="35" t="s">
        <v>72</v>
      </c>
      <c r="F23" s="36">
        <f>F5*(G5*H5)</f>
        <v>18</v>
      </c>
      <c r="G23" s="58"/>
      <c r="H23" s="35" t="s">
        <v>79</v>
      </c>
      <c r="I23" s="36">
        <f>G5*H5</f>
        <v>3</v>
      </c>
    </row>
    <row r="24" spans="1:9" x14ac:dyDescent="0.3">
      <c r="A24" s="52"/>
      <c r="B24" s="53"/>
      <c r="C24" s="54"/>
      <c r="E24" s="35" t="s">
        <v>73</v>
      </c>
      <c r="F24" s="36">
        <f>F6*(G6*H6)</f>
        <v>0</v>
      </c>
      <c r="G24" s="58"/>
      <c r="H24" s="35" t="s">
        <v>80</v>
      </c>
      <c r="I24" s="36">
        <f>G6*H6</f>
        <v>0</v>
      </c>
    </row>
    <row r="25" spans="1:9" x14ac:dyDescent="0.3">
      <c r="A25" s="52"/>
      <c r="B25" s="53"/>
      <c r="C25" s="54"/>
      <c r="E25" s="35" t="s">
        <v>74</v>
      </c>
      <c r="F25" s="36">
        <f>F7*(G7*H7)</f>
        <v>0</v>
      </c>
      <c r="G25" s="58"/>
      <c r="H25" s="35" t="s">
        <v>81</v>
      </c>
      <c r="I25" s="36">
        <f>G7*H7</f>
        <v>0</v>
      </c>
    </row>
    <row r="26" spans="1:9" ht="15" thickBot="1" x14ac:dyDescent="0.35">
      <c r="A26" s="52"/>
      <c r="B26" s="53"/>
      <c r="C26" s="54"/>
      <c r="E26" s="45" t="s">
        <v>75</v>
      </c>
      <c r="F26" s="46">
        <f>F8*(G8*H8)</f>
        <v>0</v>
      </c>
      <c r="G26" s="58"/>
      <c r="H26" s="45" t="s">
        <v>82</v>
      </c>
      <c r="I26" s="46">
        <f>G8*H8</f>
        <v>0</v>
      </c>
    </row>
    <row r="27" spans="1:9" ht="15" thickBot="1" x14ac:dyDescent="0.35">
      <c r="A27" s="52"/>
      <c r="B27" s="53"/>
      <c r="C27" s="54"/>
      <c r="E27" s="47" t="s">
        <v>76</v>
      </c>
      <c r="F27" s="48">
        <f>SUM(F22:F26)</f>
        <v>90</v>
      </c>
      <c r="G27" s="58"/>
      <c r="H27" s="47" t="s">
        <v>83</v>
      </c>
      <c r="I27" s="48">
        <f>SUM(I22:I26)</f>
        <v>39</v>
      </c>
    </row>
    <row r="28" spans="1:9" x14ac:dyDescent="0.3">
      <c r="A28" s="52"/>
      <c r="B28" s="53"/>
      <c r="C28" s="54"/>
      <c r="E28" s="52"/>
      <c r="F28" s="53"/>
      <c r="G28" s="53"/>
      <c r="H28" s="53"/>
      <c r="I28" s="54"/>
    </row>
    <row r="29" spans="1:9" x14ac:dyDescent="0.3">
      <c r="A29" s="52"/>
      <c r="B29" s="53"/>
      <c r="C29" s="54"/>
      <c r="E29" s="52"/>
      <c r="F29" s="53"/>
      <c r="G29" s="53"/>
      <c r="H29" s="53"/>
      <c r="I29" s="54"/>
    </row>
    <row r="30" spans="1:9" ht="15" thickBot="1" x14ac:dyDescent="0.35">
      <c r="A30" s="52"/>
      <c r="B30" s="53"/>
      <c r="C30" s="54"/>
      <c r="E30" s="55"/>
      <c r="F30" s="49"/>
      <c r="G30" s="49"/>
      <c r="H30" s="49"/>
      <c r="I30" s="56"/>
    </row>
    <row r="31" spans="1:9" ht="15" thickBot="1" x14ac:dyDescent="0.35">
      <c r="A31" s="52"/>
      <c r="B31" s="53"/>
      <c r="C31" s="54"/>
      <c r="E31" s="52"/>
      <c r="F31" s="53"/>
      <c r="G31" s="53"/>
      <c r="H31" s="53"/>
      <c r="I31" s="54"/>
    </row>
    <row r="32" spans="1:9" ht="15" thickBot="1" x14ac:dyDescent="0.35">
      <c r="A32" s="52"/>
      <c r="B32" s="53"/>
      <c r="C32" s="54"/>
      <c r="E32" s="52"/>
      <c r="F32" s="53"/>
      <c r="G32" s="53"/>
      <c r="H32" s="26" t="s">
        <v>87</v>
      </c>
      <c r="I32" s="27">
        <v>0</v>
      </c>
    </row>
    <row r="33" spans="1:9" ht="15" thickBot="1" x14ac:dyDescent="0.35">
      <c r="A33" s="52"/>
      <c r="B33" s="53"/>
      <c r="C33" s="54"/>
      <c r="E33" s="44" t="s">
        <v>84</v>
      </c>
      <c r="F33" s="63">
        <f>((I32/30)+(I33/80))*(1/15)*0.5</f>
        <v>0</v>
      </c>
      <c r="G33" s="53"/>
      <c r="H33" s="21" t="s">
        <v>88</v>
      </c>
      <c r="I33" s="23">
        <v>0</v>
      </c>
    </row>
    <row r="34" spans="1:9" x14ac:dyDescent="0.3">
      <c r="A34" s="52"/>
      <c r="B34" s="53"/>
      <c r="C34" s="54"/>
      <c r="E34" s="52"/>
      <c r="F34" s="53"/>
      <c r="G34" s="53"/>
      <c r="H34" s="53"/>
      <c r="I34" s="54"/>
    </row>
    <row r="35" spans="1:9" ht="15" thickBot="1" x14ac:dyDescent="0.35">
      <c r="A35" s="52"/>
      <c r="B35" s="53"/>
      <c r="C35" s="54"/>
      <c r="E35" s="55"/>
      <c r="F35" s="49"/>
      <c r="G35" s="49"/>
      <c r="H35" s="49"/>
      <c r="I35" s="56"/>
    </row>
    <row r="36" spans="1:9" x14ac:dyDescent="0.3">
      <c r="A36" s="52"/>
      <c r="B36" s="53"/>
      <c r="C36" s="54"/>
      <c r="E36" s="52"/>
      <c r="F36" s="53"/>
      <c r="G36" s="53"/>
      <c r="H36" s="53"/>
      <c r="I36" s="54"/>
    </row>
    <row r="37" spans="1:9" ht="15" thickBot="1" x14ac:dyDescent="0.35">
      <c r="A37" s="52"/>
      <c r="B37" s="53"/>
      <c r="C37" s="54"/>
      <c r="E37" s="52"/>
      <c r="F37" s="53"/>
      <c r="G37" s="53"/>
      <c r="H37" s="53"/>
      <c r="I37" s="54"/>
    </row>
    <row r="38" spans="1:9" ht="15" thickBot="1" x14ac:dyDescent="0.35">
      <c r="A38" s="52"/>
      <c r="B38" s="53"/>
      <c r="C38" s="54"/>
      <c r="E38" s="61" t="s">
        <v>86</v>
      </c>
      <c r="F38" s="62">
        <f>B5/100*40</f>
        <v>32</v>
      </c>
      <c r="G38" s="53"/>
      <c r="H38" s="53"/>
      <c r="I38" s="54"/>
    </row>
    <row r="39" spans="1:9" x14ac:dyDescent="0.3">
      <c r="A39" s="52"/>
      <c r="B39" s="53"/>
      <c r="C39" s="54"/>
      <c r="E39" s="52"/>
      <c r="F39" s="53"/>
      <c r="G39" s="53"/>
      <c r="H39" s="53"/>
      <c r="I39" s="54"/>
    </row>
    <row r="40" spans="1:9" x14ac:dyDescent="0.3">
      <c r="A40" s="52"/>
      <c r="B40" s="53"/>
      <c r="C40" s="54"/>
      <c r="E40" s="52"/>
      <c r="F40" s="53"/>
      <c r="G40" s="53"/>
      <c r="H40" s="53"/>
      <c r="I40" s="54"/>
    </row>
    <row r="41" spans="1:9" x14ac:dyDescent="0.3">
      <c r="A41" s="52"/>
      <c r="B41" s="53"/>
      <c r="C41" s="54"/>
      <c r="E41" s="52"/>
      <c r="F41" s="53"/>
      <c r="G41" s="53"/>
      <c r="H41" s="53"/>
      <c r="I41" s="54"/>
    </row>
    <row r="42" spans="1:9" ht="15" thickBot="1" x14ac:dyDescent="0.35">
      <c r="A42" s="55"/>
      <c r="B42" s="49"/>
      <c r="C42" s="56"/>
      <c r="E42" s="55"/>
      <c r="F42" s="49"/>
      <c r="G42" s="49"/>
      <c r="H42" s="49"/>
      <c r="I42" s="56"/>
    </row>
  </sheetData>
  <mergeCells count="2">
    <mergeCell ref="A1:B2"/>
    <mergeCell ref="E1:H2"/>
  </mergeCells>
  <conditionalFormatting sqref="B4">
    <cfRule type="colorScale" priority="1">
      <colorScale>
        <cfvo type="min"/>
        <cfvo type="num" val="55"/>
        <color theme="9"/>
        <color rgb="FFFF00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0577-9324-434E-AC88-28B59DA8EE5C}">
  <dimension ref="A1:J42"/>
  <sheetViews>
    <sheetView workbookViewId="0">
      <selection activeCell="E4" sqref="E4"/>
    </sheetView>
  </sheetViews>
  <sheetFormatPr defaultColWidth="11.5546875" defaultRowHeight="14.4" x14ac:dyDescent="0.3"/>
  <cols>
    <col min="1" max="1" width="28.5546875" customWidth="1"/>
    <col min="2" max="2" width="19.44140625" customWidth="1"/>
    <col min="3" max="3" width="22.33203125" customWidth="1"/>
    <col min="4" max="4" width="1.6640625" customWidth="1"/>
    <col min="5" max="5" width="22.5546875" customWidth="1"/>
    <col min="6" max="6" width="22" customWidth="1"/>
    <col min="7" max="7" width="22.6640625" customWidth="1"/>
    <col min="8" max="8" width="22.88671875" customWidth="1"/>
    <col min="9" max="9" width="23" customWidth="1"/>
    <col min="10" max="10" width="19.33203125" customWidth="1"/>
  </cols>
  <sheetData>
    <row r="1" spans="1:10" x14ac:dyDescent="0.3">
      <c r="A1" s="167" t="s">
        <v>52</v>
      </c>
      <c r="B1" s="168"/>
      <c r="C1" s="50"/>
      <c r="D1" s="3"/>
      <c r="E1" s="138" t="s">
        <v>55</v>
      </c>
      <c r="F1" s="139"/>
      <c r="G1" s="139"/>
      <c r="H1" s="140"/>
      <c r="I1" s="57"/>
      <c r="J1" s="3"/>
    </row>
    <row r="2" spans="1:10" ht="15" thickBot="1" x14ac:dyDescent="0.35">
      <c r="A2" s="169"/>
      <c r="B2" s="170"/>
      <c r="C2" s="51"/>
      <c r="D2" s="3"/>
      <c r="E2" s="141"/>
      <c r="F2" s="142"/>
      <c r="G2" s="142"/>
      <c r="H2" s="143"/>
      <c r="I2" s="54"/>
      <c r="J2" s="3"/>
    </row>
    <row r="3" spans="1:10" x14ac:dyDescent="0.3">
      <c r="A3" s="64" t="s">
        <v>53</v>
      </c>
      <c r="B3" s="65" t="s">
        <v>91</v>
      </c>
      <c r="C3" s="54"/>
      <c r="E3" s="17" t="s">
        <v>14</v>
      </c>
      <c r="F3" s="16" t="s">
        <v>56</v>
      </c>
      <c r="G3" s="16" t="s">
        <v>57</v>
      </c>
      <c r="H3" s="18" t="s">
        <v>58</v>
      </c>
      <c r="I3" s="54"/>
    </row>
    <row r="4" spans="1:10" x14ac:dyDescent="0.3">
      <c r="A4" s="66" t="s">
        <v>54</v>
      </c>
      <c r="B4" s="67">
        <f>SUM(F12,F33,F38)</f>
        <v>2.5499999999999998</v>
      </c>
      <c r="C4" s="54"/>
      <c r="E4" s="19" t="s">
        <v>21</v>
      </c>
      <c r="F4" s="15">
        <f>_xlfn.XLOOKUP('CI - Jade Poirier'!E4,'Liste des Cours et Subventions'!D27:D40,'Liste des Cours et Subventions'!G27:G40,"ND",0,1)</f>
        <v>6</v>
      </c>
      <c r="G4" s="15">
        <f>_xlfn.XLOOKUP(E4,'Liste des Cours et Subventions'!D27:D40,'Liste des Cours et Subventions'!E27:E40,"ND",0,1)</f>
        <v>1</v>
      </c>
      <c r="H4" s="20">
        <f>_xlfn.XLOOKUP(E4,'Liste des Cours et Subventions'!D27:D40,'Liste des Cours et Subventions'!F27:F40,"ND",0,1)</f>
        <v>9</v>
      </c>
      <c r="I4" s="54"/>
    </row>
    <row r="5" spans="1:10" x14ac:dyDescent="0.3">
      <c r="A5" s="66" t="s">
        <v>85</v>
      </c>
      <c r="B5" s="68">
        <v>0</v>
      </c>
      <c r="C5" s="54"/>
      <c r="E5" s="19" t="s">
        <v>22</v>
      </c>
      <c r="F5" s="15">
        <f>_xlfn.XLOOKUP('CI - Jade Poirier'!E5,'Liste des Cours et Subventions'!D28:D41,'Liste des Cours et Subventions'!G28:G41,"ND",0,1)</f>
        <v>3</v>
      </c>
      <c r="G5" s="15">
        <f>_xlfn.XLOOKUP(E5,'Liste des Cours et Subventions'!D28:D41,'Liste des Cours et Subventions'!E28:E41,"ND",0,1)</f>
        <v>0</v>
      </c>
      <c r="H5" s="20">
        <f>_xlfn.XLOOKUP(E5,'Liste des Cours et Subventions'!D28:D41,'Liste des Cours et Subventions'!F28:F41,"ND",0,1)</f>
        <v>0</v>
      </c>
      <c r="I5" s="54"/>
    </row>
    <row r="6" spans="1:10" x14ac:dyDescent="0.3">
      <c r="A6" s="52"/>
      <c r="B6" s="53"/>
      <c r="C6" s="54"/>
      <c r="E6" s="19"/>
      <c r="F6" s="15">
        <f>_xlfn.XLOOKUP('CI - Jade Poirier'!E6,'Liste des Cours et Subventions'!D29:D42,'Liste des Cours et Subventions'!G29:G42,"ND",0,1)</f>
        <v>0</v>
      </c>
      <c r="G6" s="15">
        <f>_xlfn.XLOOKUP(E6,'Liste des Cours et Subventions'!D29:D42,'Liste des Cours et Subventions'!E29:E42,"ND",0,1)</f>
        <v>0</v>
      </c>
      <c r="H6" s="20">
        <f>_xlfn.XLOOKUP(E6,'Liste des Cours et Subventions'!D29:D42,'Liste des Cours et Subventions'!F29:F42,"ND",0,1)</f>
        <v>0</v>
      </c>
      <c r="I6" s="54"/>
    </row>
    <row r="7" spans="1:10" x14ac:dyDescent="0.3">
      <c r="A7" s="52"/>
      <c r="B7" s="53"/>
      <c r="C7" s="54"/>
      <c r="E7" s="19"/>
      <c r="F7" s="15">
        <f>_xlfn.XLOOKUP('CI - Jade Poirier'!E7,'Liste des Cours et Subventions'!D30:D43,'Liste des Cours et Subventions'!G30:G43,"ND",0,1)</f>
        <v>0</v>
      </c>
      <c r="G7" s="15">
        <f>_xlfn.XLOOKUP(E7,'Liste des Cours et Subventions'!D30:D43,'Liste des Cours et Subventions'!E30:E43,"ND",0,1)</f>
        <v>0</v>
      </c>
      <c r="H7" s="20">
        <f>_xlfn.XLOOKUP(E7,'Liste des Cours et Subventions'!D30:D43,'Liste des Cours et Subventions'!F30:F43,"ND",0,1)</f>
        <v>0</v>
      </c>
      <c r="I7" s="54"/>
    </row>
    <row r="8" spans="1:10" ht="15" thickBot="1" x14ac:dyDescent="0.35">
      <c r="A8" s="52"/>
      <c r="B8" s="53"/>
      <c r="C8" s="54"/>
      <c r="E8" s="21"/>
      <c r="F8" s="15">
        <f>_xlfn.XLOOKUP('CI - Jade Poirier'!E8,'Liste des Cours et Subventions'!D31:D44,'Liste des Cours et Subventions'!G31:G44,"ND",0,1)</f>
        <v>0</v>
      </c>
      <c r="G8" s="15">
        <f>_xlfn.XLOOKUP(E8,'Liste des Cours et Subventions'!D31:D44,'Liste des Cours et Subventions'!E31:E44,"ND",0,1)</f>
        <v>0</v>
      </c>
      <c r="H8" s="20">
        <f>_xlfn.XLOOKUP(E8,'Liste des Cours et Subventions'!D31:D44,'Liste des Cours et Subventions'!F31:F44,"ND",0,1)</f>
        <v>0</v>
      </c>
      <c r="I8" s="54"/>
    </row>
    <row r="9" spans="1:10" x14ac:dyDescent="0.3">
      <c r="A9" s="52"/>
      <c r="B9" s="53"/>
      <c r="C9" s="54"/>
      <c r="E9" s="52"/>
      <c r="F9" s="53"/>
      <c r="G9" s="53"/>
      <c r="H9" s="53"/>
      <c r="I9" s="54"/>
    </row>
    <row r="10" spans="1:10" ht="15" thickBot="1" x14ac:dyDescent="0.35">
      <c r="A10" s="52"/>
      <c r="B10" s="53"/>
      <c r="C10" s="54"/>
      <c r="E10" s="55"/>
      <c r="F10" s="49"/>
      <c r="G10" s="49"/>
      <c r="H10" s="49"/>
      <c r="I10" s="56"/>
    </row>
    <row r="11" spans="1:10" ht="15" thickBot="1" x14ac:dyDescent="0.35">
      <c r="A11" s="52"/>
      <c r="B11" s="53"/>
      <c r="C11" s="54"/>
      <c r="E11" s="52"/>
      <c r="F11" s="53"/>
      <c r="G11" s="53"/>
      <c r="H11" s="53"/>
      <c r="I11" s="54"/>
    </row>
    <row r="12" spans="1:10" ht="15" thickBot="1" x14ac:dyDescent="0.35">
      <c r="A12" s="52"/>
      <c r="B12" s="53"/>
      <c r="C12" s="54"/>
      <c r="E12" s="44" t="s">
        <v>59</v>
      </c>
      <c r="F12" s="43">
        <f>F14+(I14*1.2)+F21+I21</f>
        <v>2.5499999999999998</v>
      </c>
      <c r="G12" s="58"/>
      <c r="H12" s="58"/>
      <c r="I12" s="59"/>
    </row>
    <row r="13" spans="1:10" ht="15" thickBot="1" x14ac:dyDescent="0.35">
      <c r="A13" s="52"/>
      <c r="B13" s="53"/>
      <c r="C13" s="54"/>
      <c r="E13" s="60"/>
      <c r="F13" s="58"/>
      <c r="G13" s="58"/>
      <c r="H13" s="58"/>
      <c r="I13" s="59"/>
    </row>
    <row r="14" spans="1:10" ht="15" thickBot="1" x14ac:dyDescent="0.35">
      <c r="A14" s="52"/>
      <c r="B14" s="53"/>
      <c r="C14" s="54"/>
      <c r="E14" s="31" t="s">
        <v>60</v>
      </c>
      <c r="F14" s="32">
        <f>PRODUCT(F16,F17)</f>
        <v>0.9</v>
      </c>
      <c r="G14" s="58"/>
      <c r="H14" s="30" t="s">
        <v>64</v>
      </c>
      <c r="I14" s="32">
        <f>SUM(I15:I19)</f>
        <v>1</v>
      </c>
    </row>
    <row r="15" spans="1:10" x14ac:dyDescent="0.3">
      <c r="A15" s="52"/>
      <c r="B15" s="53"/>
      <c r="C15" s="54"/>
      <c r="E15" s="33" t="s">
        <v>61</v>
      </c>
      <c r="F15" s="34">
        <f>COUNT(F4:F5)</f>
        <v>2</v>
      </c>
      <c r="G15" s="58"/>
      <c r="H15" s="33" t="s">
        <v>65</v>
      </c>
      <c r="I15" s="34">
        <f>G4*G4</f>
        <v>1</v>
      </c>
    </row>
    <row r="16" spans="1:10" x14ac:dyDescent="0.3">
      <c r="A16" s="52"/>
      <c r="B16" s="53"/>
      <c r="C16" s="54"/>
      <c r="E16" s="35" t="s">
        <v>62</v>
      </c>
      <c r="F16" s="36" cm="1">
        <f t="array" ref="F16">_xlfn.IFS(F15&lt;=2,0.9,F15=3,1.1,F15&gt;=4,1.75)</f>
        <v>0.9</v>
      </c>
      <c r="G16" s="58"/>
      <c r="H16" s="35" t="s">
        <v>66</v>
      </c>
      <c r="I16" s="36">
        <f>F5*G5</f>
        <v>0</v>
      </c>
    </row>
    <row r="17" spans="1:9" ht="15" thickBot="1" x14ac:dyDescent="0.35">
      <c r="A17" s="52"/>
      <c r="B17" s="53"/>
      <c r="C17" s="54"/>
      <c r="E17" s="37" t="s">
        <v>63</v>
      </c>
      <c r="F17" s="38">
        <f>SUM(G4:G9)</f>
        <v>1</v>
      </c>
      <c r="G17" s="58"/>
      <c r="H17" s="35" t="s">
        <v>67</v>
      </c>
      <c r="I17" s="36">
        <f>F6*G6</f>
        <v>0</v>
      </c>
    </row>
    <row r="18" spans="1:9" x14ac:dyDescent="0.3">
      <c r="A18" s="52"/>
      <c r="B18" s="53"/>
      <c r="C18" s="54"/>
      <c r="E18" s="60"/>
      <c r="F18" s="58"/>
      <c r="G18" s="58"/>
      <c r="H18" s="35" t="s">
        <v>68</v>
      </c>
      <c r="I18" s="36">
        <f>F7*G7</f>
        <v>0</v>
      </c>
    </row>
    <row r="19" spans="1:9" ht="15" thickBot="1" x14ac:dyDescent="0.35">
      <c r="A19" s="52"/>
      <c r="B19" s="53"/>
      <c r="C19" s="54"/>
      <c r="E19" s="60"/>
      <c r="F19" s="58"/>
      <c r="G19" s="58"/>
      <c r="H19" s="37" t="s">
        <v>69</v>
      </c>
      <c r="I19" s="38">
        <f>F8*G8</f>
        <v>0</v>
      </c>
    </row>
    <row r="20" spans="1:9" ht="15" thickBot="1" x14ac:dyDescent="0.35">
      <c r="A20" s="52"/>
      <c r="B20" s="53"/>
      <c r="C20" s="54"/>
      <c r="E20" s="60"/>
      <c r="F20" s="58"/>
      <c r="G20" s="58"/>
      <c r="H20" s="58"/>
      <c r="I20" s="59"/>
    </row>
    <row r="21" spans="1:9" ht="15" thickBot="1" x14ac:dyDescent="0.35">
      <c r="A21" s="52"/>
      <c r="B21" s="53"/>
      <c r="C21" s="54"/>
      <c r="E21" s="30" t="s">
        <v>70</v>
      </c>
      <c r="F21" s="28">
        <f>IF(F27&lt;415,F27*0.04,F27*0.04+(F27-415)*0.07)</f>
        <v>0.36</v>
      </c>
      <c r="G21" s="58"/>
      <c r="H21" s="39" t="s">
        <v>77</v>
      </c>
      <c r="I21" s="40" cm="1">
        <f t="array" ref="I21">_xlfn.IFS(I27&gt;=ET75*(I27&lt;160),I27*0.01,I27&gt;=160,I27*0.01+((I27-160)*(I27-160))*0.01,I27&lt;75,0)</f>
        <v>0.09</v>
      </c>
    </row>
    <row r="22" spans="1:9" x14ac:dyDescent="0.3">
      <c r="A22" s="52"/>
      <c r="B22" s="53"/>
      <c r="C22" s="54"/>
      <c r="E22" s="41" t="s">
        <v>71</v>
      </c>
      <c r="F22" s="42">
        <f>G4*(G4*H4)</f>
        <v>9</v>
      </c>
      <c r="G22" s="58"/>
      <c r="H22" s="35" t="s">
        <v>78</v>
      </c>
      <c r="I22" s="36">
        <f>G4*H4</f>
        <v>9</v>
      </c>
    </row>
    <row r="23" spans="1:9" x14ac:dyDescent="0.3">
      <c r="A23" s="52"/>
      <c r="B23" s="53"/>
      <c r="C23" s="54"/>
      <c r="E23" s="35" t="s">
        <v>72</v>
      </c>
      <c r="F23" s="36">
        <f>F5*(G5*H5)</f>
        <v>0</v>
      </c>
      <c r="G23" s="58"/>
      <c r="H23" s="35" t="s">
        <v>79</v>
      </c>
      <c r="I23" s="36">
        <f>G5*H5</f>
        <v>0</v>
      </c>
    </row>
    <row r="24" spans="1:9" x14ac:dyDescent="0.3">
      <c r="A24" s="52"/>
      <c r="B24" s="53"/>
      <c r="C24" s="54"/>
      <c r="E24" s="35" t="s">
        <v>73</v>
      </c>
      <c r="F24" s="36">
        <f>F6*(G6*H6)</f>
        <v>0</v>
      </c>
      <c r="G24" s="58"/>
      <c r="H24" s="35" t="s">
        <v>80</v>
      </c>
      <c r="I24" s="36">
        <f>G6*H6</f>
        <v>0</v>
      </c>
    </row>
    <row r="25" spans="1:9" x14ac:dyDescent="0.3">
      <c r="A25" s="52"/>
      <c r="B25" s="53"/>
      <c r="C25" s="54"/>
      <c r="E25" s="35" t="s">
        <v>74</v>
      </c>
      <c r="F25" s="36">
        <f>F7*(G7*H7)</f>
        <v>0</v>
      </c>
      <c r="G25" s="58"/>
      <c r="H25" s="35" t="s">
        <v>81</v>
      </c>
      <c r="I25" s="36">
        <f>G7*H7</f>
        <v>0</v>
      </c>
    </row>
    <row r="26" spans="1:9" ht="15" thickBot="1" x14ac:dyDescent="0.35">
      <c r="A26" s="52"/>
      <c r="B26" s="53"/>
      <c r="C26" s="54"/>
      <c r="E26" s="45" t="s">
        <v>75</v>
      </c>
      <c r="F26" s="46">
        <f>F8*(G8*H8)</f>
        <v>0</v>
      </c>
      <c r="G26" s="58"/>
      <c r="H26" s="45" t="s">
        <v>82</v>
      </c>
      <c r="I26" s="46">
        <f>G8*H8</f>
        <v>0</v>
      </c>
    </row>
    <row r="27" spans="1:9" ht="15" thickBot="1" x14ac:dyDescent="0.35">
      <c r="A27" s="52"/>
      <c r="B27" s="53"/>
      <c r="C27" s="54"/>
      <c r="E27" s="47" t="s">
        <v>76</v>
      </c>
      <c r="F27" s="48">
        <f>SUM(F22:F26)</f>
        <v>9</v>
      </c>
      <c r="G27" s="58"/>
      <c r="H27" s="47" t="s">
        <v>83</v>
      </c>
      <c r="I27" s="48">
        <f>SUM(I22:I26)</f>
        <v>9</v>
      </c>
    </row>
    <row r="28" spans="1:9" x14ac:dyDescent="0.3">
      <c r="A28" s="52"/>
      <c r="B28" s="53"/>
      <c r="C28" s="54"/>
      <c r="E28" s="52"/>
      <c r="F28" s="53"/>
      <c r="G28" s="53"/>
      <c r="H28" s="53"/>
      <c r="I28" s="54"/>
    </row>
    <row r="29" spans="1:9" x14ac:dyDescent="0.3">
      <c r="A29" s="52"/>
      <c r="B29" s="53"/>
      <c r="C29" s="54"/>
      <c r="E29" s="52"/>
      <c r="F29" s="53"/>
      <c r="G29" s="53"/>
      <c r="H29" s="53"/>
      <c r="I29" s="54"/>
    </row>
    <row r="30" spans="1:9" ht="15" thickBot="1" x14ac:dyDescent="0.35">
      <c r="A30" s="52"/>
      <c r="B30" s="53"/>
      <c r="C30" s="54"/>
      <c r="E30" s="55"/>
      <c r="F30" s="49"/>
      <c r="G30" s="49"/>
      <c r="H30" s="49"/>
      <c r="I30" s="56"/>
    </row>
    <row r="31" spans="1:9" ht="15" thickBot="1" x14ac:dyDescent="0.35">
      <c r="A31" s="52"/>
      <c r="B31" s="53"/>
      <c r="C31" s="54"/>
      <c r="E31" s="52"/>
      <c r="F31" s="53"/>
      <c r="G31" s="53"/>
      <c r="H31" s="53"/>
      <c r="I31" s="54"/>
    </row>
    <row r="32" spans="1:9" ht="15" thickBot="1" x14ac:dyDescent="0.35">
      <c r="A32" s="52"/>
      <c r="B32" s="53"/>
      <c r="C32" s="54"/>
      <c r="E32" s="52"/>
      <c r="F32" s="53"/>
      <c r="G32" s="53"/>
      <c r="H32" s="26" t="s">
        <v>87</v>
      </c>
      <c r="I32" s="27">
        <v>0</v>
      </c>
    </row>
    <row r="33" spans="1:9" ht="15" thickBot="1" x14ac:dyDescent="0.35">
      <c r="A33" s="52"/>
      <c r="B33" s="53"/>
      <c r="C33" s="54"/>
      <c r="E33" s="44" t="s">
        <v>84</v>
      </c>
      <c r="F33" s="63">
        <f>((I32/30)+(I33/80))*(1/15)*0.5</f>
        <v>0</v>
      </c>
      <c r="G33" s="53"/>
      <c r="H33" s="21" t="s">
        <v>88</v>
      </c>
      <c r="I33" s="23">
        <v>0</v>
      </c>
    </row>
    <row r="34" spans="1:9" x14ac:dyDescent="0.3">
      <c r="A34" s="52"/>
      <c r="B34" s="53"/>
      <c r="C34" s="54"/>
      <c r="E34" s="52"/>
      <c r="F34" s="53"/>
      <c r="G34" s="53"/>
      <c r="H34" s="53"/>
      <c r="I34" s="54"/>
    </row>
    <row r="35" spans="1:9" ht="15" thickBot="1" x14ac:dyDescent="0.35">
      <c r="A35" s="52"/>
      <c r="B35" s="53"/>
      <c r="C35" s="54"/>
      <c r="E35" s="55"/>
      <c r="F35" s="49"/>
      <c r="G35" s="49"/>
      <c r="H35" s="49"/>
      <c r="I35" s="56"/>
    </row>
    <row r="36" spans="1:9" x14ac:dyDescent="0.3">
      <c r="A36" s="52"/>
      <c r="B36" s="53"/>
      <c r="C36" s="54"/>
      <c r="E36" s="52"/>
      <c r="F36" s="53"/>
      <c r="G36" s="53"/>
      <c r="H36" s="53"/>
      <c r="I36" s="54"/>
    </row>
    <row r="37" spans="1:9" ht="15" thickBot="1" x14ac:dyDescent="0.35">
      <c r="A37" s="52"/>
      <c r="B37" s="53"/>
      <c r="C37" s="54"/>
      <c r="E37" s="52"/>
      <c r="F37" s="53"/>
      <c r="G37" s="53"/>
      <c r="H37" s="53"/>
      <c r="I37" s="54"/>
    </row>
    <row r="38" spans="1:9" ht="15" thickBot="1" x14ac:dyDescent="0.35">
      <c r="A38" s="52"/>
      <c r="B38" s="53"/>
      <c r="C38" s="54"/>
      <c r="E38" s="61" t="s">
        <v>86</v>
      </c>
      <c r="F38" s="62">
        <f>B5/100*40</f>
        <v>0</v>
      </c>
      <c r="G38" s="53"/>
      <c r="H38" s="53"/>
      <c r="I38" s="54"/>
    </row>
    <row r="39" spans="1:9" x14ac:dyDescent="0.3">
      <c r="A39" s="52"/>
      <c r="B39" s="53"/>
      <c r="C39" s="54"/>
      <c r="E39" s="52"/>
      <c r="F39" s="53"/>
      <c r="G39" s="53"/>
      <c r="H39" s="53"/>
      <c r="I39" s="54"/>
    </row>
    <row r="40" spans="1:9" x14ac:dyDescent="0.3">
      <c r="A40" s="52"/>
      <c r="B40" s="53"/>
      <c r="C40" s="54"/>
      <c r="E40" s="52"/>
      <c r="F40" s="53"/>
      <c r="G40" s="53"/>
      <c r="H40" s="53"/>
      <c r="I40" s="54"/>
    </row>
    <row r="41" spans="1:9" x14ac:dyDescent="0.3">
      <c r="A41" s="52"/>
      <c r="B41" s="53"/>
      <c r="C41" s="54"/>
      <c r="E41" s="52"/>
      <c r="F41" s="53"/>
      <c r="G41" s="53"/>
      <c r="H41" s="53"/>
      <c r="I41" s="54"/>
    </row>
    <row r="42" spans="1:9" ht="15" thickBot="1" x14ac:dyDescent="0.35">
      <c r="A42" s="55"/>
      <c r="B42" s="49"/>
      <c r="C42" s="56"/>
      <c r="E42" s="55"/>
      <c r="F42" s="49"/>
      <c r="G42" s="49"/>
      <c r="H42" s="49"/>
      <c r="I42" s="56"/>
    </row>
  </sheetData>
  <mergeCells count="2">
    <mergeCell ref="A1:B2"/>
    <mergeCell ref="E1:H2"/>
  </mergeCells>
  <conditionalFormatting sqref="B4">
    <cfRule type="colorScale" priority="1">
      <colorScale>
        <cfvo type="min"/>
        <cfvo type="num" val="55"/>
        <color theme="9"/>
        <color rgb="FFFF00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4DC5-87D8-47FD-B1BF-20CAE6AF483D}">
  <dimension ref="A1:J42"/>
  <sheetViews>
    <sheetView workbookViewId="0">
      <selection activeCell="E6" sqref="E6"/>
    </sheetView>
  </sheetViews>
  <sheetFormatPr defaultColWidth="11.5546875" defaultRowHeight="14.4" x14ac:dyDescent="0.3"/>
  <cols>
    <col min="1" max="1" width="28.5546875" customWidth="1"/>
    <col min="2" max="2" width="19.44140625" customWidth="1"/>
    <col min="3" max="3" width="22.33203125" customWidth="1"/>
    <col min="4" max="4" width="1.6640625" customWidth="1"/>
    <col min="5" max="5" width="22.5546875" customWidth="1"/>
    <col min="6" max="6" width="22" customWidth="1"/>
    <col min="7" max="7" width="22.6640625" customWidth="1"/>
    <col min="8" max="8" width="22.88671875" customWidth="1"/>
    <col min="9" max="9" width="23" customWidth="1"/>
    <col min="10" max="10" width="19.33203125" customWidth="1"/>
  </cols>
  <sheetData>
    <row r="1" spans="1:10" x14ac:dyDescent="0.3">
      <c r="A1" s="167" t="s">
        <v>52</v>
      </c>
      <c r="B1" s="168"/>
      <c r="C1" s="50"/>
      <c r="D1" s="3"/>
      <c r="E1" s="138" t="s">
        <v>55</v>
      </c>
      <c r="F1" s="139"/>
      <c r="G1" s="139"/>
      <c r="H1" s="140"/>
      <c r="I1" s="57"/>
      <c r="J1" s="3"/>
    </row>
    <row r="2" spans="1:10" ht="15" thickBot="1" x14ac:dyDescent="0.35">
      <c r="A2" s="169"/>
      <c r="B2" s="170"/>
      <c r="C2" s="51"/>
      <c r="D2" s="3"/>
      <c r="E2" s="141"/>
      <c r="F2" s="142"/>
      <c r="G2" s="142"/>
      <c r="H2" s="143"/>
      <c r="I2" s="54"/>
      <c r="J2" s="3"/>
    </row>
    <row r="3" spans="1:10" x14ac:dyDescent="0.3">
      <c r="A3" s="64" t="s">
        <v>53</v>
      </c>
      <c r="B3" s="65" t="s">
        <v>92</v>
      </c>
      <c r="C3" s="54"/>
      <c r="E3" s="17" t="s">
        <v>14</v>
      </c>
      <c r="F3" s="16" t="s">
        <v>56</v>
      </c>
      <c r="G3" s="16" t="s">
        <v>57</v>
      </c>
      <c r="H3" s="18" t="s">
        <v>58</v>
      </c>
      <c r="I3" s="54"/>
    </row>
    <row r="4" spans="1:10" x14ac:dyDescent="0.3">
      <c r="A4" s="66" t="s">
        <v>54</v>
      </c>
      <c r="B4" s="67">
        <f>SUM(F12,F33,F38)</f>
        <v>24.29</v>
      </c>
      <c r="C4" s="54"/>
      <c r="E4" s="19" t="s">
        <v>23</v>
      </c>
      <c r="F4" s="15">
        <f>_xlfn.XLOOKUP('CI - Olivier Hallé'!E4,'Liste des Cours et Subventions'!D27:D40,'Liste des Cours et Subventions'!G27:G40,"ND",0,1)</f>
        <v>6</v>
      </c>
      <c r="G4" s="15">
        <f>_xlfn.XLOOKUP(E4,'Liste des Cours et Subventions'!D27:D40,'Liste des Cours et Subventions'!E27:E40,"ND",0,1)</f>
        <v>0</v>
      </c>
      <c r="H4" s="20">
        <f>_xlfn.XLOOKUP(E4,'Liste des Cours et Subventions'!D27:D40,'Liste des Cours et Subventions'!F27:F40,"ND",0,1)</f>
        <v>0</v>
      </c>
      <c r="I4" s="54"/>
    </row>
    <row r="5" spans="1:10" x14ac:dyDescent="0.3">
      <c r="A5" s="66" t="s">
        <v>85</v>
      </c>
      <c r="B5" s="68">
        <v>35</v>
      </c>
      <c r="C5" s="54"/>
      <c r="E5" s="19" t="s">
        <v>17</v>
      </c>
      <c r="F5" s="15">
        <f>_xlfn.XLOOKUP('CI - Olivier Hallé'!E5,'Liste des Cours et Subventions'!D28:D41,'Liste des Cours et Subventions'!G28:G41,"ND",0,1)</f>
        <v>4</v>
      </c>
      <c r="G5" s="15">
        <f>_xlfn.XLOOKUP(E5,'Liste des Cours et Subventions'!D28:D41,'Liste des Cours et Subventions'!E28:E41,"ND",0,1)</f>
        <v>1</v>
      </c>
      <c r="H5" s="20">
        <f>_xlfn.XLOOKUP(E5,'Liste des Cours et Subventions'!D28:D41,'Liste des Cours et Subventions'!F28:F41,"ND",0,1)</f>
        <v>27</v>
      </c>
      <c r="I5" s="54"/>
    </row>
    <row r="6" spans="1:10" x14ac:dyDescent="0.3">
      <c r="A6" s="52"/>
      <c r="B6" s="53"/>
      <c r="C6" s="54"/>
      <c r="E6" s="19"/>
      <c r="F6" s="15">
        <f>_xlfn.XLOOKUP('CI - Olivier Hallé'!E6,'Liste des Cours et Subventions'!D29:D42,'Liste des Cours et Subventions'!G29:G42,"ND",0,1)</f>
        <v>0</v>
      </c>
      <c r="G6" s="15">
        <f>_xlfn.XLOOKUP(E6,'Liste des Cours et Subventions'!D29:D42,'Liste des Cours et Subventions'!E29:E42,"ND",0,1)</f>
        <v>0</v>
      </c>
      <c r="H6" s="20">
        <f>_xlfn.XLOOKUP(E6,'Liste des Cours et Subventions'!D29:D42,'Liste des Cours et Subventions'!F29:F42,"ND",0,1)</f>
        <v>0</v>
      </c>
      <c r="I6" s="54"/>
    </row>
    <row r="7" spans="1:10" x14ac:dyDescent="0.3">
      <c r="A7" s="52"/>
      <c r="B7" s="53"/>
      <c r="C7" s="54"/>
      <c r="E7" s="19"/>
      <c r="F7" s="15">
        <f>_xlfn.XLOOKUP('CI - Olivier Hallé'!E7,'Liste des Cours et Subventions'!D30:D43,'Liste des Cours et Subventions'!G30:G43,"ND",0,1)</f>
        <v>0</v>
      </c>
      <c r="G7" s="15">
        <f>_xlfn.XLOOKUP(E7,'Liste des Cours et Subventions'!D30:D43,'Liste des Cours et Subventions'!E30:E43,"ND",0,1)</f>
        <v>0</v>
      </c>
      <c r="H7" s="20">
        <f>_xlfn.XLOOKUP(E7,'Liste des Cours et Subventions'!D30:D43,'Liste des Cours et Subventions'!F30:F43,"ND",0,1)</f>
        <v>0</v>
      </c>
      <c r="I7" s="54"/>
    </row>
    <row r="8" spans="1:10" ht="15" thickBot="1" x14ac:dyDescent="0.35">
      <c r="A8" s="52"/>
      <c r="B8" s="53"/>
      <c r="C8" s="54"/>
      <c r="E8" s="21"/>
      <c r="F8" s="15">
        <f>_xlfn.XLOOKUP('CI - Olivier Hallé'!E8,'Liste des Cours et Subventions'!D31:D44,'Liste des Cours et Subventions'!G31:G44,"ND",0,1)</f>
        <v>0</v>
      </c>
      <c r="G8" s="15">
        <f>_xlfn.XLOOKUP(E8,'Liste des Cours et Subventions'!D31:D44,'Liste des Cours et Subventions'!E31:E44,"ND",0,1)</f>
        <v>0</v>
      </c>
      <c r="H8" s="20">
        <f>_xlfn.XLOOKUP(E8,'Liste des Cours et Subventions'!D31:D44,'Liste des Cours et Subventions'!F31:F44,"ND",0,1)</f>
        <v>0</v>
      </c>
      <c r="I8" s="54"/>
    </row>
    <row r="9" spans="1:10" x14ac:dyDescent="0.3">
      <c r="A9" s="52"/>
      <c r="B9" s="53"/>
      <c r="C9" s="54"/>
      <c r="E9" s="52"/>
      <c r="F9" s="53"/>
      <c r="G9" s="53"/>
      <c r="H9" s="53"/>
      <c r="I9" s="54"/>
    </row>
    <row r="10" spans="1:10" ht="15" thickBot="1" x14ac:dyDescent="0.35">
      <c r="A10" s="52"/>
      <c r="B10" s="53"/>
      <c r="C10" s="54"/>
      <c r="E10" s="55"/>
      <c r="F10" s="49"/>
      <c r="G10" s="49"/>
      <c r="H10" s="49"/>
      <c r="I10" s="56"/>
    </row>
    <row r="11" spans="1:10" ht="15" thickBot="1" x14ac:dyDescent="0.35">
      <c r="A11" s="52"/>
      <c r="B11" s="53"/>
      <c r="C11" s="54"/>
      <c r="E11" s="52"/>
      <c r="F11" s="53"/>
      <c r="G11" s="53"/>
      <c r="H11" s="53"/>
      <c r="I11" s="54"/>
    </row>
    <row r="12" spans="1:10" ht="15" thickBot="1" x14ac:dyDescent="0.35">
      <c r="A12" s="52"/>
      <c r="B12" s="53"/>
      <c r="C12" s="54"/>
      <c r="E12" s="44" t="s">
        <v>59</v>
      </c>
      <c r="F12" s="43">
        <f>F14+(I14*1.2)+F21+I21</f>
        <v>10.29</v>
      </c>
      <c r="G12" s="58"/>
      <c r="H12" s="58"/>
      <c r="I12" s="59"/>
    </row>
    <row r="13" spans="1:10" ht="15" thickBot="1" x14ac:dyDescent="0.35">
      <c r="A13" s="52"/>
      <c r="B13" s="53"/>
      <c r="C13" s="54"/>
      <c r="E13" s="60"/>
      <c r="F13" s="58"/>
      <c r="G13" s="58"/>
      <c r="H13" s="58"/>
      <c r="I13" s="59"/>
    </row>
    <row r="14" spans="1:10" ht="15" thickBot="1" x14ac:dyDescent="0.35">
      <c r="A14" s="52"/>
      <c r="B14" s="53"/>
      <c r="C14" s="54"/>
      <c r="E14" s="31" t="s">
        <v>60</v>
      </c>
      <c r="F14" s="32">
        <f>PRODUCT(F16,F17)</f>
        <v>0.9</v>
      </c>
      <c r="G14" s="58"/>
      <c r="H14" s="30" t="s">
        <v>64</v>
      </c>
      <c r="I14" s="32">
        <f>SUM(I15:I19)</f>
        <v>4</v>
      </c>
    </row>
    <row r="15" spans="1:10" x14ac:dyDescent="0.3">
      <c r="A15" s="52"/>
      <c r="B15" s="53"/>
      <c r="C15" s="54"/>
      <c r="E15" s="33" t="s">
        <v>61</v>
      </c>
      <c r="F15" s="34">
        <f>COUNT(F4:F5)</f>
        <v>2</v>
      </c>
      <c r="G15" s="58"/>
      <c r="H15" s="33" t="s">
        <v>65</v>
      </c>
      <c r="I15" s="34">
        <f>G4*G4</f>
        <v>0</v>
      </c>
    </row>
    <row r="16" spans="1:10" x14ac:dyDescent="0.3">
      <c r="A16" s="52"/>
      <c r="B16" s="53"/>
      <c r="C16" s="54"/>
      <c r="E16" s="35" t="s">
        <v>62</v>
      </c>
      <c r="F16" s="36" cm="1">
        <f t="array" ref="F16">_xlfn.IFS(F15&lt;=2,0.9,F15=3,1.1,F15&gt;=4,1.75)</f>
        <v>0.9</v>
      </c>
      <c r="G16" s="58"/>
      <c r="H16" s="35" t="s">
        <v>66</v>
      </c>
      <c r="I16" s="36">
        <f>F5*G5</f>
        <v>4</v>
      </c>
    </row>
    <row r="17" spans="1:9" ht="15" thickBot="1" x14ac:dyDescent="0.35">
      <c r="A17" s="52"/>
      <c r="B17" s="53"/>
      <c r="C17" s="54"/>
      <c r="E17" s="37" t="s">
        <v>63</v>
      </c>
      <c r="F17" s="38">
        <f>SUM(G4:G9)</f>
        <v>1</v>
      </c>
      <c r="G17" s="58"/>
      <c r="H17" s="35" t="s">
        <v>67</v>
      </c>
      <c r="I17" s="36">
        <f>F6*G6</f>
        <v>0</v>
      </c>
    </row>
    <row r="18" spans="1:9" x14ac:dyDescent="0.3">
      <c r="A18" s="52"/>
      <c r="B18" s="53"/>
      <c r="C18" s="54"/>
      <c r="E18" s="60"/>
      <c r="F18" s="58"/>
      <c r="G18" s="58"/>
      <c r="H18" s="35" t="s">
        <v>68</v>
      </c>
      <c r="I18" s="36">
        <f>F7*G7</f>
        <v>0</v>
      </c>
    </row>
    <row r="19" spans="1:9" ht="15" thickBot="1" x14ac:dyDescent="0.35">
      <c r="A19" s="52"/>
      <c r="B19" s="53"/>
      <c r="C19" s="54"/>
      <c r="E19" s="60"/>
      <c r="F19" s="58"/>
      <c r="G19" s="58"/>
      <c r="H19" s="37" t="s">
        <v>69</v>
      </c>
      <c r="I19" s="38">
        <f>F8*G8</f>
        <v>0</v>
      </c>
    </row>
    <row r="20" spans="1:9" ht="15" thickBot="1" x14ac:dyDescent="0.35">
      <c r="A20" s="52"/>
      <c r="B20" s="53"/>
      <c r="C20" s="54"/>
      <c r="E20" s="60"/>
      <c r="F20" s="58"/>
      <c r="G20" s="58"/>
      <c r="H20" s="58"/>
      <c r="I20" s="59"/>
    </row>
    <row r="21" spans="1:9" ht="15" thickBot="1" x14ac:dyDescent="0.35">
      <c r="A21" s="52"/>
      <c r="B21" s="53"/>
      <c r="C21" s="54"/>
      <c r="E21" s="30" t="s">
        <v>70</v>
      </c>
      <c r="F21" s="28">
        <f>IF(F27&lt;415,F27*0.04,F27*0.04+(F27-415)*0.07)</f>
        <v>4.32</v>
      </c>
      <c r="G21" s="58"/>
      <c r="H21" s="39" t="s">
        <v>77</v>
      </c>
      <c r="I21" s="40" cm="1">
        <f t="array" ref="I21">_xlfn.IFS(I27&gt;=ET75*(I27&lt;160),I27*0.01,I27&gt;=160,I27*0.01+((I27-160)*(I27-160))*0.01,I27&lt;75,0)</f>
        <v>0.27</v>
      </c>
    </row>
    <row r="22" spans="1:9" x14ac:dyDescent="0.3">
      <c r="A22" s="52"/>
      <c r="B22" s="53"/>
      <c r="C22" s="54"/>
      <c r="E22" s="41" t="s">
        <v>71</v>
      </c>
      <c r="F22" s="42">
        <f>G4*(G4*H4)</f>
        <v>0</v>
      </c>
      <c r="G22" s="58"/>
      <c r="H22" s="35" t="s">
        <v>78</v>
      </c>
      <c r="I22" s="36">
        <f>G4*H4</f>
        <v>0</v>
      </c>
    </row>
    <row r="23" spans="1:9" x14ac:dyDescent="0.3">
      <c r="A23" s="52"/>
      <c r="B23" s="53"/>
      <c r="C23" s="54"/>
      <c r="E23" s="35" t="s">
        <v>72</v>
      </c>
      <c r="F23" s="36">
        <f>F5*(G5*H5)</f>
        <v>108</v>
      </c>
      <c r="G23" s="58"/>
      <c r="H23" s="35" t="s">
        <v>79</v>
      </c>
      <c r="I23" s="36">
        <f>G5*H5</f>
        <v>27</v>
      </c>
    </row>
    <row r="24" spans="1:9" x14ac:dyDescent="0.3">
      <c r="A24" s="52"/>
      <c r="B24" s="53"/>
      <c r="C24" s="54"/>
      <c r="E24" s="35" t="s">
        <v>73</v>
      </c>
      <c r="F24" s="36">
        <f>F6*(G6*H6)</f>
        <v>0</v>
      </c>
      <c r="G24" s="58"/>
      <c r="H24" s="35" t="s">
        <v>80</v>
      </c>
      <c r="I24" s="36">
        <f>G6*H6</f>
        <v>0</v>
      </c>
    </row>
    <row r="25" spans="1:9" x14ac:dyDescent="0.3">
      <c r="A25" s="52"/>
      <c r="B25" s="53"/>
      <c r="C25" s="54"/>
      <c r="E25" s="35" t="s">
        <v>74</v>
      </c>
      <c r="F25" s="36">
        <f>F7*(G7*H7)</f>
        <v>0</v>
      </c>
      <c r="G25" s="58"/>
      <c r="H25" s="35" t="s">
        <v>81</v>
      </c>
      <c r="I25" s="36">
        <f>G7*H7</f>
        <v>0</v>
      </c>
    </row>
    <row r="26" spans="1:9" ht="15" thickBot="1" x14ac:dyDescent="0.35">
      <c r="A26" s="52"/>
      <c r="B26" s="53"/>
      <c r="C26" s="54"/>
      <c r="E26" s="45" t="s">
        <v>75</v>
      </c>
      <c r="F26" s="46">
        <f>F8*(G8*H8)</f>
        <v>0</v>
      </c>
      <c r="G26" s="58"/>
      <c r="H26" s="45" t="s">
        <v>82</v>
      </c>
      <c r="I26" s="46">
        <f>G8*H8</f>
        <v>0</v>
      </c>
    </row>
    <row r="27" spans="1:9" ht="15" thickBot="1" x14ac:dyDescent="0.35">
      <c r="A27" s="52"/>
      <c r="B27" s="53"/>
      <c r="C27" s="54"/>
      <c r="E27" s="47" t="s">
        <v>76</v>
      </c>
      <c r="F27" s="48">
        <f>SUM(F22:F26)</f>
        <v>108</v>
      </c>
      <c r="G27" s="58"/>
      <c r="H27" s="47" t="s">
        <v>83</v>
      </c>
      <c r="I27" s="48">
        <f>SUM(I22:I26)</f>
        <v>27</v>
      </c>
    </row>
    <row r="28" spans="1:9" x14ac:dyDescent="0.3">
      <c r="A28" s="52"/>
      <c r="B28" s="53"/>
      <c r="C28" s="54"/>
      <c r="E28" s="52"/>
      <c r="F28" s="53"/>
      <c r="G28" s="53"/>
      <c r="H28" s="53"/>
      <c r="I28" s="54"/>
    </row>
    <row r="29" spans="1:9" x14ac:dyDescent="0.3">
      <c r="A29" s="52"/>
      <c r="B29" s="53"/>
      <c r="C29" s="54"/>
      <c r="E29" s="52"/>
      <c r="F29" s="53"/>
      <c r="G29" s="53"/>
      <c r="H29" s="53"/>
      <c r="I29" s="54"/>
    </row>
    <row r="30" spans="1:9" ht="15" thickBot="1" x14ac:dyDescent="0.35">
      <c r="A30" s="52"/>
      <c r="B30" s="53"/>
      <c r="C30" s="54"/>
      <c r="E30" s="55"/>
      <c r="F30" s="49"/>
      <c r="G30" s="49"/>
      <c r="H30" s="49"/>
      <c r="I30" s="56"/>
    </row>
    <row r="31" spans="1:9" ht="15" thickBot="1" x14ac:dyDescent="0.35">
      <c r="A31" s="52"/>
      <c r="B31" s="53"/>
      <c r="C31" s="54"/>
      <c r="E31" s="52"/>
      <c r="F31" s="53"/>
      <c r="G31" s="53"/>
      <c r="H31" s="53"/>
      <c r="I31" s="54"/>
    </row>
    <row r="32" spans="1:9" ht="15" thickBot="1" x14ac:dyDescent="0.35">
      <c r="A32" s="52"/>
      <c r="B32" s="53"/>
      <c r="C32" s="54"/>
      <c r="E32" s="52"/>
      <c r="F32" s="53"/>
      <c r="G32" s="53"/>
      <c r="H32" s="26" t="s">
        <v>87</v>
      </c>
      <c r="I32" s="27">
        <v>0</v>
      </c>
    </row>
    <row r="33" spans="1:9" ht="15" thickBot="1" x14ac:dyDescent="0.35">
      <c r="A33" s="52"/>
      <c r="B33" s="53"/>
      <c r="C33" s="54"/>
      <c r="E33" s="44" t="s">
        <v>84</v>
      </c>
      <c r="F33" s="63">
        <f>((I32/30)+(I33/80))*(1/15)*0.5</f>
        <v>0</v>
      </c>
      <c r="G33" s="53"/>
      <c r="H33" s="21" t="s">
        <v>88</v>
      </c>
      <c r="I33" s="23">
        <v>0</v>
      </c>
    </row>
    <row r="34" spans="1:9" x14ac:dyDescent="0.3">
      <c r="A34" s="52"/>
      <c r="B34" s="53"/>
      <c r="C34" s="54"/>
      <c r="E34" s="52"/>
      <c r="F34" s="53"/>
      <c r="G34" s="53"/>
      <c r="H34" s="53"/>
      <c r="I34" s="54"/>
    </row>
    <row r="35" spans="1:9" ht="15" thickBot="1" x14ac:dyDescent="0.35">
      <c r="A35" s="52"/>
      <c r="B35" s="53"/>
      <c r="C35" s="54"/>
      <c r="E35" s="55"/>
      <c r="F35" s="49"/>
      <c r="G35" s="49"/>
      <c r="H35" s="49"/>
      <c r="I35" s="56"/>
    </row>
    <row r="36" spans="1:9" x14ac:dyDescent="0.3">
      <c r="A36" s="52"/>
      <c r="B36" s="53"/>
      <c r="C36" s="54"/>
      <c r="E36" s="52"/>
      <c r="F36" s="53"/>
      <c r="G36" s="53"/>
      <c r="H36" s="53"/>
      <c r="I36" s="54"/>
    </row>
    <row r="37" spans="1:9" ht="15" thickBot="1" x14ac:dyDescent="0.35">
      <c r="A37" s="52"/>
      <c r="B37" s="53"/>
      <c r="C37" s="54"/>
      <c r="E37" s="52"/>
      <c r="F37" s="53"/>
      <c r="G37" s="53"/>
      <c r="H37" s="53"/>
      <c r="I37" s="54"/>
    </row>
    <row r="38" spans="1:9" ht="15" thickBot="1" x14ac:dyDescent="0.35">
      <c r="A38" s="52"/>
      <c r="B38" s="53"/>
      <c r="C38" s="54"/>
      <c r="E38" s="61" t="s">
        <v>86</v>
      </c>
      <c r="F38" s="62">
        <f>B5/100*40</f>
        <v>14</v>
      </c>
      <c r="G38" s="53"/>
      <c r="H38" s="53"/>
      <c r="I38" s="54"/>
    </row>
    <row r="39" spans="1:9" x14ac:dyDescent="0.3">
      <c r="A39" s="52"/>
      <c r="B39" s="53"/>
      <c r="C39" s="54"/>
      <c r="E39" s="52"/>
      <c r="F39" s="53"/>
      <c r="G39" s="53"/>
      <c r="H39" s="53"/>
      <c r="I39" s="54"/>
    </row>
    <row r="40" spans="1:9" x14ac:dyDescent="0.3">
      <c r="A40" s="52"/>
      <c r="B40" s="53"/>
      <c r="C40" s="54"/>
      <c r="E40" s="52"/>
      <c r="F40" s="53"/>
      <c r="G40" s="53"/>
      <c r="H40" s="53"/>
      <c r="I40" s="54"/>
    </row>
    <row r="41" spans="1:9" x14ac:dyDescent="0.3">
      <c r="A41" s="52"/>
      <c r="B41" s="53"/>
      <c r="C41" s="54"/>
      <c r="E41" s="52"/>
      <c r="F41" s="53"/>
      <c r="G41" s="53"/>
      <c r="H41" s="53"/>
      <c r="I41" s="54"/>
    </row>
    <row r="42" spans="1:9" ht="15" thickBot="1" x14ac:dyDescent="0.35">
      <c r="A42" s="55"/>
      <c r="B42" s="49"/>
      <c r="C42" s="56"/>
      <c r="E42" s="55"/>
      <c r="F42" s="49"/>
      <c r="G42" s="49"/>
      <c r="H42" s="49"/>
      <c r="I42" s="56"/>
    </row>
  </sheetData>
  <mergeCells count="2">
    <mergeCell ref="A1:B2"/>
    <mergeCell ref="E1:H2"/>
  </mergeCells>
  <conditionalFormatting sqref="B4">
    <cfRule type="colorScale" priority="1">
      <colorScale>
        <cfvo type="min"/>
        <cfvo type="num" val="55"/>
        <color theme="9"/>
        <color rgb="FFFF00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0CD2-D15F-4F23-8603-9B066A385719}">
  <dimension ref="A1:J42"/>
  <sheetViews>
    <sheetView workbookViewId="0">
      <selection activeCell="G5" sqref="G5"/>
    </sheetView>
  </sheetViews>
  <sheetFormatPr defaultColWidth="11.5546875" defaultRowHeight="14.4" x14ac:dyDescent="0.3"/>
  <cols>
    <col min="1" max="1" width="28.5546875" customWidth="1"/>
    <col min="2" max="2" width="19.44140625" customWidth="1"/>
    <col min="3" max="3" width="22.33203125" customWidth="1"/>
    <col min="4" max="4" width="1.6640625" customWidth="1"/>
    <col min="5" max="5" width="22.5546875" customWidth="1"/>
    <col min="6" max="6" width="22" customWidth="1"/>
    <col min="7" max="7" width="22.6640625" customWidth="1"/>
    <col min="8" max="8" width="22.88671875" customWidth="1"/>
    <col min="9" max="9" width="23" customWidth="1"/>
    <col min="10" max="10" width="19.33203125" customWidth="1"/>
  </cols>
  <sheetData>
    <row r="1" spans="1:10" x14ac:dyDescent="0.3">
      <c r="A1" s="167" t="s">
        <v>52</v>
      </c>
      <c r="B1" s="168"/>
      <c r="C1" s="50"/>
      <c r="D1" s="3"/>
      <c r="E1" s="138" t="s">
        <v>55</v>
      </c>
      <c r="F1" s="139"/>
      <c r="G1" s="139"/>
      <c r="H1" s="140"/>
      <c r="I1" s="57"/>
      <c r="J1" s="3"/>
    </row>
    <row r="2" spans="1:10" ht="15" thickBot="1" x14ac:dyDescent="0.35">
      <c r="A2" s="169"/>
      <c r="B2" s="170"/>
      <c r="C2" s="51"/>
      <c r="D2" s="3"/>
      <c r="E2" s="141"/>
      <c r="F2" s="142"/>
      <c r="G2" s="142"/>
      <c r="H2" s="143"/>
      <c r="I2" s="54"/>
      <c r="J2" s="3"/>
    </row>
    <row r="3" spans="1:10" x14ac:dyDescent="0.3">
      <c r="A3" s="64" t="s">
        <v>53</v>
      </c>
      <c r="B3" s="65" t="s">
        <v>93</v>
      </c>
      <c r="C3" s="54"/>
      <c r="E3" s="17" t="s">
        <v>14</v>
      </c>
      <c r="F3" s="16" t="s">
        <v>56</v>
      </c>
      <c r="G3" s="16" t="s">
        <v>57</v>
      </c>
      <c r="H3" s="18" t="s">
        <v>58</v>
      </c>
      <c r="I3" s="54"/>
    </row>
    <row r="4" spans="1:10" x14ac:dyDescent="0.3">
      <c r="A4" s="66" t="s">
        <v>54</v>
      </c>
      <c r="B4" s="67">
        <f>SUM(F12,F33,F38)</f>
        <v>13.379999999999999</v>
      </c>
      <c r="C4" s="54"/>
      <c r="E4" s="19" t="s">
        <v>24</v>
      </c>
      <c r="F4" s="15">
        <f>_xlfn.XLOOKUP('CI - Cyrianne Gagnon'!E4,'Liste des Cours et Subventions'!D27:D40,'Liste des Cours et Subventions'!G27:G40,"ND",0,1)</f>
        <v>4</v>
      </c>
      <c r="G4" s="15">
        <f>_xlfn.XLOOKUP(E4,'Liste des Cours et Subventions'!D27:D40,'Liste des Cours et Subventions'!E27:E40,"ND",0,1)</f>
        <v>1</v>
      </c>
      <c r="H4" s="20">
        <f>_xlfn.XLOOKUP(E4,'Liste des Cours et Subventions'!D27:D40,'Liste des Cours et Subventions'!F27:F40,"ND",0,1)</f>
        <v>30</v>
      </c>
      <c r="I4" s="54"/>
    </row>
    <row r="5" spans="1:10" x14ac:dyDescent="0.3">
      <c r="A5" s="66" t="s">
        <v>85</v>
      </c>
      <c r="B5" s="68">
        <v>0</v>
      </c>
      <c r="C5" s="54"/>
      <c r="E5" s="19" t="s">
        <v>44</v>
      </c>
      <c r="F5" s="15">
        <f>_xlfn.XLOOKUP('CI - Cyrianne Gagnon'!E5,'Liste des Cours et Subventions'!D28:D41,'Liste des Cours et Subventions'!G28:G41,"ND",0,1)</f>
        <v>4</v>
      </c>
      <c r="G5" s="15">
        <f>_xlfn.XLOOKUP(E5,'Liste des Cours et Subventions'!D28:D41,'Liste des Cours et Subventions'!E28:E41,"ND",0,1)</f>
        <v>1</v>
      </c>
      <c r="H5" s="20">
        <f>_xlfn.XLOOKUP(E5,'Liste des Cours et Subventions'!D28:D41,'Liste des Cours et Subventions'!F28:F41,"ND",0,1)</f>
        <v>24</v>
      </c>
      <c r="I5" s="54"/>
    </row>
    <row r="6" spans="1:10" x14ac:dyDescent="0.3">
      <c r="A6" s="52"/>
      <c r="B6" s="53"/>
      <c r="C6" s="54"/>
      <c r="E6" s="19"/>
      <c r="F6" s="15">
        <f>_xlfn.XLOOKUP('CI - Cyrianne Gagnon'!E6,'Liste des Cours et Subventions'!D29:D42,'Liste des Cours et Subventions'!G29:G42,"ND",0,1)</f>
        <v>0</v>
      </c>
      <c r="G6" s="15">
        <f>_xlfn.XLOOKUP(E6,'Liste des Cours et Subventions'!D29:D42,'Liste des Cours et Subventions'!E29:E42,"ND",0,1)</f>
        <v>0</v>
      </c>
      <c r="H6" s="20">
        <f>_xlfn.XLOOKUP(E6,'Liste des Cours et Subventions'!D29:D42,'Liste des Cours et Subventions'!F29:F42,"ND",0,1)</f>
        <v>0</v>
      </c>
      <c r="I6" s="54"/>
    </row>
    <row r="7" spans="1:10" x14ac:dyDescent="0.3">
      <c r="A7" s="52"/>
      <c r="B7" s="53"/>
      <c r="C7" s="54"/>
      <c r="E7" s="19"/>
      <c r="F7" s="15">
        <f>_xlfn.XLOOKUP('CI - Cyrianne Gagnon'!E7,'Liste des Cours et Subventions'!D30:D43,'Liste des Cours et Subventions'!G30:G43,"ND",0,1)</f>
        <v>0</v>
      </c>
      <c r="G7" s="15">
        <f>_xlfn.XLOOKUP(E7,'Liste des Cours et Subventions'!D30:D43,'Liste des Cours et Subventions'!E30:E43,"ND",0,1)</f>
        <v>0</v>
      </c>
      <c r="H7" s="20">
        <f>_xlfn.XLOOKUP(E7,'Liste des Cours et Subventions'!D30:D43,'Liste des Cours et Subventions'!F30:F43,"ND",0,1)</f>
        <v>0</v>
      </c>
      <c r="I7" s="54"/>
    </row>
    <row r="8" spans="1:10" ht="15" thickBot="1" x14ac:dyDescent="0.35">
      <c r="A8" s="52"/>
      <c r="B8" s="53"/>
      <c r="C8" s="54"/>
      <c r="E8" s="21"/>
      <c r="F8" s="15">
        <f>_xlfn.XLOOKUP('CI - Cyrianne Gagnon'!E8,'Liste des Cours et Subventions'!D31:D44,'Liste des Cours et Subventions'!G31:G44,"ND",0,1)</f>
        <v>0</v>
      </c>
      <c r="G8" s="15">
        <f>_xlfn.XLOOKUP(E8,'Liste des Cours et Subventions'!D31:D44,'Liste des Cours et Subventions'!E31:E44,"ND",0,1)</f>
        <v>0</v>
      </c>
      <c r="H8" s="20">
        <f>_xlfn.XLOOKUP(E8,'Liste des Cours et Subventions'!D31:D44,'Liste des Cours et Subventions'!F31:F44,"ND",0,1)</f>
        <v>0</v>
      </c>
      <c r="I8" s="54"/>
    </row>
    <row r="9" spans="1:10" x14ac:dyDescent="0.3">
      <c r="A9" s="52"/>
      <c r="B9" s="53"/>
      <c r="C9" s="54"/>
      <c r="E9" s="52"/>
      <c r="F9" s="53"/>
      <c r="G9" s="53"/>
      <c r="H9" s="53"/>
      <c r="I9" s="54"/>
    </row>
    <row r="10" spans="1:10" ht="15" thickBot="1" x14ac:dyDescent="0.35">
      <c r="A10" s="52"/>
      <c r="B10" s="53"/>
      <c r="C10" s="54"/>
      <c r="E10" s="55"/>
      <c r="F10" s="49"/>
      <c r="G10" s="49"/>
      <c r="H10" s="49"/>
      <c r="I10" s="56"/>
    </row>
    <row r="11" spans="1:10" ht="15" thickBot="1" x14ac:dyDescent="0.35">
      <c r="A11" s="52"/>
      <c r="B11" s="53"/>
      <c r="C11" s="54"/>
      <c r="E11" s="52"/>
      <c r="F11" s="53"/>
      <c r="G11" s="53"/>
      <c r="H11" s="53"/>
      <c r="I11" s="54"/>
    </row>
    <row r="12" spans="1:10" ht="15" thickBot="1" x14ac:dyDescent="0.35">
      <c r="A12" s="52"/>
      <c r="B12" s="53"/>
      <c r="C12" s="54"/>
      <c r="E12" s="44" t="s">
        <v>59</v>
      </c>
      <c r="F12" s="43">
        <f>F14+(I14*1.2)+F21+I21</f>
        <v>13.379999999999999</v>
      </c>
      <c r="G12" s="58"/>
      <c r="H12" s="58"/>
      <c r="I12" s="59"/>
    </row>
    <row r="13" spans="1:10" ht="15" thickBot="1" x14ac:dyDescent="0.35">
      <c r="A13" s="52"/>
      <c r="B13" s="53"/>
      <c r="C13" s="54"/>
      <c r="E13" s="60"/>
      <c r="F13" s="58"/>
      <c r="G13" s="58"/>
      <c r="H13" s="58"/>
      <c r="I13" s="59"/>
    </row>
    <row r="14" spans="1:10" ht="15" thickBot="1" x14ac:dyDescent="0.35">
      <c r="A14" s="52"/>
      <c r="B14" s="53"/>
      <c r="C14" s="54"/>
      <c r="E14" s="31" t="s">
        <v>60</v>
      </c>
      <c r="F14" s="32">
        <f>PRODUCT(F16,F17)</f>
        <v>1.8</v>
      </c>
      <c r="G14" s="58"/>
      <c r="H14" s="30" t="s">
        <v>64</v>
      </c>
      <c r="I14" s="32">
        <f>SUM(I15:I19)</f>
        <v>5</v>
      </c>
    </row>
    <row r="15" spans="1:10" x14ac:dyDescent="0.3">
      <c r="A15" s="52"/>
      <c r="B15" s="53"/>
      <c r="C15" s="54"/>
      <c r="E15" s="33" t="s">
        <v>61</v>
      </c>
      <c r="F15" s="34">
        <f>COUNT(F4:F5)</f>
        <v>2</v>
      </c>
      <c r="G15" s="58"/>
      <c r="H15" s="33" t="s">
        <v>65</v>
      </c>
      <c r="I15" s="34">
        <f>G4*G4</f>
        <v>1</v>
      </c>
    </row>
    <row r="16" spans="1:10" x14ac:dyDescent="0.3">
      <c r="A16" s="52"/>
      <c r="B16" s="53"/>
      <c r="C16" s="54"/>
      <c r="E16" s="35" t="s">
        <v>62</v>
      </c>
      <c r="F16" s="36" cm="1">
        <f t="array" ref="F16">_xlfn.IFS(F15&lt;=2,0.9,F15=3,1.1,F15&gt;=4,1.75)</f>
        <v>0.9</v>
      </c>
      <c r="G16" s="58"/>
      <c r="H16" s="35" t="s">
        <v>66</v>
      </c>
      <c r="I16" s="36">
        <f>F5*G5</f>
        <v>4</v>
      </c>
    </row>
    <row r="17" spans="1:9" ht="15" thickBot="1" x14ac:dyDescent="0.35">
      <c r="A17" s="52"/>
      <c r="B17" s="53"/>
      <c r="C17" s="54"/>
      <c r="E17" s="37" t="s">
        <v>63</v>
      </c>
      <c r="F17" s="38">
        <f>SUM(G4:G9)</f>
        <v>2</v>
      </c>
      <c r="G17" s="58"/>
      <c r="H17" s="35" t="s">
        <v>67</v>
      </c>
      <c r="I17" s="36">
        <f>F6*G6</f>
        <v>0</v>
      </c>
    </row>
    <row r="18" spans="1:9" x14ac:dyDescent="0.3">
      <c r="A18" s="52"/>
      <c r="B18" s="53"/>
      <c r="C18" s="54"/>
      <c r="E18" s="60"/>
      <c r="F18" s="58"/>
      <c r="G18" s="58"/>
      <c r="H18" s="35" t="s">
        <v>68</v>
      </c>
      <c r="I18" s="36">
        <f>F7*G7</f>
        <v>0</v>
      </c>
    </row>
    <row r="19" spans="1:9" ht="15" thickBot="1" x14ac:dyDescent="0.35">
      <c r="A19" s="52"/>
      <c r="B19" s="53"/>
      <c r="C19" s="54"/>
      <c r="E19" s="60"/>
      <c r="F19" s="58"/>
      <c r="G19" s="58"/>
      <c r="H19" s="37" t="s">
        <v>69</v>
      </c>
      <c r="I19" s="38">
        <f>F8*G8</f>
        <v>0</v>
      </c>
    </row>
    <row r="20" spans="1:9" ht="15" thickBot="1" x14ac:dyDescent="0.35">
      <c r="A20" s="52"/>
      <c r="B20" s="53"/>
      <c r="C20" s="54"/>
      <c r="E20" s="60"/>
      <c r="F20" s="58"/>
      <c r="G20" s="58"/>
      <c r="H20" s="58"/>
      <c r="I20" s="59"/>
    </row>
    <row r="21" spans="1:9" ht="15" thickBot="1" x14ac:dyDescent="0.35">
      <c r="A21" s="52"/>
      <c r="B21" s="53"/>
      <c r="C21" s="54"/>
      <c r="E21" s="30" t="s">
        <v>70</v>
      </c>
      <c r="F21" s="28">
        <f>IF(F27&lt;415,F27*0.04,F27*0.04+(F27-415)*0.07)</f>
        <v>5.04</v>
      </c>
      <c r="G21" s="58"/>
      <c r="H21" s="39" t="s">
        <v>77</v>
      </c>
      <c r="I21" s="40" cm="1">
        <f t="array" ref="I21">_xlfn.IFS(I27&gt;=ET75*(I27&lt;160),I27*0.01,I27&gt;=160,I27*0.01+((I27-160)*(I27-160))*0.01,I27&lt;75,0)</f>
        <v>0.54</v>
      </c>
    </row>
    <row r="22" spans="1:9" x14ac:dyDescent="0.3">
      <c r="A22" s="52"/>
      <c r="B22" s="53"/>
      <c r="C22" s="54"/>
      <c r="E22" s="41" t="s">
        <v>71</v>
      </c>
      <c r="F22" s="42">
        <f>G4*(G4*H4)</f>
        <v>30</v>
      </c>
      <c r="G22" s="58"/>
      <c r="H22" s="35" t="s">
        <v>78</v>
      </c>
      <c r="I22" s="36">
        <f>G4*H4</f>
        <v>30</v>
      </c>
    </row>
    <row r="23" spans="1:9" x14ac:dyDescent="0.3">
      <c r="A23" s="52"/>
      <c r="B23" s="53"/>
      <c r="C23" s="54"/>
      <c r="E23" s="35" t="s">
        <v>72</v>
      </c>
      <c r="F23" s="36">
        <f>F5*(G5*H5)</f>
        <v>96</v>
      </c>
      <c r="G23" s="58"/>
      <c r="H23" s="35" t="s">
        <v>79</v>
      </c>
      <c r="I23" s="36">
        <f>G5*H5</f>
        <v>24</v>
      </c>
    </row>
    <row r="24" spans="1:9" x14ac:dyDescent="0.3">
      <c r="A24" s="52"/>
      <c r="B24" s="53"/>
      <c r="C24" s="54"/>
      <c r="E24" s="35" t="s">
        <v>73</v>
      </c>
      <c r="F24" s="36">
        <f>F6*(G6*H6)</f>
        <v>0</v>
      </c>
      <c r="G24" s="58"/>
      <c r="H24" s="35" t="s">
        <v>80</v>
      </c>
      <c r="I24" s="36">
        <f>G6*H6</f>
        <v>0</v>
      </c>
    </row>
    <row r="25" spans="1:9" x14ac:dyDescent="0.3">
      <c r="A25" s="52"/>
      <c r="B25" s="53"/>
      <c r="C25" s="54"/>
      <c r="E25" s="35" t="s">
        <v>74</v>
      </c>
      <c r="F25" s="36">
        <f>F7*(G7*H7)</f>
        <v>0</v>
      </c>
      <c r="G25" s="58"/>
      <c r="H25" s="35" t="s">
        <v>81</v>
      </c>
      <c r="I25" s="36">
        <f>G7*H7</f>
        <v>0</v>
      </c>
    </row>
    <row r="26" spans="1:9" ht="15" thickBot="1" x14ac:dyDescent="0.35">
      <c r="A26" s="52"/>
      <c r="B26" s="53"/>
      <c r="C26" s="54"/>
      <c r="E26" s="45" t="s">
        <v>75</v>
      </c>
      <c r="F26" s="46">
        <f>F8*(G8*H8)</f>
        <v>0</v>
      </c>
      <c r="G26" s="58"/>
      <c r="H26" s="45" t="s">
        <v>82</v>
      </c>
      <c r="I26" s="46">
        <f>G8*H8</f>
        <v>0</v>
      </c>
    </row>
    <row r="27" spans="1:9" ht="15" thickBot="1" x14ac:dyDescent="0.35">
      <c r="A27" s="52"/>
      <c r="B27" s="53"/>
      <c r="C27" s="54"/>
      <c r="E27" s="47" t="s">
        <v>76</v>
      </c>
      <c r="F27" s="48">
        <f>SUM(F22:F26)</f>
        <v>126</v>
      </c>
      <c r="G27" s="58"/>
      <c r="H27" s="47" t="s">
        <v>83</v>
      </c>
      <c r="I27" s="48">
        <f>SUM(I22:I26)</f>
        <v>54</v>
      </c>
    </row>
    <row r="28" spans="1:9" x14ac:dyDescent="0.3">
      <c r="A28" s="52"/>
      <c r="B28" s="53"/>
      <c r="C28" s="54"/>
      <c r="E28" s="52"/>
      <c r="F28" s="53"/>
      <c r="G28" s="53"/>
      <c r="H28" s="53"/>
      <c r="I28" s="54"/>
    </row>
    <row r="29" spans="1:9" x14ac:dyDescent="0.3">
      <c r="A29" s="52"/>
      <c r="B29" s="53"/>
      <c r="C29" s="54"/>
      <c r="E29" s="52"/>
      <c r="F29" s="53"/>
      <c r="G29" s="53"/>
      <c r="H29" s="53"/>
      <c r="I29" s="54"/>
    </row>
    <row r="30" spans="1:9" ht="15" thickBot="1" x14ac:dyDescent="0.35">
      <c r="A30" s="52"/>
      <c r="B30" s="53"/>
      <c r="C30" s="54"/>
      <c r="E30" s="55"/>
      <c r="F30" s="49"/>
      <c r="G30" s="49"/>
      <c r="H30" s="49"/>
      <c r="I30" s="56"/>
    </row>
    <row r="31" spans="1:9" ht="15" thickBot="1" x14ac:dyDescent="0.35">
      <c r="A31" s="52"/>
      <c r="B31" s="53"/>
      <c r="C31" s="54"/>
      <c r="E31" s="52"/>
      <c r="F31" s="53"/>
      <c r="G31" s="53"/>
      <c r="H31" s="53"/>
      <c r="I31" s="54"/>
    </row>
    <row r="32" spans="1:9" ht="15" thickBot="1" x14ac:dyDescent="0.35">
      <c r="A32" s="52"/>
      <c r="B32" s="53"/>
      <c r="C32" s="54"/>
      <c r="E32" s="52"/>
      <c r="F32" s="53"/>
      <c r="G32" s="53"/>
      <c r="H32" s="26" t="s">
        <v>87</v>
      </c>
      <c r="I32" s="27">
        <v>0</v>
      </c>
    </row>
    <row r="33" spans="1:9" ht="15" thickBot="1" x14ac:dyDescent="0.35">
      <c r="A33" s="52"/>
      <c r="B33" s="53"/>
      <c r="C33" s="54"/>
      <c r="E33" s="44" t="s">
        <v>84</v>
      </c>
      <c r="F33" s="63">
        <f>((I32/30)+(I33/80))*(1/15)*0.5</f>
        <v>0</v>
      </c>
      <c r="G33" s="53"/>
      <c r="H33" s="21" t="s">
        <v>88</v>
      </c>
      <c r="I33" s="23">
        <v>0</v>
      </c>
    </row>
    <row r="34" spans="1:9" x14ac:dyDescent="0.3">
      <c r="A34" s="52"/>
      <c r="B34" s="53"/>
      <c r="C34" s="54"/>
      <c r="E34" s="52"/>
      <c r="F34" s="53"/>
      <c r="G34" s="53"/>
      <c r="H34" s="53"/>
      <c r="I34" s="54"/>
    </row>
    <row r="35" spans="1:9" ht="15" thickBot="1" x14ac:dyDescent="0.35">
      <c r="A35" s="52"/>
      <c r="B35" s="53"/>
      <c r="C35" s="54"/>
      <c r="E35" s="55"/>
      <c r="F35" s="49"/>
      <c r="G35" s="49"/>
      <c r="H35" s="49"/>
      <c r="I35" s="56"/>
    </row>
    <row r="36" spans="1:9" x14ac:dyDescent="0.3">
      <c r="A36" s="52"/>
      <c r="B36" s="53"/>
      <c r="C36" s="54"/>
      <c r="E36" s="52"/>
      <c r="F36" s="53"/>
      <c r="G36" s="53"/>
      <c r="H36" s="53"/>
      <c r="I36" s="54"/>
    </row>
    <row r="37" spans="1:9" ht="15" thickBot="1" x14ac:dyDescent="0.35">
      <c r="A37" s="52"/>
      <c r="B37" s="53"/>
      <c r="C37" s="54"/>
      <c r="E37" s="52"/>
      <c r="F37" s="53"/>
      <c r="G37" s="53"/>
      <c r="H37" s="53"/>
      <c r="I37" s="54"/>
    </row>
    <row r="38" spans="1:9" ht="15" thickBot="1" x14ac:dyDescent="0.35">
      <c r="A38" s="52"/>
      <c r="B38" s="53"/>
      <c r="C38" s="54"/>
      <c r="E38" s="61" t="s">
        <v>86</v>
      </c>
      <c r="F38" s="62">
        <f>B5/100*40</f>
        <v>0</v>
      </c>
      <c r="G38" s="53"/>
      <c r="H38" s="53"/>
      <c r="I38" s="54"/>
    </row>
    <row r="39" spans="1:9" x14ac:dyDescent="0.3">
      <c r="A39" s="52"/>
      <c r="B39" s="53"/>
      <c r="C39" s="54"/>
      <c r="E39" s="52"/>
      <c r="F39" s="53"/>
      <c r="G39" s="53"/>
      <c r="H39" s="53"/>
      <c r="I39" s="54"/>
    </row>
    <row r="40" spans="1:9" x14ac:dyDescent="0.3">
      <c r="A40" s="52"/>
      <c r="B40" s="53"/>
      <c r="C40" s="54"/>
      <c r="E40" s="52"/>
      <c r="F40" s="53"/>
      <c r="G40" s="53"/>
      <c r="H40" s="53"/>
      <c r="I40" s="54"/>
    </row>
    <row r="41" spans="1:9" x14ac:dyDescent="0.3">
      <c r="A41" s="52"/>
      <c r="B41" s="53"/>
      <c r="C41" s="54"/>
      <c r="E41" s="52"/>
      <c r="F41" s="53"/>
      <c r="G41" s="53"/>
      <c r="H41" s="53"/>
      <c r="I41" s="54"/>
    </row>
    <row r="42" spans="1:9" ht="15" thickBot="1" x14ac:dyDescent="0.35">
      <c r="A42" s="55"/>
      <c r="B42" s="49"/>
      <c r="C42" s="56"/>
      <c r="E42" s="55"/>
      <c r="F42" s="49"/>
      <c r="G42" s="49"/>
      <c r="H42" s="49"/>
      <c r="I42" s="56"/>
    </row>
  </sheetData>
  <mergeCells count="2">
    <mergeCell ref="A1:B2"/>
    <mergeCell ref="E1:H2"/>
  </mergeCells>
  <conditionalFormatting sqref="B4">
    <cfRule type="colorScale" priority="1">
      <colorScale>
        <cfvo type="min"/>
        <cfvo type="num" val="55"/>
        <color theme="9"/>
        <color rgb="FFFF0000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CB2A-B89D-4E18-A7E4-A9BCBE9A0FAB}">
  <dimension ref="A1:J42"/>
  <sheetViews>
    <sheetView workbookViewId="0">
      <selection activeCell="C14" sqref="C14"/>
    </sheetView>
  </sheetViews>
  <sheetFormatPr defaultColWidth="11.5546875" defaultRowHeight="14.4" x14ac:dyDescent="0.3"/>
  <cols>
    <col min="1" max="1" width="28.5546875" customWidth="1"/>
    <col min="2" max="2" width="19.44140625" customWidth="1"/>
    <col min="3" max="3" width="22.33203125" customWidth="1"/>
    <col min="4" max="4" width="1.6640625" customWidth="1"/>
    <col min="5" max="5" width="22.5546875" customWidth="1"/>
    <col min="6" max="6" width="22" customWidth="1"/>
    <col min="7" max="7" width="22.6640625" customWidth="1"/>
    <col min="8" max="8" width="22.88671875" customWidth="1"/>
    <col min="9" max="9" width="23" customWidth="1"/>
    <col min="10" max="10" width="19.33203125" customWidth="1"/>
  </cols>
  <sheetData>
    <row r="1" spans="1:10" x14ac:dyDescent="0.3">
      <c r="A1" s="167" t="s">
        <v>52</v>
      </c>
      <c r="B1" s="168"/>
      <c r="C1" s="50"/>
      <c r="D1" s="3"/>
      <c r="E1" s="138" t="s">
        <v>55</v>
      </c>
      <c r="F1" s="139"/>
      <c r="G1" s="139"/>
      <c r="H1" s="140"/>
      <c r="I1" s="57"/>
      <c r="J1" s="3"/>
    </row>
    <row r="2" spans="1:10" ht="15" thickBot="1" x14ac:dyDescent="0.35">
      <c r="A2" s="169"/>
      <c r="B2" s="170"/>
      <c r="C2" s="51"/>
      <c r="D2" s="3"/>
      <c r="E2" s="141"/>
      <c r="F2" s="142"/>
      <c r="G2" s="142"/>
      <c r="H2" s="143"/>
      <c r="I2" s="54"/>
      <c r="J2" s="3"/>
    </row>
    <row r="3" spans="1:10" x14ac:dyDescent="0.3">
      <c r="A3" s="64" t="s">
        <v>53</v>
      </c>
      <c r="B3" s="65" t="s">
        <v>94</v>
      </c>
      <c r="C3" s="54"/>
      <c r="E3" s="17" t="s">
        <v>14</v>
      </c>
      <c r="F3" s="16" t="s">
        <v>56</v>
      </c>
      <c r="G3" s="16" t="s">
        <v>57</v>
      </c>
      <c r="H3" s="18" t="s">
        <v>58</v>
      </c>
      <c r="I3" s="54"/>
    </row>
    <row r="4" spans="1:10" x14ac:dyDescent="0.3">
      <c r="A4" s="66" t="s">
        <v>54</v>
      </c>
      <c r="B4" s="67">
        <f>SUM(F12,F33,F38)</f>
        <v>9.66</v>
      </c>
      <c r="C4" s="54"/>
      <c r="E4" s="19" t="s">
        <v>25</v>
      </c>
      <c r="F4" s="15">
        <f>_xlfn.XLOOKUP('CI - Joelle Chevrier'!E4,'Liste des Cours et Subventions'!D27:D40,'Liste des Cours et Subventions'!G27:G40,"ND",0,1)</f>
        <v>6</v>
      </c>
      <c r="G4" s="15">
        <f>_xlfn.XLOOKUP(E4,'Liste des Cours et Subventions'!D27:D40,'Liste des Cours et Subventions'!E27:E40,"ND",0,1)</f>
        <v>2</v>
      </c>
      <c r="H4" s="20">
        <f>_xlfn.XLOOKUP(E4,'Liste des Cours et Subventions'!D27:D40,'Liste des Cours et Subventions'!F27:F40,"ND",0,1)</f>
        <v>17</v>
      </c>
      <c r="I4" s="54"/>
    </row>
    <row r="5" spans="1:10" x14ac:dyDescent="0.3">
      <c r="A5" s="66" t="s">
        <v>85</v>
      </c>
      <c r="B5" s="68">
        <v>0</v>
      </c>
      <c r="C5" s="54"/>
      <c r="E5" s="19"/>
      <c r="F5" s="15">
        <f>_xlfn.XLOOKUP('CI - Joelle Chevrier'!E5,'Liste des Cours et Subventions'!D28:D41,'Liste des Cours et Subventions'!G28:G41,"ND",0,1)</f>
        <v>0</v>
      </c>
      <c r="G5" s="15">
        <f>_xlfn.XLOOKUP(E5,'Liste des Cours et Subventions'!D28:D41,'Liste des Cours et Subventions'!E28:E41,"ND",0,1)</f>
        <v>0</v>
      </c>
      <c r="H5" s="20">
        <f>_xlfn.XLOOKUP(E5,'Liste des Cours et Subventions'!D28:D41,'Liste des Cours et Subventions'!F28:F41,"ND",0,1)</f>
        <v>0</v>
      </c>
      <c r="I5" s="54"/>
    </row>
    <row r="6" spans="1:10" x14ac:dyDescent="0.3">
      <c r="A6" s="52"/>
      <c r="B6" s="53"/>
      <c r="C6" s="54"/>
      <c r="E6" s="19"/>
      <c r="F6" s="15">
        <f>_xlfn.XLOOKUP('CI - Joelle Chevrier'!E6,'Liste des Cours et Subventions'!D29:D42,'Liste des Cours et Subventions'!G29:G42,"ND",0,1)</f>
        <v>0</v>
      </c>
      <c r="G6" s="15">
        <f>_xlfn.XLOOKUP(E6,'Liste des Cours et Subventions'!D29:D42,'Liste des Cours et Subventions'!E29:E42,"ND",0,1)</f>
        <v>0</v>
      </c>
      <c r="H6" s="20">
        <f>_xlfn.XLOOKUP(E6,'Liste des Cours et Subventions'!D29:D42,'Liste des Cours et Subventions'!F29:F42,"ND",0,1)</f>
        <v>0</v>
      </c>
      <c r="I6" s="54"/>
    </row>
    <row r="7" spans="1:10" x14ac:dyDescent="0.3">
      <c r="A7" s="52"/>
      <c r="B7" s="53"/>
      <c r="C7" s="54"/>
      <c r="E7" s="19"/>
      <c r="F7" s="15">
        <f>_xlfn.XLOOKUP('CI - Joelle Chevrier'!E7,'Liste des Cours et Subventions'!D30:D43,'Liste des Cours et Subventions'!G30:G43,"ND",0,1)</f>
        <v>0</v>
      </c>
      <c r="G7" s="15">
        <f>_xlfn.XLOOKUP(E7,'Liste des Cours et Subventions'!D30:D43,'Liste des Cours et Subventions'!E30:E43,"ND",0,1)</f>
        <v>0</v>
      </c>
      <c r="H7" s="20">
        <f>_xlfn.XLOOKUP(E7,'Liste des Cours et Subventions'!D30:D43,'Liste des Cours et Subventions'!F30:F43,"ND",0,1)</f>
        <v>0</v>
      </c>
      <c r="I7" s="54"/>
    </row>
    <row r="8" spans="1:10" ht="15" thickBot="1" x14ac:dyDescent="0.35">
      <c r="A8" s="52"/>
      <c r="B8" s="53"/>
      <c r="C8" s="54"/>
      <c r="E8" s="21"/>
      <c r="F8" s="15">
        <f>_xlfn.XLOOKUP('CI - Joelle Chevrier'!E8,'Liste des Cours et Subventions'!D31:D44,'Liste des Cours et Subventions'!G31:G44,"ND",0,1)</f>
        <v>0</v>
      </c>
      <c r="G8" s="15">
        <f>_xlfn.XLOOKUP(E8,'Liste des Cours et Subventions'!D31:D44,'Liste des Cours et Subventions'!E31:E44,"ND",0,1)</f>
        <v>0</v>
      </c>
      <c r="H8" s="20">
        <f>_xlfn.XLOOKUP(E8,'Liste des Cours et Subventions'!D31:D44,'Liste des Cours et Subventions'!F31:F44,"ND",0,1)</f>
        <v>0</v>
      </c>
      <c r="I8" s="54"/>
    </row>
    <row r="9" spans="1:10" x14ac:dyDescent="0.3">
      <c r="A9" s="52"/>
      <c r="B9" s="53"/>
      <c r="C9" s="54"/>
      <c r="E9" s="52"/>
      <c r="F9" s="53"/>
      <c r="G9" s="53"/>
      <c r="H9" s="53"/>
      <c r="I9" s="54"/>
    </row>
    <row r="10" spans="1:10" ht="15" thickBot="1" x14ac:dyDescent="0.35">
      <c r="A10" s="52"/>
      <c r="B10" s="53"/>
      <c r="C10" s="54"/>
      <c r="E10" s="55"/>
      <c r="F10" s="49"/>
      <c r="G10" s="49"/>
      <c r="H10" s="49"/>
      <c r="I10" s="56"/>
    </row>
    <row r="11" spans="1:10" ht="15" thickBot="1" x14ac:dyDescent="0.35">
      <c r="A11" s="52"/>
      <c r="B11" s="53"/>
      <c r="C11" s="54"/>
      <c r="E11" s="52"/>
      <c r="F11" s="53"/>
      <c r="G11" s="53"/>
      <c r="H11" s="53"/>
      <c r="I11" s="54"/>
    </row>
    <row r="12" spans="1:10" ht="15" thickBot="1" x14ac:dyDescent="0.35">
      <c r="A12" s="52"/>
      <c r="B12" s="53"/>
      <c r="C12" s="54"/>
      <c r="E12" s="44" t="s">
        <v>59</v>
      </c>
      <c r="F12" s="43">
        <f>F14+(I14*1.2)+F21+I21</f>
        <v>9.66</v>
      </c>
      <c r="G12" s="58"/>
      <c r="H12" s="58"/>
      <c r="I12" s="59"/>
    </row>
    <row r="13" spans="1:10" ht="15" thickBot="1" x14ac:dyDescent="0.35">
      <c r="A13" s="52"/>
      <c r="B13" s="53"/>
      <c r="C13" s="54"/>
      <c r="E13" s="60"/>
      <c r="F13" s="58"/>
      <c r="G13" s="58"/>
      <c r="H13" s="58"/>
      <c r="I13" s="59"/>
    </row>
    <row r="14" spans="1:10" ht="15" thickBot="1" x14ac:dyDescent="0.35">
      <c r="A14" s="52"/>
      <c r="B14" s="53"/>
      <c r="C14" s="54"/>
      <c r="E14" s="31" t="s">
        <v>60</v>
      </c>
      <c r="F14" s="32">
        <f>PRODUCT(F16,F17)</f>
        <v>1.8</v>
      </c>
      <c r="G14" s="58"/>
      <c r="H14" s="30" t="s">
        <v>64</v>
      </c>
      <c r="I14" s="32">
        <f>SUM(I15:I19)</f>
        <v>4</v>
      </c>
    </row>
    <row r="15" spans="1:10" x14ac:dyDescent="0.3">
      <c r="A15" s="52"/>
      <c r="B15" s="53"/>
      <c r="C15" s="54"/>
      <c r="E15" s="33" t="s">
        <v>61</v>
      </c>
      <c r="F15" s="34">
        <f>COUNT(F4:F5)</f>
        <v>2</v>
      </c>
      <c r="G15" s="58"/>
      <c r="H15" s="33" t="s">
        <v>65</v>
      </c>
      <c r="I15" s="34">
        <f>G4*G4</f>
        <v>4</v>
      </c>
    </row>
    <row r="16" spans="1:10" x14ac:dyDescent="0.3">
      <c r="A16" s="52"/>
      <c r="B16" s="53"/>
      <c r="C16" s="54"/>
      <c r="E16" s="35" t="s">
        <v>62</v>
      </c>
      <c r="F16" s="36" cm="1">
        <f t="array" ref="F16">_xlfn.IFS(F15&lt;=2,0.9,F15=3,1.1,F15&gt;=4,1.75)</f>
        <v>0.9</v>
      </c>
      <c r="G16" s="58"/>
      <c r="H16" s="35" t="s">
        <v>66</v>
      </c>
      <c r="I16" s="36">
        <f>F5*G5</f>
        <v>0</v>
      </c>
    </row>
    <row r="17" spans="1:9" ht="15" thickBot="1" x14ac:dyDescent="0.35">
      <c r="A17" s="52"/>
      <c r="B17" s="53"/>
      <c r="C17" s="54"/>
      <c r="E17" s="37" t="s">
        <v>63</v>
      </c>
      <c r="F17" s="38">
        <f>SUM(G4:G9)</f>
        <v>2</v>
      </c>
      <c r="G17" s="58"/>
      <c r="H17" s="35" t="s">
        <v>67</v>
      </c>
      <c r="I17" s="36">
        <f>F6*G6</f>
        <v>0</v>
      </c>
    </row>
    <row r="18" spans="1:9" x14ac:dyDescent="0.3">
      <c r="A18" s="52"/>
      <c r="B18" s="53"/>
      <c r="C18" s="54"/>
      <c r="E18" s="60"/>
      <c r="F18" s="58"/>
      <c r="G18" s="58"/>
      <c r="H18" s="35" t="s">
        <v>68</v>
      </c>
      <c r="I18" s="36">
        <f>F7*G7</f>
        <v>0</v>
      </c>
    </row>
    <row r="19" spans="1:9" ht="15" thickBot="1" x14ac:dyDescent="0.35">
      <c r="A19" s="52"/>
      <c r="B19" s="53"/>
      <c r="C19" s="54"/>
      <c r="E19" s="60"/>
      <c r="F19" s="58"/>
      <c r="G19" s="58"/>
      <c r="H19" s="37" t="s">
        <v>69</v>
      </c>
      <c r="I19" s="38">
        <f>F8*G8</f>
        <v>0</v>
      </c>
    </row>
    <row r="20" spans="1:9" ht="15" thickBot="1" x14ac:dyDescent="0.35">
      <c r="A20" s="52"/>
      <c r="B20" s="53"/>
      <c r="C20" s="54"/>
      <c r="E20" s="60"/>
      <c r="F20" s="58"/>
      <c r="G20" s="58"/>
      <c r="H20" s="58"/>
      <c r="I20" s="59"/>
    </row>
    <row r="21" spans="1:9" ht="15" thickBot="1" x14ac:dyDescent="0.35">
      <c r="A21" s="52"/>
      <c r="B21" s="53"/>
      <c r="C21" s="54"/>
      <c r="E21" s="30" t="s">
        <v>70</v>
      </c>
      <c r="F21" s="28">
        <f>IF(F27&lt;415,F27*0.04,F27*0.04+(F27-415)*0.07)</f>
        <v>2.72</v>
      </c>
      <c r="G21" s="58"/>
      <c r="H21" s="39" t="s">
        <v>77</v>
      </c>
      <c r="I21" s="40" cm="1">
        <f t="array" ref="I21">_xlfn.IFS(I27&gt;=ET75*(I27&lt;160),I27*0.01,I27&gt;=160,I27*0.01+((I27-160)*(I27-160))*0.01,I27&lt;75,0)</f>
        <v>0.34</v>
      </c>
    </row>
    <row r="22" spans="1:9" x14ac:dyDescent="0.3">
      <c r="A22" s="52"/>
      <c r="B22" s="53"/>
      <c r="C22" s="54"/>
      <c r="E22" s="41" t="s">
        <v>71</v>
      </c>
      <c r="F22" s="42">
        <f>G4*(G4*H4)</f>
        <v>68</v>
      </c>
      <c r="G22" s="58"/>
      <c r="H22" s="35" t="s">
        <v>78</v>
      </c>
      <c r="I22" s="36">
        <f>G4*H4</f>
        <v>34</v>
      </c>
    </row>
    <row r="23" spans="1:9" x14ac:dyDescent="0.3">
      <c r="A23" s="52"/>
      <c r="B23" s="53"/>
      <c r="C23" s="54"/>
      <c r="E23" s="35" t="s">
        <v>72</v>
      </c>
      <c r="F23" s="36">
        <f>F5*(G5*H5)</f>
        <v>0</v>
      </c>
      <c r="G23" s="58"/>
      <c r="H23" s="35" t="s">
        <v>79</v>
      </c>
      <c r="I23" s="36">
        <f>G5*H5</f>
        <v>0</v>
      </c>
    </row>
    <row r="24" spans="1:9" x14ac:dyDescent="0.3">
      <c r="A24" s="52"/>
      <c r="B24" s="53"/>
      <c r="C24" s="54"/>
      <c r="E24" s="35" t="s">
        <v>73</v>
      </c>
      <c r="F24" s="36">
        <f>F6*(G6*H6)</f>
        <v>0</v>
      </c>
      <c r="G24" s="58"/>
      <c r="H24" s="35" t="s">
        <v>80</v>
      </c>
      <c r="I24" s="36">
        <f>G6*H6</f>
        <v>0</v>
      </c>
    </row>
    <row r="25" spans="1:9" x14ac:dyDescent="0.3">
      <c r="A25" s="52"/>
      <c r="B25" s="53"/>
      <c r="C25" s="54"/>
      <c r="E25" s="35" t="s">
        <v>74</v>
      </c>
      <c r="F25" s="36">
        <f>F7*(G7*H7)</f>
        <v>0</v>
      </c>
      <c r="G25" s="58"/>
      <c r="H25" s="35" t="s">
        <v>81</v>
      </c>
      <c r="I25" s="36">
        <f>G7*H7</f>
        <v>0</v>
      </c>
    </row>
    <row r="26" spans="1:9" ht="15" thickBot="1" x14ac:dyDescent="0.35">
      <c r="A26" s="52"/>
      <c r="B26" s="53"/>
      <c r="C26" s="54"/>
      <c r="E26" s="45" t="s">
        <v>75</v>
      </c>
      <c r="F26" s="46">
        <f>F8*(G8*H8)</f>
        <v>0</v>
      </c>
      <c r="G26" s="58"/>
      <c r="H26" s="45" t="s">
        <v>82</v>
      </c>
      <c r="I26" s="46">
        <f>G8*H8</f>
        <v>0</v>
      </c>
    </row>
    <row r="27" spans="1:9" ht="15" thickBot="1" x14ac:dyDescent="0.35">
      <c r="A27" s="52"/>
      <c r="B27" s="53"/>
      <c r="C27" s="54"/>
      <c r="E27" s="47" t="s">
        <v>76</v>
      </c>
      <c r="F27" s="48">
        <f>SUM(F22:F26)</f>
        <v>68</v>
      </c>
      <c r="G27" s="58"/>
      <c r="H27" s="47" t="s">
        <v>83</v>
      </c>
      <c r="I27" s="48">
        <f>SUM(I22:I26)</f>
        <v>34</v>
      </c>
    </row>
    <row r="28" spans="1:9" x14ac:dyDescent="0.3">
      <c r="A28" s="52"/>
      <c r="B28" s="53"/>
      <c r="C28" s="54"/>
      <c r="E28" s="52"/>
      <c r="F28" s="53"/>
      <c r="G28" s="53"/>
      <c r="H28" s="53"/>
      <c r="I28" s="54"/>
    </row>
    <row r="29" spans="1:9" x14ac:dyDescent="0.3">
      <c r="A29" s="52"/>
      <c r="B29" s="53"/>
      <c r="C29" s="54"/>
      <c r="E29" s="52"/>
      <c r="F29" s="53"/>
      <c r="G29" s="53"/>
      <c r="H29" s="53"/>
      <c r="I29" s="54"/>
    </row>
    <row r="30" spans="1:9" ht="15" thickBot="1" x14ac:dyDescent="0.35">
      <c r="A30" s="52"/>
      <c r="B30" s="53"/>
      <c r="C30" s="54"/>
      <c r="E30" s="55"/>
      <c r="F30" s="49"/>
      <c r="G30" s="49"/>
      <c r="H30" s="49"/>
      <c r="I30" s="56"/>
    </row>
    <row r="31" spans="1:9" ht="15" thickBot="1" x14ac:dyDescent="0.35">
      <c r="A31" s="52"/>
      <c r="B31" s="53"/>
      <c r="C31" s="54"/>
      <c r="E31" s="52"/>
      <c r="F31" s="53"/>
      <c r="G31" s="53"/>
      <c r="H31" s="53"/>
      <c r="I31" s="54"/>
    </row>
    <row r="32" spans="1:9" ht="15" thickBot="1" x14ac:dyDescent="0.35">
      <c r="A32" s="52"/>
      <c r="B32" s="53"/>
      <c r="C32" s="54"/>
      <c r="E32" s="52"/>
      <c r="F32" s="53"/>
      <c r="G32" s="53"/>
      <c r="H32" s="26" t="s">
        <v>87</v>
      </c>
      <c r="I32" s="27">
        <v>0</v>
      </c>
    </row>
    <row r="33" spans="1:9" ht="15" thickBot="1" x14ac:dyDescent="0.35">
      <c r="A33" s="52"/>
      <c r="B33" s="53"/>
      <c r="C33" s="54"/>
      <c r="E33" s="44" t="s">
        <v>84</v>
      </c>
      <c r="F33" s="63">
        <f>((I32/30)+(I33/80))*(1/15)*0.5</f>
        <v>0</v>
      </c>
      <c r="G33" s="53"/>
      <c r="H33" s="21" t="s">
        <v>88</v>
      </c>
      <c r="I33" s="23">
        <v>0</v>
      </c>
    </row>
    <row r="34" spans="1:9" x14ac:dyDescent="0.3">
      <c r="A34" s="52"/>
      <c r="B34" s="53"/>
      <c r="C34" s="54"/>
      <c r="E34" s="52"/>
      <c r="F34" s="53"/>
      <c r="G34" s="53"/>
      <c r="H34" s="53"/>
      <c r="I34" s="54"/>
    </row>
    <row r="35" spans="1:9" ht="15" thickBot="1" x14ac:dyDescent="0.35">
      <c r="A35" s="52"/>
      <c r="B35" s="53"/>
      <c r="C35" s="54"/>
      <c r="E35" s="55"/>
      <c r="F35" s="49"/>
      <c r="G35" s="49"/>
      <c r="H35" s="49"/>
      <c r="I35" s="56"/>
    </row>
    <row r="36" spans="1:9" x14ac:dyDescent="0.3">
      <c r="A36" s="52"/>
      <c r="B36" s="53"/>
      <c r="C36" s="54"/>
      <c r="E36" s="52"/>
      <c r="F36" s="53"/>
      <c r="G36" s="53"/>
      <c r="H36" s="53"/>
      <c r="I36" s="54"/>
    </row>
    <row r="37" spans="1:9" ht="15" thickBot="1" x14ac:dyDescent="0.35">
      <c r="A37" s="52"/>
      <c r="B37" s="53"/>
      <c r="C37" s="54"/>
      <c r="E37" s="52"/>
      <c r="F37" s="53"/>
      <c r="G37" s="53"/>
      <c r="H37" s="53"/>
      <c r="I37" s="54"/>
    </row>
    <row r="38" spans="1:9" ht="15" thickBot="1" x14ac:dyDescent="0.35">
      <c r="A38" s="52"/>
      <c r="B38" s="53"/>
      <c r="C38" s="54"/>
      <c r="E38" s="61" t="s">
        <v>86</v>
      </c>
      <c r="F38" s="62">
        <f>B5/100*40</f>
        <v>0</v>
      </c>
      <c r="G38" s="53"/>
      <c r="H38" s="53"/>
      <c r="I38" s="54"/>
    </row>
    <row r="39" spans="1:9" x14ac:dyDescent="0.3">
      <c r="A39" s="52"/>
      <c r="B39" s="53"/>
      <c r="C39" s="54"/>
      <c r="E39" s="52"/>
      <c r="F39" s="53"/>
      <c r="G39" s="53"/>
      <c r="H39" s="53"/>
      <c r="I39" s="54"/>
    </row>
    <row r="40" spans="1:9" x14ac:dyDescent="0.3">
      <c r="A40" s="52"/>
      <c r="B40" s="53"/>
      <c r="C40" s="54"/>
      <c r="E40" s="52"/>
      <c r="F40" s="53"/>
      <c r="G40" s="53"/>
      <c r="H40" s="53"/>
      <c r="I40" s="54"/>
    </row>
    <row r="41" spans="1:9" x14ac:dyDescent="0.3">
      <c r="A41" s="52"/>
      <c r="B41" s="53"/>
      <c r="C41" s="54"/>
      <c r="E41" s="52"/>
      <c r="F41" s="53"/>
      <c r="G41" s="53"/>
      <c r="H41" s="53"/>
      <c r="I41" s="54"/>
    </row>
    <row r="42" spans="1:9" ht="15" thickBot="1" x14ac:dyDescent="0.35">
      <c r="A42" s="55"/>
      <c r="B42" s="49"/>
      <c r="C42" s="56"/>
      <c r="E42" s="55"/>
      <c r="F42" s="49"/>
      <c r="G42" s="49"/>
      <c r="H42" s="49"/>
      <c r="I42" s="56"/>
    </row>
  </sheetData>
  <mergeCells count="2">
    <mergeCell ref="A1:B2"/>
    <mergeCell ref="E1:H2"/>
  </mergeCells>
  <conditionalFormatting sqref="B4">
    <cfRule type="colorScale" priority="1">
      <colorScale>
        <cfvo type="min"/>
        <cfvo type="num" val="55"/>
        <color theme="9"/>
        <color rgb="FFFF0000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3B55-C219-4335-8315-4C4723875445}">
  <dimension ref="A1:J42"/>
  <sheetViews>
    <sheetView workbookViewId="0">
      <selection activeCell="F4" sqref="F4"/>
    </sheetView>
  </sheetViews>
  <sheetFormatPr defaultColWidth="11.5546875" defaultRowHeight="14.4" x14ac:dyDescent="0.3"/>
  <cols>
    <col min="1" max="1" width="28.5546875" customWidth="1"/>
    <col min="2" max="2" width="19.44140625" customWidth="1"/>
    <col min="3" max="3" width="22.33203125" customWidth="1"/>
    <col min="4" max="4" width="1.6640625" customWidth="1"/>
    <col min="5" max="5" width="22.5546875" customWidth="1"/>
    <col min="6" max="6" width="22" customWidth="1"/>
    <col min="7" max="7" width="22.6640625" customWidth="1"/>
    <col min="8" max="8" width="22.88671875" customWidth="1"/>
    <col min="9" max="9" width="23" customWidth="1"/>
    <col min="10" max="10" width="19.33203125" customWidth="1"/>
  </cols>
  <sheetData>
    <row r="1" spans="1:10" x14ac:dyDescent="0.3">
      <c r="A1" s="167" t="s">
        <v>52</v>
      </c>
      <c r="B1" s="168"/>
      <c r="C1" s="50"/>
      <c r="D1" s="3"/>
      <c r="E1" s="138" t="s">
        <v>55</v>
      </c>
      <c r="F1" s="139"/>
      <c r="G1" s="139"/>
      <c r="H1" s="140"/>
      <c r="I1" s="57"/>
      <c r="J1" s="3"/>
    </row>
    <row r="2" spans="1:10" ht="15" thickBot="1" x14ac:dyDescent="0.35">
      <c r="A2" s="169"/>
      <c r="B2" s="170"/>
      <c r="C2" s="51"/>
      <c r="D2" s="3"/>
      <c r="E2" s="141"/>
      <c r="F2" s="142"/>
      <c r="G2" s="142"/>
      <c r="H2" s="143"/>
      <c r="I2" s="54"/>
      <c r="J2" s="3"/>
    </row>
    <row r="3" spans="1:10" x14ac:dyDescent="0.3">
      <c r="A3" s="64" t="s">
        <v>53</v>
      </c>
      <c r="B3" s="65" t="s">
        <v>95</v>
      </c>
      <c r="C3" s="54"/>
      <c r="E3" s="17" t="s">
        <v>14</v>
      </c>
      <c r="F3" s="16" t="s">
        <v>56</v>
      </c>
      <c r="G3" s="16" t="s">
        <v>57</v>
      </c>
      <c r="H3" s="18" t="s">
        <v>58</v>
      </c>
      <c r="I3" s="54"/>
    </row>
    <row r="4" spans="1:10" x14ac:dyDescent="0.3">
      <c r="A4" s="66" t="s">
        <v>54</v>
      </c>
      <c r="B4" s="67">
        <f>SUM(F12,F33,F38)</f>
        <v>3.5</v>
      </c>
      <c r="C4" s="54"/>
      <c r="E4" s="19" t="s">
        <v>26</v>
      </c>
      <c r="F4" s="15">
        <f>_xlfn.XLOOKUP('CI - Katherine Gascon'!E4,'Liste des Cours et Subventions'!D27:D40,'Liste des Cours et Subventions'!G27:G40,"ND",0,1)</f>
        <v>7</v>
      </c>
      <c r="G4" s="15">
        <f>_xlfn.XLOOKUP(E4,'Liste des Cours et Subventions'!D27:D40,'Liste des Cours et Subventions'!E27:E40,"ND",0,1)</f>
        <v>1</v>
      </c>
      <c r="H4" s="20">
        <f>_xlfn.XLOOKUP(E4,'Liste des Cours et Subventions'!D27:D40,'Liste des Cours et Subventions'!F27:F40,"ND",0,1)</f>
        <v>28</v>
      </c>
      <c r="I4" s="54"/>
    </row>
    <row r="5" spans="1:10" x14ac:dyDescent="0.3">
      <c r="A5" s="66" t="s">
        <v>85</v>
      </c>
      <c r="B5" s="68">
        <v>0</v>
      </c>
      <c r="C5" s="54"/>
      <c r="E5" s="19"/>
      <c r="F5" s="15">
        <f>_xlfn.XLOOKUP('CI - Katherine Gascon'!E5,'Liste des Cours et Subventions'!D28:D41,'Liste des Cours et Subventions'!G28:G41,"ND",0,1)</f>
        <v>0</v>
      </c>
      <c r="G5" s="15">
        <f>_xlfn.XLOOKUP(E5,'Liste des Cours et Subventions'!D28:D41,'Liste des Cours et Subventions'!E28:E41,"ND",0,1)</f>
        <v>0</v>
      </c>
      <c r="H5" s="20">
        <f>_xlfn.XLOOKUP(E5,'Liste des Cours et Subventions'!D28:D41,'Liste des Cours et Subventions'!F28:F41,"ND",0,1)</f>
        <v>0</v>
      </c>
      <c r="I5" s="54"/>
    </row>
    <row r="6" spans="1:10" x14ac:dyDescent="0.3">
      <c r="A6" s="52"/>
      <c r="B6" s="53"/>
      <c r="C6" s="54"/>
      <c r="E6" s="19"/>
      <c r="F6" s="15">
        <f>_xlfn.XLOOKUP('CI - Katherine Gascon'!E6,'Liste des Cours et Subventions'!D29:D42,'Liste des Cours et Subventions'!G29:G42,"ND",0,1)</f>
        <v>0</v>
      </c>
      <c r="G6" s="15">
        <f>_xlfn.XLOOKUP(E6,'Liste des Cours et Subventions'!D29:D42,'Liste des Cours et Subventions'!E29:E42,"ND",0,1)</f>
        <v>0</v>
      </c>
      <c r="H6" s="20">
        <f>_xlfn.XLOOKUP(E6,'Liste des Cours et Subventions'!D29:D42,'Liste des Cours et Subventions'!F29:F42,"ND",0,1)</f>
        <v>0</v>
      </c>
      <c r="I6" s="54"/>
    </row>
    <row r="7" spans="1:10" x14ac:dyDescent="0.3">
      <c r="A7" s="52"/>
      <c r="B7" s="53"/>
      <c r="C7" s="54"/>
      <c r="E7" s="19"/>
      <c r="F7" s="15">
        <f>_xlfn.XLOOKUP('CI - Katherine Gascon'!E7,'Liste des Cours et Subventions'!D30:D43,'Liste des Cours et Subventions'!G30:G43,"ND",0,1)</f>
        <v>0</v>
      </c>
      <c r="G7" s="15">
        <f>_xlfn.XLOOKUP(E7,'Liste des Cours et Subventions'!D30:D43,'Liste des Cours et Subventions'!E30:E43,"ND",0,1)</f>
        <v>0</v>
      </c>
      <c r="H7" s="20">
        <f>_xlfn.XLOOKUP(E7,'Liste des Cours et Subventions'!D30:D43,'Liste des Cours et Subventions'!F30:F43,"ND",0,1)</f>
        <v>0</v>
      </c>
      <c r="I7" s="54"/>
    </row>
    <row r="8" spans="1:10" ht="15" thickBot="1" x14ac:dyDescent="0.35">
      <c r="A8" s="52"/>
      <c r="B8" s="53"/>
      <c r="C8" s="54"/>
      <c r="E8" s="21"/>
      <c r="F8" s="15">
        <f>_xlfn.XLOOKUP('CI - Katherine Gascon'!E8,'Liste des Cours et Subventions'!D31:D44,'Liste des Cours et Subventions'!G31:G44,"ND",0,1)</f>
        <v>0</v>
      </c>
      <c r="G8" s="15">
        <f>_xlfn.XLOOKUP(E8,'Liste des Cours et Subventions'!D31:D44,'Liste des Cours et Subventions'!E31:E44,"ND",0,1)</f>
        <v>0</v>
      </c>
      <c r="H8" s="20">
        <f>_xlfn.XLOOKUP(E8,'Liste des Cours et Subventions'!D31:D44,'Liste des Cours et Subventions'!F31:F44,"ND",0,1)</f>
        <v>0</v>
      </c>
      <c r="I8" s="54"/>
    </row>
    <row r="9" spans="1:10" x14ac:dyDescent="0.3">
      <c r="A9" s="52"/>
      <c r="B9" s="53"/>
      <c r="C9" s="54"/>
      <c r="E9" s="52"/>
      <c r="F9" s="53"/>
      <c r="G9" s="53"/>
      <c r="H9" s="53"/>
      <c r="I9" s="54"/>
    </row>
    <row r="10" spans="1:10" ht="15" thickBot="1" x14ac:dyDescent="0.35">
      <c r="A10" s="52"/>
      <c r="B10" s="53"/>
      <c r="C10" s="54"/>
      <c r="E10" s="55"/>
      <c r="F10" s="49"/>
      <c r="G10" s="49"/>
      <c r="H10" s="49"/>
      <c r="I10" s="56"/>
    </row>
    <row r="11" spans="1:10" ht="15" thickBot="1" x14ac:dyDescent="0.35">
      <c r="A11" s="52"/>
      <c r="B11" s="53"/>
      <c r="C11" s="54"/>
      <c r="E11" s="52"/>
      <c r="F11" s="53"/>
      <c r="G11" s="53"/>
      <c r="H11" s="53"/>
      <c r="I11" s="54"/>
    </row>
    <row r="12" spans="1:10" ht="15" thickBot="1" x14ac:dyDescent="0.35">
      <c r="A12" s="52"/>
      <c r="B12" s="53"/>
      <c r="C12" s="54"/>
      <c r="E12" s="44" t="s">
        <v>59</v>
      </c>
      <c r="F12" s="43">
        <f>F14+(I14*1.2)+F21+I21</f>
        <v>3.5</v>
      </c>
      <c r="G12" s="58"/>
      <c r="H12" s="58"/>
      <c r="I12" s="59"/>
    </row>
    <row r="13" spans="1:10" ht="15" thickBot="1" x14ac:dyDescent="0.35">
      <c r="A13" s="52"/>
      <c r="B13" s="53"/>
      <c r="C13" s="54"/>
      <c r="E13" s="60"/>
      <c r="F13" s="58"/>
      <c r="G13" s="58"/>
      <c r="H13" s="58"/>
      <c r="I13" s="59"/>
    </row>
    <row r="14" spans="1:10" ht="15" thickBot="1" x14ac:dyDescent="0.35">
      <c r="A14" s="52"/>
      <c r="B14" s="53"/>
      <c r="C14" s="54"/>
      <c r="E14" s="31" t="s">
        <v>60</v>
      </c>
      <c r="F14" s="32">
        <f>PRODUCT(F16,F17)</f>
        <v>0.9</v>
      </c>
      <c r="G14" s="58"/>
      <c r="H14" s="30" t="s">
        <v>64</v>
      </c>
      <c r="I14" s="32">
        <f>SUM(I15:I19)</f>
        <v>1</v>
      </c>
    </row>
    <row r="15" spans="1:10" x14ac:dyDescent="0.3">
      <c r="A15" s="52"/>
      <c r="B15" s="53"/>
      <c r="C15" s="54"/>
      <c r="E15" s="33" t="s">
        <v>61</v>
      </c>
      <c r="F15" s="34">
        <f>COUNT(F4:F5)</f>
        <v>2</v>
      </c>
      <c r="G15" s="58"/>
      <c r="H15" s="33" t="s">
        <v>65</v>
      </c>
      <c r="I15" s="34">
        <f>G4*G4</f>
        <v>1</v>
      </c>
    </row>
    <row r="16" spans="1:10" x14ac:dyDescent="0.3">
      <c r="A16" s="52"/>
      <c r="B16" s="53"/>
      <c r="C16" s="54"/>
      <c r="E16" s="35" t="s">
        <v>62</v>
      </c>
      <c r="F16" s="36" cm="1">
        <f t="array" ref="F16">_xlfn.IFS(F15&lt;=2,0.9,F15=3,1.1,F15&gt;=4,1.75)</f>
        <v>0.9</v>
      </c>
      <c r="G16" s="58"/>
      <c r="H16" s="35" t="s">
        <v>66</v>
      </c>
      <c r="I16" s="36">
        <f>F5*G5</f>
        <v>0</v>
      </c>
    </row>
    <row r="17" spans="1:9" ht="15" thickBot="1" x14ac:dyDescent="0.35">
      <c r="A17" s="52"/>
      <c r="B17" s="53"/>
      <c r="C17" s="54"/>
      <c r="E17" s="37" t="s">
        <v>63</v>
      </c>
      <c r="F17" s="38">
        <f>SUM(G4:G9)</f>
        <v>1</v>
      </c>
      <c r="G17" s="58"/>
      <c r="H17" s="35" t="s">
        <v>67</v>
      </c>
      <c r="I17" s="36">
        <f>F6*G6</f>
        <v>0</v>
      </c>
    </row>
    <row r="18" spans="1:9" x14ac:dyDescent="0.3">
      <c r="A18" s="52"/>
      <c r="B18" s="53"/>
      <c r="C18" s="54"/>
      <c r="E18" s="60"/>
      <c r="F18" s="58"/>
      <c r="G18" s="58"/>
      <c r="H18" s="35" t="s">
        <v>68</v>
      </c>
      <c r="I18" s="36">
        <f>F7*G7</f>
        <v>0</v>
      </c>
    </row>
    <row r="19" spans="1:9" ht="15" thickBot="1" x14ac:dyDescent="0.35">
      <c r="A19" s="52"/>
      <c r="B19" s="53"/>
      <c r="C19" s="54"/>
      <c r="E19" s="60"/>
      <c r="F19" s="58"/>
      <c r="G19" s="58"/>
      <c r="H19" s="37" t="s">
        <v>69</v>
      </c>
      <c r="I19" s="38">
        <f>F8*G8</f>
        <v>0</v>
      </c>
    </row>
    <row r="20" spans="1:9" ht="15" thickBot="1" x14ac:dyDescent="0.35">
      <c r="A20" s="52"/>
      <c r="B20" s="53"/>
      <c r="C20" s="54"/>
      <c r="E20" s="60"/>
      <c r="F20" s="58"/>
      <c r="G20" s="58"/>
      <c r="H20" s="58"/>
      <c r="I20" s="59"/>
    </row>
    <row r="21" spans="1:9" ht="15" thickBot="1" x14ac:dyDescent="0.35">
      <c r="A21" s="52"/>
      <c r="B21" s="53"/>
      <c r="C21" s="54"/>
      <c r="E21" s="30" t="s">
        <v>70</v>
      </c>
      <c r="F21" s="28">
        <f>IF(F27&lt;415,F27*0.04,F27*0.04+(F27-415)*0.07)</f>
        <v>1.1200000000000001</v>
      </c>
      <c r="G21" s="58"/>
      <c r="H21" s="39" t="s">
        <v>77</v>
      </c>
      <c r="I21" s="40" cm="1">
        <f t="array" ref="I21">_xlfn.IFS(I27&gt;=ET75*(I27&lt;160),I27*0.01,I27&gt;=160,I27*0.01+((I27-160)*(I27-160))*0.01,I27&lt;75,0)</f>
        <v>0.28000000000000003</v>
      </c>
    </row>
    <row r="22" spans="1:9" x14ac:dyDescent="0.3">
      <c r="A22" s="52"/>
      <c r="B22" s="53"/>
      <c r="C22" s="54"/>
      <c r="E22" s="41" t="s">
        <v>71</v>
      </c>
      <c r="F22" s="42">
        <f>G4*(G4*H4)</f>
        <v>28</v>
      </c>
      <c r="G22" s="58"/>
      <c r="H22" s="35" t="s">
        <v>78</v>
      </c>
      <c r="I22" s="36">
        <f>G4*H4</f>
        <v>28</v>
      </c>
    </row>
    <row r="23" spans="1:9" x14ac:dyDescent="0.3">
      <c r="A23" s="52"/>
      <c r="B23" s="53"/>
      <c r="C23" s="54"/>
      <c r="E23" s="35" t="s">
        <v>72</v>
      </c>
      <c r="F23" s="36">
        <f>F5*(G5*H5)</f>
        <v>0</v>
      </c>
      <c r="G23" s="58"/>
      <c r="H23" s="35" t="s">
        <v>79</v>
      </c>
      <c r="I23" s="36">
        <f>G5*H5</f>
        <v>0</v>
      </c>
    </row>
    <row r="24" spans="1:9" x14ac:dyDescent="0.3">
      <c r="A24" s="52"/>
      <c r="B24" s="53"/>
      <c r="C24" s="54"/>
      <c r="E24" s="35" t="s">
        <v>73</v>
      </c>
      <c r="F24" s="36">
        <f>F6*(G6*H6)</f>
        <v>0</v>
      </c>
      <c r="G24" s="58"/>
      <c r="H24" s="35" t="s">
        <v>80</v>
      </c>
      <c r="I24" s="36">
        <f>G6*H6</f>
        <v>0</v>
      </c>
    </row>
    <row r="25" spans="1:9" x14ac:dyDescent="0.3">
      <c r="A25" s="52"/>
      <c r="B25" s="53"/>
      <c r="C25" s="54"/>
      <c r="E25" s="35" t="s">
        <v>74</v>
      </c>
      <c r="F25" s="36">
        <f>F7*(G7*H7)</f>
        <v>0</v>
      </c>
      <c r="G25" s="58"/>
      <c r="H25" s="35" t="s">
        <v>81</v>
      </c>
      <c r="I25" s="36">
        <f>G7*H7</f>
        <v>0</v>
      </c>
    </row>
    <row r="26" spans="1:9" ht="15" thickBot="1" x14ac:dyDescent="0.35">
      <c r="A26" s="52"/>
      <c r="B26" s="53"/>
      <c r="C26" s="54"/>
      <c r="E26" s="45" t="s">
        <v>75</v>
      </c>
      <c r="F26" s="46">
        <f>F8*(G8*H8)</f>
        <v>0</v>
      </c>
      <c r="G26" s="58"/>
      <c r="H26" s="45" t="s">
        <v>82</v>
      </c>
      <c r="I26" s="46">
        <f>G8*H8</f>
        <v>0</v>
      </c>
    </row>
    <row r="27" spans="1:9" ht="15" thickBot="1" x14ac:dyDescent="0.35">
      <c r="A27" s="52"/>
      <c r="B27" s="53"/>
      <c r="C27" s="54"/>
      <c r="E27" s="47" t="s">
        <v>76</v>
      </c>
      <c r="F27" s="48">
        <f>SUM(F22:F26)</f>
        <v>28</v>
      </c>
      <c r="G27" s="58"/>
      <c r="H27" s="47" t="s">
        <v>83</v>
      </c>
      <c r="I27" s="48">
        <f>SUM(I22:I26)</f>
        <v>28</v>
      </c>
    </row>
    <row r="28" spans="1:9" x14ac:dyDescent="0.3">
      <c r="A28" s="52"/>
      <c r="B28" s="53"/>
      <c r="C28" s="54"/>
      <c r="E28" s="52"/>
      <c r="F28" s="53"/>
      <c r="G28" s="53"/>
      <c r="H28" s="53"/>
      <c r="I28" s="54"/>
    </row>
    <row r="29" spans="1:9" x14ac:dyDescent="0.3">
      <c r="A29" s="52"/>
      <c r="B29" s="53"/>
      <c r="C29" s="54"/>
      <c r="E29" s="52"/>
      <c r="F29" s="53"/>
      <c r="G29" s="53"/>
      <c r="H29" s="53"/>
      <c r="I29" s="54"/>
    </row>
    <row r="30" spans="1:9" ht="15" thickBot="1" x14ac:dyDescent="0.35">
      <c r="A30" s="52"/>
      <c r="B30" s="53"/>
      <c r="C30" s="54"/>
      <c r="E30" s="55"/>
      <c r="F30" s="49"/>
      <c r="G30" s="49"/>
      <c r="H30" s="49"/>
      <c r="I30" s="56"/>
    </row>
    <row r="31" spans="1:9" ht="15" thickBot="1" x14ac:dyDescent="0.35">
      <c r="A31" s="52"/>
      <c r="B31" s="53"/>
      <c r="C31" s="54"/>
      <c r="E31" s="52"/>
      <c r="F31" s="53"/>
      <c r="G31" s="53"/>
      <c r="H31" s="53"/>
      <c r="I31" s="54"/>
    </row>
    <row r="32" spans="1:9" ht="15" thickBot="1" x14ac:dyDescent="0.35">
      <c r="A32" s="52"/>
      <c r="B32" s="53"/>
      <c r="C32" s="54"/>
      <c r="E32" s="52"/>
      <c r="F32" s="53"/>
      <c r="G32" s="53"/>
      <c r="H32" s="26" t="s">
        <v>87</v>
      </c>
      <c r="I32" s="27">
        <v>0</v>
      </c>
    </row>
    <row r="33" spans="1:9" ht="15" thickBot="1" x14ac:dyDescent="0.35">
      <c r="A33" s="52"/>
      <c r="B33" s="53"/>
      <c r="C33" s="54"/>
      <c r="E33" s="44" t="s">
        <v>84</v>
      </c>
      <c r="F33" s="63">
        <f>((I32/30)+(I33/80))*(1/15)*0.5</f>
        <v>0</v>
      </c>
      <c r="G33" s="53"/>
      <c r="H33" s="21" t="s">
        <v>88</v>
      </c>
      <c r="I33" s="23">
        <v>0</v>
      </c>
    </row>
    <row r="34" spans="1:9" x14ac:dyDescent="0.3">
      <c r="A34" s="52"/>
      <c r="B34" s="53"/>
      <c r="C34" s="54"/>
      <c r="E34" s="52"/>
      <c r="F34" s="53"/>
      <c r="G34" s="53"/>
      <c r="H34" s="53"/>
      <c r="I34" s="54"/>
    </row>
    <row r="35" spans="1:9" ht="15" thickBot="1" x14ac:dyDescent="0.35">
      <c r="A35" s="52"/>
      <c r="B35" s="53"/>
      <c r="C35" s="54"/>
      <c r="E35" s="55"/>
      <c r="F35" s="49"/>
      <c r="G35" s="49"/>
      <c r="H35" s="49"/>
      <c r="I35" s="56"/>
    </row>
    <row r="36" spans="1:9" x14ac:dyDescent="0.3">
      <c r="A36" s="52"/>
      <c r="B36" s="53"/>
      <c r="C36" s="54"/>
      <c r="E36" s="52"/>
      <c r="F36" s="53"/>
      <c r="G36" s="53"/>
      <c r="H36" s="53"/>
      <c r="I36" s="54"/>
    </row>
    <row r="37" spans="1:9" ht="15" thickBot="1" x14ac:dyDescent="0.35">
      <c r="A37" s="52"/>
      <c r="B37" s="53"/>
      <c r="C37" s="54"/>
      <c r="E37" s="52"/>
      <c r="F37" s="53"/>
      <c r="G37" s="53"/>
      <c r="H37" s="53"/>
      <c r="I37" s="54"/>
    </row>
    <row r="38" spans="1:9" ht="15" thickBot="1" x14ac:dyDescent="0.35">
      <c r="A38" s="52"/>
      <c r="B38" s="53"/>
      <c r="C38" s="54"/>
      <c r="E38" s="61" t="s">
        <v>86</v>
      </c>
      <c r="F38" s="62">
        <f>B5/100*40</f>
        <v>0</v>
      </c>
      <c r="G38" s="53"/>
      <c r="H38" s="53"/>
      <c r="I38" s="54"/>
    </row>
    <row r="39" spans="1:9" x14ac:dyDescent="0.3">
      <c r="A39" s="52"/>
      <c r="B39" s="53"/>
      <c r="C39" s="54"/>
      <c r="E39" s="52"/>
      <c r="F39" s="53"/>
      <c r="G39" s="53"/>
      <c r="H39" s="53"/>
      <c r="I39" s="54"/>
    </row>
    <row r="40" spans="1:9" x14ac:dyDescent="0.3">
      <c r="A40" s="52"/>
      <c r="B40" s="53"/>
      <c r="C40" s="54"/>
      <c r="E40" s="52"/>
      <c r="F40" s="53"/>
      <c r="G40" s="53"/>
      <c r="H40" s="53"/>
      <c r="I40" s="54"/>
    </row>
    <row r="41" spans="1:9" x14ac:dyDescent="0.3">
      <c r="A41" s="52"/>
      <c r="B41" s="53"/>
      <c r="C41" s="54"/>
      <c r="E41" s="52"/>
      <c r="F41" s="53"/>
      <c r="G41" s="53"/>
      <c r="H41" s="53"/>
      <c r="I41" s="54"/>
    </row>
    <row r="42" spans="1:9" ht="15" thickBot="1" x14ac:dyDescent="0.35">
      <c r="A42" s="55"/>
      <c r="B42" s="49"/>
      <c r="C42" s="56"/>
      <c r="E42" s="55"/>
      <c r="F42" s="49"/>
      <c r="G42" s="49"/>
      <c r="H42" s="49"/>
      <c r="I42" s="56"/>
    </row>
  </sheetData>
  <mergeCells count="2">
    <mergeCell ref="A1:B2"/>
    <mergeCell ref="E1:H2"/>
  </mergeCells>
  <conditionalFormatting sqref="B4">
    <cfRule type="colorScale" priority="1">
      <colorScale>
        <cfvo type="min"/>
        <cfvo type="num" val="55"/>
        <color theme="9"/>
        <color rgb="FFFF0000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D91A-88AE-4D3F-81AC-F2496BAEDDCA}">
  <dimension ref="A1:J42"/>
  <sheetViews>
    <sheetView workbookViewId="0">
      <selection activeCell="E5" sqref="E5"/>
    </sheetView>
  </sheetViews>
  <sheetFormatPr defaultColWidth="11.5546875" defaultRowHeight="14.4" x14ac:dyDescent="0.3"/>
  <cols>
    <col min="1" max="1" width="28.5546875" customWidth="1"/>
    <col min="2" max="2" width="19.44140625" customWidth="1"/>
    <col min="3" max="3" width="22.33203125" customWidth="1"/>
    <col min="4" max="4" width="1.6640625" customWidth="1"/>
    <col min="5" max="5" width="22.5546875" customWidth="1"/>
    <col min="6" max="6" width="22" customWidth="1"/>
    <col min="7" max="7" width="22.6640625" customWidth="1"/>
    <col min="8" max="8" width="22.88671875" customWidth="1"/>
    <col min="9" max="9" width="23" customWidth="1"/>
    <col min="10" max="10" width="19.33203125" customWidth="1"/>
  </cols>
  <sheetData>
    <row r="1" spans="1:10" x14ac:dyDescent="0.3">
      <c r="A1" s="167" t="s">
        <v>52</v>
      </c>
      <c r="B1" s="168"/>
      <c r="C1" s="50"/>
      <c r="D1" s="3"/>
      <c r="E1" s="138" t="s">
        <v>55</v>
      </c>
      <c r="F1" s="139"/>
      <c r="G1" s="139"/>
      <c r="H1" s="140"/>
      <c r="I1" s="57"/>
      <c r="J1" s="3"/>
    </row>
    <row r="2" spans="1:10" ht="15" thickBot="1" x14ac:dyDescent="0.35">
      <c r="A2" s="169"/>
      <c r="B2" s="170"/>
      <c r="C2" s="51"/>
      <c r="D2" s="3"/>
      <c r="E2" s="141"/>
      <c r="F2" s="142"/>
      <c r="G2" s="142"/>
      <c r="H2" s="143"/>
      <c r="I2" s="54"/>
      <c r="J2" s="3"/>
    </row>
    <row r="3" spans="1:10" x14ac:dyDescent="0.3">
      <c r="A3" s="64" t="s">
        <v>53</v>
      </c>
      <c r="B3" s="65" t="s">
        <v>96</v>
      </c>
      <c r="C3" s="54"/>
      <c r="E3" s="17" t="s">
        <v>14</v>
      </c>
      <c r="F3" s="16" t="s">
        <v>56</v>
      </c>
      <c r="G3" s="16" t="s">
        <v>57</v>
      </c>
      <c r="H3" s="18" t="s">
        <v>58</v>
      </c>
      <c r="I3" s="54"/>
    </row>
    <row r="4" spans="1:10" x14ac:dyDescent="0.3">
      <c r="A4" s="66" t="s">
        <v>54</v>
      </c>
      <c r="B4" s="67">
        <f>SUM(F12,F33,F38)</f>
        <v>7.2</v>
      </c>
      <c r="C4" s="54"/>
      <c r="E4" s="19" t="s">
        <v>27</v>
      </c>
      <c r="F4" s="15">
        <f>_xlfn.XLOOKUP('CI - Uldor Lafortune'!E4,'Liste des Cours et Subventions'!D27:D40,'Liste des Cours et Subventions'!G27:G40,"ND",0,1)</f>
        <v>4</v>
      </c>
      <c r="G4" s="15">
        <f>_xlfn.XLOOKUP(E4,'Liste des Cours et Subventions'!D27:D40,'Liste des Cours et Subventions'!E27:E40,"ND",0,1)</f>
        <v>1</v>
      </c>
      <c r="H4" s="20">
        <f>_xlfn.XLOOKUP(E4,'Liste des Cours et Subventions'!D27:D40,'Liste des Cours et Subventions'!F27:F40,"ND",0,1)</f>
        <v>22</v>
      </c>
      <c r="I4" s="54"/>
    </row>
    <row r="5" spans="1:10" x14ac:dyDescent="0.3">
      <c r="A5" s="66" t="s">
        <v>85</v>
      </c>
      <c r="B5" s="68">
        <v>10</v>
      </c>
      <c r="C5" s="54"/>
      <c r="E5" s="19"/>
      <c r="F5" s="15">
        <f>_xlfn.XLOOKUP('CI - Uldor Lafortune'!E5,'Liste des Cours et Subventions'!D28:D41,'Liste des Cours et Subventions'!G28:G41,"ND",0,1)</f>
        <v>0</v>
      </c>
      <c r="G5" s="15">
        <f>_xlfn.XLOOKUP(E5,'Liste des Cours et Subventions'!D28:D41,'Liste des Cours et Subventions'!E28:E41,"ND",0,1)</f>
        <v>0</v>
      </c>
      <c r="H5" s="20">
        <f>_xlfn.XLOOKUP(E5,'Liste des Cours et Subventions'!D28:D41,'Liste des Cours et Subventions'!F28:F41,"ND",0,1)</f>
        <v>0</v>
      </c>
      <c r="I5" s="54"/>
    </row>
    <row r="6" spans="1:10" x14ac:dyDescent="0.3">
      <c r="A6" s="52"/>
      <c r="B6" s="53"/>
      <c r="C6" s="54"/>
      <c r="E6" s="19"/>
      <c r="F6" s="15">
        <f>_xlfn.XLOOKUP('CI - Uldor Lafortune'!E6,'Liste des Cours et Subventions'!D29:D42,'Liste des Cours et Subventions'!G29:G42,"ND",0,1)</f>
        <v>0</v>
      </c>
      <c r="G6" s="15">
        <f>_xlfn.XLOOKUP(E6,'Liste des Cours et Subventions'!D29:D42,'Liste des Cours et Subventions'!E29:E42,"ND",0,1)</f>
        <v>0</v>
      </c>
      <c r="H6" s="20">
        <f>_xlfn.XLOOKUP(E6,'Liste des Cours et Subventions'!D29:D42,'Liste des Cours et Subventions'!F29:F42,"ND",0,1)</f>
        <v>0</v>
      </c>
      <c r="I6" s="54"/>
    </row>
    <row r="7" spans="1:10" x14ac:dyDescent="0.3">
      <c r="A7" s="52"/>
      <c r="B7" s="53"/>
      <c r="C7" s="54"/>
      <c r="E7" s="19"/>
      <c r="F7" s="15">
        <f>_xlfn.XLOOKUP('CI - Uldor Lafortune'!E7,'Liste des Cours et Subventions'!D30:D43,'Liste des Cours et Subventions'!G30:G43,"ND",0,1)</f>
        <v>0</v>
      </c>
      <c r="G7" s="15">
        <f>_xlfn.XLOOKUP(E7,'Liste des Cours et Subventions'!D30:D43,'Liste des Cours et Subventions'!E30:E43,"ND",0,1)</f>
        <v>0</v>
      </c>
      <c r="H7" s="20">
        <f>_xlfn.XLOOKUP(E7,'Liste des Cours et Subventions'!D30:D43,'Liste des Cours et Subventions'!F30:F43,"ND",0,1)</f>
        <v>0</v>
      </c>
      <c r="I7" s="54"/>
    </row>
    <row r="8" spans="1:10" ht="15" thickBot="1" x14ac:dyDescent="0.35">
      <c r="A8" s="52"/>
      <c r="B8" s="53"/>
      <c r="C8" s="54"/>
      <c r="E8" s="21"/>
      <c r="F8" s="15">
        <f>_xlfn.XLOOKUP('CI - Uldor Lafortune'!E8,'Liste des Cours et Subventions'!D31:D44,'Liste des Cours et Subventions'!G31:G44,"ND",0,1)</f>
        <v>0</v>
      </c>
      <c r="G8" s="15">
        <f>_xlfn.XLOOKUP(E8,'Liste des Cours et Subventions'!D31:D44,'Liste des Cours et Subventions'!E31:E44,"ND",0,1)</f>
        <v>0</v>
      </c>
      <c r="H8" s="20">
        <f>_xlfn.XLOOKUP(E8,'Liste des Cours et Subventions'!D31:D44,'Liste des Cours et Subventions'!F31:F44,"ND",0,1)</f>
        <v>0</v>
      </c>
      <c r="I8" s="54"/>
    </row>
    <row r="9" spans="1:10" x14ac:dyDescent="0.3">
      <c r="A9" s="52"/>
      <c r="B9" s="53"/>
      <c r="C9" s="54"/>
      <c r="E9" s="52"/>
      <c r="F9" s="53"/>
      <c r="G9" s="53"/>
      <c r="H9" s="53"/>
      <c r="I9" s="54"/>
    </row>
    <row r="10" spans="1:10" ht="15" thickBot="1" x14ac:dyDescent="0.35">
      <c r="A10" s="52"/>
      <c r="B10" s="53"/>
      <c r="C10" s="54"/>
      <c r="E10" s="55"/>
      <c r="F10" s="49"/>
      <c r="G10" s="49"/>
      <c r="H10" s="49"/>
      <c r="I10" s="56"/>
    </row>
    <row r="11" spans="1:10" ht="15" thickBot="1" x14ac:dyDescent="0.35">
      <c r="A11" s="52"/>
      <c r="B11" s="53"/>
      <c r="C11" s="54"/>
      <c r="E11" s="52"/>
      <c r="F11" s="53"/>
      <c r="G11" s="53"/>
      <c r="H11" s="53"/>
      <c r="I11" s="54"/>
    </row>
    <row r="12" spans="1:10" ht="15" thickBot="1" x14ac:dyDescent="0.35">
      <c r="A12" s="52"/>
      <c r="B12" s="53"/>
      <c r="C12" s="54"/>
      <c r="E12" s="44" t="s">
        <v>59</v>
      </c>
      <c r="F12" s="43">
        <f>F14+(I14*1.2)+F21+I21</f>
        <v>3.2</v>
      </c>
      <c r="G12" s="58"/>
      <c r="H12" s="58"/>
      <c r="I12" s="59"/>
    </row>
    <row r="13" spans="1:10" ht="15" thickBot="1" x14ac:dyDescent="0.35">
      <c r="A13" s="52"/>
      <c r="B13" s="53"/>
      <c r="C13" s="54"/>
      <c r="E13" s="60"/>
      <c r="F13" s="58"/>
      <c r="G13" s="58"/>
      <c r="H13" s="58"/>
      <c r="I13" s="59"/>
    </row>
    <row r="14" spans="1:10" ht="15" thickBot="1" x14ac:dyDescent="0.35">
      <c r="A14" s="52"/>
      <c r="B14" s="53"/>
      <c r="C14" s="54"/>
      <c r="E14" s="31" t="s">
        <v>60</v>
      </c>
      <c r="F14" s="32">
        <f>PRODUCT(F16,F17)</f>
        <v>0.9</v>
      </c>
      <c r="G14" s="58"/>
      <c r="H14" s="30" t="s">
        <v>64</v>
      </c>
      <c r="I14" s="32">
        <f>SUM(I15:I19)</f>
        <v>1</v>
      </c>
    </row>
    <row r="15" spans="1:10" x14ac:dyDescent="0.3">
      <c r="A15" s="52"/>
      <c r="B15" s="53"/>
      <c r="C15" s="54"/>
      <c r="E15" s="33" t="s">
        <v>61</v>
      </c>
      <c r="F15" s="34">
        <f>COUNT(F4:F5)</f>
        <v>2</v>
      </c>
      <c r="G15" s="58"/>
      <c r="H15" s="33" t="s">
        <v>65</v>
      </c>
      <c r="I15" s="34">
        <f>G4*G4</f>
        <v>1</v>
      </c>
    </row>
    <row r="16" spans="1:10" x14ac:dyDescent="0.3">
      <c r="A16" s="52"/>
      <c r="B16" s="53"/>
      <c r="C16" s="54"/>
      <c r="E16" s="35" t="s">
        <v>62</v>
      </c>
      <c r="F16" s="36" cm="1">
        <f t="array" ref="F16">_xlfn.IFS(F15&lt;=2,0.9,F15=3,1.1,F15&gt;=4,1.75)</f>
        <v>0.9</v>
      </c>
      <c r="G16" s="58"/>
      <c r="H16" s="35" t="s">
        <v>66</v>
      </c>
      <c r="I16" s="36">
        <f>F5*G5</f>
        <v>0</v>
      </c>
    </row>
    <row r="17" spans="1:9" ht="15" thickBot="1" x14ac:dyDescent="0.35">
      <c r="A17" s="52"/>
      <c r="B17" s="53"/>
      <c r="C17" s="54"/>
      <c r="E17" s="37" t="s">
        <v>63</v>
      </c>
      <c r="F17" s="38">
        <f>SUM(G4:G9)</f>
        <v>1</v>
      </c>
      <c r="G17" s="58"/>
      <c r="H17" s="35" t="s">
        <v>67</v>
      </c>
      <c r="I17" s="36">
        <f>F6*G6</f>
        <v>0</v>
      </c>
    </row>
    <row r="18" spans="1:9" x14ac:dyDescent="0.3">
      <c r="A18" s="52"/>
      <c r="B18" s="53"/>
      <c r="C18" s="54"/>
      <c r="E18" s="60"/>
      <c r="F18" s="58"/>
      <c r="G18" s="58"/>
      <c r="H18" s="35" t="s">
        <v>68</v>
      </c>
      <c r="I18" s="36">
        <f>F7*G7</f>
        <v>0</v>
      </c>
    </row>
    <row r="19" spans="1:9" ht="15" thickBot="1" x14ac:dyDescent="0.35">
      <c r="A19" s="52"/>
      <c r="B19" s="53"/>
      <c r="C19" s="54"/>
      <c r="E19" s="60"/>
      <c r="F19" s="58"/>
      <c r="G19" s="58"/>
      <c r="H19" s="37" t="s">
        <v>69</v>
      </c>
      <c r="I19" s="38">
        <f>F8*G8</f>
        <v>0</v>
      </c>
    </row>
    <row r="20" spans="1:9" ht="15" thickBot="1" x14ac:dyDescent="0.35">
      <c r="A20" s="52"/>
      <c r="B20" s="53"/>
      <c r="C20" s="54"/>
      <c r="E20" s="60"/>
      <c r="F20" s="58"/>
      <c r="G20" s="58"/>
      <c r="H20" s="58"/>
      <c r="I20" s="59"/>
    </row>
    <row r="21" spans="1:9" ht="15" thickBot="1" x14ac:dyDescent="0.35">
      <c r="A21" s="52"/>
      <c r="B21" s="53"/>
      <c r="C21" s="54"/>
      <c r="E21" s="30" t="s">
        <v>70</v>
      </c>
      <c r="F21" s="28">
        <f>IF(F27&lt;415,F27*0.04,F27*0.04+(F27-415)*0.07)</f>
        <v>0.88</v>
      </c>
      <c r="G21" s="58"/>
      <c r="H21" s="39" t="s">
        <v>77</v>
      </c>
      <c r="I21" s="40" cm="1">
        <f t="array" ref="I21">_xlfn.IFS(I27&gt;=ET75*(I27&lt;160),I27*0.01,I27&gt;=160,I27*0.01+((I27-160)*(I27-160))*0.01,I27&lt;75,0)</f>
        <v>0.22</v>
      </c>
    </row>
    <row r="22" spans="1:9" x14ac:dyDescent="0.3">
      <c r="A22" s="52"/>
      <c r="B22" s="53"/>
      <c r="C22" s="54"/>
      <c r="E22" s="41" t="s">
        <v>71</v>
      </c>
      <c r="F22" s="42">
        <f>G4*(G4*H4)</f>
        <v>22</v>
      </c>
      <c r="G22" s="58"/>
      <c r="H22" s="35" t="s">
        <v>78</v>
      </c>
      <c r="I22" s="36">
        <f>G4*H4</f>
        <v>22</v>
      </c>
    </row>
    <row r="23" spans="1:9" x14ac:dyDescent="0.3">
      <c r="A23" s="52"/>
      <c r="B23" s="53"/>
      <c r="C23" s="54"/>
      <c r="E23" s="35" t="s">
        <v>72</v>
      </c>
      <c r="F23" s="36">
        <f>F5*(G5*H5)</f>
        <v>0</v>
      </c>
      <c r="G23" s="58"/>
      <c r="H23" s="35" t="s">
        <v>79</v>
      </c>
      <c r="I23" s="36">
        <f>G5*H5</f>
        <v>0</v>
      </c>
    </row>
    <row r="24" spans="1:9" x14ac:dyDescent="0.3">
      <c r="A24" s="52"/>
      <c r="B24" s="53"/>
      <c r="C24" s="54"/>
      <c r="E24" s="35" t="s">
        <v>73</v>
      </c>
      <c r="F24" s="36">
        <f>F6*(G6*H6)</f>
        <v>0</v>
      </c>
      <c r="G24" s="58"/>
      <c r="H24" s="35" t="s">
        <v>80</v>
      </c>
      <c r="I24" s="36">
        <f>G6*H6</f>
        <v>0</v>
      </c>
    </row>
    <row r="25" spans="1:9" x14ac:dyDescent="0.3">
      <c r="A25" s="52"/>
      <c r="B25" s="53"/>
      <c r="C25" s="54"/>
      <c r="E25" s="35" t="s">
        <v>74</v>
      </c>
      <c r="F25" s="36">
        <f>F7*(G7*H7)</f>
        <v>0</v>
      </c>
      <c r="G25" s="58"/>
      <c r="H25" s="35" t="s">
        <v>81</v>
      </c>
      <c r="I25" s="36">
        <f>G7*H7</f>
        <v>0</v>
      </c>
    </row>
    <row r="26" spans="1:9" ht="15" thickBot="1" x14ac:dyDescent="0.35">
      <c r="A26" s="52"/>
      <c r="B26" s="53"/>
      <c r="C26" s="54"/>
      <c r="E26" s="45" t="s">
        <v>75</v>
      </c>
      <c r="F26" s="46">
        <f>F8*(G8*H8)</f>
        <v>0</v>
      </c>
      <c r="G26" s="58"/>
      <c r="H26" s="45" t="s">
        <v>82</v>
      </c>
      <c r="I26" s="46">
        <f>G8*H8</f>
        <v>0</v>
      </c>
    </row>
    <row r="27" spans="1:9" ht="15" thickBot="1" x14ac:dyDescent="0.35">
      <c r="A27" s="52"/>
      <c r="B27" s="53"/>
      <c r="C27" s="54"/>
      <c r="E27" s="47" t="s">
        <v>76</v>
      </c>
      <c r="F27" s="48">
        <f>SUM(F22:F26)</f>
        <v>22</v>
      </c>
      <c r="G27" s="58"/>
      <c r="H27" s="47" t="s">
        <v>83</v>
      </c>
      <c r="I27" s="48">
        <f>SUM(I22:I26)</f>
        <v>22</v>
      </c>
    </row>
    <row r="28" spans="1:9" x14ac:dyDescent="0.3">
      <c r="A28" s="52"/>
      <c r="B28" s="53"/>
      <c r="C28" s="54"/>
      <c r="E28" s="52"/>
      <c r="F28" s="53"/>
      <c r="G28" s="53"/>
      <c r="H28" s="53"/>
      <c r="I28" s="54"/>
    </row>
    <row r="29" spans="1:9" x14ac:dyDescent="0.3">
      <c r="A29" s="52"/>
      <c r="B29" s="53"/>
      <c r="C29" s="54"/>
      <c r="E29" s="52"/>
      <c r="F29" s="53"/>
      <c r="G29" s="53"/>
      <c r="H29" s="53"/>
      <c r="I29" s="54"/>
    </row>
    <row r="30" spans="1:9" ht="15" thickBot="1" x14ac:dyDescent="0.35">
      <c r="A30" s="52"/>
      <c r="B30" s="53"/>
      <c r="C30" s="54"/>
      <c r="E30" s="55"/>
      <c r="F30" s="49"/>
      <c r="G30" s="49"/>
      <c r="H30" s="49"/>
      <c r="I30" s="56"/>
    </row>
    <row r="31" spans="1:9" ht="15" thickBot="1" x14ac:dyDescent="0.35">
      <c r="A31" s="52"/>
      <c r="B31" s="53"/>
      <c r="C31" s="54"/>
      <c r="E31" s="52"/>
      <c r="F31" s="53"/>
      <c r="G31" s="53"/>
      <c r="H31" s="53"/>
      <c r="I31" s="54"/>
    </row>
    <row r="32" spans="1:9" ht="15" thickBot="1" x14ac:dyDescent="0.35">
      <c r="A32" s="52"/>
      <c r="B32" s="53"/>
      <c r="C32" s="54"/>
      <c r="E32" s="52"/>
      <c r="F32" s="53"/>
      <c r="G32" s="53"/>
      <c r="H32" s="26" t="s">
        <v>87</v>
      </c>
      <c r="I32" s="27">
        <v>0</v>
      </c>
    </row>
    <row r="33" spans="1:9" ht="15" thickBot="1" x14ac:dyDescent="0.35">
      <c r="A33" s="52"/>
      <c r="B33" s="53"/>
      <c r="C33" s="54"/>
      <c r="E33" s="44" t="s">
        <v>84</v>
      </c>
      <c r="F33" s="63">
        <f>((I32/30)+(I33/80))*(1/15)*0.5</f>
        <v>0</v>
      </c>
      <c r="G33" s="53"/>
      <c r="H33" s="21" t="s">
        <v>88</v>
      </c>
      <c r="I33" s="23">
        <v>0</v>
      </c>
    </row>
    <row r="34" spans="1:9" x14ac:dyDescent="0.3">
      <c r="A34" s="52"/>
      <c r="B34" s="53"/>
      <c r="C34" s="54"/>
      <c r="E34" s="52"/>
      <c r="F34" s="53"/>
      <c r="G34" s="53"/>
      <c r="H34" s="53"/>
      <c r="I34" s="54"/>
    </row>
    <row r="35" spans="1:9" ht="15" thickBot="1" x14ac:dyDescent="0.35">
      <c r="A35" s="52"/>
      <c r="B35" s="53"/>
      <c r="C35" s="54"/>
      <c r="E35" s="55"/>
      <c r="F35" s="49"/>
      <c r="G35" s="49"/>
      <c r="H35" s="49"/>
      <c r="I35" s="56"/>
    </row>
    <row r="36" spans="1:9" x14ac:dyDescent="0.3">
      <c r="A36" s="52"/>
      <c r="B36" s="53"/>
      <c r="C36" s="54"/>
      <c r="E36" s="52"/>
      <c r="F36" s="53"/>
      <c r="G36" s="53"/>
      <c r="H36" s="53"/>
      <c r="I36" s="54"/>
    </row>
    <row r="37" spans="1:9" ht="15" thickBot="1" x14ac:dyDescent="0.35">
      <c r="A37" s="52"/>
      <c r="B37" s="53"/>
      <c r="C37" s="54"/>
      <c r="E37" s="52"/>
      <c r="F37" s="53"/>
      <c r="G37" s="53"/>
      <c r="H37" s="53"/>
      <c r="I37" s="54"/>
    </row>
    <row r="38" spans="1:9" ht="15" thickBot="1" x14ac:dyDescent="0.35">
      <c r="A38" s="52"/>
      <c r="B38" s="53"/>
      <c r="C38" s="54"/>
      <c r="E38" s="61" t="s">
        <v>86</v>
      </c>
      <c r="F38" s="62">
        <f>B5/100*40</f>
        <v>4</v>
      </c>
      <c r="G38" s="53"/>
      <c r="H38" s="53"/>
      <c r="I38" s="54"/>
    </row>
    <row r="39" spans="1:9" x14ac:dyDescent="0.3">
      <c r="A39" s="52"/>
      <c r="B39" s="53"/>
      <c r="C39" s="54"/>
      <c r="E39" s="52"/>
      <c r="F39" s="53"/>
      <c r="G39" s="53"/>
      <c r="H39" s="53"/>
      <c r="I39" s="54"/>
    </row>
    <row r="40" spans="1:9" x14ac:dyDescent="0.3">
      <c r="A40" s="52"/>
      <c r="B40" s="53"/>
      <c r="C40" s="54"/>
      <c r="E40" s="52"/>
      <c r="F40" s="53"/>
      <c r="G40" s="53"/>
      <c r="H40" s="53"/>
      <c r="I40" s="54"/>
    </row>
    <row r="41" spans="1:9" x14ac:dyDescent="0.3">
      <c r="A41" s="52"/>
      <c r="B41" s="53"/>
      <c r="C41" s="54"/>
      <c r="E41" s="52"/>
      <c r="F41" s="53"/>
      <c r="G41" s="53"/>
      <c r="H41" s="53"/>
      <c r="I41" s="54"/>
    </row>
    <row r="42" spans="1:9" ht="15" thickBot="1" x14ac:dyDescent="0.35">
      <c r="A42" s="55"/>
      <c r="B42" s="49"/>
      <c r="C42" s="56"/>
      <c r="E42" s="55"/>
      <c r="F42" s="49"/>
      <c r="G42" s="49"/>
      <c r="H42" s="49"/>
      <c r="I42" s="56"/>
    </row>
  </sheetData>
  <mergeCells count="2">
    <mergeCell ref="A1:B2"/>
    <mergeCell ref="E1:H2"/>
  </mergeCells>
  <conditionalFormatting sqref="B4">
    <cfRule type="colorScale" priority="1">
      <colorScale>
        <cfvo type="min"/>
        <cfvo type="num" val="55"/>
        <color theme="9"/>
        <color rgb="FFFF0000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3A51-A7FD-4ED7-B438-FE14AA3DE511}">
  <dimension ref="A1:J42"/>
  <sheetViews>
    <sheetView workbookViewId="0">
      <selection activeCell="G9" sqref="G9"/>
    </sheetView>
  </sheetViews>
  <sheetFormatPr defaultColWidth="11.5546875" defaultRowHeight="14.4" x14ac:dyDescent="0.3"/>
  <cols>
    <col min="1" max="1" width="28.5546875" customWidth="1"/>
    <col min="2" max="2" width="19.44140625" customWidth="1"/>
    <col min="3" max="3" width="22.33203125" customWidth="1"/>
    <col min="4" max="4" width="1.6640625" customWidth="1"/>
    <col min="5" max="5" width="22.5546875" customWidth="1"/>
    <col min="6" max="6" width="22" customWidth="1"/>
    <col min="7" max="7" width="22.6640625" customWidth="1"/>
    <col min="8" max="8" width="22.88671875" customWidth="1"/>
    <col min="9" max="9" width="23" customWidth="1"/>
    <col min="10" max="10" width="19.33203125" customWidth="1"/>
  </cols>
  <sheetData>
    <row r="1" spans="1:10" x14ac:dyDescent="0.3">
      <c r="A1" s="167" t="s">
        <v>52</v>
      </c>
      <c r="B1" s="168"/>
      <c r="C1" s="50"/>
      <c r="D1" s="3"/>
      <c r="E1" s="138" t="s">
        <v>55</v>
      </c>
      <c r="F1" s="139"/>
      <c r="G1" s="139"/>
      <c r="H1" s="140"/>
      <c r="I1" s="57"/>
      <c r="J1" s="3"/>
    </row>
    <row r="2" spans="1:10" ht="15" thickBot="1" x14ac:dyDescent="0.35">
      <c r="A2" s="169"/>
      <c r="B2" s="170"/>
      <c r="C2" s="51"/>
      <c r="D2" s="3"/>
      <c r="E2" s="141"/>
      <c r="F2" s="142"/>
      <c r="G2" s="142"/>
      <c r="H2" s="143"/>
      <c r="I2" s="54"/>
      <c r="J2" s="3"/>
    </row>
    <row r="3" spans="1:10" x14ac:dyDescent="0.3">
      <c r="A3" s="64" t="s">
        <v>53</v>
      </c>
      <c r="B3" s="65" t="s">
        <v>111</v>
      </c>
      <c r="C3" s="54"/>
      <c r="E3" s="17" t="s">
        <v>14</v>
      </c>
      <c r="F3" s="16" t="s">
        <v>56</v>
      </c>
      <c r="G3" s="16" t="s">
        <v>57</v>
      </c>
      <c r="H3" s="18" t="s">
        <v>58</v>
      </c>
      <c r="I3" s="54"/>
    </row>
    <row r="4" spans="1:10" x14ac:dyDescent="0.3">
      <c r="A4" s="66" t="s">
        <v>54</v>
      </c>
      <c r="B4" s="67">
        <f>SUM(F12,F33,F38)</f>
        <v>40</v>
      </c>
      <c r="C4" s="54"/>
      <c r="E4" s="19"/>
      <c r="F4" s="15">
        <v>0</v>
      </c>
      <c r="G4" s="15">
        <v>0</v>
      </c>
      <c r="H4" s="20">
        <v>0</v>
      </c>
      <c r="I4" s="54"/>
    </row>
    <row r="5" spans="1:10" x14ac:dyDescent="0.3">
      <c r="A5" s="66" t="s">
        <v>85</v>
      </c>
      <c r="B5" s="68">
        <v>100</v>
      </c>
      <c r="C5" s="54"/>
      <c r="E5" s="19"/>
      <c r="F5" s="15">
        <f>_xlfn.XLOOKUP('CI - Katherine Chen'!E5,'Liste des Cours et Subventions'!D28:D41,'Liste des Cours et Subventions'!G28:G41,"ND",0,1)</f>
        <v>0</v>
      </c>
      <c r="G5" s="15">
        <f>_xlfn.XLOOKUP(E5,'Liste des Cours et Subventions'!D28:D41,'Liste des Cours et Subventions'!E28:E41,"ND",0,1)</f>
        <v>0</v>
      </c>
      <c r="H5" s="20">
        <f>_xlfn.XLOOKUP(E5,'Liste des Cours et Subventions'!D28:D41,'Liste des Cours et Subventions'!F28:F41,"ND",0,1)</f>
        <v>0</v>
      </c>
      <c r="I5" s="54"/>
    </row>
    <row r="6" spans="1:10" x14ac:dyDescent="0.3">
      <c r="A6" s="52"/>
      <c r="B6" s="53"/>
      <c r="C6" s="54"/>
      <c r="E6" s="19"/>
      <c r="F6" s="15">
        <f>_xlfn.XLOOKUP('CI - Katherine Chen'!E6,'Liste des Cours et Subventions'!D29:D42,'Liste des Cours et Subventions'!G29:G42,"ND",0,1)</f>
        <v>0</v>
      </c>
      <c r="G6" s="15">
        <f>_xlfn.XLOOKUP(E6,'Liste des Cours et Subventions'!D29:D42,'Liste des Cours et Subventions'!E29:E42,"ND",0,1)</f>
        <v>0</v>
      </c>
      <c r="H6" s="20">
        <f>_xlfn.XLOOKUP(E6,'Liste des Cours et Subventions'!D29:D42,'Liste des Cours et Subventions'!F29:F42,"ND",0,1)</f>
        <v>0</v>
      </c>
      <c r="I6" s="54"/>
    </row>
    <row r="7" spans="1:10" x14ac:dyDescent="0.3">
      <c r="A7" s="52"/>
      <c r="B7" s="53"/>
      <c r="C7" s="54"/>
      <c r="E7" s="19"/>
      <c r="F7" s="15">
        <f>_xlfn.XLOOKUP('CI - Katherine Chen'!E7,'Liste des Cours et Subventions'!D30:D43,'Liste des Cours et Subventions'!G30:G43,"ND",0,1)</f>
        <v>0</v>
      </c>
      <c r="G7" s="15">
        <f>_xlfn.XLOOKUP(E7,'Liste des Cours et Subventions'!D30:D43,'Liste des Cours et Subventions'!E30:E43,"ND",0,1)</f>
        <v>0</v>
      </c>
      <c r="H7" s="20">
        <f>_xlfn.XLOOKUP(E7,'Liste des Cours et Subventions'!D30:D43,'Liste des Cours et Subventions'!F30:F43,"ND",0,1)</f>
        <v>0</v>
      </c>
      <c r="I7" s="54"/>
    </row>
    <row r="8" spans="1:10" ht="15" thickBot="1" x14ac:dyDescent="0.35">
      <c r="A8" s="52"/>
      <c r="B8" s="53"/>
      <c r="C8" s="54"/>
      <c r="E8" s="21"/>
      <c r="F8" s="15">
        <f>_xlfn.XLOOKUP('CI - Katherine Chen'!E8,'Liste des Cours et Subventions'!D31:D44,'Liste des Cours et Subventions'!G31:G44,"ND",0,1)</f>
        <v>0</v>
      </c>
      <c r="G8" s="15">
        <f>_xlfn.XLOOKUP(E8,'Liste des Cours et Subventions'!D31:D44,'Liste des Cours et Subventions'!E31:E44,"ND",0,1)</f>
        <v>0</v>
      </c>
      <c r="H8" s="20">
        <f>_xlfn.XLOOKUP(E8,'Liste des Cours et Subventions'!D31:D44,'Liste des Cours et Subventions'!F31:F44,"ND",0,1)</f>
        <v>0</v>
      </c>
      <c r="I8" s="54"/>
    </row>
    <row r="9" spans="1:10" x14ac:dyDescent="0.3">
      <c r="A9" s="52"/>
      <c r="B9" s="53"/>
      <c r="C9" s="54"/>
      <c r="E9" s="52"/>
      <c r="F9" s="53"/>
      <c r="G9" s="53"/>
      <c r="H9" s="53"/>
      <c r="I9" s="54"/>
    </row>
    <row r="10" spans="1:10" ht="15" thickBot="1" x14ac:dyDescent="0.35">
      <c r="A10" s="52"/>
      <c r="B10" s="53"/>
      <c r="C10" s="54"/>
      <c r="E10" s="55"/>
      <c r="F10" s="49"/>
      <c r="G10" s="49"/>
      <c r="H10" s="49"/>
      <c r="I10" s="56"/>
    </row>
    <row r="11" spans="1:10" ht="15" thickBot="1" x14ac:dyDescent="0.35">
      <c r="A11" s="52"/>
      <c r="B11" s="53"/>
      <c r="C11" s="54"/>
      <c r="E11" s="52"/>
      <c r="F11" s="53"/>
      <c r="G11" s="53"/>
      <c r="H11" s="53"/>
      <c r="I11" s="54"/>
    </row>
    <row r="12" spans="1:10" ht="15" thickBot="1" x14ac:dyDescent="0.35">
      <c r="A12" s="52"/>
      <c r="B12" s="53"/>
      <c r="C12" s="54"/>
      <c r="E12" s="44" t="s">
        <v>59</v>
      </c>
      <c r="F12" s="43">
        <f>F14+(I14*1.2)+F21+I21</f>
        <v>0</v>
      </c>
      <c r="G12" s="58"/>
      <c r="H12" s="58"/>
      <c r="I12" s="59"/>
    </row>
    <row r="13" spans="1:10" ht="15" thickBot="1" x14ac:dyDescent="0.35">
      <c r="A13" s="52"/>
      <c r="B13" s="53"/>
      <c r="C13" s="54"/>
      <c r="E13" s="60"/>
      <c r="F13" s="58"/>
      <c r="G13" s="58"/>
      <c r="H13" s="58"/>
      <c r="I13" s="59"/>
    </row>
    <row r="14" spans="1:10" ht="15" thickBot="1" x14ac:dyDescent="0.35">
      <c r="A14" s="52"/>
      <c r="B14" s="53"/>
      <c r="C14" s="54"/>
      <c r="E14" s="31" t="s">
        <v>60</v>
      </c>
      <c r="F14" s="32">
        <f>PRODUCT(F16,F17)</f>
        <v>0</v>
      </c>
      <c r="G14" s="58"/>
      <c r="H14" s="30" t="s">
        <v>64</v>
      </c>
      <c r="I14" s="32">
        <f>SUM(I15:I19)</f>
        <v>0</v>
      </c>
    </row>
    <row r="15" spans="1:10" x14ac:dyDescent="0.3">
      <c r="A15" s="52"/>
      <c r="B15" s="53"/>
      <c r="C15" s="54"/>
      <c r="E15" s="33" t="s">
        <v>61</v>
      </c>
      <c r="F15" s="34">
        <f>COUNT(F4:F5)</f>
        <v>2</v>
      </c>
      <c r="G15" s="58"/>
      <c r="H15" s="33" t="s">
        <v>65</v>
      </c>
      <c r="I15" s="34">
        <f>G4*G4</f>
        <v>0</v>
      </c>
    </row>
    <row r="16" spans="1:10" x14ac:dyDescent="0.3">
      <c r="A16" s="52"/>
      <c r="B16" s="53"/>
      <c r="C16" s="54"/>
      <c r="E16" s="35" t="s">
        <v>62</v>
      </c>
      <c r="F16" s="36" cm="1">
        <f t="array" ref="F16">_xlfn.IFS(F15&lt;=2,0.9,F15=3,1.1,F15&gt;=4,1.75)</f>
        <v>0.9</v>
      </c>
      <c r="G16" s="58"/>
      <c r="H16" s="35" t="s">
        <v>66</v>
      </c>
      <c r="I16" s="36">
        <f>F5*G5</f>
        <v>0</v>
      </c>
    </row>
    <row r="17" spans="1:9" ht="15" thickBot="1" x14ac:dyDescent="0.35">
      <c r="A17" s="52"/>
      <c r="B17" s="53"/>
      <c r="C17" s="54"/>
      <c r="E17" s="37" t="s">
        <v>63</v>
      </c>
      <c r="F17" s="38">
        <f>SUM(G4:G9)</f>
        <v>0</v>
      </c>
      <c r="G17" s="58"/>
      <c r="H17" s="35" t="s">
        <v>67</v>
      </c>
      <c r="I17" s="36">
        <f>F6*G6</f>
        <v>0</v>
      </c>
    </row>
    <row r="18" spans="1:9" x14ac:dyDescent="0.3">
      <c r="A18" s="52"/>
      <c r="B18" s="53"/>
      <c r="C18" s="54"/>
      <c r="E18" s="60"/>
      <c r="F18" s="58"/>
      <c r="G18" s="58"/>
      <c r="H18" s="35" t="s">
        <v>68</v>
      </c>
      <c r="I18" s="36">
        <f>F7*G7</f>
        <v>0</v>
      </c>
    </row>
    <row r="19" spans="1:9" ht="15" thickBot="1" x14ac:dyDescent="0.35">
      <c r="A19" s="52"/>
      <c r="B19" s="53"/>
      <c r="C19" s="54"/>
      <c r="E19" s="60"/>
      <c r="F19" s="58"/>
      <c r="G19" s="58"/>
      <c r="H19" s="37" t="s">
        <v>69</v>
      </c>
      <c r="I19" s="38">
        <f>F8*G8</f>
        <v>0</v>
      </c>
    </row>
    <row r="20" spans="1:9" ht="15" thickBot="1" x14ac:dyDescent="0.35">
      <c r="A20" s="52"/>
      <c r="B20" s="53"/>
      <c r="C20" s="54"/>
      <c r="E20" s="60"/>
      <c r="F20" s="58"/>
      <c r="G20" s="58"/>
      <c r="H20" s="58"/>
      <c r="I20" s="59"/>
    </row>
    <row r="21" spans="1:9" ht="15" thickBot="1" x14ac:dyDescent="0.35">
      <c r="A21" s="52"/>
      <c r="B21" s="53"/>
      <c r="C21" s="54"/>
      <c r="E21" s="30" t="s">
        <v>70</v>
      </c>
      <c r="F21" s="28">
        <f>IF(F27&lt;415,F27*0.04,F27*0.04+(F27-415)*0.07)</f>
        <v>0</v>
      </c>
      <c r="G21" s="58"/>
      <c r="H21" s="39" t="s">
        <v>77</v>
      </c>
      <c r="I21" s="40" cm="1">
        <f t="array" ref="I21">_xlfn.IFS(I27&gt;=ET75*(I27&lt;160),I27*0.01,I27&gt;=160,I27*0.01+((I27-160)*(I27-160))*0.01,I27&lt;75,0)</f>
        <v>0</v>
      </c>
    </row>
    <row r="22" spans="1:9" x14ac:dyDescent="0.3">
      <c r="A22" s="52"/>
      <c r="B22" s="53"/>
      <c r="C22" s="54"/>
      <c r="E22" s="41" t="s">
        <v>71</v>
      </c>
      <c r="F22" s="42">
        <f>G4*(G4*H4)</f>
        <v>0</v>
      </c>
      <c r="G22" s="58"/>
      <c r="H22" s="35" t="s">
        <v>78</v>
      </c>
      <c r="I22" s="36">
        <f>G4*H4</f>
        <v>0</v>
      </c>
    </row>
    <row r="23" spans="1:9" x14ac:dyDescent="0.3">
      <c r="A23" s="52"/>
      <c r="B23" s="53"/>
      <c r="C23" s="54"/>
      <c r="E23" s="35" t="s">
        <v>72</v>
      </c>
      <c r="F23" s="36">
        <f>F5*(G5*H5)</f>
        <v>0</v>
      </c>
      <c r="G23" s="58"/>
      <c r="H23" s="35" t="s">
        <v>79</v>
      </c>
      <c r="I23" s="36">
        <f>G5*H5</f>
        <v>0</v>
      </c>
    </row>
    <row r="24" spans="1:9" x14ac:dyDescent="0.3">
      <c r="A24" s="52"/>
      <c r="B24" s="53"/>
      <c r="C24" s="54"/>
      <c r="E24" s="35" t="s">
        <v>73</v>
      </c>
      <c r="F24" s="36">
        <f>F6*(G6*H6)</f>
        <v>0</v>
      </c>
      <c r="G24" s="58"/>
      <c r="H24" s="35" t="s">
        <v>80</v>
      </c>
      <c r="I24" s="36">
        <f>G6*H6</f>
        <v>0</v>
      </c>
    </row>
    <row r="25" spans="1:9" x14ac:dyDescent="0.3">
      <c r="A25" s="52"/>
      <c r="B25" s="53"/>
      <c r="C25" s="54"/>
      <c r="E25" s="35" t="s">
        <v>74</v>
      </c>
      <c r="F25" s="36">
        <f>F7*(G7*H7)</f>
        <v>0</v>
      </c>
      <c r="G25" s="58"/>
      <c r="H25" s="35" t="s">
        <v>81</v>
      </c>
      <c r="I25" s="36">
        <f>G7*H7</f>
        <v>0</v>
      </c>
    </row>
    <row r="26" spans="1:9" ht="15" thickBot="1" x14ac:dyDescent="0.35">
      <c r="A26" s="52"/>
      <c r="B26" s="53"/>
      <c r="C26" s="54"/>
      <c r="E26" s="45" t="s">
        <v>75</v>
      </c>
      <c r="F26" s="46">
        <f>F8*(G8*H8)</f>
        <v>0</v>
      </c>
      <c r="G26" s="58"/>
      <c r="H26" s="45" t="s">
        <v>82</v>
      </c>
      <c r="I26" s="46">
        <f>G8*H8</f>
        <v>0</v>
      </c>
    </row>
    <row r="27" spans="1:9" ht="15" thickBot="1" x14ac:dyDescent="0.35">
      <c r="A27" s="52"/>
      <c r="B27" s="53"/>
      <c r="C27" s="54"/>
      <c r="E27" s="47" t="s">
        <v>76</v>
      </c>
      <c r="F27" s="48">
        <f>SUM(F22:F26)</f>
        <v>0</v>
      </c>
      <c r="G27" s="58"/>
      <c r="H27" s="47" t="s">
        <v>83</v>
      </c>
      <c r="I27" s="48">
        <f>SUM(I22:I26)</f>
        <v>0</v>
      </c>
    </row>
    <row r="28" spans="1:9" x14ac:dyDescent="0.3">
      <c r="A28" s="52"/>
      <c r="B28" s="53"/>
      <c r="C28" s="54"/>
      <c r="E28" s="52"/>
      <c r="F28" s="53"/>
      <c r="G28" s="53"/>
      <c r="H28" s="53"/>
      <c r="I28" s="54"/>
    </row>
    <row r="29" spans="1:9" x14ac:dyDescent="0.3">
      <c r="A29" s="52"/>
      <c r="B29" s="53"/>
      <c r="C29" s="54"/>
      <c r="E29" s="52"/>
      <c r="F29" s="53"/>
      <c r="G29" s="53"/>
      <c r="H29" s="53"/>
      <c r="I29" s="54"/>
    </row>
    <row r="30" spans="1:9" ht="15" thickBot="1" x14ac:dyDescent="0.35">
      <c r="A30" s="52"/>
      <c r="B30" s="53"/>
      <c r="C30" s="54"/>
      <c r="E30" s="55"/>
      <c r="F30" s="49"/>
      <c r="G30" s="49"/>
      <c r="H30" s="49"/>
      <c r="I30" s="56"/>
    </row>
    <row r="31" spans="1:9" ht="15" thickBot="1" x14ac:dyDescent="0.35">
      <c r="A31" s="52"/>
      <c r="B31" s="53"/>
      <c r="C31" s="54"/>
      <c r="E31" s="52"/>
      <c r="F31" s="53"/>
      <c r="G31" s="53"/>
      <c r="H31" s="53"/>
      <c r="I31" s="54"/>
    </row>
    <row r="32" spans="1:9" ht="15" thickBot="1" x14ac:dyDescent="0.35">
      <c r="A32" s="52"/>
      <c r="B32" s="53"/>
      <c r="C32" s="54"/>
      <c r="E32" s="52"/>
      <c r="F32" s="53"/>
      <c r="G32" s="53"/>
      <c r="H32" s="26" t="s">
        <v>87</v>
      </c>
      <c r="I32" s="27">
        <v>0</v>
      </c>
    </row>
    <row r="33" spans="1:9" ht="15" thickBot="1" x14ac:dyDescent="0.35">
      <c r="A33" s="52"/>
      <c r="B33" s="53"/>
      <c r="C33" s="54"/>
      <c r="E33" s="44" t="s">
        <v>84</v>
      </c>
      <c r="F33" s="63">
        <f>((I32/30)+(I33/80))*(1/15)*0.5</f>
        <v>0</v>
      </c>
      <c r="G33" s="53"/>
      <c r="H33" s="21" t="s">
        <v>88</v>
      </c>
      <c r="I33" s="23">
        <v>0</v>
      </c>
    </row>
    <row r="34" spans="1:9" x14ac:dyDescent="0.3">
      <c r="A34" s="52"/>
      <c r="B34" s="53"/>
      <c r="C34" s="54"/>
      <c r="E34" s="52"/>
      <c r="F34" s="53"/>
      <c r="G34" s="53"/>
      <c r="H34" s="53"/>
      <c r="I34" s="54"/>
    </row>
    <row r="35" spans="1:9" ht="15" thickBot="1" x14ac:dyDescent="0.35">
      <c r="A35" s="52"/>
      <c r="B35" s="53"/>
      <c r="C35" s="54"/>
      <c r="E35" s="55"/>
      <c r="F35" s="49"/>
      <c r="G35" s="49"/>
      <c r="H35" s="49"/>
      <c r="I35" s="56"/>
    </row>
    <row r="36" spans="1:9" x14ac:dyDescent="0.3">
      <c r="A36" s="52"/>
      <c r="B36" s="53"/>
      <c r="C36" s="54"/>
      <c r="E36" s="52"/>
      <c r="F36" s="53"/>
      <c r="G36" s="53"/>
      <c r="H36" s="53"/>
      <c r="I36" s="54"/>
    </row>
    <row r="37" spans="1:9" ht="15" thickBot="1" x14ac:dyDescent="0.35">
      <c r="A37" s="52"/>
      <c r="B37" s="53"/>
      <c r="C37" s="54"/>
      <c r="E37" s="52"/>
      <c r="F37" s="53"/>
      <c r="G37" s="53"/>
      <c r="H37" s="53"/>
      <c r="I37" s="54"/>
    </row>
    <row r="38" spans="1:9" ht="15" thickBot="1" x14ac:dyDescent="0.35">
      <c r="A38" s="52"/>
      <c r="B38" s="53"/>
      <c r="C38" s="54"/>
      <c r="E38" s="61" t="s">
        <v>86</v>
      </c>
      <c r="F38" s="62">
        <f>B5/100*40</f>
        <v>40</v>
      </c>
      <c r="G38" s="53"/>
      <c r="H38" s="53"/>
      <c r="I38" s="54"/>
    </row>
    <row r="39" spans="1:9" x14ac:dyDescent="0.3">
      <c r="A39" s="52"/>
      <c r="B39" s="53"/>
      <c r="C39" s="54"/>
      <c r="E39" s="52"/>
      <c r="F39" s="53"/>
      <c r="G39" s="53"/>
      <c r="H39" s="53"/>
      <c r="I39" s="54"/>
    </row>
    <row r="40" spans="1:9" x14ac:dyDescent="0.3">
      <c r="A40" s="52"/>
      <c r="B40" s="53"/>
      <c r="C40" s="54"/>
      <c r="E40" s="52"/>
      <c r="F40" s="53"/>
      <c r="G40" s="53"/>
      <c r="H40" s="53"/>
      <c r="I40" s="54"/>
    </row>
    <row r="41" spans="1:9" x14ac:dyDescent="0.3">
      <c r="A41" s="52"/>
      <c r="B41" s="53"/>
      <c r="C41" s="54"/>
      <c r="E41" s="52"/>
      <c r="F41" s="53"/>
      <c r="G41" s="53"/>
      <c r="H41" s="53"/>
      <c r="I41" s="54"/>
    </row>
    <row r="42" spans="1:9" ht="15" thickBot="1" x14ac:dyDescent="0.35">
      <c r="A42" s="55"/>
      <c r="B42" s="49"/>
      <c r="C42" s="56"/>
      <c r="E42" s="55"/>
      <c r="F42" s="49"/>
      <c r="G42" s="49"/>
      <c r="H42" s="49"/>
      <c r="I42" s="56"/>
    </row>
  </sheetData>
  <mergeCells count="2">
    <mergeCell ref="A1:B2"/>
    <mergeCell ref="E1:H2"/>
  </mergeCells>
  <conditionalFormatting sqref="B4">
    <cfRule type="colorScale" priority="1">
      <colorScale>
        <cfvo type="min"/>
        <cfvo type="num" val="55"/>
        <color theme="9"/>
        <color rgb="FFFF0000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21A6-08CE-43A9-B504-AEA5A4EE9FB0}">
  <dimension ref="A1:J42"/>
  <sheetViews>
    <sheetView workbookViewId="0">
      <selection activeCell="G5" sqref="G5"/>
    </sheetView>
  </sheetViews>
  <sheetFormatPr defaultColWidth="11.5546875" defaultRowHeight="14.4" x14ac:dyDescent="0.3"/>
  <cols>
    <col min="1" max="1" width="28.5546875" customWidth="1"/>
    <col min="2" max="2" width="19.44140625" customWidth="1"/>
    <col min="3" max="3" width="22.33203125" customWidth="1"/>
    <col min="4" max="4" width="1.6640625" customWidth="1"/>
    <col min="5" max="5" width="22.5546875" customWidth="1"/>
    <col min="6" max="6" width="22" customWidth="1"/>
    <col min="7" max="7" width="22.6640625" customWidth="1"/>
    <col min="8" max="8" width="22.88671875" customWidth="1"/>
    <col min="9" max="9" width="23" customWidth="1"/>
    <col min="10" max="10" width="19.33203125" customWidth="1"/>
  </cols>
  <sheetData>
    <row r="1" spans="1:10" x14ac:dyDescent="0.3">
      <c r="A1" s="167" t="s">
        <v>52</v>
      </c>
      <c r="B1" s="168"/>
      <c r="C1" s="50"/>
      <c r="D1" s="3"/>
      <c r="E1" s="138" t="s">
        <v>55</v>
      </c>
      <c r="F1" s="139"/>
      <c r="G1" s="139"/>
      <c r="H1" s="140"/>
      <c r="I1" s="57"/>
      <c r="J1" s="3"/>
    </row>
    <row r="2" spans="1:10" ht="15" thickBot="1" x14ac:dyDescent="0.35">
      <c r="A2" s="169"/>
      <c r="B2" s="170"/>
      <c r="C2" s="51"/>
      <c r="D2" s="3"/>
      <c r="E2" s="141"/>
      <c r="F2" s="142"/>
      <c r="G2" s="142"/>
      <c r="H2" s="143"/>
      <c r="I2" s="54"/>
      <c r="J2" s="3"/>
    </row>
    <row r="3" spans="1:10" x14ac:dyDescent="0.3">
      <c r="A3" s="64" t="s">
        <v>53</v>
      </c>
      <c r="B3" s="65" t="s">
        <v>97</v>
      </c>
      <c r="C3" s="54"/>
      <c r="E3" s="17" t="s">
        <v>14</v>
      </c>
      <c r="F3" s="16" t="s">
        <v>56</v>
      </c>
      <c r="G3" s="16" t="s">
        <v>57</v>
      </c>
      <c r="H3" s="18" t="s">
        <v>58</v>
      </c>
      <c r="I3" s="54"/>
    </row>
    <row r="4" spans="1:10" x14ac:dyDescent="0.3">
      <c r="A4" s="66" t="s">
        <v>54</v>
      </c>
      <c r="B4" s="67">
        <f>SUM(F12,F33,F38)</f>
        <v>9.3000000000000007</v>
      </c>
      <c r="C4" s="54"/>
      <c r="E4" s="19" t="s">
        <v>28</v>
      </c>
      <c r="F4" s="15">
        <f>_xlfn.XLOOKUP('CI - Villandré Coutu'!E4,'Liste des Cours et Subventions'!D27:D40,'Liste des Cours et Subventions'!G27:G40,"ND",0,1)</f>
        <v>4</v>
      </c>
      <c r="G4" s="15">
        <v>2</v>
      </c>
      <c r="H4" s="20">
        <f>_xlfn.XLOOKUP(E4,'Liste des Cours et Subventions'!D27:D40,'Liste des Cours et Subventions'!F27:F40,"ND",0,1)</f>
        <v>15</v>
      </c>
      <c r="I4" s="54"/>
    </row>
    <row r="5" spans="1:10" x14ac:dyDescent="0.3">
      <c r="A5" s="66" t="s">
        <v>85</v>
      </c>
      <c r="B5" s="68">
        <v>0</v>
      </c>
      <c r="C5" s="54"/>
      <c r="E5" s="19"/>
      <c r="F5" s="15">
        <f>_xlfn.XLOOKUP('CI - Villandré Coutu'!E5,'Liste des Cours et Subventions'!D28:D41,'Liste des Cours et Subventions'!G28:G41,"ND",0,1)</f>
        <v>0</v>
      </c>
      <c r="G5" s="15">
        <f>_xlfn.XLOOKUP(E5,'Liste des Cours et Subventions'!D28:D41,'Liste des Cours et Subventions'!E28:E41,"ND",0,1)</f>
        <v>0</v>
      </c>
      <c r="H5" s="20">
        <f>_xlfn.XLOOKUP(E5,'Liste des Cours et Subventions'!D28:D41,'Liste des Cours et Subventions'!F28:F41,"ND",0,1)</f>
        <v>0</v>
      </c>
      <c r="I5" s="54"/>
    </row>
    <row r="6" spans="1:10" x14ac:dyDescent="0.3">
      <c r="A6" s="52"/>
      <c r="B6" s="53"/>
      <c r="C6" s="54"/>
      <c r="E6" s="19"/>
      <c r="F6" s="15">
        <f>_xlfn.XLOOKUP('CI - Villandré Coutu'!E6,'Liste des Cours et Subventions'!D29:D42,'Liste des Cours et Subventions'!G29:G42,"ND",0,1)</f>
        <v>0</v>
      </c>
      <c r="G6" s="15">
        <f>_xlfn.XLOOKUP(E6,'Liste des Cours et Subventions'!D29:D42,'Liste des Cours et Subventions'!E29:E42,"ND",0,1)</f>
        <v>0</v>
      </c>
      <c r="H6" s="20">
        <f>_xlfn.XLOOKUP(E6,'Liste des Cours et Subventions'!D29:D42,'Liste des Cours et Subventions'!F29:F42,"ND",0,1)</f>
        <v>0</v>
      </c>
      <c r="I6" s="54"/>
    </row>
    <row r="7" spans="1:10" x14ac:dyDescent="0.3">
      <c r="A7" s="52"/>
      <c r="B7" s="53"/>
      <c r="C7" s="54"/>
      <c r="E7" s="19"/>
      <c r="F7" s="15">
        <f>_xlfn.XLOOKUP('CI - Villandré Coutu'!E7,'Liste des Cours et Subventions'!D30:D43,'Liste des Cours et Subventions'!G30:G43,"ND",0,1)</f>
        <v>0</v>
      </c>
      <c r="G7" s="15">
        <f>_xlfn.XLOOKUP(E7,'Liste des Cours et Subventions'!D30:D43,'Liste des Cours et Subventions'!E30:E43,"ND",0,1)</f>
        <v>0</v>
      </c>
      <c r="H7" s="20">
        <f>_xlfn.XLOOKUP(E7,'Liste des Cours et Subventions'!D30:D43,'Liste des Cours et Subventions'!F30:F43,"ND",0,1)</f>
        <v>0</v>
      </c>
      <c r="I7" s="54"/>
    </row>
    <row r="8" spans="1:10" ht="15" thickBot="1" x14ac:dyDescent="0.35">
      <c r="A8" s="52"/>
      <c r="B8" s="53"/>
      <c r="C8" s="54"/>
      <c r="E8" s="21"/>
      <c r="F8" s="15">
        <f>_xlfn.XLOOKUP('CI - Villandré Coutu'!E8,'Liste des Cours et Subventions'!D31:D44,'Liste des Cours et Subventions'!G31:G44,"ND",0,1)</f>
        <v>0</v>
      </c>
      <c r="G8" s="15">
        <f>_xlfn.XLOOKUP(E8,'Liste des Cours et Subventions'!D31:D44,'Liste des Cours et Subventions'!E31:E44,"ND",0,1)</f>
        <v>0</v>
      </c>
      <c r="H8" s="20">
        <f>_xlfn.XLOOKUP(E8,'Liste des Cours et Subventions'!D31:D44,'Liste des Cours et Subventions'!F31:F44,"ND",0,1)</f>
        <v>0</v>
      </c>
      <c r="I8" s="54"/>
    </row>
    <row r="9" spans="1:10" x14ac:dyDescent="0.3">
      <c r="A9" s="52"/>
      <c r="B9" s="53"/>
      <c r="C9" s="54"/>
      <c r="E9" s="52"/>
      <c r="F9" s="53"/>
      <c r="G9" s="53"/>
      <c r="H9" s="53"/>
      <c r="I9" s="54"/>
    </row>
    <row r="10" spans="1:10" ht="15" thickBot="1" x14ac:dyDescent="0.35">
      <c r="A10" s="52"/>
      <c r="B10" s="53"/>
      <c r="C10" s="54"/>
      <c r="E10" s="55"/>
      <c r="F10" s="49"/>
      <c r="G10" s="49"/>
      <c r="H10" s="49"/>
      <c r="I10" s="56"/>
    </row>
    <row r="11" spans="1:10" ht="15" thickBot="1" x14ac:dyDescent="0.35">
      <c r="A11" s="52"/>
      <c r="B11" s="53"/>
      <c r="C11" s="54"/>
      <c r="E11" s="52"/>
      <c r="F11" s="53"/>
      <c r="G11" s="53"/>
      <c r="H11" s="53"/>
      <c r="I11" s="54"/>
    </row>
    <row r="12" spans="1:10" ht="15" thickBot="1" x14ac:dyDescent="0.35">
      <c r="A12" s="52"/>
      <c r="B12" s="53"/>
      <c r="C12" s="54"/>
      <c r="E12" s="44" t="s">
        <v>59</v>
      </c>
      <c r="F12" s="43">
        <f>F14+(I14*1.2)+F21+I21</f>
        <v>9.3000000000000007</v>
      </c>
      <c r="G12" s="58"/>
      <c r="H12" s="58"/>
      <c r="I12" s="59"/>
    </row>
    <row r="13" spans="1:10" ht="15" thickBot="1" x14ac:dyDescent="0.35">
      <c r="A13" s="52"/>
      <c r="B13" s="53"/>
      <c r="C13" s="54"/>
      <c r="E13" s="60"/>
      <c r="F13" s="58"/>
      <c r="G13" s="58"/>
      <c r="H13" s="58"/>
      <c r="I13" s="59"/>
    </row>
    <row r="14" spans="1:10" ht="15" thickBot="1" x14ac:dyDescent="0.35">
      <c r="A14" s="52"/>
      <c r="B14" s="53"/>
      <c r="C14" s="54"/>
      <c r="E14" s="31" t="s">
        <v>60</v>
      </c>
      <c r="F14" s="32">
        <f>PRODUCT(F16,F17)</f>
        <v>1.8</v>
      </c>
      <c r="G14" s="58"/>
      <c r="H14" s="30" t="s">
        <v>64</v>
      </c>
      <c r="I14" s="32">
        <f>SUM(I15:I19)</f>
        <v>4</v>
      </c>
    </row>
    <row r="15" spans="1:10" x14ac:dyDescent="0.3">
      <c r="A15" s="52"/>
      <c r="B15" s="53"/>
      <c r="C15" s="54"/>
      <c r="E15" s="33" t="s">
        <v>61</v>
      </c>
      <c r="F15" s="34">
        <f>COUNT(F4:F5)</f>
        <v>2</v>
      </c>
      <c r="G15" s="58"/>
      <c r="H15" s="33" t="s">
        <v>65</v>
      </c>
      <c r="I15" s="34">
        <f>G4*G4</f>
        <v>4</v>
      </c>
    </row>
    <row r="16" spans="1:10" x14ac:dyDescent="0.3">
      <c r="A16" s="52"/>
      <c r="B16" s="53"/>
      <c r="C16" s="54"/>
      <c r="E16" s="35" t="s">
        <v>62</v>
      </c>
      <c r="F16" s="36" cm="1">
        <f t="array" ref="F16">_xlfn.IFS(F15&lt;=2,0.9,F15=3,1.1,F15&gt;=4,1.75)</f>
        <v>0.9</v>
      </c>
      <c r="G16" s="58"/>
      <c r="H16" s="35" t="s">
        <v>66</v>
      </c>
      <c r="I16" s="36">
        <f>F5*G5</f>
        <v>0</v>
      </c>
    </row>
    <row r="17" spans="1:9" ht="15" thickBot="1" x14ac:dyDescent="0.35">
      <c r="A17" s="52"/>
      <c r="B17" s="53"/>
      <c r="C17" s="54"/>
      <c r="E17" s="37" t="s">
        <v>63</v>
      </c>
      <c r="F17" s="38">
        <f>SUM(G4:G9)</f>
        <v>2</v>
      </c>
      <c r="G17" s="58"/>
      <c r="H17" s="35" t="s">
        <v>67</v>
      </c>
      <c r="I17" s="36">
        <f>F6*G6</f>
        <v>0</v>
      </c>
    </row>
    <row r="18" spans="1:9" x14ac:dyDescent="0.3">
      <c r="A18" s="52"/>
      <c r="B18" s="53"/>
      <c r="C18" s="54"/>
      <c r="E18" s="60"/>
      <c r="F18" s="58"/>
      <c r="G18" s="58"/>
      <c r="H18" s="35" t="s">
        <v>68</v>
      </c>
      <c r="I18" s="36">
        <f>F7*G7</f>
        <v>0</v>
      </c>
    </row>
    <row r="19" spans="1:9" ht="15" thickBot="1" x14ac:dyDescent="0.35">
      <c r="A19" s="52"/>
      <c r="B19" s="53"/>
      <c r="C19" s="54"/>
      <c r="E19" s="60"/>
      <c r="F19" s="58"/>
      <c r="G19" s="58"/>
      <c r="H19" s="37" t="s">
        <v>69</v>
      </c>
      <c r="I19" s="38">
        <f>F8*G8</f>
        <v>0</v>
      </c>
    </row>
    <row r="20" spans="1:9" ht="15" thickBot="1" x14ac:dyDescent="0.35">
      <c r="A20" s="52"/>
      <c r="B20" s="53"/>
      <c r="C20" s="54"/>
      <c r="E20" s="60"/>
      <c r="F20" s="58"/>
      <c r="G20" s="58"/>
      <c r="H20" s="58"/>
      <c r="I20" s="59"/>
    </row>
    <row r="21" spans="1:9" ht="15" thickBot="1" x14ac:dyDescent="0.35">
      <c r="A21" s="52"/>
      <c r="B21" s="53"/>
      <c r="C21" s="54"/>
      <c r="E21" s="30" t="s">
        <v>70</v>
      </c>
      <c r="F21" s="28">
        <f>IF(F27&lt;415,F27*0.04,F27*0.04+(F27-415)*0.07)</f>
        <v>2.4</v>
      </c>
      <c r="G21" s="58"/>
      <c r="H21" s="39" t="s">
        <v>77</v>
      </c>
      <c r="I21" s="40" cm="1">
        <f t="array" ref="I21">_xlfn.IFS(I27&gt;=ET75*(I27&lt;160),I27*0.01,I27&gt;=160,I27*0.01+((I27-160)*(I27-160))*0.01,I27&lt;75,0)</f>
        <v>0.3</v>
      </c>
    </row>
    <row r="22" spans="1:9" x14ac:dyDescent="0.3">
      <c r="A22" s="52"/>
      <c r="B22" s="53"/>
      <c r="C22" s="54"/>
      <c r="E22" s="41" t="s">
        <v>71</v>
      </c>
      <c r="F22" s="42">
        <f>G4*(G4*H4)</f>
        <v>60</v>
      </c>
      <c r="G22" s="58"/>
      <c r="H22" s="35" t="s">
        <v>78</v>
      </c>
      <c r="I22" s="36">
        <f>G4*H4</f>
        <v>30</v>
      </c>
    </row>
    <row r="23" spans="1:9" x14ac:dyDescent="0.3">
      <c r="A23" s="52"/>
      <c r="B23" s="53"/>
      <c r="C23" s="54"/>
      <c r="E23" s="35" t="s">
        <v>72</v>
      </c>
      <c r="F23" s="36">
        <f>F5*(G5*H5)</f>
        <v>0</v>
      </c>
      <c r="G23" s="58"/>
      <c r="H23" s="35" t="s">
        <v>79</v>
      </c>
      <c r="I23" s="36">
        <f>G5*H5</f>
        <v>0</v>
      </c>
    </row>
    <row r="24" spans="1:9" x14ac:dyDescent="0.3">
      <c r="A24" s="52"/>
      <c r="B24" s="53"/>
      <c r="C24" s="54"/>
      <c r="E24" s="35" t="s">
        <v>73</v>
      </c>
      <c r="F24" s="36">
        <f>F6*(G6*H6)</f>
        <v>0</v>
      </c>
      <c r="G24" s="58"/>
      <c r="H24" s="35" t="s">
        <v>80</v>
      </c>
      <c r="I24" s="36">
        <f>G6*H6</f>
        <v>0</v>
      </c>
    </row>
    <row r="25" spans="1:9" x14ac:dyDescent="0.3">
      <c r="A25" s="52"/>
      <c r="B25" s="53"/>
      <c r="C25" s="54"/>
      <c r="E25" s="35" t="s">
        <v>74</v>
      </c>
      <c r="F25" s="36">
        <f>F7*(G7*H7)</f>
        <v>0</v>
      </c>
      <c r="G25" s="58"/>
      <c r="H25" s="35" t="s">
        <v>81</v>
      </c>
      <c r="I25" s="36">
        <f>G7*H7</f>
        <v>0</v>
      </c>
    </row>
    <row r="26" spans="1:9" ht="15" thickBot="1" x14ac:dyDescent="0.35">
      <c r="A26" s="52"/>
      <c r="B26" s="53"/>
      <c r="C26" s="54"/>
      <c r="E26" s="45" t="s">
        <v>75</v>
      </c>
      <c r="F26" s="46">
        <f>F8*(G8*H8)</f>
        <v>0</v>
      </c>
      <c r="G26" s="58"/>
      <c r="H26" s="45" t="s">
        <v>82</v>
      </c>
      <c r="I26" s="46">
        <f>G8*H8</f>
        <v>0</v>
      </c>
    </row>
    <row r="27" spans="1:9" ht="15" thickBot="1" x14ac:dyDescent="0.35">
      <c r="A27" s="52"/>
      <c r="B27" s="53"/>
      <c r="C27" s="54"/>
      <c r="E27" s="47" t="s">
        <v>76</v>
      </c>
      <c r="F27" s="48">
        <f>SUM(F22:F26)</f>
        <v>60</v>
      </c>
      <c r="G27" s="58"/>
      <c r="H27" s="47" t="s">
        <v>83</v>
      </c>
      <c r="I27" s="48">
        <f>SUM(I22:I26)</f>
        <v>30</v>
      </c>
    </row>
    <row r="28" spans="1:9" x14ac:dyDescent="0.3">
      <c r="A28" s="52"/>
      <c r="B28" s="53"/>
      <c r="C28" s="54"/>
      <c r="E28" s="52"/>
      <c r="F28" s="53"/>
      <c r="G28" s="53"/>
      <c r="H28" s="53"/>
      <c r="I28" s="54"/>
    </row>
    <row r="29" spans="1:9" x14ac:dyDescent="0.3">
      <c r="A29" s="52"/>
      <c r="B29" s="53"/>
      <c r="C29" s="54"/>
      <c r="E29" s="52"/>
      <c r="F29" s="53"/>
      <c r="G29" s="53"/>
      <c r="H29" s="53"/>
      <c r="I29" s="54"/>
    </row>
    <row r="30" spans="1:9" ht="15" thickBot="1" x14ac:dyDescent="0.35">
      <c r="A30" s="52"/>
      <c r="B30" s="53"/>
      <c r="C30" s="54"/>
      <c r="E30" s="55"/>
      <c r="F30" s="49"/>
      <c r="G30" s="49"/>
      <c r="H30" s="49"/>
      <c r="I30" s="56"/>
    </row>
    <row r="31" spans="1:9" ht="15" thickBot="1" x14ac:dyDescent="0.35">
      <c r="A31" s="52"/>
      <c r="B31" s="53"/>
      <c r="C31" s="54"/>
      <c r="E31" s="52"/>
      <c r="F31" s="53"/>
      <c r="G31" s="53"/>
      <c r="H31" s="53"/>
      <c r="I31" s="54"/>
    </row>
    <row r="32" spans="1:9" ht="15" thickBot="1" x14ac:dyDescent="0.35">
      <c r="A32" s="52"/>
      <c r="B32" s="53"/>
      <c r="C32" s="54"/>
      <c r="E32" s="52"/>
      <c r="F32" s="53"/>
      <c r="G32" s="53"/>
      <c r="H32" s="26" t="s">
        <v>87</v>
      </c>
      <c r="I32" s="27">
        <v>0</v>
      </c>
    </row>
    <row r="33" spans="1:9" ht="15" thickBot="1" x14ac:dyDescent="0.35">
      <c r="A33" s="52"/>
      <c r="B33" s="53"/>
      <c r="C33" s="54"/>
      <c r="E33" s="44" t="s">
        <v>84</v>
      </c>
      <c r="F33" s="63">
        <f>((I32/30)+(I33/80))*(1/15)*0.5</f>
        <v>0</v>
      </c>
      <c r="G33" s="53"/>
      <c r="H33" s="21" t="s">
        <v>88</v>
      </c>
      <c r="I33" s="23">
        <v>0</v>
      </c>
    </row>
    <row r="34" spans="1:9" x14ac:dyDescent="0.3">
      <c r="A34" s="52"/>
      <c r="B34" s="53"/>
      <c r="C34" s="54"/>
      <c r="E34" s="52"/>
      <c r="F34" s="53"/>
      <c r="G34" s="53"/>
      <c r="H34" s="53"/>
      <c r="I34" s="54"/>
    </row>
    <row r="35" spans="1:9" ht="15" thickBot="1" x14ac:dyDescent="0.35">
      <c r="A35" s="52"/>
      <c r="B35" s="53"/>
      <c r="C35" s="54"/>
      <c r="E35" s="55"/>
      <c r="F35" s="49"/>
      <c r="G35" s="49"/>
      <c r="H35" s="49"/>
      <c r="I35" s="56"/>
    </row>
    <row r="36" spans="1:9" x14ac:dyDescent="0.3">
      <c r="A36" s="52"/>
      <c r="B36" s="53"/>
      <c r="C36" s="54"/>
      <c r="E36" s="52"/>
      <c r="F36" s="53"/>
      <c r="G36" s="53"/>
      <c r="H36" s="53"/>
      <c r="I36" s="54"/>
    </row>
    <row r="37" spans="1:9" ht="15" thickBot="1" x14ac:dyDescent="0.35">
      <c r="A37" s="52"/>
      <c r="B37" s="53"/>
      <c r="C37" s="54"/>
      <c r="E37" s="52"/>
      <c r="F37" s="53"/>
      <c r="G37" s="53"/>
      <c r="H37" s="53"/>
      <c r="I37" s="54"/>
    </row>
    <row r="38" spans="1:9" ht="15" thickBot="1" x14ac:dyDescent="0.35">
      <c r="A38" s="52"/>
      <c r="B38" s="53"/>
      <c r="C38" s="54"/>
      <c r="E38" s="61" t="s">
        <v>86</v>
      </c>
      <c r="F38" s="62">
        <f>B5/100*40</f>
        <v>0</v>
      </c>
      <c r="G38" s="53"/>
      <c r="H38" s="53"/>
      <c r="I38" s="54"/>
    </row>
    <row r="39" spans="1:9" x14ac:dyDescent="0.3">
      <c r="A39" s="52"/>
      <c r="B39" s="53"/>
      <c r="C39" s="54"/>
      <c r="E39" s="52"/>
      <c r="F39" s="53"/>
      <c r="G39" s="53"/>
      <c r="H39" s="53"/>
      <c r="I39" s="54"/>
    </row>
    <row r="40" spans="1:9" x14ac:dyDescent="0.3">
      <c r="A40" s="52"/>
      <c r="B40" s="53"/>
      <c r="C40" s="54"/>
      <c r="E40" s="52"/>
      <c r="F40" s="53"/>
      <c r="G40" s="53"/>
      <c r="H40" s="53"/>
      <c r="I40" s="54"/>
    </row>
    <row r="41" spans="1:9" x14ac:dyDescent="0.3">
      <c r="A41" s="52"/>
      <c r="B41" s="53"/>
      <c r="C41" s="54"/>
      <c r="E41" s="52"/>
      <c r="F41" s="53"/>
      <c r="G41" s="53"/>
      <c r="H41" s="53"/>
      <c r="I41" s="54"/>
    </row>
    <row r="42" spans="1:9" ht="15" thickBot="1" x14ac:dyDescent="0.35">
      <c r="A42" s="55"/>
      <c r="B42" s="49"/>
      <c r="C42" s="56"/>
      <c r="E42" s="55"/>
      <c r="F42" s="49"/>
      <c r="G42" s="49"/>
      <c r="H42" s="49"/>
      <c r="I42" s="56"/>
    </row>
  </sheetData>
  <mergeCells count="2">
    <mergeCell ref="A1:B2"/>
    <mergeCell ref="E1:H2"/>
  </mergeCells>
  <conditionalFormatting sqref="B4">
    <cfRule type="colorScale" priority="1">
      <colorScale>
        <cfvo type="min"/>
        <cfvo type="num" val="55"/>
        <color theme="9"/>
        <color rgb="FFFF0000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15FF-AF02-424E-849E-6FD5158A9B58}">
  <dimension ref="A1:J42"/>
  <sheetViews>
    <sheetView workbookViewId="0">
      <selection activeCell="G5" sqref="G5"/>
    </sheetView>
  </sheetViews>
  <sheetFormatPr defaultColWidth="11.5546875" defaultRowHeight="14.4" x14ac:dyDescent="0.3"/>
  <cols>
    <col min="1" max="1" width="28.5546875" customWidth="1"/>
    <col min="2" max="2" width="19.44140625" customWidth="1"/>
    <col min="3" max="3" width="22.33203125" customWidth="1"/>
    <col min="4" max="4" width="1.6640625" customWidth="1"/>
    <col min="5" max="5" width="22.5546875" customWidth="1"/>
    <col min="6" max="6" width="22" customWidth="1"/>
    <col min="7" max="7" width="22.6640625" customWidth="1"/>
    <col min="8" max="8" width="22.88671875" customWidth="1"/>
    <col min="9" max="9" width="23" customWidth="1"/>
    <col min="10" max="10" width="19.33203125" customWidth="1"/>
  </cols>
  <sheetData>
    <row r="1" spans="1:10" x14ac:dyDescent="0.3">
      <c r="A1" s="167" t="s">
        <v>52</v>
      </c>
      <c r="B1" s="168"/>
      <c r="C1" s="50"/>
      <c r="D1" s="3"/>
      <c r="E1" s="138" t="s">
        <v>55</v>
      </c>
      <c r="F1" s="139"/>
      <c r="G1" s="139"/>
      <c r="H1" s="140"/>
      <c r="I1" s="57"/>
      <c r="J1" s="3"/>
    </row>
    <row r="2" spans="1:10" ht="15" thickBot="1" x14ac:dyDescent="0.35">
      <c r="A2" s="169"/>
      <c r="B2" s="170"/>
      <c r="C2" s="51"/>
      <c r="D2" s="3"/>
      <c r="E2" s="141"/>
      <c r="F2" s="142"/>
      <c r="G2" s="142"/>
      <c r="H2" s="143"/>
      <c r="I2" s="54"/>
      <c r="J2" s="3"/>
    </row>
    <row r="3" spans="1:10" x14ac:dyDescent="0.3">
      <c r="A3" s="64" t="s">
        <v>53</v>
      </c>
      <c r="B3" s="65" t="s">
        <v>98</v>
      </c>
      <c r="C3" s="54"/>
      <c r="E3" s="17" t="s">
        <v>14</v>
      </c>
      <c r="F3" s="16" t="s">
        <v>56</v>
      </c>
      <c r="G3" s="16" t="s">
        <v>57</v>
      </c>
      <c r="H3" s="18" t="s">
        <v>58</v>
      </c>
      <c r="I3" s="54"/>
    </row>
    <row r="4" spans="1:10" x14ac:dyDescent="0.3">
      <c r="A4" s="66" t="s">
        <v>54</v>
      </c>
      <c r="B4" s="67">
        <f>SUM(F12,F33,F38)</f>
        <v>19.349999999999998</v>
      </c>
      <c r="C4" s="54"/>
      <c r="E4" s="19" t="s">
        <v>28</v>
      </c>
      <c r="F4" s="15">
        <f>_xlfn.XLOOKUP('CI - Maika Marleau'!E4,'Liste des Cours et Subventions'!D27:D40,'Liste des Cours et Subventions'!G27:G40,"ND",0,1)</f>
        <v>4</v>
      </c>
      <c r="G4" s="15">
        <v>3</v>
      </c>
      <c r="H4" s="20">
        <f>_xlfn.XLOOKUP(E4,'Liste des Cours et Subventions'!D27:D40,'Liste des Cours et Subventions'!F27:F40,"ND",0,1)</f>
        <v>15</v>
      </c>
      <c r="I4" s="54"/>
    </row>
    <row r="5" spans="1:10" x14ac:dyDescent="0.3">
      <c r="A5" s="66" t="s">
        <v>85</v>
      </c>
      <c r="B5" s="68">
        <v>0</v>
      </c>
      <c r="C5" s="54"/>
      <c r="E5" s="19"/>
      <c r="F5" s="15">
        <f>_xlfn.XLOOKUP('CI - Maika Marleau'!E5,'Liste des Cours et Subventions'!D28:D41,'Liste des Cours et Subventions'!G28:G41,"ND",0,1)</f>
        <v>0</v>
      </c>
      <c r="G5" s="15">
        <f>_xlfn.XLOOKUP(E5,'Liste des Cours et Subventions'!D28:D41,'Liste des Cours et Subventions'!E28:E41,"ND",0,1)</f>
        <v>0</v>
      </c>
      <c r="H5" s="20">
        <f>_xlfn.XLOOKUP(E5,'Liste des Cours et Subventions'!D28:D41,'Liste des Cours et Subventions'!F28:F41,"ND",0,1)</f>
        <v>0</v>
      </c>
      <c r="I5" s="54"/>
    </row>
    <row r="6" spans="1:10" x14ac:dyDescent="0.3">
      <c r="A6" s="52"/>
      <c r="B6" s="53"/>
      <c r="C6" s="54"/>
      <c r="E6" s="19"/>
      <c r="F6" s="15">
        <f>_xlfn.XLOOKUP('CI - Maika Marleau'!E6,'Liste des Cours et Subventions'!D29:D42,'Liste des Cours et Subventions'!G29:G42,"ND",0,1)</f>
        <v>0</v>
      </c>
      <c r="G6" s="15">
        <f>_xlfn.XLOOKUP(E6,'Liste des Cours et Subventions'!D29:D42,'Liste des Cours et Subventions'!E29:E42,"ND",0,1)</f>
        <v>0</v>
      </c>
      <c r="H6" s="20">
        <f>_xlfn.XLOOKUP(E6,'Liste des Cours et Subventions'!D29:D42,'Liste des Cours et Subventions'!F29:F42,"ND",0,1)</f>
        <v>0</v>
      </c>
      <c r="I6" s="54"/>
    </row>
    <row r="7" spans="1:10" x14ac:dyDescent="0.3">
      <c r="A7" s="52"/>
      <c r="B7" s="53"/>
      <c r="C7" s="54"/>
      <c r="E7" s="19"/>
      <c r="F7" s="15">
        <f>_xlfn.XLOOKUP('CI - Maika Marleau'!E7,'Liste des Cours et Subventions'!D30:D43,'Liste des Cours et Subventions'!G30:G43,"ND",0,1)</f>
        <v>0</v>
      </c>
      <c r="G7" s="15">
        <f>_xlfn.XLOOKUP(E7,'Liste des Cours et Subventions'!D30:D43,'Liste des Cours et Subventions'!E30:E43,"ND",0,1)</f>
        <v>0</v>
      </c>
      <c r="H7" s="20">
        <f>_xlfn.XLOOKUP(E7,'Liste des Cours et Subventions'!D30:D43,'Liste des Cours et Subventions'!F30:F43,"ND",0,1)</f>
        <v>0</v>
      </c>
      <c r="I7" s="54"/>
    </row>
    <row r="8" spans="1:10" ht="15" thickBot="1" x14ac:dyDescent="0.35">
      <c r="A8" s="52"/>
      <c r="B8" s="53"/>
      <c r="C8" s="54"/>
      <c r="E8" s="21"/>
      <c r="F8" s="15">
        <f>_xlfn.XLOOKUP('CI - Maika Marleau'!E8,'Liste des Cours et Subventions'!D31:D44,'Liste des Cours et Subventions'!G31:G44,"ND",0,1)</f>
        <v>0</v>
      </c>
      <c r="G8" s="15">
        <f>_xlfn.XLOOKUP(E8,'Liste des Cours et Subventions'!D31:D44,'Liste des Cours et Subventions'!E31:E44,"ND",0,1)</f>
        <v>0</v>
      </c>
      <c r="H8" s="20">
        <f>_xlfn.XLOOKUP(E8,'Liste des Cours et Subventions'!D31:D44,'Liste des Cours et Subventions'!F31:F44,"ND",0,1)</f>
        <v>0</v>
      </c>
      <c r="I8" s="54"/>
    </row>
    <row r="9" spans="1:10" x14ac:dyDescent="0.3">
      <c r="A9" s="52"/>
      <c r="B9" s="53"/>
      <c r="C9" s="54"/>
      <c r="E9" s="52"/>
      <c r="F9" s="53"/>
      <c r="G9" s="53"/>
      <c r="H9" s="53"/>
      <c r="I9" s="54"/>
    </row>
    <row r="10" spans="1:10" ht="15" thickBot="1" x14ac:dyDescent="0.35">
      <c r="A10" s="52"/>
      <c r="B10" s="53"/>
      <c r="C10" s="54"/>
      <c r="E10" s="55"/>
      <c r="F10" s="49"/>
      <c r="G10" s="49"/>
      <c r="H10" s="49"/>
      <c r="I10" s="56"/>
    </row>
    <row r="11" spans="1:10" ht="15" thickBot="1" x14ac:dyDescent="0.35">
      <c r="A11" s="52"/>
      <c r="B11" s="53"/>
      <c r="C11" s="54"/>
      <c r="E11" s="52"/>
      <c r="F11" s="53"/>
      <c r="G11" s="53"/>
      <c r="H11" s="53"/>
      <c r="I11" s="54"/>
    </row>
    <row r="12" spans="1:10" ht="15" thickBot="1" x14ac:dyDescent="0.35">
      <c r="A12" s="52"/>
      <c r="B12" s="53"/>
      <c r="C12" s="54"/>
      <c r="E12" s="44" t="s">
        <v>59</v>
      </c>
      <c r="F12" s="43">
        <f>F14+(I14*1.2)+F21+I21</f>
        <v>19.349999999999998</v>
      </c>
      <c r="G12" s="58"/>
      <c r="H12" s="58"/>
      <c r="I12" s="59"/>
    </row>
    <row r="13" spans="1:10" ht="15" thickBot="1" x14ac:dyDescent="0.35">
      <c r="A13" s="52"/>
      <c r="B13" s="53"/>
      <c r="C13" s="54"/>
      <c r="E13" s="60"/>
      <c r="F13" s="58"/>
      <c r="G13" s="58"/>
      <c r="H13" s="58"/>
      <c r="I13" s="59"/>
    </row>
    <row r="14" spans="1:10" ht="15" thickBot="1" x14ac:dyDescent="0.35">
      <c r="A14" s="52"/>
      <c r="B14" s="53"/>
      <c r="C14" s="54"/>
      <c r="E14" s="31" t="s">
        <v>60</v>
      </c>
      <c r="F14" s="32">
        <f>PRODUCT(F16,F17)</f>
        <v>2.7</v>
      </c>
      <c r="G14" s="58"/>
      <c r="H14" s="30" t="s">
        <v>64</v>
      </c>
      <c r="I14" s="32">
        <f>SUM(I15:I19)</f>
        <v>9</v>
      </c>
    </row>
    <row r="15" spans="1:10" x14ac:dyDescent="0.3">
      <c r="A15" s="52"/>
      <c r="B15" s="53"/>
      <c r="C15" s="54"/>
      <c r="E15" s="33" t="s">
        <v>61</v>
      </c>
      <c r="F15" s="34">
        <f>COUNT(F4:F5)</f>
        <v>2</v>
      </c>
      <c r="G15" s="58"/>
      <c r="H15" s="33" t="s">
        <v>65</v>
      </c>
      <c r="I15" s="34">
        <f>G4*G4</f>
        <v>9</v>
      </c>
    </row>
    <row r="16" spans="1:10" x14ac:dyDescent="0.3">
      <c r="A16" s="52"/>
      <c r="B16" s="53"/>
      <c r="C16" s="54"/>
      <c r="E16" s="35" t="s">
        <v>62</v>
      </c>
      <c r="F16" s="36" cm="1">
        <f t="array" ref="F16">_xlfn.IFS(F15&lt;=2,0.9,F15=3,1.1,F15&gt;=4,1.75)</f>
        <v>0.9</v>
      </c>
      <c r="G16" s="58"/>
      <c r="H16" s="35" t="s">
        <v>66</v>
      </c>
      <c r="I16" s="36">
        <f>F5*G5</f>
        <v>0</v>
      </c>
    </row>
    <row r="17" spans="1:9" ht="15" thickBot="1" x14ac:dyDescent="0.35">
      <c r="A17" s="52"/>
      <c r="B17" s="53"/>
      <c r="C17" s="54"/>
      <c r="E17" s="37" t="s">
        <v>63</v>
      </c>
      <c r="F17" s="38">
        <f>SUM(G4:G9)</f>
        <v>3</v>
      </c>
      <c r="G17" s="58"/>
      <c r="H17" s="35" t="s">
        <v>67</v>
      </c>
      <c r="I17" s="36">
        <f>F6*G6</f>
        <v>0</v>
      </c>
    </row>
    <row r="18" spans="1:9" x14ac:dyDescent="0.3">
      <c r="A18" s="52"/>
      <c r="B18" s="53"/>
      <c r="C18" s="54"/>
      <c r="E18" s="60"/>
      <c r="F18" s="58"/>
      <c r="G18" s="58"/>
      <c r="H18" s="35" t="s">
        <v>68</v>
      </c>
      <c r="I18" s="36">
        <f>F7*G7</f>
        <v>0</v>
      </c>
    </row>
    <row r="19" spans="1:9" ht="15" thickBot="1" x14ac:dyDescent="0.35">
      <c r="A19" s="52"/>
      <c r="B19" s="53"/>
      <c r="C19" s="54"/>
      <c r="E19" s="60"/>
      <c r="F19" s="58"/>
      <c r="G19" s="58"/>
      <c r="H19" s="37" t="s">
        <v>69</v>
      </c>
      <c r="I19" s="38">
        <f>F8*G8</f>
        <v>0</v>
      </c>
    </row>
    <row r="20" spans="1:9" ht="15" thickBot="1" x14ac:dyDescent="0.35">
      <c r="A20" s="52"/>
      <c r="B20" s="53"/>
      <c r="C20" s="54"/>
      <c r="E20" s="60"/>
      <c r="F20" s="58"/>
      <c r="G20" s="58"/>
      <c r="H20" s="58"/>
      <c r="I20" s="59"/>
    </row>
    <row r="21" spans="1:9" ht="15" thickBot="1" x14ac:dyDescent="0.35">
      <c r="A21" s="52"/>
      <c r="B21" s="53"/>
      <c r="C21" s="54"/>
      <c r="E21" s="30" t="s">
        <v>70</v>
      </c>
      <c r="F21" s="28">
        <f>IF(F27&lt;415,F27*0.04,F27*0.04+(F27-415)*0.07)</f>
        <v>5.4</v>
      </c>
      <c r="G21" s="58"/>
      <c r="H21" s="39" t="s">
        <v>77</v>
      </c>
      <c r="I21" s="40" cm="1">
        <f t="array" ref="I21">_xlfn.IFS(I27&gt;=ET75*(I27&lt;160),I27*0.01,I27&gt;=160,I27*0.01+((I27-160)*(I27-160))*0.01,I27&lt;75,0)</f>
        <v>0.45</v>
      </c>
    </row>
    <row r="22" spans="1:9" x14ac:dyDescent="0.3">
      <c r="A22" s="52"/>
      <c r="B22" s="53"/>
      <c r="C22" s="54"/>
      <c r="E22" s="41" t="s">
        <v>71</v>
      </c>
      <c r="F22" s="42">
        <f>G4*(G4*H4)</f>
        <v>135</v>
      </c>
      <c r="G22" s="58"/>
      <c r="H22" s="35" t="s">
        <v>78</v>
      </c>
      <c r="I22" s="36">
        <f>G4*H4</f>
        <v>45</v>
      </c>
    </row>
    <row r="23" spans="1:9" x14ac:dyDescent="0.3">
      <c r="A23" s="52"/>
      <c r="B23" s="53"/>
      <c r="C23" s="54"/>
      <c r="E23" s="35" t="s">
        <v>72</v>
      </c>
      <c r="F23" s="36">
        <f>F5*(G5*H5)</f>
        <v>0</v>
      </c>
      <c r="G23" s="58"/>
      <c r="H23" s="35" t="s">
        <v>79</v>
      </c>
      <c r="I23" s="36">
        <f>G5*H5</f>
        <v>0</v>
      </c>
    </row>
    <row r="24" spans="1:9" x14ac:dyDescent="0.3">
      <c r="A24" s="52"/>
      <c r="B24" s="53"/>
      <c r="C24" s="54"/>
      <c r="E24" s="35" t="s">
        <v>73</v>
      </c>
      <c r="F24" s="36">
        <f>F6*(G6*H6)</f>
        <v>0</v>
      </c>
      <c r="G24" s="58"/>
      <c r="H24" s="35" t="s">
        <v>80</v>
      </c>
      <c r="I24" s="36">
        <f>G6*H6</f>
        <v>0</v>
      </c>
    </row>
    <row r="25" spans="1:9" x14ac:dyDescent="0.3">
      <c r="A25" s="52"/>
      <c r="B25" s="53"/>
      <c r="C25" s="54"/>
      <c r="E25" s="35" t="s">
        <v>74</v>
      </c>
      <c r="F25" s="36">
        <f>F7*(G7*H7)</f>
        <v>0</v>
      </c>
      <c r="G25" s="58"/>
      <c r="H25" s="35" t="s">
        <v>81</v>
      </c>
      <c r="I25" s="36">
        <f>G7*H7</f>
        <v>0</v>
      </c>
    </row>
    <row r="26" spans="1:9" ht="15" thickBot="1" x14ac:dyDescent="0.35">
      <c r="A26" s="52"/>
      <c r="B26" s="53"/>
      <c r="C26" s="54"/>
      <c r="E26" s="45" t="s">
        <v>75</v>
      </c>
      <c r="F26" s="46">
        <f>F8*(G8*H8)</f>
        <v>0</v>
      </c>
      <c r="G26" s="58"/>
      <c r="H26" s="45" t="s">
        <v>82</v>
      </c>
      <c r="I26" s="46">
        <f>G8*H8</f>
        <v>0</v>
      </c>
    </row>
    <row r="27" spans="1:9" ht="15" thickBot="1" x14ac:dyDescent="0.35">
      <c r="A27" s="52"/>
      <c r="B27" s="53"/>
      <c r="C27" s="54"/>
      <c r="E27" s="47" t="s">
        <v>76</v>
      </c>
      <c r="F27" s="48">
        <f>SUM(F22:F26)</f>
        <v>135</v>
      </c>
      <c r="G27" s="58"/>
      <c r="H27" s="47" t="s">
        <v>83</v>
      </c>
      <c r="I27" s="48">
        <f>SUM(I22:I26)</f>
        <v>45</v>
      </c>
    </row>
    <row r="28" spans="1:9" x14ac:dyDescent="0.3">
      <c r="A28" s="52"/>
      <c r="B28" s="53"/>
      <c r="C28" s="54"/>
      <c r="E28" s="52"/>
      <c r="F28" s="53"/>
      <c r="G28" s="53"/>
      <c r="H28" s="53"/>
      <c r="I28" s="54"/>
    </row>
    <row r="29" spans="1:9" x14ac:dyDescent="0.3">
      <c r="A29" s="52"/>
      <c r="B29" s="53"/>
      <c r="C29" s="54"/>
      <c r="E29" s="52"/>
      <c r="F29" s="53"/>
      <c r="G29" s="53"/>
      <c r="H29" s="53"/>
      <c r="I29" s="54"/>
    </row>
    <row r="30" spans="1:9" ht="15" thickBot="1" x14ac:dyDescent="0.35">
      <c r="A30" s="52"/>
      <c r="B30" s="53"/>
      <c r="C30" s="54"/>
      <c r="E30" s="55"/>
      <c r="F30" s="49"/>
      <c r="G30" s="49"/>
      <c r="H30" s="49"/>
      <c r="I30" s="56"/>
    </row>
    <row r="31" spans="1:9" ht="15" thickBot="1" x14ac:dyDescent="0.35">
      <c r="A31" s="52"/>
      <c r="B31" s="53"/>
      <c r="C31" s="54"/>
      <c r="E31" s="52"/>
      <c r="F31" s="53"/>
      <c r="G31" s="53"/>
      <c r="H31" s="53"/>
      <c r="I31" s="54"/>
    </row>
    <row r="32" spans="1:9" ht="15" thickBot="1" x14ac:dyDescent="0.35">
      <c r="A32" s="52"/>
      <c r="B32" s="53"/>
      <c r="C32" s="54"/>
      <c r="E32" s="52"/>
      <c r="F32" s="53"/>
      <c r="G32" s="53"/>
      <c r="H32" s="26" t="s">
        <v>87</v>
      </c>
      <c r="I32" s="27">
        <v>0</v>
      </c>
    </row>
    <row r="33" spans="1:9" ht="15" thickBot="1" x14ac:dyDescent="0.35">
      <c r="A33" s="52"/>
      <c r="B33" s="53"/>
      <c r="C33" s="54"/>
      <c r="E33" s="44" t="s">
        <v>84</v>
      </c>
      <c r="F33" s="63">
        <f>((I32/30)+(I33/80))*(1/15)*0.5</f>
        <v>0</v>
      </c>
      <c r="G33" s="53"/>
      <c r="H33" s="21" t="s">
        <v>88</v>
      </c>
      <c r="I33" s="23">
        <v>0</v>
      </c>
    </row>
    <row r="34" spans="1:9" x14ac:dyDescent="0.3">
      <c r="A34" s="52"/>
      <c r="B34" s="53"/>
      <c r="C34" s="54"/>
      <c r="E34" s="52"/>
      <c r="F34" s="53"/>
      <c r="G34" s="53"/>
      <c r="H34" s="53"/>
      <c r="I34" s="54"/>
    </row>
    <row r="35" spans="1:9" ht="15" thickBot="1" x14ac:dyDescent="0.35">
      <c r="A35" s="52"/>
      <c r="B35" s="53"/>
      <c r="C35" s="54"/>
      <c r="E35" s="55"/>
      <c r="F35" s="49"/>
      <c r="G35" s="49"/>
      <c r="H35" s="49"/>
      <c r="I35" s="56"/>
    </row>
    <row r="36" spans="1:9" x14ac:dyDescent="0.3">
      <c r="A36" s="52"/>
      <c r="B36" s="53"/>
      <c r="C36" s="54"/>
      <c r="E36" s="52"/>
      <c r="F36" s="53"/>
      <c r="G36" s="53"/>
      <c r="H36" s="53"/>
      <c r="I36" s="54"/>
    </row>
    <row r="37" spans="1:9" ht="15" thickBot="1" x14ac:dyDescent="0.35">
      <c r="A37" s="52"/>
      <c r="B37" s="53"/>
      <c r="C37" s="54"/>
      <c r="E37" s="52"/>
      <c r="F37" s="53"/>
      <c r="G37" s="53"/>
      <c r="H37" s="53"/>
      <c r="I37" s="54"/>
    </row>
    <row r="38" spans="1:9" ht="15" thickBot="1" x14ac:dyDescent="0.35">
      <c r="A38" s="52"/>
      <c r="B38" s="53"/>
      <c r="C38" s="54"/>
      <c r="E38" s="61" t="s">
        <v>86</v>
      </c>
      <c r="F38" s="62">
        <f>B5/100*40</f>
        <v>0</v>
      </c>
      <c r="G38" s="53"/>
      <c r="H38" s="53"/>
      <c r="I38" s="54"/>
    </row>
    <row r="39" spans="1:9" x14ac:dyDescent="0.3">
      <c r="A39" s="52"/>
      <c r="B39" s="53"/>
      <c r="C39" s="54"/>
      <c r="E39" s="52"/>
      <c r="F39" s="53"/>
      <c r="G39" s="53"/>
      <c r="H39" s="53"/>
      <c r="I39" s="54"/>
    </row>
    <row r="40" spans="1:9" x14ac:dyDescent="0.3">
      <c r="A40" s="52"/>
      <c r="B40" s="53"/>
      <c r="C40" s="54"/>
      <c r="E40" s="52"/>
      <c r="F40" s="53"/>
      <c r="G40" s="53"/>
      <c r="H40" s="53"/>
      <c r="I40" s="54"/>
    </row>
    <row r="41" spans="1:9" x14ac:dyDescent="0.3">
      <c r="A41" s="52"/>
      <c r="B41" s="53"/>
      <c r="C41" s="54"/>
      <c r="E41" s="52"/>
      <c r="F41" s="53"/>
      <c r="G41" s="53"/>
      <c r="H41" s="53"/>
      <c r="I41" s="54"/>
    </row>
    <row r="42" spans="1:9" ht="15" thickBot="1" x14ac:dyDescent="0.35">
      <c r="A42" s="55"/>
      <c r="B42" s="49"/>
      <c r="C42" s="56"/>
      <c r="E42" s="55"/>
      <c r="F42" s="49"/>
      <c r="G42" s="49"/>
      <c r="H42" s="49"/>
      <c r="I42" s="56"/>
    </row>
  </sheetData>
  <mergeCells count="2">
    <mergeCell ref="A1:B2"/>
    <mergeCell ref="E1:H2"/>
  </mergeCells>
  <conditionalFormatting sqref="B4">
    <cfRule type="colorScale" priority="1">
      <colorScale>
        <cfvo type="min"/>
        <cfvo type="num" val="55"/>
        <color theme="9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excel_base.xlxs</vt:lpstr>
      <vt:lpstr>Département</vt:lpstr>
      <vt:lpstr>Liste des Cours et Subventions</vt:lpstr>
      <vt:lpstr>CI - Dominique Paquette</vt:lpstr>
      <vt:lpstr>CI - Édolia Bourdeau </vt:lpstr>
      <vt:lpstr>CI - Émerique Lebeau</vt:lpstr>
      <vt:lpstr>CI - Jade Poirier</vt:lpstr>
      <vt:lpstr>CI - Olivier Hallé</vt:lpstr>
      <vt:lpstr>CI - Cyrianne Gagnon</vt:lpstr>
      <vt:lpstr>CI - Joelle Chevrier</vt:lpstr>
      <vt:lpstr>CI - Katherine Gascon</vt:lpstr>
      <vt:lpstr>CI - Uldor Lafortune</vt:lpstr>
      <vt:lpstr>CI - Katherine Chen</vt:lpstr>
      <vt:lpstr>CI - Villandré Coutu</vt:lpstr>
      <vt:lpstr>CI - Maika Marleau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Maltais François</dc:creator>
  <cp:lastModifiedBy>frank maltais</cp:lastModifiedBy>
  <dcterms:created xsi:type="dcterms:W3CDTF">2023-02-28T14:44:32Z</dcterms:created>
  <dcterms:modified xsi:type="dcterms:W3CDTF">2023-03-12T17:00:01Z</dcterms:modified>
</cp:coreProperties>
</file>