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gime\Desktop\TABLETOP\paid games\MM\attachments\Heliope The Second Age\monster gen\"/>
    </mc:Choice>
  </mc:AlternateContent>
  <xr:revisionPtr revIDLastSave="0" documentId="13_ncr:1_{9D21B837-5A76-4771-A83D-C1279C43C657}" xr6:coauthVersionLast="47" xr6:coauthVersionMax="47" xr10:uidLastSave="{00000000-0000-0000-0000-000000000000}"/>
  <bookViews>
    <workbookView xWindow="-120" yWindow="-120" windowWidth="20730" windowHeight="11040" xr2:uid="{00000000-000D-0000-FFFF-FFFF00000000}"/>
  </bookViews>
  <sheets>
    <sheet name="elemental" sheetId="2" r:id="rId1"/>
    <sheet name="info" sheetId="1" r:id="rId2"/>
    <sheet name="Theme Spel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2" l="1"/>
  <c r="A35" i="2" l="1"/>
  <c r="B20" i="2"/>
  <c r="A27" i="2"/>
  <c r="B19" i="2"/>
  <c r="G16" i="1"/>
  <c r="D12" i="1"/>
  <c r="H12" i="1"/>
  <c r="H9" i="1"/>
  <c r="G9" i="1"/>
  <c r="H7" i="1"/>
  <c r="I7" i="1"/>
  <c r="E7" i="1"/>
  <c r="E2" i="1"/>
  <c r="G2" i="1"/>
  <c r="G10" i="1"/>
  <c r="F2" i="1"/>
  <c r="I3" i="1"/>
  <c r="H4" i="1"/>
  <c r="F4" i="1"/>
  <c r="E5" i="1"/>
  <c r="I6" i="1"/>
  <c r="H6" i="1"/>
  <c r="E11" i="1"/>
  <c r="I13" i="1"/>
  <c r="H13" i="1"/>
  <c r="G13" i="1"/>
  <c r="F13" i="1"/>
  <c r="E13" i="1"/>
  <c r="D13" i="1"/>
  <c r="C13" i="1"/>
  <c r="B15" i="2" l="1"/>
  <c r="A52" i="2"/>
  <c r="D10" i="1"/>
  <c r="D2" i="1"/>
  <c r="D3" i="1"/>
  <c r="D4" i="1"/>
  <c r="D5" i="1"/>
  <c r="D6" i="1"/>
  <c r="D7" i="1"/>
  <c r="D8" i="1"/>
  <c r="D9" i="1"/>
  <c r="D11" i="1"/>
  <c r="C11" i="1"/>
  <c r="C5" i="1"/>
  <c r="C4" i="1"/>
  <c r="C12" i="1"/>
  <c r="C6" i="1"/>
  <c r="A9" i="2" s="1"/>
  <c r="C7" i="1"/>
  <c r="C8" i="1"/>
  <c r="C9" i="1"/>
  <c r="C10" i="1"/>
  <c r="E3" i="1"/>
  <c r="F3" i="1"/>
  <c r="G3" i="1"/>
  <c r="H3" i="1"/>
  <c r="E4" i="1"/>
  <c r="G4" i="1"/>
  <c r="I4" i="1"/>
  <c r="F5" i="1"/>
  <c r="G5" i="1"/>
  <c r="H5" i="1"/>
  <c r="I5" i="1"/>
  <c r="E6" i="1"/>
  <c r="F6" i="1"/>
  <c r="A12" i="2" s="1"/>
  <c r="G6" i="1"/>
  <c r="F7" i="1"/>
  <c r="G7" i="1"/>
  <c r="E8" i="1"/>
  <c r="F8" i="1"/>
  <c r="H8" i="1"/>
  <c r="E9" i="1"/>
  <c r="F9" i="1"/>
  <c r="I9" i="1"/>
  <c r="E10" i="1"/>
  <c r="F10" i="1"/>
  <c r="H10" i="1"/>
  <c r="I10" i="1"/>
  <c r="F11" i="1"/>
  <c r="G11" i="1"/>
  <c r="H11" i="1"/>
  <c r="I11" i="1"/>
  <c r="E12" i="1"/>
  <c r="F12" i="1"/>
  <c r="G12" i="1"/>
  <c r="I12" i="1"/>
  <c r="H2" i="1"/>
  <c r="I2" i="1"/>
  <c r="C3" i="1"/>
  <c r="C2" i="1"/>
  <c r="A3" i="2"/>
  <c r="A1" i="2"/>
  <c r="B55" i="2"/>
  <c r="C12" i="2" s="1"/>
  <c r="B12" i="2" l="1"/>
  <c r="A43" i="2"/>
  <c r="A32" i="2"/>
  <c r="C9" i="2"/>
  <c r="B18" i="2"/>
  <c r="A46" i="2"/>
  <c r="B9" i="2"/>
  <c r="B7" i="2"/>
  <c r="A54" i="2"/>
  <c r="B24" i="2"/>
  <c r="A39" i="2" s="1"/>
  <c r="B4" i="2"/>
  <c r="A40" i="2" l="1"/>
  <c r="C10" i="2"/>
  <c r="C5" i="2" l="1"/>
  <c r="B5" i="2"/>
  <c r="B13" i="2"/>
  <c r="C13" i="2"/>
  <c r="A10" i="2"/>
  <c r="B14" i="2" l="1"/>
  <c r="B22" i="2"/>
  <c r="A13" i="2"/>
  <c r="B16" i="2" s="1"/>
  <c r="B10" i="2"/>
  <c r="K7" i="1" s="1"/>
  <c r="B6" i="2"/>
  <c r="K13" i="1"/>
  <c r="K5" i="1"/>
  <c r="K4" i="1"/>
  <c r="K12" i="1"/>
  <c r="K6" i="1"/>
  <c r="A41" i="2" l="1"/>
  <c r="A30" i="2"/>
  <c r="A53" i="2" s="1"/>
  <c r="A44" i="2"/>
  <c r="B19" i="1"/>
  <c r="B16" i="1"/>
  <c r="B18" i="1"/>
  <c r="B17" i="1"/>
  <c r="K8" i="1"/>
  <c r="K2" i="1"/>
  <c r="K11" i="1"/>
  <c r="K9" i="1"/>
  <c r="K10" i="1"/>
</calcChain>
</file>

<file path=xl/sharedStrings.xml><?xml version="1.0" encoding="utf-8"?>
<sst xmlns="http://schemas.openxmlformats.org/spreadsheetml/2006/main" count="251" uniqueCount="215">
  <si>
    <t>Spells</t>
  </si>
  <si>
    <t>Category</t>
  </si>
  <si>
    <t>AC</t>
  </si>
  <si>
    <t>HP</t>
  </si>
  <si>
    <t>CR Bonus</t>
  </si>
  <si>
    <t>CR</t>
  </si>
  <si>
    <t>Speed</t>
  </si>
  <si>
    <t>STR</t>
  </si>
  <si>
    <t>DEX</t>
  </si>
  <si>
    <t>CON</t>
  </si>
  <si>
    <t>INT</t>
  </si>
  <si>
    <t>WIS</t>
  </si>
  <si>
    <t>CHA</t>
  </si>
  <si>
    <t>Saves</t>
  </si>
  <si>
    <t>Skills</t>
  </si>
  <si>
    <t>Languages:</t>
  </si>
  <si>
    <t>Condition Immunities:</t>
  </si>
  <si>
    <t>Damage Immunities:</t>
  </si>
  <si>
    <t>Damage Resistances:</t>
  </si>
  <si>
    <t>Senses:</t>
  </si>
  <si>
    <t>Formula</t>
  </si>
  <si>
    <t>Charmed, exhaustion, frightened</t>
  </si>
  <si>
    <t>Beef (3)</t>
  </si>
  <si>
    <t>Healing (7)</t>
  </si>
  <si>
    <t>Mistery  (8)</t>
  </si>
  <si>
    <t>Speed (4)</t>
  </si>
  <si>
    <t>Smarts (6)</t>
  </si>
  <si>
    <t>Tank (5)</t>
  </si>
  <si>
    <t>Magic (9)</t>
  </si>
  <si>
    <t>SE(PROCV($B$1;Tabela1[#Tudo];3)=VERDADEIRO;</t>
  </si>
  <si>
    <t>Whip</t>
  </si>
  <si>
    <t>Spear</t>
  </si>
  <si>
    <t>Warhammer</t>
  </si>
  <si>
    <t>Scythe</t>
  </si>
  <si>
    <t>Net</t>
  </si>
  <si>
    <t>Quarterstaff</t>
  </si>
  <si>
    <t>Trident</t>
  </si>
  <si>
    <t>Rapier</t>
  </si>
  <si>
    <t>Halberd</t>
  </si>
  <si>
    <t>Proficiency Mod</t>
  </si>
  <si>
    <t>---------------------- Traits ----------------------</t>
  </si>
  <si>
    <t>---------------------- Actions ----------------------</t>
  </si>
  <si>
    <t>Multiattack</t>
  </si>
  <si>
    <t>Greataxe</t>
  </si>
  <si>
    <t>10 ft</t>
  </si>
  <si>
    <t>10 ft.</t>
  </si>
  <si>
    <t>5 ft</t>
  </si>
  <si>
    <t>Thrown 5/15 ft</t>
  </si>
  <si>
    <t>5 ft Thrown 20/60 ft</t>
  </si>
  <si>
    <t>25/100 ft</t>
  </si>
  <si>
    <t>Blowgun</t>
  </si>
  <si>
    <t>Innate Spellcasting</t>
  </si>
  <si>
    <t>It can cast the following spells, requiring only verbal components:</t>
  </si>
  <si>
    <t>Spell Name</t>
  </si>
  <si>
    <t>Description</t>
  </si>
  <si>
    <t>Electric Arc</t>
  </si>
  <si>
    <t>1st level Evocation
Casting Time: 1 Action
Range: 30 ft
Components: V, S
Duration: 1 minute.
You hurl a pair of twin motes of static electricity against two creatures, linking them with lightning. 
Choose two creatures within range, they must make a Dexterity save. On a fail each creature takes 2d10 lightning damage, creating a 5 ft wide line between them. On a success (from either target) they take damage and the spell ends. Linked creatures may attempt the save again at the end of their turn.
Creatures that start their turn in the line, or enter it for the first time on a turn must succeed on a Constitution save or take 1d6 lightning damage. On a success they take no damage.
At Higher Levels. When you cast this spell using a spell slot of 2nd level or higher, the initial
damage increases by 1d10 for each slot level above 1st.</t>
  </si>
  <si>
    <t>Path of Pain</t>
  </si>
  <si>
    <t>1st level Conjuration
Casting Time: 1 Action
Range: Self
Components: V, S, M (a flower with thorns)
Duration: Concentration, up to 1 minute.
Your steps grow a field of flaming flowers which bolster your allies and hinder your enemies in battle.
Until the end of your turn you gain 20 ft of movement and any squares you pass through grow flaming flowers.
The affected area becomes difficult terrain until the spell ends. Any allies in the area gain a number of Temporary HP equal to twice your Constitution Modifier (minimum 2) at the start of their turn. An enemy takes 1d4 fire damage for every 5 ft. of movement made by them in the area.
The flowers do not spread fire and wilt once the spell ends.</t>
  </si>
  <si>
    <t>Ziggurat</t>
  </si>
  <si>
    <t xml:space="preserve">1st level Transmutation
Casting Time: 1 Action
Range: 30 ft
Components: V, S, M (a gemstone worth 10 gp, which the spell consumes)
Duration: Instantaneous
You create a stone monolith or statue that fits in a 10 ft cube within range, any creatures in the area are shunted to an unoccupied space away from you and take 2d10 force damage. Any allies gain a bonus to their AC and all Saving Throws equal to your Intelligence modifier (minimum 1) while adjacent to it.
</t>
  </si>
  <si>
    <t>Ashes to Ash</t>
  </si>
  <si>
    <t>Coral</t>
  </si>
  <si>
    <t xml:space="preserve">Coral
1st level Abjuration
Casting Time: 1 Action
Range: Touch
Components: S, M (a piece of coral worth 50 gp)
Duration: Concentration, up to 1 minute.
You touch another creature, coating them in an armor of brine, barnacles and coral.
The creature gains Temp HP equal to your Constitution score. While the Temp HP remains the creature is coated in sea water, and is immune to fire damage and vulnerable to lightning damage.
</t>
  </si>
  <si>
    <t>Glimmer</t>
  </si>
  <si>
    <t>Unbreakable</t>
  </si>
  <si>
    <t>Unshackled</t>
  </si>
  <si>
    <t>Unfathomable</t>
  </si>
  <si>
    <t>Unknowable</t>
  </si>
  <si>
    <t>Smog</t>
  </si>
  <si>
    <t>1st level Illusion 
Casting Time: 1 Action 
Range: Self
Components: S, M (a censer or smoking pipe)
Duration: 8 hours
You create a ghostly apparition from smoke in a shape of your design.
The apparition has AC 10 and 1 HP and is of medium or small size, but otherwise uses the statistics of a cat.
You can verbally issue it an order as a bonus action, which it obeys to the best of its ability. In combat it acts on your turn, it only moves if an order requires it.
As a reaction to being hit by an attack you can swap places with the apparition, the attack must be rerolled targeting it.</t>
  </si>
  <si>
    <t>Air</t>
  </si>
  <si>
    <t>Earth</t>
  </si>
  <si>
    <t>Fire</t>
  </si>
  <si>
    <t>Thunder</t>
  </si>
  <si>
    <t>Acid</t>
  </si>
  <si>
    <t>Plant</t>
  </si>
  <si>
    <t>Cold</t>
  </si>
  <si>
    <t>Necrotic</t>
  </si>
  <si>
    <t>Radiant</t>
  </si>
  <si>
    <t>Psychic</t>
  </si>
  <si>
    <t>Water</t>
  </si>
  <si>
    <t>Element</t>
  </si>
  <si>
    <t>Material Power</t>
  </si>
  <si>
    <t>Mote</t>
  </si>
  <si>
    <t>Source</t>
  </si>
  <si>
    <t>Pillar</t>
  </si>
  <si>
    <t>Knight</t>
  </si>
  <si>
    <t>Magistrate</t>
  </si>
  <si>
    <t>Templar</t>
  </si>
  <si>
    <t>Lightning</t>
  </si>
  <si>
    <t>1st level Necromancy
Casting Time: 1 Action
Range: 60 ft
Components: V, S, M (An hourglass worth 50 gp)
Duration: Instantaneous
You attempt to siphon away part of a creatures lifetime, sending them to an early grave.
Choose a number of creatures up to your Wisdom modifier within range. They must make a Constitution Save. On a fail they take 1d10 necrotic damage and are stunned until the start of their next turn. On a success they take half damage and are not stunned.
At Higher Levels. When you cast this spell with a 2nd level slot or higher, for each level above 1st you may choose to deal an extra 1d10 necrotic damage or target 1 more creature.</t>
  </si>
  <si>
    <t xml:space="preserve">1st level Abjuration
Casting Time: 1 Action
Range: Touch
Components: V, S, M (a holy symbol worth 100 gp, which the spell consumes)
Duration: Instantaneous
You touch a willing creature, imbuing them with holy light and potential.
Until the end of the creature’s next turn all damage they suffer is also taken by the source of the damage, neither can benefit from any resistances or immunities.
If the target drops to 0 HP they are restored to 1 HP.
</t>
  </si>
  <si>
    <t>Broil</t>
  </si>
  <si>
    <t>1st level Transmutation
Casting Time: 1 Action
Range: Self (10 ft cylinder)
Components: V
Duration: Concentration, up to three rounds.
You summon a torrent of acid from the depths.
The ground around you in a 10 ft radius becomes acid until the spell ends. A creature that enters the acid for the first time in its turn or starts its turn in the acid must make a Constitution save. On a fail the creature takes 2d10 acid damage. On a sucess the creature takes half damage and must use its reaction (if available) to move out of the cylinder.</t>
  </si>
  <si>
    <t>Thorn Halo</t>
  </si>
  <si>
    <t>Sonic Boom</t>
  </si>
  <si>
    <t>1st level Conjuration
Casting Time: 1 Action
Range: Self
Components: V, S, M (a flower with thorns)
Duration: Concentration, up to 1 minute.
You sprout a halo of thorns upon your head, to pluck and throw at your enemies.
While the spell lasts you gain a +1 bonus to AC and the following reaction:
Whenever a creature targets you with an attack you may make a melee or ranged spell attack against them, dealing 2d10 poison damage on a hit.</t>
  </si>
  <si>
    <t>1st level Evocation
Casting Time: 1 Bonus Action
Range: Self (15 ft cone)
Components: V, S
Duration: 1 minute.
You release a primal scream to deafen those around you.
All creatures in a 15 ft cone from you must make a Constitution save. On a fail a creature takes 2d8 thunder damage and is stunned until the start of their turn. On a sucess the creature takes half damage and is deafened instead.</t>
  </si>
  <si>
    <t>Tempt</t>
  </si>
  <si>
    <t>Flash Freeze</t>
  </si>
  <si>
    <t>1st level Conjuration
Casting Time: 1 Action
Range: Self (30 ft line)
Components: V, S
Duration: Instantaneous.
You slice through the air with frozen digits, piercing those in your path.
You create a line of cold 5 ft wide and 30 ft long, any creatures or objects in the area must make a Dexterity save. On a fail a creature or unnatended object takes 3d6 cold damage and is moved 5ft to a space outside the line. On a sucess the creature or object takes half damage and is not moved.  You may choose to move to any unnocupied space in the line without provoking attacks of oportunity.
At Higher Levels. When you cast this spell with a 2nd level slot or higher the damage increases by 1d6 for each level above 1st.</t>
  </si>
  <si>
    <t>1st level Enchantment
Casting Time: 1 Action
Range: 30 ft
Components: V, S
Duration: Instantaneous.
You create an image of an event or object that a creature within range covets.
The target must make a Wisdom save or be charmed by you and approach by any means until it is within reach of the illusion. A charmed target may attempt the save at the end of their turn, ending the effect on a success.</t>
  </si>
  <si>
    <t xml:space="preserve">At Will: Mold Earth.
3/Day: Maximilien's Earthen Grasp.
</t>
  </si>
  <si>
    <t xml:space="preserve">At Will: Produce Flame.
3/Day:  Flame Blade.
</t>
  </si>
  <si>
    <t>At Will: Acid Splash
3/Day: Acid Arrow</t>
  </si>
  <si>
    <t>At Will: Expeditious Retreat
3/Day: Cloud of Daggers</t>
  </si>
  <si>
    <t>At Will: Mind Sliver
3/Day: Fear</t>
  </si>
  <si>
    <t>At Will: Ray of Frost
3/Day: Slow</t>
  </si>
  <si>
    <t>At Will: Chill Touch
3/Day: Arms of Hadar</t>
  </si>
  <si>
    <t>Favored Weapon (10)</t>
  </si>
  <si>
    <t>At Will: Thorn Whip
3/Day: Entangle</t>
  </si>
  <si>
    <t>At Will: Thunderclap
3/Day: Shatter</t>
  </si>
  <si>
    <t>At Will: Fog Cloud
3/Day: Wall of Water</t>
  </si>
  <si>
    <t>Scimitar</t>
  </si>
  <si>
    <t>At Will: Faerie Fire, Light.
3/Day: Guiding Bolt</t>
  </si>
  <si>
    <t>At Will: Shocking Grasp
3/Day: Lightning Bolt</t>
  </si>
  <si>
    <t>Power</t>
  </si>
  <si>
    <t>Annoying</t>
  </si>
  <si>
    <t>Buff</t>
  </si>
  <si>
    <t>Crowd Control</t>
  </si>
  <si>
    <t>The Source buffs allies</t>
  </si>
  <si>
    <t>The Pillar CCs the battlefield</t>
  </si>
  <si>
    <t>The Magistrate spellcasts and slices a bitch</t>
  </si>
  <si>
    <t>Cantrips (at will): 
1st Level (4 Slots): 
2nd Level (3 Slots): 
3rd Level (3 Slots): 
4th Level (3 Slots): 
5th Level (1 Slot):</t>
  </si>
  <si>
    <t>---------------------- Other ----------------------</t>
  </si>
  <si>
    <t>Spellslinger</t>
  </si>
  <si>
    <t>Fodder</t>
  </si>
  <si>
    <t>The Templar fucks shit up</t>
  </si>
  <si>
    <t>The Knight tanks</t>
  </si>
  <si>
    <t>Tier</t>
  </si>
  <si>
    <t>Citizen of Amalgam</t>
  </si>
  <si>
    <t>Cantrips (at will):  Mending, Shape Water
1st Level (4 Slots): Absorb Elements, Chromatic Orb, Shield
2nd Level (3 Slots): Blur, Misty Step, Ray of Enfeeblement
3rd Level (3 Slots): Fly, Counterspell
4th Level (3 Slots): Elemental Bane, Polymorph, Banishment
5th Level (1 Slot): Hold Monster, Wall of Stone</t>
  </si>
  <si>
    <t>Cantrips (at will): Frostbite
1st Level (4 Slots): Absorb Elements, Chromatic Orb, Chromatic Spray
2nd Level (3 Slots): Alter Self, Invisibility, Snilloc's Snowball Swarm
3rd Level (3 Slots): Fireball, Sleet Storm
4th Level (3 Slots): Elemental Bane, Polymorph, Banishment
5th Level (1 Slot): Hold Monster, Wall of Light</t>
  </si>
  <si>
    <t>Cantrips (at will): 
1st Level (4 Slots): 
2nd Level (3 Slots): 
3rd Level (3 Slots): 
4th Level (3 Slots): 
5th Level (1 Slot): Hold Monster, Wall of Light</t>
  </si>
  <si>
    <t>Celestial, Primordial, Common.</t>
  </si>
  <si>
    <t>Order</t>
  </si>
  <si>
    <t>The Elemental forces a creature it damaged to make a CHA Save (DC 15) or be stunned of it until the end of The Elemental's next turn. On a sucess the creature is immune to this ability for the next hour.</t>
  </si>
  <si>
    <t>cleric</t>
  </si>
  <si>
    <t>wizard</t>
  </si>
  <si>
    <t>bard</t>
  </si>
  <si>
    <t>druid</t>
  </si>
  <si>
    <t>Damage Vulnerabilities:</t>
  </si>
  <si>
    <t>Damage (11)</t>
  </si>
  <si>
    <t>Range (12)</t>
  </si>
  <si>
    <t>Magister Spells (13)</t>
  </si>
  <si>
    <t>Class (14)</t>
  </si>
  <si>
    <t>Mote (15)</t>
  </si>
  <si>
    <t>Source (16)</t>
  </si>
  <si>
    <t>Pillar (17)</t>
  </si>
  <si>
    <t>Knight (18)</t>
  </si>
  <si>
    <t>The Mote can occupy a creature's space. An enemy in the same space as a mote must make a DC 14 Dexterity (Acrobatics) check when it moves.
 On a failed save, the mote moves with it. While in the same space as a mote, enemies have disadvantage on Constitution checks to maintain concentration.</t>
  </si>
  <si>
    <t>The Mote can occupy a creature's space. An enemy in the same space as a mote must make a DC 14 Dexterity (Acrobatics) check when it moves.
 On a failed save, the mote moves with it. While in the same space as a mote, enemies have disadvantage on Melee attacks.</t>
  </si>
  <si>
    <t>The Mote can occupy a creature's space. An enemy in the same space as a mote must make a DC 14 Dexterity (Acrobatics) check when it moves.
 On a failed save, the mote moves with it. While in the same space as a mote, enemies move speed is decreased by 10 ft.</t>
  </si>
  <si>
    <t>The Mote can occupy a creature's space. An enemy in the same space as a mote must make a DC 14 Dexterity (Acrobatics) check when it moves.
 On a failed save, the mote moves with it. While in the same space as a mote, enemies have disadvantage on Dexterity Saves.</t>
  </si>
  <si>
    <t>The Mote can occupy a creature's space. An enemy in the same space as a mote must make a DC 14 Dexterity (Acrobatics) check when it moves.
 On a failed save, the mote moves with it. While in the same space as a mote, enemies take 1d6 damage when taking reactions.</t>
  </si>
  <si>
    <t>The Mote can occupy a creature's space. An enemy in the same space as a mote must make a DC 14 Dexterity (Acrobatics) check when it moves.
 On a failed save, the mote moves with it. While in the same space as a mote, enemies can't regain hit points.</t>
  </si>
  <si>
    <t>The Mote can occupy a creature's space. An enemy in the same space as a mote must make a DC 14 Dexterity (Acrobatics) check when it moves.
 On a failed save, the mote moves with it. While in the same space as a mote, enemies have disadvantage on Intelligence checks and saves.</t>
  </si>
  <si>
    <t>The Mote can occupy a creature's space. An enemy in the same space as a mote must make a DC 14 Dexterity (Acrobatics) check when it moves.
 On a failed save, the mote moves with it. While in the same space as a mote, enemies can't benefit from invisibility and have disadvantage on stealth checks.</t>
  </si>
  <si>
    <t>The Mote can occupy a creature's space. An enemy in the same space as a mote must make a DC 14 Dexterity (Acrobatics) check when it moves.
 On a failed save, the mote moves with it. While in the same space as a mote, enemies have disadvantage on Wisdom saving throws.</t>
  </si>
  <si>
    <t>The Mote can occupy a creature's space. An enemy in the same space as a mote must make a DC 14 Dexterity (Acrobatics) check when it moves.
 On a failed save, the mote moves with it. While in the same space as a mote, enemies are vulnerable to Fire.</t>
  </si>
  <si>
    <t>The Mote can occupy a creature's space. An enemy in the same space as a mote must make a DC 14 Dexterity (Acrobatics) check when it moves.
 On a failed save, the mote moves with it. While in the same space as a mote, enemies have disadvantage on Ranged Attacks.</t>
  </si>
  <si>
    <t>The Mote can occupy a creature's space. An enemy in the same space as a mote must make a DC 14 Dexterity (Acrobatics) check when it moves.
 On a failed save, the mote moves with it. While in the same space as a mote, enemies can't benefit from magical healing.</t>
  </si>
  <si>
    <t>Allies within 60 feet of the Source cannot be moved against their will or knocked prone.</t>
  </si>
  <si>
    <t>Allies within 60 feet of the Source have a fly speed equal to half their walking speed.</t>
  </si>
  <si>
    <t>Allies within 30 ft of the Source are resistant to Fire.</t>
  </si>
  <si>
    <t>Allies within 30 feet of the Source deal 1d6 Fire damage on weapon attacks.</t>
  </si>
  <si>
    <t>Allies within 60 feet of the Source can use the Dash action as a Bonus action. This movement does not provoke attacks of oportunity.</t>
  </si>
  <si>
    <t>Allies within 60 ft of the Source gain one extra HP per character level/CR when regaining HP.</t>
  </si>
  <si>
    <t>Allies within 60 ft of the Source cannot be incapacitated, unless knocked uncounscious.</t>
  </si>
  <si>
    <t>Allies within 60 ft of the Source cannot be frightened and have advantage on saves against Illusions.</t>
  </si>
  <si>
    <t>Allies within 30 ft of the source can add 1d4 to attacks and saving throws.</t>
  </si>
  <si>
    <t>Allies within 30 ft of the source have advantage on Strenght checks and saving throws.</t>
  </si>
  <si>
    <t>Allies within 30 ft of the Source can once per day regain 1 HP when reduced to 0 HP without being killed outright.</t>
  </si>
  <si>
    <t>Allies within 60 ft of the Source gain 5 Temp HP at the start of their turns. If an ally with Temp HP is hit by a melee attack the attacker takes 5 acid damage.</t>
  </si>
  <si>
    <t>Enemies beginning their turn within 15 feet of the pillar must make a DC 15 Strength check or be pushed 10 feet away from the pillar. The ground within 15 feet of the Pillar is difficult terrain for all enemies attempting to move toward the pillar.</t>
  </si>
  <si>
    <t>The Knight can use its reaction to be targeted by an attack targetting an ally within 5 ft.</t>
  </si>
  <si>
    <t>Templar (19)</t>
  </si>
  <si>
    <t>Scour (Recharge 5–6)</t>
  </si>
  <si>
    <t>Enemies beginning their turn within 15 feet of the pillar must make a DC 15 Acrobatics check or be pushed 5 feet toward the pillar. The ground within 15 feet of the Pillar is difficult terrain for all enemies attempting to move away from the pillar.</t>
  </si>
  <si>
    <t>Enemies within 15 ft of the Pillar have disadvantage on ranged attacks.</t>
  </si>
  <si>
    <t>Enemies within 15 ft of the Pillar take 1d6 damage at the start of the Pillar's turn and must suceed on a grapple check against the pillar or be grappled.</t>
  </si>
  <si>
    <t>Enemies within 15 feet of the Pillar must suceed on a DC 15 Constitution save or be stunned until the end of their turn.</t>
  </si>
  <si>
    <t>Enemies within 15 ft of the Pillar must suceed on a DC 15 Dexterity save or take 2d6 fire damage at the start of their turn.</t>
  </si>
  <si>
    <t>Enemies within 15 ft of the Pillar have disadvantage on Constitution saving throws. The ground within 15 ft of the Pillar is difficult terrain.</t>
  </si>
  <si>
    <t>Enemies within 15 ft of the Pillar take 1d4 piercing damage for every 5 ft they move in the area.</t>
  </si>
  <si>
    <t>The area 15 ft around the Pillar is heavily obscured for enemies, but clear to allies. Enemies have disadvantage on melee attacks within it.</t>
  </si>
  <si>
    <t>The pillar radiates bright light on a 15 ft radius. Enemies entering the area or starting their turn in it must suceed on a DC 15 Constitution save or be blinded until the end of their turn.</t>
  </si>
  <si>
    <t>Enemis begining their turn within 15 ft of the Pillar must make a DC 15 Strenght check or be pushed 10 ft away from it. Ranged weapon attacks passing through the area are made with disadvantage.</t>
  </si>
  <si>
    <t>Enemies begining their turn within 15 ft of the Pillar must suceed on a DC 15 Constitution save or take 18 acid damage. The ground within 15 feet of the Pillar is difficult terrain for all enemies attempting to move toward the pillar.</t>
  </si>
  <si>
    <t>The Knight can use its reaction to move up to its speed toward a creature who attacks one of the Knight's allies.</t>
  </si>
  <si>
    <t>An enemy within 10 ft of the Knight must suceed on a Wisdom save when targettig any creature other than the knight, forgoing the attack on a fail.</t>
  </si>
  <si>
    <t>The Knight can use its reaction to halve the damage of one weapon attack it suffers.</t>
  </si>
  <si>
    <t>The Knight has advantage on Strenght and Constitution saving throws if more than one enemy is within 10 ft of it.</t>
  </si>
  <si>
    <t>The Knight can grapple 2 targets simultaneously. A grappled target has disadvantage on attacks against creatures other than the Knight.</t>
  </si>
  <si>
    <t>The Knight's weapons have the reach property. The knight can move 5 ft after making an attack of opportunity.</t>
  </si>
  <si>
    <t>The Knight recovers HP equal to half the necrotic damage it deals.</t>
  </si>
  <si>
    <t>The Knight's allies gain a +3 bonus to AC while within 10 ft of the Knight.</t>
  </si>
  <si>
    <t>Enemies spellcasting within 10 ft of the Knight must suceed on a DC 15 concentration check or lose the spell.</t>
  </si>
  <si>
    <t>The Knight can use the Help and Disengage actions as a bonus action.</t>
  </si>
  <si>
    <t xml:space="preserve">The Templar moves up to its speed without provoking opportunity attacks. It can move through creatures, and each creature it passes through must make a DC 15 Constitution saving throw or take 10 (3d6) force damage. </t>
  </si>
  <si>
    <t>As an action, the Templar makes a ranged spell attack against a creature within 30 ft. On a hit the Templar teleports in an unnocupied space within 5 ft of it and the creature takes 10 (3d6) acid damage.</t>
  </si>
  <si>
    <t xml:space="preserve">The Templar moves up to its speed without provoking opportunity attacks. It can move through creatures, and each creature it passes through must make a DC 15 Constitution saving throw or take 10 (3d6) bludgeoning damage. </t>
  </si>
  <si>
    <t>The Templar moves up to its speed, provoking attacks of opportunity. For each miss it deals 10 (3d6) Cold damage to the attacker.</t>
  </si>
  <si>
    <t>The Templar moves up to its speed without provoking opportunity attacks. It can move through creatures. Each creature it moves through is ignited and must use their action to put out the fire, taking 7 (2d6) Fire damage at the start of their turn.</t>
  </si>
  <si>
    <t>The Templar creates a line 30 ft long 10 ft wide. All enemies in the line must suceed on a Constitution save or take 10 (3d6) Necrotic damage and fall prone.</t>
  </si>
  <si>
    <t>The knight can use its reaction to give an ally within 10 ft half cover against a ranged attack.</t>
  </si>
  <si>
    <t>Cantrips (at will): Spare the Dying, Toll the Dead
1st Level (4 Slots): 
2nd Level (3 Slots): 
3rd Level (3 Slots): 
4th Level (3 Slots): 
5th Level (1 Slot):</t>
  </si>
  <si>
    <t>The Templar uses its movement to burrow and attempts to entangle a creature from below. The target must suceed on an opposed grapple or be restrained for the duration of the grapple.</t>
  </si>
  <si>
    <t>The Templar moves up to its speed without provoking opportunity attacks. It can move through creatures. Each creature it moves through must suceed on a Wisdom save or be stunned until the end of their next turn.</t>
  </si>
  <si>
    <t>The Templar moves up to its speed. During this movement it can attack anyone who takes an attack of opportunity against it.</t>
  </si>
  <si>
    <t>The Templar moves up to its speed in a straight line, any creatures in the area take 7 (2d6) thunder damage and must suceed on a Strenght save or be knocked prone.</t>
  </si>
  <si>
    <t>The Templar moves up to its speed without provoking opportunity attacks. It can move through creatures, and each creature it passes through must make a DC 15 Constitution saving throw or take 1 level of exhaustion.</t>
  </si>
  <si>
    <t>The Templar moves twice its speed. It can move through creatures, and each creature it passes through must make a DC 15 Constitution save. On a sucess a creature takes 11 (2d10) lightning damage. On a fail the creature takes 15 (3d10) lightning damage and is stunned until the end of their next turn.</t>
  </si>
  <si>
    <t>IF(VLOOKUP($B$1;Tabela1[#All];3;FALSE)=TRUE;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</si>
</sst>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
      <b/>
      <sz val="16"/>
      <color theme="1"/>
      <name val="Arial"/>
      <family val="2"/>
    </font>
    <font>
      <b/>
      <sz val="14"/>
      <color theme="0"/>
      <name val="Calibri"/>
      <family val="2"/>
      <scheme val="minor"/>
    </font>
    <font>
      <b/>
      <sz val="12"/>
      <color theme="1"/>
      <name val="Calibri"/>
      <family val="2"/>
      <scheme val="minor"/>
    </font>
    <font>
      <sz val="11"/>
      <color theme="0"/>
      <name val="Calibri"/>
      <family val="2"/>
      <scheme val="minor"/>
    </font>
    <font>
      <b/>
      <sz val="16"/>
      <color theme="0"/>
      <name val="Calibri"/>
      <family val="2"/>
      <scheme val="minor"/>
    </font>
    <font>
      <b/>
      <sz val="11"/>
      <color theme="5" tint="-0.249977111117893"/>
      <name val="Calibri"/>
      <family val="2"/>
      <scheme val="minor"/>
    </font>
    <font>
      <b/>
      <sz val="11"/>
      <color theme="5" tint="-0.499984740745262"/>
      <name val="Calibri"/>
      <family val="2"/>
      <scheme val="minor"/>
    </font>
    <font>
      <b/>
      <sz val="14"/>
      <color theme="5" tint="-0.499984740745262"/>
      <name val="Calibri"/>
      <family val="2"/>
      <scheme val="minor"/>
    </font>
    <font>
      <sz val="11"/>
      <color theme="5" tint="-0.249977111117893"/>
      <name val="Calibri"/>
      <family val="2"/>
      <scheme val="minor"/>
    </font>
    <font>
      <b/>
      <sz val="16"/>
      <color theme="1"/>
      <name val="Arial"/>
    </font>
    <font>
      <b/>
      <sz val="11"/>
      <color theme="1"/>
      <name val="Calibri"/>
      <family val="2"/>
      <scheme val="minor"/>
    </font>
    <font>
      <b/>
      <sz val="14"/>
      <color theme="1"/>
      <name val="Arial"/>
      <family val="2"/>
    </font>
    <font>
      <sz val="11"/>
      <name val="Calibri"/>
      <family val="2"/>
      <scheme val="minor"/>
    </font>
    <font>
      <b/>
      <sz val="24"/>
      <color theme="5" tint="-0.249977111117893"/>
      <name val="Calibri Light"/>
      <scheme val="major"/>
    </font>
    <font>
      <sz val="11"/>
      <color rgb="FFFF0000"/>
      <name val="Calibri"/>
      <family val="2"/>
      <scheme val="minor"/>
    </font>
    <font>
      <b/>
      <sz val="14"/>
      <color theme="1"/>
      <name val="Calibri"/>
      <scheme val="minor"/>
    </font>
    <font>
      <sz val="10"/>
      <color theme="5" tint="-0.249977111117893"/>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4"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theme="4" tint="0.39997558519241921"/>
      </left>
      <right/>
      <top style="thin">
        <color theme="4" tint="0.39997558519241921"/>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0" fontId="0" fillId="0" borderId="0" xfId="0" applyAlignment="1">
      <alignment horizontal="center" vertical="center"/>
    </xf>
    <xf numFmtId="0" fontId="0" fillId="2" borderId="0" xfId="0" applyFill="1"/>
    <xf numFmtId="0" fontId="0" fillId="4" borderId="0" xfId="0" applyFill="1"/>
    <xf numFmtId="0" fontId="2" fillId="4" borderId="0" xfId="0" applyFont="1" applyFill="1"/>
    <xf numFmtId="0" fontId="0" fillId="2" borderId="2" xfId="0" quotePrefix="1" applyFill="1" applyBorder="1" applyAlignment="1">
      <alignment horizontal="center" vertical="center"/>
    </xf>
    <xf numFmtId="0" fontId="0" fillId="2" borderId="3" xfId="0" applyFill="1" applyBorder="1" applyAlignment="1">
      <alignment horizontal="center" vertical="center"/>
    </xf>
    <xf numFmtId="0" fontId="0" fillId="2" borderId="3" xfId="0" quotePrefix="1"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wrapText="1"/>
    </xf>
    <xf numFmtId="0" fontId="6" fillId="5" borderId="5" xfId="0" applyFont="1" applyFill="1" applyBorder="1" applyAlignment="1">
      <alignment horizontal="left" vertical="center"/>
    </xf>
    <xf numFmtId="0" fontId="3" fillId="0" borderId="0" xfId="0" applyFont="1" applyAlignment="1">
      <alignment horizontal="left" vertical="center" wrapText="1"/>
    </xf>
    <xf numFmtId="0" fontId="6" fillId="0" borderId="5" xfId="0" applyFont="1" applyBorder="1" applyAlignment="1">
      <alignment horizontal="left" vertical="center"/>
    </xf>
    <xf numFmtId="0" fontId="10" fillId="3" borderId="1" xfId="0" applyFont="1" applyFill="1" applyBorder="1"/>
    <xf numFmtId="0" fontId="8" fillId="7" borderId="7" xfId="0" applyFont="1" applyFill="1" applyBorder="1" applyAlignment="1">
      <alignment horizontal="left" vertical="center"/>
    </xf>
    <xf numFmtId="0" fontId="8" fillId="8" borderId="7" xfId="0" applyFont="1" applyFill="1" applyBorder="1" applyAlignment="1">
      <alignment horizontal="left" vertical="center"/>
    </xf>
    <xf numFmtId="0" fontId="0" fillId="7" borderId="7" xfId="0" applyFill="1" applyBorder="1" applyAlignment="1">
      <alignment horizontal="left" vertical="center" wrapText="1"/>
    </xf>
    <xf numFmtId="0" fontId="0" fillId="8" borderId="7" xfId="0" applyFill="1" applyBorder="1" applyAlignment="1">
      <alignment horizontal="left" vertical="center" wrapText="1"/>
    </xf>
    <xf numFmtId="0" fontId="3" fillId="9" borderId="9" xfId="0" applyFont="1" applyFill="1" applyBorder="1" applyAlignment="1">
      <alignment horizontal="center" vertical="center" wrapText="1"/>
    </xf>
    <xf numFmtId="0" fontId="8" fillId="8" borderId="10" xfId="0" applyFont="1" applyFill="1" applyBorder="1" applyAlignment="1">
      <alignment horizontal="left" vertical="center"/>
    </xf>
    <xf numFmtId="0" fontId="0" fillId="8" borderId="10" xfId="0" applyFill="1" applyBorder="1" applyAlignment="1">
      <alignment horizontal="left" vertical="center" wrapText="1"/>
    </xf>
    <xf numFmtId="0" fontId="8" fillId="7" borderId="7" xfId="0" applyFont="1" applyFill="1" applyBorder="1" applyAlignment="1">
      <alignment vertical="center"/>
    </xf>
    <xf numFmtId="0" fontId="1" fillId="9" borderId="9" xfId="0" applyFont="1" applyFill="1" applyBorder="1" applyAlignment="1">
      <alignment vertical="center"/>
    </xf>
    <xf numFmtId="0" fontId="2" fillId="2" borderId="0" xfId="0" applyFont="1" applyFill="1"/>
    <xf numFmtId="0" fontId="2" fillId="2" borderId="14" xfId="0" applyFont="1" applyFill="1" applyBorder="1" applyAlignment="1">
      <alignment horizontal="center" vertical="center"/>
    </xf>
    <xf numFmtId="0" fontId="0" fillId="2" borderId="14" xfId="0" applyFill="1" applyBorder="1"/>
    <xf numFmtId="0" fontId="12" fillId="2" borderId="13" xfId="0" applyFont="1" applyFill="1" applyBorder="1"/>
    <xf numFmtId="0" fontId="13" fillId="2" borderId="13" xfId="0" applyFont="1" applyFill="1" applyBorder="1"/>
    <xf numFmtId="0" fontId="12" fillId="2" borderId="1" xfId="0" applyFont="1" applyFill="1" applyBorder="1" applyAlignment="1">
      <alignment horizontal="center" vertical="center"/>
    </xf>
    <xf numFmtId="0" fontId="12" fillId="2" borderId="13" xfId="0" applyFont="1" applyFill="1" applyBorder="1" applyAlignment="1">
      <alignment horizontal="left"/>
    </xf>
    <xf numFmtId="0" fontId="0" fillId="2" borderId="0" xfId="0" applyFill="1" applyAlignment="1">
      <alignment horizontal="left"/>
    </xf>
    <xf numFmtId="0" fontId="0" fillId="2" borderId="14" xfId="0" applyFill="1" applyBorder="1" applyAlignment="1">
      <alignment horizontal="left"/>
    </xf>
    <xf numFmtId="0" fontId="15" fillId="5" borderId="16" xfId="0" applyFont="1" applyFill="1" applyBorder="1" applyAlignment="1">
      <alignment horizontal="left" vertical="center"/>
    </xf>
    <xf numFmtId="0" fontId="15" fillId="0" borderId="16" xfId="0" applyFont="1" applyBorder="1" applyAlignment="1">
      <alignment horizontal="left" vertical="center"/>
    </xf>
    <xf numFmtId="0" fontId="0" fillId="0" borderId="0" xfId="0" applyAlignment="1">
      <alignment wrapText="1"/>
    </xf>
    <xf numFmtId="0" fontId="17" fillId="0" borderId="0" xfId="0" applyFont="1" applyAlignment="1">
      <alignment horizontal="justify" vertical="center"/>
    </xf>
    <xf numFmtId="0" fontId="8" fillId="8" borderId="10" xfId="0" applyFont="1" applyFill="1" applyBorder="1" applyAlignment="1">
      <alignment vertical="center"/>
    </xf>
    <xf numFmtId="0" fontId="8" fillId="8" borderId="9" xfId="0" applyFont="1" applyFill="1" applyBorder="1" applyAlignment="1">
      <alignment vertical="center"/>
    </xf>
    <xf numFmtId="0" fontId="8" fillId="7" borderId="6" xfId="0" applyFont="1" applyFill="1" applyBorder="1" applyAlignment="1">
      <alignment vertical="center"/>
    </xf>
    <xf numFmtId="0" fontId="8" fillId="8" borderId="0" xfId="0" applyFont="1" applyFill="1" applyAlignment="1">
      <alignment vertical="center"/>
    </xf>
    <xf numFmtId="0" fontId="1" fillId="9" borderId="15" xfId="0" applyFont="1" applyFill="1" applyBorder="1" applyAlignment="1">
      <alignment vertical="center"/>
    </xf>
    <xf numFmtId="0" fontId="0" fillId="7" borderId="8"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16" fillId="7" borderId="7" xfId="0" applyFont="1" applyFill="1" applyBorder="1" applyAlignment="1">
      <alignment vertical="center"/>
    </xf>
    <xf numFmtId="0" fontId="16" fillId="8" borderId="0" xfId="0" applyFont="1" applyFill="1" applyAlignment="1">
      <alignment vertical="center"/>
    </xf>
    <xf numFmtId="0" fontId="0" fillId="7" borderId="8" xfId="0" applyFill="1" applyBorder="1" applyAlignment="1">
      <alignment vertical="center" wrapText="1"/>
    </xf>
    <xf numFmtId="0" fontId="0" fillId="8" borderId="0" xfId="0" applyFill="1" applyAlignment="1">
      <alignment vertical="center" wrapText="1"/>
    </xf>
    <xf numFmtId="0" fontId="16" fillId="7" borderId="6" xfId="0" applyFont="1" applyFill="1" applyBorder="1" applyAlignment="1">
      <alignment vertical="center"/>
    </xf>
    <xf numFmtId="0" fontId="16" fillId="8" borderId="6" xfId="0" applyFont="1" applyFill="1" applyBorder="1" applyAlignment="1">
      <alignment vertical="center"/>
    </xf>
    <xf numFmtId="0" fontId="0" fillId="8" borderId="8" xfId="0" applyFill="1" applyBorder="1" applyAlignment="1">
      <alignment vertical="center" wrapText="1"/>
    </xf>
    <xf numFmtId="0" fontId="0" fillId="0" borderId="0" xfId="0" applyAlignment="1">
      <alignment horizontal="left" vertical="center"/>
    </xf>
    <xf numFmtId="0" fontId="0" fillId="2" borderId="0" xfId="0" quotePrefix="1" applyFill="1"/>
    <xf numFmtId="0" fontId="1" fillId="0" borderId="0" xfId="0" applyFont="1" applyAlignment="1">
      <alignment horizontal="center" vertical="center" wrapText="1"/>
    </xf>
    <xf numFmtId="0" fontId="21" fillId="0" borderId="0" xfId="0" applyFont="1" applyAlignment="1">
      <alignment horizontal="center" vertical="center" wrapText="1"/>
    </xf>
    <xf numFmtId="0" fontId="1" fillId="3" borderId="6"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9" xfId="0" applyFont="1" applyFill="1" applyBorder="1" applyAlignment="1">
      <alignment horizontal="center" vertical="center" wrapText="1"/>
    </xf>
    <xf numFmtId="0" fontId="0" fillId="0" borderId="8" xfId="0" applyBorder="1" applyAlignment="1">
      <alignment horizontal="left" vertical="center" wrapText="1"/>
    </xf>
    <xf numFmtId="0" fontId="0" fillId="0" borderId="0" xfId="0" applyAlignment="1">
      <alignment vertical="center" wrapText="1"/>
    </xf>
    <xf numFmtId="0" fontId="20" fillId="0" borderId="0" xfId="0" applyFont="1" applyAlignment="1">
      <alignment horizontal="left" vertical="center" wrapText="1"/>
    </xf>
    <xf numFmtId="0" fontId="18" fillId="0" borderId="0" xfId="0" applyFont="1" applyAlignment="1">
      <alignment horizontal="left" vertical="center" wrapText="1"/>
    </xf>
    <xf numFmtId="0" fontId="5" fillId="4" borderId="1" xfId="0" applyFont="1" applyFill="1" applyBorder="1" applyAlignment="1">
      <alignment horizontal="center"/>
    </xf>
    <xf numFmtId="0" fontId="12" fillId="2" borderId="13" xfId="0" applyFont="1" applyFill="1" applyBorder="1" applyAlignment="1">
      <alignment horizontal="left" vertical="center"/>
    </xf>
    <xf numFmtId="0" fontId="0" fillId="2" borderId="0" xfId="0" quotePrefix="1" applyFill="1" applyAlignment="1">
      <alignment horizontal="left" wrapText="1"/>
    </xf>
    <xf numFmtId="0" fontId="0" fillId="2" borderId="14" xfId="0" quotePrefix="1" applyFill="1" applyBorder="1" applyAlignment="1">
      <alignment horizontal="left" wrapText="1"/>
    </xf>
    <xf numFmtId="0" fontId="12" fillId="2" borderId="13" xfId="0" quotePrefix="1" applyFont="1" applyFill="1" applyBorder="1" applyAlignment="1">
      <alignment horizontal="center"/>
    </xf>
    <xf numFmtId="0" fontId="12" fillId="2" borderId="0" xfId="0" quotePrefix="1" applyFont="1" applyFill="1" applyAlignment="1">
      <alignment horizontal="center"/>
    </xf>
    <xf numFmtId="0" fontId="12" fillId="2" borderId="14" xfId="0" quotePrefix="1" applyFont="1" applyFill="1" applyBorder="1" applyAlignment="1">
      <alignment horizontal="center"/>
    </xf>
    <xf numFmtId="0" fontId="0" fillId="2" borderId="13" xfId="0" applyFill="1" applyBorder="1" applyAlignment="1">
      <alignment horizontal="left"/>
    </xf>
    <xf numFmtId="0" fontId="0" fillId="2" borderId="0" xfId="0" applyFill="1" applyAlignment="1">
      <alignment horizontal="left"/>
    </xf>
    <xf numFmtId="0" fontId="0" fillId="2" borderId="14" xfId="0" applyFill="1" applyBorder="1" applyAlignment="1">
      <alignment horizontal="left"/>
    </xf>
    <xf numFmtId="0" fontId="0" fillId="2" borderId="13" xfId="0" applyFill="1" applyBorder="1" applyAlignment="1">
      <alignment horizontal="left" wrapText="1"/>
    </xf>
    <xf numFmtId="0" fontId="0" fillId="2" borderId="0" xfId="0" applyFill="1" applyAlignment="1">
      <alignment horizontal="left" wrapText="1"/>
    </xf>
    <xf numFmtId="0" fontId="0" fillId="2" borderId="14" xfId="0" applyFill="1" applyBorder="1" applyAlignment="1">
      <alignment horizontal="left" wrapText="1"/>
    </xf>
    <xf numFmtId="0" fontId="14" fillId="2" borderId="13" xfId="0" applyFont="1" applyFill="1" applyBorder="1" applyAlignment="1">
      <alignment horizontal="left" vertical="top" wrapText="1"/>
    </xf>
    <xf numFmtId="0" fontId="14" fillId="2" borderId="0" xfId="0" applyFont="1" applyFill="1" applyAlignment="1">
      <alignment horizontal="left" vertical="top" wrapText="1"/>
    </xf>
    <xf numFmtId="0" fontId="14" fillId="2" borderId="14" xfId="0" applyFont="1" applyFill="1" applyBorder="1" applyAlignment="1">
      <alignment horizontal="left" vertical="top" wrapText="1"/>
    </xf>
    <xf numFmtId="0" fontId="0" fillId="2" borderId="9" xfId="0" quotePrefix="1" applyFill="1" applyBorder="1" applyAlignment="1">
      <alignment horizontal="left"/>
    </xf>
    <xf numFmtId="0" fontId="0" fillId="2" borderId="15" xfId="0" quotePrefix="1" applyFill="1" applyBorder="1" applyAlignment="1">
      <alignment horizontal="left"/>
    </xf>
    <xf numFmtId="0" fontId="0" fillId="2" borderId="0" xfId="0" applyFill="1" applyAlignment="1">
      <alignment horizontal="center"/>
    </xf>
    <xf numFmtId="0" fontId="0" fillId="2" borderId="13" xfId="0" quotePrefix="1" applyFill="1" applyBorder="1" applyAlignment="1">
      <alignment horizontal="left" vertical="top" wrapText="1"/>
    </xf>
    <xf numFmtId="0" fontId="0" fillId="2" borderId="0" xfId="0" quotePrefix="1" applyFill="1" applyAlignment="1">
      <alignment horizontal="left" vertical="top" wrapText="1"/>
    </xf>
    <xf numFmtId="0" fontId="0" fillId="2" borderId="14" xfId="0" quotePrefix="1" applyFill="1" applyBorder="1" applyAlignment="1">
      <alignment horizontal="left" vertical="top" wrapText="1"/>
    </xf>
    <xf numFmtId="0" fontId="12" fillId="2" borderId="13"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14" xfId="0" applyFont="1" applyFill="1" applyBorder="1" applyAlignment="1">
      <alignment horizontal="left" vertical="top" wrapText="1"/>
    </xf>
    <xf numFmtId="0" fontId="18" fillId="2" borderId="13" xfId="0" applyFont="1" applyFill="1" applyBorder="1" applyAlignment="1">
      <alignment horizontal="left" vertical="top" wrapText="1"/>
    </xf>
    <xf numFmtId="0" fontId="18" fillId="2" borderId="0" xfId="0" applyFont="1" applyFill="1" applyAlignment="1">
      <alignment horizontal="left" vertical="top" wrapText="1"/>
    </xf>
    <xf numFmtId="0" fontId="18" fillId="2" borderId="14"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15" xfId="0" applyFont="1" applyFill="1" applyBorder="1" applyAlignment="1">
      <alignment horizontal="left" vertical="top" wrapText="1"/>
    </xf>
    <xf numFmtId="0" fontId="22" fillId="2" borderId="13" xfId="0" applyFont="1" applyFill="1" applyBorder="1" applyAlignment="1">
      <alignment horizontal="left" vertical="top" wrapText="1"/>
    </xf>
    <xf numFmtId="0" fontId="22" fillId="2" borderId="0" xfId="0" applyFont="1" applyFill="1" applyAlignment="1">
      <alignment horizontal="left" vertical="top" wrapText="1"/>
    </xf>
    <xf numFmtId="0" fontId="22" fillId="2" borderId="14" xfId="0" applyFont="1" applyFill="1" applyBorder="1" applyAlignment="1">
      <alignment horizontal="left" vertical="top" wrapText="1"/>
    </xf>
    <xf numFmtId="0" fontId="19" fillId="2" borderId="11" xfId="0" applyFont="1" applyFill="1" applyBorder="1" applyAlignment="1">
      <alignment horizontal="center" vertical="center"/>
    </xf>
    <xf numFmtId="0" fontId="19" fillId="2" borderId="10" xfId="0" applyFont="1" applyFill="1" applyBorder="1" applyAlignment="1">
      <alignment horizontal="center" vertical="center"/>
    </xf>
    <xf numFmtId="0" fontId="19" fillId="2" borderId="12" xfId="0" applyFont="1" applyFill="1" applyBorder="1" applyAlignment="1">
      <alignment horizontal="center" vertical="center"/>
    </xf>
    <xf numFmtId="0" fontId="19" fillId="2" borderId="13" xfId="0" applyFont="1" applyFill="1" applyBorder="1" applyAlignment="1">
      <alignment horizontal="center" vertical="center"/>
    </xf>
    <xf numFmtId="0" fontId="19" fillId="2" borderId="0" xfId="0" applyFont="1" applyFill="1" applyAlignment="1">
      <alignment horizontal="center" vertical="center"/>
    </xf>
    <xf numFmtId="0" fontId="19" fillId="2" borderId="14" xfId="0" applyFont="1" applyFill="1" applyBorder="1" applyAlignment="1">
      <alignment horizontal="center" vertical="center"/>
    </xf>
    <xf numFmtId="0" fontId="7" fillId="10" borderId="6" xfId="0" applyFont="1" applyFill="1" applyBorder="1" applyAlignment="1">
      <alignment horizontal="left"/>
    </xf>
    <xf numFmtId="0" fontId="7" fillId="10" borderId="7" xfId="0" applyFont="1" applyFill="1" applyBorder="1" applyAlignment="1">
      <alignment horizontal="left"/>
    </xf>
    <xf numFmtId="0" fontId="7" fillId="10" borderId="8" xfId="0" applyFont="1" applyFill="1" applyBorder="1" applyAlignment="1">
      <alignment horizontal="left"/>
    </xf>
    <xf numFmtId="0" fontId="9" fillId="6" borderId="6" xfId="0" applyFont="1" applyFill="1" applyBorder="1" applyAlignment="1">
      <alignment horizontal="left"/>
    </xf>
    <xf numFmtId="0" fontId="9" fillId="6" borderId="7" xfId="0" applyFont="1" applyFill="1" applyBorder="1" applyAlignment="1">
      <alignment horizontal="left"/>
    </xf>
    <xf numFmtId="0" fontId="9" fillId="6" borderId="8" xfId="0" applyFont="1" applyFill="1" applyBorder="1" applyAlignment="1">
      <alignment horizontal="left"/>
    </xf>
    <xf numFmtId="0" fontId="11" fillId="2" borderId="13" xfId="0" applyFont="1" applyFill="1" applyBorder="1" applyAlignment="1">
      <alignment horizontal="center"/>
    </xf>
    <xf numFmtId="0" fontId="11" fillId="2" borderId="0" xfId="0" applyFont="1" applyFill="1" applyAlignment="1">
      <alignment horizontal="center"/>
    </xf>
    <xf numFmtId="0" fontId="11" fillId="2" borderId="14"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cellXfs>
  <cellStyles count="1">
    <cellStyle name="Normal" xfId="0" builtinId="0"/>
  </cellStyles>
  <dxfs count="39">
    <dxf>
      <font>
        <color rgb="FF006100"/>
      </font>
      <fill>
        <patternFill>
          <bgColor theme="9"/>
        </patternFill>
      </fill>
    </dxf>
    <dxf>
      <fill>
        <patternFill>
          <bgColor theme="9" tint="0.79998168889431442"/>
        </patternFill>
      </fill>
    </dxf>
    <dxf>
      <alignment horizontal="left" vertical="center" textRotation="0" wrapText="1" indent="0" justifyLastLine="0" shrinkToFit="0" readingOrder="0"/>
    </dxf>
    <dxf>
      <font>
        <b/>
        <strike val="0"/>
        <outline val="0"/>
        <shadow val="0"/>
        <u val="none"/>
        <vertAlign val="baseline"/>
        <sz val="16"/>
        <color theme="1"/>
      </font>
      <alignment horizontal="left" vertical="center" textRotation="0" wrapText="1" indent="0" justifyLastLine="0" shrinkToFit="0" readingOrder="0"/>
    </dxf>
    <dxf>
      <font>
        <b/>
        <i val="0"/>
        <strike val="0"/>
        <condense val="0"/>
        <extend val="0"/>
        <outline val="0"/>
        <shadow val="0"/>
        <u val="none"/>
        <vertAlign val="baseline"/>
        <sz val="16"/>
        <color theme="1"/>
        <name val="Arial"/>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alignment horizontal="left" vertical="center" textRotation="0" indent="0" justifyLastLine="0" shrinkToFit="0" readingOrder="0"/>
    </dxf>
    <dxf>
      <alignment horizontal="general" vertical="center" textRotation="0" wrapText="1" indent="0" justifyLastLine="0" shrinkToFit="0" readingOrder="0"/>
    </dxf>
    <dxf>
      <font>
        <b/>
      </font>
      <alignment horizontal="general" vertical="center" textRotation="0" wrapText="0" indent="0" justifyLastLine="0" shrinkToFit="0" readingOrder="0"/>
    </dxf>
    <dxf>
      <fill>
        <patternFill patternType="solid">
          <fgColor indexed="64"/>
          <bgColor theme="5" tint="0.79998168889431442"/>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theme="5"/>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6"/>
        <color theme="1"/>
        <name val="Calibri"/>
        <scheme val="minor"/>
      </font>
      <fill>
        <patternFill patternType="solid">
          <fgColor indexed="64"/>
          <bgColor theme="5"/>
        </patternFill>
      </fill>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4"/>
        <color theme="1"/>
        <name val="Arial"/>
        <scheme val="none"/>
      </font>
      <alignment horizontal="justify"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S13" totalsRowShown="0" headerRowDxfId="38" dataDxfId="37">
  <autoFilter ref="A1:S13" xr:uid="{00000000-0009-0000-0100-000001000000}"/>
  <sortState xmlns:xlrd2="http://schemas.microsoft.com/office/spreadsheetml/2017/richdata2" ref="A2:L13">
    <sortCondition ref="A1:A13"/>
  </sortState>
  <tableColumns count="19">
    <tableColumn id="1" xr3:uid="{00000000-0010-0000-0000-000001000000}" name="Element" dataDxfId="36"/>
    <tableColumn id="2" xr3:uid="{00000000-0010-0000-0000-000002000000}" name="Spells" dataDxfId="35"/>
    <tableColumn id="3" xr3:uid="{00000000-0010-0000-0000-000003000000}" name="Beef (3)" dataDxfId="34"/>
    <tableColumn id="6" xr3:uid="{00000000-0010-0000-0000-000006000000}" name="Speed (4)" dataDxfId="33">
      <calculatedColumnFormula>FALSE</calculatedColumnFormula>
    </tableColumn>
    <tableColumn id="9" xr3:uid="{00000000-0010-0000-0000-000009000000}" name="Tank (5)" dataDxfId="32">
      <calculatedColumnFormula>FALSE</calculatedColumnFormula>
    </tableColumn>
    <tableColumn id="4" xr3:uid="{00000000-0010-0000-0000-000004000000}" name="Smarts (6)" dataDxfId="31">
      <calculatedColumnFormula>FALSE</calculatedColumnFormula>
    </tableColumn>
    <tableColumn id="7" xr3:uid="{00000000-0010-0000-0000-000007000000}" name="Healing (7)" dataDxfId="30">
      <calculatedColumnFormula>FALSE</calculatedColumnFormula>
    </tableColumn>
    <tableColumn id="8" xr3:uid="{00000000-0010-0000-0000-000008000000}" name="Mistery  (8)" dataDxfId="29">
      <calculatedColumnFormula>FALSE</calculatedColumnFormula>
    </tableColumn>
    <tableColumn id="5" xr3:uid="{00000000-0010-0000-0000-000005000000}" name="Magic (9)" dataDxfId="28">
      <calculatedColumnFormula>FALSE</calculatedColumnFormula>
    </tableColumn>
    <tableColumn id="10" xr3:uid="{00000000-0010-0000-0000-00000A000000}" name="Favored Weapon (10)" dataDxfId="27"/>
    <tableColumn id="11" xr3:uid="{00000000-0010-0000-0000-00000B000000}" name="Damage (11)" dataDxfId="26"/>
    <tableColumn id="12" xr3:uid="{00000000-0010-0000-0000-00000C000000}" name="Range (12)" dataDxfId="25"/>
    <tableColumn id="13" xr3:uid="{00000000-0010-0000-0000-00000D000000}" name="Magister Spells (13)" dataDxfId="24"/>
    <tableColumn id="14" xr3:uid="{00000000-0010-0000-0000-00000E000000}" name="Class (14)" dataDxfId="23"/>
    <tableColumn id="15" xr3:uid="{00000000-0010-0000-0000-00000F000000}" name="Mote (15)" dataDxfId="22"/>
    <tableColumn id="16" xr3:uid="{00000000-0010-0000-0000-000010000000}" name="Source (16)" dataDxfId="21"/>
    <tableColumn id="17" xr3:uid="{00000000-0010-0000-0000-000011000000}" name="Pillar (17)" dataDxfId="20"/>
    <tableColumn id="18" xr3:uid="{00000000-0010-0000-0000-000012000000}" name="Knight (18)" dataDxfId="19"/>
    <tableColumn id="20" xr3:uid="{00000000-0010-0000-0000-000014000000}" name="Templar (19)"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owers" displayName="Powers" ref="A15:B19" totalsRowShown="0" headerRowDxfId="17" headerRowBorderDxfId="16" tableBorderDxfId="15" totalsRowBorderDxfId="14">
  <autoFilter ref="A15:B19" xr:uid="{00000000-0009-0000-0100-000003000000}"/>
  <tableColumns count="2">
    <tableColumn id="1" xr3:uid="{00000000-0010-0000-0100-000001000000}" name="Material Power"/>
    <tableColumn id="2" xr3:uid="{00000000-0010-0000-0100-000002000000}" name="Descriptio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Ranks" displayName="Ranks" ref="D15:G21" totalsRowShown="0" headerRowDxfId="13" headerRowBorderDxfId="12" tableBorderDxfId="11" totalsRowBorderDxfId="10">
  <autoFilter ref="D15:G21" xr:uid="{00000000-0009-0000-0100-000004000000}"/>
  <tableColumns count="4">
    <tableColumn id="1" xr3:uid="{00000000-0010-0000-0200-000001000000}" name="Tier" dataDxfId="9"/>
    <tableColumn id="2" xr3:uid="{00000000-0010-0000-0200-000002000000}" name="CR Bonus" dataDxfId="8"/>
    <tableColumn id="3" xr3:uid="{00000000-0010-0000-0200-000003000000}" name="Power" dataDxfId="7"/>
    <tableColumn id="4" xr3:uid="{00000000-0010-0000-0200-000004000000}" name="Description" dataDxfId="6"/>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hemeSpells" displayName="ThemeSpells" ref="A1:C13" totalsRowShown="0" dataDxfId="5">
  <autoFilter ref="A1:C13" xr:uid="{00000000-0009-0000-0100-000002000000}"/>
  <tableColumns count="3">
    <tableColumn id="1" xr3:uid="{00000000-0010-0000-0300-000001000000}" name="Element" dataDxfId="4"/>
    <tableColumn id="2" xr3:uid="{00000000-0010-0000-0300-000002000000}" name="Spell Name" dataDxfId="3"/>
    <tableColumn id="3" xr3:uid="{00000000-0010-0000-0300-000003000000}" name="Description" dataDxfId="2"/>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6"/>
  <sheetViews>
    <sheetView tabSelected="1" zoomScaleNormal="100" workbookViewId="0">
      <selection activeCell="F1" sqref="F1:G1"/>
    </sheetView>
  </sheetViews>
  <sheetFormatPr defaultRowHeight="15" x14ac:dyDescent="0.25"/>
  <cols>
    <col min="1" max="3" width="22.85546875" customWidth="1"/>
    <col min="4" max="4" width="4.5703125" customWidth="1"/>
    <col min="5" max="5" width="11.5703125" customWidth="1"/>
    <col min="6" max="7" width="8.5703125" customWidth="1"/>
    <col min="8" max="8" width="12.28515625" bestFit="1" customWidth="1"/>
  </cols>
  <sheetData>
    <row r="1" spans="1:10" ht="21" x14ac:dyDescent="0.35">
      <c r="A1" s="101" t="str">
        <f>PROPER(CONCATENATE(F1," ",I1))</f>
        <v>Fire Mote</v>
      </c>
      <c r="B1" s="102"/>
      <c r="C1" s="103"/>
      <c r="D1" s="3"/>
      <c r="E1" s="18" t="s">
        <v>82</v>
      </c>
      <c r="F1" s="67" t="s">
        <v>73</v>
      </c>
      <c r="G1" s="67"/>
      <c r="H1" s="18" t="s">
        <v>1</v>
      </c>
      <c r="I1" s="67" t="s">
        <v>84</v>
      </c>
      <c r="J1" s="67"/>
    </row>
    <row r="2" spans="1:10" ht="23.25" customHeight="1" x14ac:dyDescent="0.3">
      <c r="A2" s="104"/>
      <c r="B2" s="105"/>
      <c r="C2" s="106"/>
      <c r="D2" s="4"/>
    </row>
    <row r="3" spans="1:10" x14ac:dyDescent="0.25">
      <c r="A3" s="113" t="str">
        <f>CONCATENATE(IF(I1="Mote","Small",IF(OR(I1="Source",I1="Knight")=TRUE,"Medium","Large"))," elemental, neutral")</f>
        <v>Small elemental, neutral</v>
      </c>
      <c r="B3" s="114"/>
      <c r="C3" s="115"/>
      <c r="D3" s="3"/>
    </row>
    <row r="4" spans="1:10" ht="18.75" x14ac:dyDescent="0.3">
      <c r="A4" s="32" t="s">
        <v>2</v>
      </c>
      <c r="B4" s="116">
        <f>ROUNDUP(15+B55,0)</f>
        <v>16</v>
      </c>
      <c r="C4" s="117"/>
      <c r="D4" s="3"/>
      <c r="E4" s="107" t="s">
        <v>20</v>
      </c>
      <c r="F4" s="108"/>
      <c r="G4" s="109"/>
    </row>
    <row r="5" spans="1:10" ht="18.75" x14ac:dyDescent="0.3">
      <c r="A5" s="32" t="s">
        <v>3</v>
      </c>
      <c r="B5" s="28">
        <f>ROUNDUP((13+ROUNDDOWN(B55,0))*(4.5+(ROUNDDOWN(C10,0))),0)</f>
        <v>77</v>
      </c>
      <c r="C5" s="29" t="str">
        <f>CONCATENATE("(",13+ROUNDDOWN(B55,0),"d8 + ",(13+ROUNDDOWN(B55,0))*ROUNDDOWN(C10,0),")")</f>
        <v>(14d8 + 14)</v>
      </c>
      <c r="D5" s="3"/>
      <c r="E5" s="110" t="s">
        <v>29</v>
      </c>
      <c r="F5" s="111"/>
      <c r="G5" s="112"/>
    </row>
    <row r="6" spans="1:10" x14ac:dyDescent="0.25">
      <c r="A6" s="31" t="s">
        <v>39</v>
      </c>
      <c r="B6" s="75">
        <f>IF(B24&lt;=4,2,IF(B24&lt;=8,3,IF(B24&lt;=12,4,IF(B24&lt;=16,5,IF(B24&lt;=20,6,IF(B24&lt;=24,7,8))))))</f>
        <v>3</v>
      </c>
      <c r="C6" s="76"/>
      <c r="D6" s="3"/>
      <c r="E6" s="110" t="s">
        <v>214</v>
      </c>
      <c r="F6" s="111"/>
      <c r="G6" s="112"/>
    </row>
    <row r="7" spans="1:10" x14ac:dyDescent="0.25">
      <c r="A7" s="31" t="s">
        <v>6</v>
      </c>
      <c r="B7" s="83" t="str">
        <f>CONCATENATE(IF(VLOOKUP($F$1,Tabela1[#All],4,FALSE)=TRUE,(5*B55)+30,30)," ft")</f>
        <v>30 ft</v>
      </c>
      <c r="C7" s="84"/>
      <c r="D7" s="3"/>
    </row>
    <row r="8" spans="1:10" x14ac:dyDescent="0.25">
      <c r="A8" s="33" t="s">
        <v>7</v>
      </c>
      <c r="B8" s="33" t="s">
        <v>8</v>
      </c>
      <c r="C8" s="33" t="s">
        <v>9</v>
      </c>
      <c r="D8" s="3"/>
    </row>
    <row r="9" spans="1:10" x14ac:dyDescent="0.25">
      <c r="A9" s="5">
        <f>IF(VLOOKUP($F$1,Tabela1[#All],3,FALSE)=TRUE,(12+(2*B55)),12)</f>
        <v>12</v>
      </c>
      <c r="B9" s="5">
        <f>IF(VLOOKUP($F$1,Tabela1[#All],4,FALSE)=TRUE,(12+(2*B55)),12)</f>
        <v>12</v>
      </c>
      <c r="C9" s="5">
        <f>IF(VLOOKUP($F$1,Tabela1[#All],5,FALSE)=TRUE,(12+(2*B55)),12)</f>
        <v>12</v>
      </c>
      <c r="D9" s="3"/>
    </row>
    <row r="10" spans="1:10" x14ac:dyDescent="0.25">
      <c r="A10" s="6">
        <f>ROUNDDOWN(((A9-10)/2),0)</f>
        <v>1</v>
      </c>
      <c r="B10" s="6">
        <f>ROUNDDOWN(((B9-10)/2),0)</f>
        <v>1</v>
      </c>
      <c r="C10" s="6">
        <f>ROUNDDOWN(((C9-10)/2),0)</f>
        <v>1</v>
      </c>
      <c r="D10" s="3"/>
    </row>
    <row r="11" spans="1:10" x14ac:dyDescent="0.25">
      <c r="A11" s="33" t="s">
        <v>10</v>
      </c>
      <c r="B11" s="33" t="s">
        <v>11</v>
      </c>
      <c r="C11" s="33" t="s">
        <v>12</v>
      </c>
      <c r="D11" s="3"/>
    </row>
    <row r="12" spans="1:10" x14ac:dyDescent="0.25">
      <c r="A12" s="7">
        <f>IF(VLOOKUP($F$1,Tabela1[#All],6,FALSE)=TRUE,(12+(2*B55)),10)</f>
        <v>10</v>
      </c>
      <c r="B12" s="7">
        <f>IF(VLOOKUP($F$1,Tabela1[#All],7,FALSE)=TRUE,(12+(2*B55)),12)</f>
        <v>12</v>
      </c>
      <c r="C12" s="7">
        <f>IF(VLOOKUP($F$1,Tabela1[#All],8,FALSE)=TRUE,(12+(2*B55)),10)</f>
        <v>14</v>
      </c>
      <c r="D12" s="3"/>
    </row>
    <row r="13" spans="1:10" x14ac:dyDescent="0.25">
      <c r="A13" s="8">
        <f>ROUNDDOWN(((A12-10)/2),0)</f>
        <v>0</v>
      </c>
      <c r="B13" s="8">
        <f>ROUNDDOWN(((B12-10)/2),0)</f>
        <v>1</v>
      </c>
      <c r="C13" s="8">
        <f>ROUNDDOWN(((C12-10)/2),0)</f>
        <v>2</v>
      </c>
      <c r="D13" s="3"/>
    </row>
    <row r="14" spans="1:10" x14ac:dyDescent="0.25">
      <c r="A14" s="68" t="s">
        <v>13</v>
      </c>
      <c r="B14" s="57" t="str">
        <f>CONCATENATE(IF(AND(VLOOKUP($F$1,Tabela1[#All],9,FALSE)=TRUE,VLOOKUP($F$1,Tabela1[#All],8,FALSE)=TRUE)=TRUE,CONCATENATE("WIS (+",$B$13+$B$6+$B$6,") "),""),IF(VLOOKUP($F$1,Tabela1[#All],3,FALSE)=TRUE,CONCATENATE("STR (+",$B$9+$B$6,") "),""),IF(VLOOKUP($F$1,Tabela1[#All],4,FALSE)=TRUE,CONCATENATE("DEX (+",$B$10+$B$6,") "),""),IF(VLOOKUP($F$1,Tabela1[#All],5,FALSE)=TRUE,CONCATENATE("CON (+",$C$10+$B$6,") "),""),IF(VLOOKUP($F$1,Tabela1[#All],6,FALSE)=TRUE,CONCATENATE("INT (+",$A$13+$B$6,") "),""),IF(VLOOKUP($F$1,Tabela1[#All],7,FALSE)=TRUE,CONCATENATE("WIS (+",$B$12+$B$6,") "),""),IF(VLOOKUP($F$1,Tabela1[#All],8,FALSE)=TRUE,CONCATENATE("CHA (+",$C$13+$B$6,") "),""),)</f>
        <v xml:space="preserve">WIS (+7) CHA (+5) </v>
      </c>
      <c r="C14" s="30"/>
      <c r="D14" s="3"/>
    </row>
    <row r="15" spans="1:10" x14ac:dyDescent="0.25">
      <c r="A15" s="68"/>
      <c r="B15" s="75" t="str">
        <f>IF(VLOOKUP($F$1,Tabela1[#All],9,FALSE)=TRUE,"Vantagem em saves contra magia"," ")</f>
        <v>Vantagem em saves contra magia</v>
      </c>
      <c r="C15" s="76"/>
      <c r="D15" s="3"/>
    </row>
    <row r="16" spans="1:10" x14ac:dyDescent="0.25">
      <c r="A16" s="68" t="s">
        <v>14</v>
      </c>
      <c r="B16" s="69" t="str">
        <f>CONCATENATE(IF(VLOOKUP($F$1,Tabela1[#All],3,FALSE)=TRUE,CONCATENATE("Athlethics (+",A10+(2*B6),"), "),CONCATENATE("Athlethics (+",A10+B6,"), ")),IF(VLOOKUP($F$1,Tabela1[#All],4,FALSE)=TRUE,CONCATENATE("Stealth/Acrobatics (+",B10+B6,"), "),""),IF(VLOOKUP($F$1,Tabela1[#All],5,FALSE)=TRUE,CONCATENATE("Nature/Survival (+",B13+B6,"), "),""),IF(VLOOKUP($F$1,Tabela1[#All],6,FALSE)=TRUE,CONCATENATE("History (+",A13+B6,"), "),""),IF(VLOOKUP($F$1,Tabela1[#All],7,FALSE)=TRUE,CONCATENATE("Medicine/Religion (+",B13+B6,"), "),""),IF(VLOOKUP($F$1,Tabela1[#All],8,FALSE)=TRUE,CONCATENATE("Performance/Deception (+",C13+B6,"), "),""),IF(VLOOKUP($F$1,Tabela1[#All],9,FALSE)=TRUE,CONCATENATE("Arcana (+",A13+B6,"), "),""))</f>
        <v xml:space="preserve">Athlethics (+4), Performance/Deception (+5), Arcana (+3), </v>
      </c>
      <c r="C16" s="70"/>
      <c r="D16" s="3"/>
    </row>
    <row r="17" spans="1:4" x14ac:dyDescent="0.25">
      <c r="A17" s="68"/>
      <c r="B17" s="69"/>
      <c r="C17" s="70"/>
      <c r="D17" s="3"/>
    </row>
    <row r="18" spans="1:4" x14ac:dyDescent="0.25">
      <c r="A18" s="31" t="s">
        <v>18</v>
      </c>
      <c r="B18" s="75" t="str">
        <f>CONCATENATE("Radiant",IF(VLOOKUP(F1,Tabela1[#All],5,FALSE)=TRUE,".",", Non-magical Weapons."))</f>
        <v>Radiant, Non-magical Weapons.</v>
      </c>
      <c r="C18" s="76"/>
      <c r="D18" s="3"/>
    </row>
    <row r="19" spans="1:4" x14ac:dyDescent="0.25">
      <c r="A19" s="31" t="s">
        <v>17</v>
      </c>
      <c r="B19" s="75" t="str">
        <f>IF(F1="Air","Thunder",IF(F1="Water","Acid",IF(F1="Plant","Poison",F1)))</f>
        <v>Fire</v>
      </c>
      <c r="C19" s="76"/>
      <c r="D19" s="3"/>
    </row>
    <row r="20" spans="1:4" x14ac:dyDescent="0.25">
      <c r="A20" s="31" t="s">
        <v>142</v>
      </c>
      <c r="B20" s="75" t="str">
        <f>IF(F1="Air","Force",IF(F1="Cold","Fire",IF(F1="Plant","Necrotic",IF(F1="Lightning","Acid, Cold",IF(F1="Earth","Thunder",IF(F1="Water","Lightning, Fire",IF(F1="Fire","Acid",IF(F1="Necrotic","Radiant",IF(F1="Radiant","Necrotic","Psychic")))))))))</f>
        <v>Acid</v>
      </c>
      <c r="C20" s="76"/>
      <c r="D20" s="3"/>
    </row>
    <row r="21" spans="1:4" x14ac:dyDescent="0.25">
      <c r="A21" s="31" t="s">
        <v>16</v>
      </c>
      <c r="B21" s="75" t="s">
        <v>21</v>
      </c>
      <c r="C21" s="76"/>
      <c r="D21" s="3"/>
    </row>
    <row r="22" spans="1:4" x14ac:dyDescent="0.25">
      <c r="A22" s="31" t="s">
        <v>19</v>
      </c>
      <c r="B22" s="75" t="str">
        <f>CONCATENATE("Darkvision 60 ft, Passive Perception ",10+B13)</f>
        <v>Darkvision 60 ft, Passive Perception 11</v>
      </c>
      <c r="C22" s="76"/>
      <c r="D22" s="3"/>
    </row>
    <row r="23" spans="1:4" x14ac:dyDescent="0.25">
      <c r="A23" s="31" t="s">
        <v>15</v>
      </c>
      <c r="B23" s="75" t="s">
        <v>135</v>
      </c>
      <c r="C23" s="76"/>
      <c r="D23" s="3"/>
    </row>
    <row r="24" spans="1:4" x14ac:dyDescent="0.25">
      <c r="A24" s="31" t="s">
        <v>5</v>
      </c>
      <c r="B24" s="75">
        <f>ROUNDUP(4+B55,0)</f>
        <v>5</v>
      </c>
      <c r="C24" s="76"/>
      <c r="D24" s="3"/>
    </row>
    <row r="25" spans="1:4" x14ac:dyDescent="0.25">
      <c r="A25" s="71" t="s">
        <v>40</v>
      </c>
      <c r="B25" s="72"/>
      <c r="C25" s="73"/>
      <c r="D25" s="3"/>
    </row>
    <row r="26" spans="1:4" x14ac:dyDescent="0.25">
      <c r="A26" s="31" t="s">
        <v>131</v>
      </c>
      <c r="B26" s="2"/>
      <c r="C26" s="30"/>
      <c r="D26" s="3"/>
    </row>
    <row r="27" spans="1:4" x14ac:dyDescent="0.25">
      <c r="A27" s="77" t="str">
        <f>CONCATENATE("If the Elemental would deal damage of an energy type besides ",IF(F1="Earth","Force",IF(F1="Air","Thunder",IF(F1="Water","Acid",IF(F1="Plant","Poison",F1))))," it can choose to deal ",IF(F1="Earth","Force",IF(F1="Air","Thunder",IF(F1="Water","Acid",IF(F1="Plant","Poison",F1))))," damage instead.")</f>
        <v>If the Elemental would deal damage of an energy type besides Fire it can choose to deal Fire damage instead.</v>
      </c>
      <c r="B27" s="78"/>
      <c r="C27" s="79"/>
      <c r="D27" s="3"/>
    </row>
    <row r="28" spans="1:4" x14ac:dyDescent="0.25">
      <c r="A28" s="77"/>
      <c r="B28" s="78"/>
      <c r="C28" s="79"/>
      <c r="D28" s="3"/>
    </row>
    <row r="29" spans="1:4" x14ac:dyDescent="0.25">
      <c r="A29" s="31" t="s">
        <v>51</v>
      </c>
      <c r="B29" s="2"/>
      <c r="C29" s="30"/>
      <c r="D29" s="3"/>
    </row>
    <row r="30" spans="1:4" x14ac:dyDescent="0.25">
      <c r="A30" s="74" t="str">
        <f>CONCATENATE("The Elemental's spellcasting modifier is ",IF(AND(A12&gt;B12,A12&gt;C12)=TRUE,CONCATENATE("Intelligence (Save DC ",8+B6+A13," Attack +",A13,")"),IF(B12&gt;C12,CONCATENATE("Wisdom (Save DC ",8+B6+B13," Attack +",B13+B6,")"),CONCATENATE("Charisma (Save DC ",8+B6+C13," Attack +",C13+B6,")"))))</f>
        <v>The Elemental's spellcasting modifier is Charisma (Save DC 13 Attack +5)</v>
      </c>
      <c r="B30" s="75"/>
      <c r="C30" s="76"/>
      <c r="D30" s="3"/>
    </row>
    <row r="31" spans="1:4" x14ac:dyDescent="0.25">
      <c r="A31" s="74" t="s">
        <v>52</v>
      </c>
      <c r="B31" s="75"/>
      <c r="C31" s="76"/>
      <c r="D31" s="3"/>
    </row>
    <row r="32" spans="1:4" ht="15" customHeight="1" x14ac:dyDescent="0.25">
      <c r="A32" s="80" t="str">
        <f>CONCATENATE(VLOOKUP(F1,Tabela1[#All],2,FALSE),"
4/Day: ",VLOOKUP(F1,ThemeSpells[#All],2,FALSE),IF(VLOOKUP(F1,Tabela1[#All],7,FALSE)=TRUE, ", Healing Word","."))</f>
        <v>At Will: Produce Flame.
3/Day:  Flame Blade.
4/Day: Path of Pain.</v>
      </c>
      <c r="B32" s="81"/>
      <c r="C32" s="82"/>
      <c r="D32" s="3"/>
    </row>
    <row r="33" spans="1:4" x14ac:dyDescent="0.25">
      <c r="A33" s="80"/>
      <c r="B33" s="81"/>
      <c r="C33" s="82"/>
      <c r="D33" s="3"/>
    </row>
    <row r="34" spans="1:4" x14ac:dyDescent="0.25">
      <c r="A34" s="80"/>
      <c r="B34" s="81"/>
      <c r="C34" s="82"/>
      <c r="D34" s="3"/>
    </row>
    <row r="35" spans="1:4" x14ac:dyDescent="0.25">
      <c r="A35" s="89" t="str">
        <f>VLOOKUP(I1,Ranks[#All],3,FALSE)</f>
        <v>Annoying</v>
      </c>
      <c r="B35" s="90"/>
      <c r="C35" s="91"/>
      <c r="D35" s="3"/>
    </row>
    <row r="36" spans="1:4" ht="75" customHeight="1" x14ac:dyDescent="0.25">
      <c r="A36" s="98" t="str">
        <f>VLOOKUP(F1,Tabela1[#All],IF(I1="Mote",15,IF(I1="Source",16,IF(I1="Pillar",17,IF(I1="Knight",18,IF(I1="Templar",19,IF(I1="Magistrate",13,40)))))),FALSE)</f>
        <v>The Mote can occupy a creature's space. An enemy in the same space as a mote must make a DC 14 Dexterity (Acrobatics) check when it moves.
 On a failed save, the mote moves with it. While in the same space as a mote, enemies have disadvantage on Constitution checks to maintain concentration.</v>
      </c>
      <c r="B36" s="99"/>
      <c r="C36" s="100"/>
      <c r="D36" s="3"/>
    </row>
    <row r="37" spans="1:4" x14ac:dyDescent="0.25">
      <c r="A37" s="71" t="s">
        <v>41</v>
      </c>
      <c r="B37" s="72"/>
      <c r="C37" s="73"/>
      <c r="D37" s="3"/>
    </row>
    <row r="38" spans="1:4" x14ac:dyDescent="0.25">
      <c r="A38" s="31" t="s">
        <v>42</v>
      </c>
      <c r="B38" s="2"/>
      <c r="C38" s="30"/>
      <c r="D38" s="3"/>
    </row>
    <row r="39" spans="1:4" x14ac:dyDescent="0.25">
      <c r="A39" s="74" t="str">
        <f>CONCATENATE("The Elemental makes ",IF(B24&lt;19,"two","three")," attacks from its list of actions",IF(PROPER(I1)="Magistrate"," or makes one attack and casts a spell.","."))</f>
        <v>The Elemental makes two attacks from its list of actions.</v>
      </c>
      <c r="B39" s="75"/>
      <c r="C39" s="76"/>
      <c r="D39" s="3"/>
    </row>
    <row r="40" spans="1:4" x14ac:dyDescent="0.25">
      <c r="A40" s="31" t="str">
        <f>VLOOKUP(F1,Tabela1[#All],10,TRUE)</f>
        <v>Greataxe</v>
      </c>
      <c r="B40" s="2"/>
      <c r="C40" s="30"/>
      <c r="D40" s="3"/>
    </row>
    <row r="41" spans="1:4" x14ac:dyDescent="0.25">
      <c r="A41" s="86" t="str">
        <f>CONCATENATE(IF(OR(A40="Blowgun",A40="Longbow",A40="Sling",A40="Net",A40="Shortbow",A40="Crossbow")=TRUE,CONCATENATE("Ranged Weapon attack +",C10+B6,"  to hit. "),CONCATENATE("Melee Weapon attack +",IF(A10&gt;B10,A10+B6,B10+B6)," to hit. ")),VLOOKUP(A40,Tabela1[[#All],[Favored Weapon (10)]:[Damage (11)]],2,FALSE)," damage. Range ",VLOOKUP(A40,Tabela1[[#All],[Favored Weapon (10)]:[Range (12)]],3,FALSE),".")</f>
        <v>Melee Weapon attack +4 to hit. 1d12+1 damage. Range 5 ft.</v>
      </c>
      <c r="B41" s="87"/>
      <c r="C41" s="88"/>
      <c r="D41" s="3"/>
    </row>
    <row r="42" spans="1:4" x14ac:dyDescent="0.25">
      <c r="A42" s="86"/>
      <c r="B42" s="87"/>
      <c r="C42" s="88"/>
      <c r="D42" s="3"/>
    </row>
    <row r="43" spans="1:4" x14ac:dyDescent="0.25">
      <c r="A43" s="34" t="str">
        <f>IF(VLOOKUP(F1,Tabela1[#All],7,FALSE)=TRUE,"Healing Hands","Amalgam (Recharge 6)")</f>
        <v>Amalgam (Recharge 6)</v>
      </c>
      <c r="B43" s="35"/>
      <c r="C43" s="36"/>
      <c r="D43" s="3"/>
    </row>
    <row r="44" spans="1:4" x14ac:dyDescent="0.25">
      <c r="A44" s="77" t="str">
        <f>IF(A43="Amalgam (Recharge 6)","The Elemental can deal 2d12 elemental damage (type of its choice) to a creature it can see within 30 ft.",CONCATENATE("The Elemental can restore ",B6,"d8 HP to a creature it touches. The creature is also freed from any curse, disease or poison."))</f>
        <v>The Elemental can deal 2d12 elemental damage (type of its choice) to a creature it can see within 30 ft.</v>
      </c>
      <c r="B44" s="78"/>
      <c r="C44" s="79"/>
      <c r="D44" s="3"/>
    </row>
    <row r="45" spans="1:4" x14ac:dyDescent="0.25">
      <c r="A45" s="77"/>
      <c r="B45" s="78"/>
      <c r="C45" s="79"/>
      <c r="D45" s="3"/>
    </row>
    <row r="46" spans="1:4" x14ac:dyDescent="0.25">
      <c r="A46" s="71" t="str">
        <f>IF(VLOOKUP(F1,Tabela1[#All],4,FALSE)=TRUE,"--------------------- Bonus Actions ----------------------","")</f>
        <v/>
      </c>
      <c r="B46" s="72"/>
      <c r="C46" s="73"/>
      <c r="D46" s="3"/>
    </row>
    <row r="47" spans="1:4" x14ac:dyDescent="0.25">
      <c r="A47" s="31" t="s">
        <v>136</v>
      </c>
      <c r="B47" s="2"/>
      <c r="C47" s="30"/>
      <c r="D47" s="3"/>
    </row>
    <row r="48" spans="1:4" x14ac:dyDescent="0.25">
      <c r="A48" s="77" t="s">
        <v>137</v>
      </c>
      <c r="B48" s="78"/>
      <c r="C48" s="79"/>
      <c r="D48" s="3"/>
    </row>
    <row r="49" spans="1:4" ht="15" customHeight="1" x14ac:dyDescent="0.25">
      <c r="A49" s="77"/>
      <c r="B49" s="78"/>
      <c r="C49" s="79"/>
      <c r="D49" s="3"/>
    </row>
    <row r="50" spans="1:4" x14ac:dyDescent="0.25">
      <c r="A50" s="77"/>
      <c r="B50" s="78"/>
      <c r="C50" s="79"/>
      <c r="D50" s="3"/>
    </row>
    <row r="51" spans="1:4" x14ac:dyDescent="0.25">
      <c r="A51" s="71" t="s">
        <v>125</v>
      </c>
      <c r="B51" s="72"/>
      <c r="C51" s="73"/>
      <c r="D51" s="3"/>
    </row>
    <row r="52" spans="1:4" ht="15" customHeight="1" x14ac:dyDescent="0.25">
      <c r="A52" s="89" t="str">
        <f>IF(OR(VLOOKUP(F1,Tabela1[#All],9,FALSE)=TRUE,I1=info!D20)=TRUE,"Spellcasting","")</f>
        <v>Spellcasting</v>
      </c>
      <c r="B52" s="90"/>
      <c r="C52" s="91"/>
      <c r="D52" s="3"/>
    </row>
    <row r="53" spans="1:4" ht="30" customHeight="1" x14ac:dyDescent="0.25">
      <c r="A53" s="92" t="str">
        <f>IF(A52="","",CONCATENATE(A30,"
It has the following spells prepared:"))</f>
        <v>The Elemental's spellcasting modifier is Charisma (Save DC 13 Attack +5)
It has the following spells prepared:</v>
      </c>
      <c r="B53" s="93"/>
      <c r="C53" s="94"/>
      <c r="D53" s="3"/>
    </row>
    <row r="54" spans="1:4" ht="105" customHeight="1" x14ac:dyDescent="0.25">
      <c r="A54" s="95" t="str">
        <f>IF(A52="","",VLOOKUP(F1,Tabela1[#All],13,FALSE))</f>
        <v>Cantrips (at will): 
1st Level (4 Slots): 
2nd Level (3 Slots): 
3rd Level (3 Slots): 
4th Level (3 Slots): 
5th Level (1 Slot):</v>
      </c>
      <c r="B54" s="96"/>
      <c r="C54" s="97"/>
      <c r="D54" s="3"/>
    </row>
    <row r="55" spans="1:4" x14ac:dyDescent="0.25">
      <c r="A55" s="2" t="s">
        <v>4</v>
      </c>
      <c r="B55" s="85">
        <f>VLOOKUP(PROPER(I1),info!D15:E21,2,FALSE)</f>
        <v>1</v>
      </c>
      <c r="C55" s="85"/>
      <c r="D55" s="3"/>
    </row>
    <row r="56" spans="1:4" x14ac:dyDescent="0.25">
      <c r="A56" s="3"/>
      <c r="B56" s="3"/>
      <c r="C56" s="3"/>
    </row>
  </sheetData>
  <mergeCells count="39">
    <mergeCell ref="B20:C20"/>
    <mergeCell ref="A36:C36"/>
    <mergeCell ref="A35:C35"/>
    <mergeCell ref="A1:C2"/>
    <mergeCell ref="E4:G4"/>
    <mergeCell ref="E5:G5"/>
    <mergeCell ref="E6:G6"/>
    <mergeCell ref="B6:C6"/>
    <mergeCell ref="A3:C3"/>
    <mergeCell ref="B4:C4"/>
    <mergeCell ref="F1:G1"/>
    <mergeCell ref="B55:C55"/>
    <mergeCell ref="B24:C24"/>
    <mergeCell ref="A48:C50"/>
    <mergeCell ref="A39:C39"/>
    <mergeCell ref="A31:C31"/>
    <mergeCell ref="A46:C46"/>
    <mergeCell ref="A41:C42"/>
    <mergeCell ref="A44:C45"/>
    <mergeCell ref="A52:C52"/>
    <mergeCell ref="A53:C53"/>
    <mergeCell ref="A54:C54"/>
    <mergeCell ref="A51:C51"/>
    <mergeCell ref="I1:J1"/>
    <mergeCell ref="A16:A17"/>
    <mergeCell ref="B16:C17"/>
    <mergeCell ref="A25:C25"/>
    <mergeCell ref="A37:C37"/>
    <mergeCell ref="A14:A15"/>
    <mergeCell ref="A30:C30"/>
    <mergeCell ref="B23:C23"/>
    <mergeCell ref="B22:C22"/>
    <mergeCell ref="B21:C21"/>
    <mergeCell ref="B19:C19"/>
    <mergeCell ref="B18:C18"/>
    <mergeCell ref="B15:C15"/>
    <mergeCell ref="A27:C28"/>
    <mergeCell ref="A32:C34"/>
    <mergeCell ref="B7:C7"/>
  </mergeCells>
  <pageMargins left="0.511811024" right="0.511811024" top="0.78740157499999996" bottom="0.78740157499999996" header="0.31496062000000002" footer="0.31496062000000002"/>
  <pageSetup paperSize="9" scale="95" orientation="portrait" r:id="rId1"/>
  <colBreaks count="1" manualBreakCount="1">
    <brk id="4"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info!$D$16:$D$21</xm:f>
          </x14:formula1>
          <xm:sqref>I1:J1</xm:sqref>
        </x14:dataValidation>
        <x14:dataValidation type="list" allowBlank="1" showInputMessage="1" showErrorMessage="1" xr:uid="{00000000-0002-0000-0000-000001000000}">
          <x14:formula1>
            <xm:f>info!$A$2:$A$13</xm:f>
          </x14:formula1>
          <xm:sqref>F1:G1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
  <sheetViews>
    <sheetView topLeftCell="A14" zoomScale="66" zoomScaleNormal="130" workbookViewId="0">
      <pane xSplit="1" topLeftCell="B1" activePane="topRight" state="frozen"/>
      <selection activeCell="A5" sqref="A5"/>
      <selection pane="topRight" activeCell="I16" sqref="I16"/>
    </sheetView>
  </sheetViews>
  <sheetFormatPr defaultRowHeight="15" x14ac:dyDescent="0.25"/>
  <cols>
    <col min="1" max="1" width="24.140625" style="9" customWidth="1"/>
    <col min="2" max="2" width="42.28515625" style="13" bestFit="1" customWidth="1"/>
    <col min="3" max="3" width="17.42578125" style="9" customWidth="1"/>
    <col min="4" max="4" width="18.7109375" style="9" customWidth="1"/>
    <col min="5" max="5" width="17.28515625" style="9" customWidth="1"/>
    <col min="6" max="6" width="18.85546875" style="9" customWidth="1"/>
    <col min="7" max="7" width="18.28515625" style="9" bestFit="1" customWidth="1"/>
    <col min="8" max="8" width="19.28515625" style="9" bestFit="1" customWidth="1"/>
    <col min="9" max="9" width="16.42578125" style="9" bestFit="1" customWidth="1"/>
    <col min="10" max="10" width="24.85546875" style="9" customWidth="1"/>
    <col min="11" max="11" width="15.7109375" style="9" bestFit="1" customWidth="1"/>
    <col min="12" max="12" width="18.85546875" style="9" bestFit="1" customWidth="1"/>
    <col min="13" max="13" width="42" style="56" customWidth="1"/>
    <col min="14" max="14" width="18.7109375" style="9" bestFit="1" customWidth="1"/>
    <col min="15" max="15" width="19" style="64" bestFit="1" customWidth="1"/>
    <col min="16" max="16" width="20.42578125" style="64" bestFit="1" customWidth="1"/>
    <col min="17" max="17" width="18.7109375" style="64" bestFit="1" customWidth="1"/>
    <col min="18" max="18" width="20.28515625" style="64" bestFit="1" customWidth="1"/>
    <col min="19" max="19" width="22.28515625" style="64" bestFit="1" customWidth="1"/>
    <col min="20" max="16384" width="9.140625" style="9"/>
  </cols>
  <sheetData>
    <row r="1" spans="1:19" s="10" customFormat="1" ht="18.75" x14ac:dyDescent="0.25">
      <c r="A1" s="10" t="s">
        <v>82</v>
      </c>
      <c r="B1" s="11" t="s">
        <v>0</v>
      </c>
      <c r="C1" s="10" t="s">
        <v>22</v>
      </c>
      <c r="D1" s="10" t="s">
        <v>25</v>
      </c>
      <c r="E1" s="10" t="s">
        <v>27</v>
      </c>
      <c r="F1" s="10" t="s">
        <v>26</v>
      </c>
      <c r="G1" s="10" t="s">
        <v>23</v>
      </c>
      <c r="H1" s="10" t="s">
        <v>24</v>
      </c>
      <c r="I1" s="10" t="s">
        <v>28</v>
      </c>
      <c r="J1" s="10" t="s">
        <v>110</v>
      </c>
      <c r="K1" s="10" t="s">
        <v>143</v>
      </c>
      <c r="L1" s="10" t="s">
        <v>144</v>
      </c>
      <c r="M1" s="10" t="s">
        <v>145</v>
      </c>
      <c r="N1" s="10" t="s">
        <v>146</v>
      </c>
      <c r="O1" s="58" t="s">
        <v>147</v>
      </c>
      <c r="P1" s="59" t="s">
        <v>148</v>
      </c>
      <c r="Q1" s="60" t="s">
        <v>149</v>
      </c>
      <c r="R1" s="61" t="s">
        <v>150</v>
      </c>
      <c r="S1" s="62" t="s">
        <v>177</v>
      </c>
    </row>
    <row r="2" spans="1:19" ht="225" x14ac:dyDescent="0.25">
      <c r="A2" s="40" t="s">
        <v>75</v>
      </c>
      <c r="B2" s="12" t="s">
        <v>105</v>
      </c>
      <c r="C2" s="1" t="b">
        <f>FALSE</f>
        <v>0</v>
      </c>
      <c r="D2" s="1" t="b">
        <f>FALSE</f>
        <v>0</v>
      </c>
      <c r="E2" s="1" t="b">
        <f>TRUE</f>
        <v>1</v>
      </c>
      <c r="F2" s="1" t="b">
        <f>TRUE</f>
        <v>1</v>
      </c>
      <c r="G2" s="1" t="b">
        <f>FALSE</f>
        <v>0</v>
      </c>
      <c r="H2" s="1" t="b">
        <f>FALSE</f>
        <v>0</v>
      </c>
      <c r="I2" s="1" t="b">
        <f>FALSE</f>
        <v>0</v>
      </c>
      <c r="J2" s="1" t="s">
        <v>114</v>
      </c>
      <c r="K2" s="1" t="str">
        <f>CONCATENATE("1d6+",IF(elemental!A10&gt;elemental!B10,elemental!A10,elemental!B10))</f>
        <v>1d6+1</v>
      </c>
      <c r="L2" s="1" t="s">
        <v>46</v>
      </c>
      <c r="M2" s="14" t="s">
        <v>132</v>
      </c>
      <c r="N2" s="9" t="s">
        <v>139</v>
      </c>
      <c r="O2" s="63" t="s">
        <v>152</v>
      </c>
      <c r="P2" s="14" t="s">
        <v>174</v>
      </c>
      <c r="Q2" s="63" t="s">
        <v>189</v>
      </c>
      <c r="R2" s="63" t="s">
        <v>192</v>
      </c>
      <c r="S2" s="14" t="s">
        <v>201</v>
      </c>
    </row>
    <row r="3" spans="1:19" ht="225" x14ac:dyDescent="0.25">
      <c r="A3" s="40" t="s">
        <v>71</v>
      </c>
      <c r="B3" s="12" t="s">
        <v>106</v>
      </c>
      <c r="C3" s="1" t="b">
        <f>FALSE</f>
        <v>0</v>
      </c>
      <c r="D3" s="1" t="b">
        <f>TRUE</f>
        <v>1</v>
      </c>
      <c r="E3" s="1" t="b">
        <f>FALSE</f>
        <v>0</v>
      </c>
      <c r="F3" s="1" t="b">
        <f>FALSE</f>
        <v>0</v>
      </c>
      <c r="G3" s="1" t="b">
        <f>FALSE</f>
        <v>0</v>
      </c>
      <c r="H3" s="1" t="b">
        <f>FALSE</f>
        <v>0</v>
      </c>
      <c r="I3" s="1" t="b">
        <f>TRUE</f>
        <v>1</v>
      </c>
      <c r="J3" s="1" t="s">
        <v>34</v>
      </c>
      <c r="K3" s="1">
        <v>0</v>
      </c>
      <c r="L3" s="1" t="s">
        <v>47</v>
      </c>
      <c r="M3" s="14" t="s">
        <v>124</v>
      </c>
      <c r="O3" s="63" t="s">
        <v>153</v>
      </c>
      <c r="P3" s="14" t="s">
        <v>164</v>
      </c>
      <c r="Q3" s="14" t="s">
        <v>180</v>
      </c>
      <c r="R3" s="65" t="s">
        <v>176</v>
      </c>
      <c r="S3" s="14" t="s">
        <v>202</v>
      </c>
    </row>
    <row r="4" spans="1:19" ht="225" x14ac:dyDescent="0.25">
      <c r="A4" s="40" t="s">
        <v>77</v>
      </c>
      <c r="B4" s="12" t="s">
        <v>108</v>
      </c>
      <c r="C4" s="1" t="b">
        <f>FALSE</f>
        <v>0</v>
      </c>
      <c r="D4" s="1" t="b">
        <f>FALSE</f>
        <v>0</v>
      </c>
      <c r="E4" s="1" t="b">
        <f>FALSE</f>
        <v>0</v>
      </c>
      <c r="F4" s="1" t="b">
        <f>TRUE</f>
        <v>1</v>
      </c>
      <c r="G4" s="1" t="b">
        <f>FALSE</f>
        <v>0</v>
      </c>
      <c r="H4" s="1" t="b">
        <f>TRUE</f>
        <v>1</v>
      </c>
      <c r="I4" s="1" t="b">
        <f>FALSE</f>
        <v>0</v>
      </c>
      <c r="J4" s="1" t="s">
        <v>38</v>
      </c>
      <c r="K4" s="1" t="str">
        <f>CONCATENATE("1d10+",elemental!A10)</f>
        <v>1d10+1</v>
      </c>
      <c r="L4" s="1" t="s">
        <v>46</v>
      </c>
      <c r="M4" s="14" t="s">
        <v>133</v>
      </c>
      <c r="N4" s="9" t="s">
        <v>139</v>
      </c>
      <c r="O4" s="63" t="s">
        <v>154</v>
      </c>
      <c r="P4" s="14" t="s">
        <v>165</v>
      </c>
      <c r="Q4" s="14" t="s">
        <v>182</v>
      </c>
      <c r="R4" s="14" t="s">
        <v>193</v>
      </c>
      <c r="S4" s="14" t="s">
        <v>203</v>
      </c>
    </row>
    <row r="5" spans="1:19" ht="225" x14ac:dyDescent="0.25">
      <c r="A5" s="40" t="s">
        <v>72</v>
      </c>
      <c r="B5" s="12" t="s">
        <v>103</v>
      </c>
      <c r="C5" s="1" t="b">
        <f>TRUE</f>
        <v>1</v>
      </c>
      <c r="D5" s="1" t="b">
        <f>FALSE</f>
        <v>0</v>
      </c>
      <c r="E5" s="1" t="b">
        <f>TRUE</f>
        <v>1</v>
      </c>
      <c r="F5" s="1" t="b">
        <f>FALSE</f>
        <v>0</v>
      </c>
      <c r="G5" s="1" t="b">
        <f>FALSE</f>
        <v>0</v>
      </c>
      <c r="H5" s="1" t="b">
        <f>FALSE</f>
        <v>0</v>
      </c>
      <c r="I5" s="1" t="b">
        <f>FALSE</f>
        <v>0</v>
      </c>
      <c r="J5" s="1" t="s">
        <v>32</v>
      </c>
      <c r="K5" s="1" t="str">
        <f>CONCATENATE("1d8/1d10+",elemental!A10)</f>
        <v>1d8/1d10+1</v>
      </c>
      <c r="L5" s="1" t="s">
        <v>46</v>
      </c>
      <c r="M5" s="14" t="s">
        <v>124</v>
      </c>
      <c r="O5" s="63" t="s">
        <v>161</v>
      </c>
      <c r="P5" s="65" t="s">
        <v>163</v>
      </c>
      <c r="Q5" s="14" t="s">
        <v>181</v>
      </c>
      <c r="R5" s="14" t="s">
        <v>194</v>
      </c>
      <c r="S5" s="65" t="s">
        <v>200</v>
      </c>
    </row>
    <row r="6" spans="1:19" ht="255" x14ac:dyDescent="0.25">
      <c r="A6" s="40" t="s">
        <v>73</v>
      </c>
      <c r="B6" s="12" t="s">
        <v>104</v>
      </c>
      <c r="C6" s="1" t="b">
        <f>FALSE</f>
        <v>0</v>
      </c>
      <c r="D6" s="1" t="b">
        <f>FALSE</f>
        <v>0</v>
      </c>
      <c r="E6" s="1" t="b">
        <f>FALSE</f>
        <v>0</v>
      </c>
      <c r="F6" s="1" t="b">
        <f>FALSE</f>
        <v>0</v>
      </c>
      <c r="G6" s="1" t="b">
        <f>FALSE</f>
        <v>0</v>
      </c>
      <c r="H6" s="1" t="b">
        <f>TRUE</f>
        <v>1</v>
      </c>
      <c r="I6" s="1" t="b">
        <f>TRUE</f>
        <v>1</v>
      </c>
      <c r="J6" s="1" t="s">
        <v>43</v>
      </c>
      <c r="K6" s="1" t="str">
        <f>CONCATENATE("1d12+",elemental!A10)</f>
        <v>1d12+1</v>
      </c>
      <c r="L6" s="1" t="s">
        <v>46</v>
      </c>
      <c r="M6" s="14" t="s">
        <v>124</v>
      </c>
      <c r="N6" s="9" t="s">
        <v>138</v>
      </c>
      <c r="O6" s="65" t="s">
        <v>151</v>
      </c>
      <c r="P6" s="14" t="s">
        <v>166</v>
      </c>
      <c r="Q6" s="14" t="s">
        <v>183</v>
      </c>
      <c r="R6" s="14" t="s">
        <v>195</v>
      </c>
      <c r="S6" s="66" t="s">
        <v>204</v>
      </c>
    </row>
    <row r="7" spans="1:19" ht="225" x14ac:dyDescent="0.25">
      <c r="A7" s="40" t="s">
        <v>78</v>
      </c>
      <c r="B7" s="12" t="s">
        <v>109</v>
      </c>
      <c r="C7" s="1" t="b">
        <f>FALSE</f>
        <v>0</v>
      </c>
      <c r="D7" s="1" t="b">
        <f>FALSE</f>
        <v>0</v>
      </c>
      <c r="E7" s="1" t="b">
        <f>FALSE</f>
        <v>0</v>
      </c>
      <c r="F7" s="1" t="b">
        <f>FALSE</f>
        <v>0</v>
      </c>
      <c r="G7" s="1" t="b">
        <f>FALSE</f>
        <v>0</v>
      </c>
      <c r="H7" s="1" t="b">
        <f>TRUE</f>
        <v>1</v>
      </c>
      <c r="I7" s="1" t="b">
        <f>TRUE</f>
        <v>1</v>
      </c>
      <c r="J7" s="1" t="s">
        <v>33</v>
      </c>
      <c r="K7" s="1" t="str">
        <f>CONCATENATE("2d4+",elemental!B10)</f>
        <v>2d4+1</v>
      </c>
      <c r="L7" s="1" t="s">
        <v>45</v>
      </c>
      <c r="M7" s="14" t="s">
        <v>207</v>
      </c>
      <c r="N7" s="9" t="s">
        <v>138</v>
      </c>
      <c r="O7" s="63" t="s">
        <v>162</v>
      </c>
      <c r="P7" s="14" t="s">
        <v>173</v>
      </c>
      <c r="Q7" s="14" t="s">
        <v>184</v>
      </c>
      <c r="R7" s="14" t="s">
        <v>196</v>
      </c>
      <c r="S7" s="14" t="s">
        <v>205</v>
      </c>
    </row>
    <row r="8" spans="1:19" ht="210" x14ac:dyDescent="0.25">
      <c r="A8" s="40" t="s">
        <v>76</v>
      </c>
      <c r="B8" s="12" t="s">
        <v>111</v>
      </c>
      <c r="C8" s="1" t="b">
        <f>FALSE</f>
        <v>0</v>
      </c>
      <c r="D8" s="1" t="b">
        <f>FALSE</f>
        <v>0</v>
      </c>
      <c r="E8" s="1" t="b">
        <f>FALSE</f>
        <v>0</v>
      </c>
      <c r="F8" s="1" t="b">
        <f>FALSE</f>
        <v>0</v>
      </c>
      <c r="G8" s="1" t="b">
        <v>1</v>
      </c>
      <c r="H8" s="1" t="b">
        <f>FALSE</f>
        <v>0</v>
      </c>
      <c r="I8" s="1" t="b">
        <v>1</v>
      </c>
      <c r="J8" s="1" t="s">
        <v>30</v>
      </c>
      <c r="K8" s="1" t="str">
        <f>CONCATENATE("1d4+",IF(elemental!A10&gt;elemental!B10,elemental!A10,elemental!B10))</f>
        <v>1d4+1</v>
      </c>
      <c r="L8" s="1" t="s">
        <v>44</v>
      </c>
      <c r="M8" s="14" t="s">
        <v>124</v>
      </c>
      <c r="N8" s="9" t="s">
        <v>141</v>
      </c>
      <c r="O8" s="63" t="s">
        <v>160</v>
      </c>
      <c r="P8" s="14" t="s">
        <v>172</v>
      </c>
      <c r="Q8" s="14" t="s">
        <v>185</v>
      </c>
      <c r="R8" s="14" t="s">
        <v>206</v>
      </c>
      <c r="S8" s="14" t="s">
        <v>208</v>
      </c>
    </row>
    <row r="9" spans="1:19" ht="240" x14ac:dyDescent="0.25">
      <c r="A9" s="40" t="s">
        <v>80</v>
      </c>
      <c r="B9" s="12" t="s">
        <v>107</v>
      </c>
      <c r="C9" s="1" t="b">
        <f>FALSE</f>
        <v>0</v>
      </c>
      <c r="D9" s="1" t="b">
        <f>FALSE</f>
        <v>0</v>
      </c>
      <c r="E9" s="1" t="b">
        <f>FALSE</f>
        <v>0</v>
      </c>
      <c r="F9" s="1" t="b">
        <f>FALSE</f>
        <v>0</v>
      </c>
      <c r="G9" s="1" t="b">
        <f>TRUE</f>
        <v>1</v>
      </c>
      <c r="H9" s="1" t="b">
        <f>TRUE</f>
        <v>1</v>
      </c>
      <c r="I9" s="1" t="b">
        <f>FALSE</f>
        <v>0</v>
      </c>
      <c r="J9" s="1" t="s">
        <v>50</v>
      </c>
      <c r="K9" s="1" t="str">
        <f>CONCATENATE("1+",elemental!B10)</f>
        <v>1+1</v>
      </c>
      <c r="L9" s="1" t="s">
        <v>49</v>
      </c>
      <c r="M9" s="14" t="s">
        <v>124</v>
      </c>
      <c r="N9" s="9" t="s">
        <v>138</v>
      </c>
      <c r="O9" s="63" t="s">
        <v>159</v>
      </c>
      <c r="P9" s="14" t="s">
        <v>171</v>
      </c>
      <c r="Q9" s="14" t="s">
        <v>186</v>
      </c>
      <c r="R9" s="14" t="s">
        <v>191</v>
      </c>
      <c r="S9" s="66" t="s">
        <v>209</v>
      </c>
    </row>
    <row r="10" spans="1:19" ht="255" x14ac:dyDescent="0.25">
      <c r="A10" s="40" t="s">
        <v>79</v>
      </c>
      <c r="B10" s="12" t="s">
        <v>115</v>
      </c>
      <c r="C10" s="1" t="b">
        <f>FALSE</f>
        <v>0</v>
      </c>
      <c r="D10" s="1" t="b">
        <f>TRUE</f>
        <v>1</v>
      </c>
      <c r="E10" s="1" t="b">
        <f>FALSE</f>
        <v>0</v>
      </c>
      <c r="F10" s="1" t="b">
        <f>FALSE</f>
        <v>0</v>
      </c>
      <c r="G10" s="1" t="b">
        <f>TRUE</f>
        <v>1</v>
      </c>
      <c r="H10" s="1" t="b">
        <f>FALSE</f>
        <v>0</v>
      </c>
      <c r="I10" s="1" t="b">
        <f>FALSE</f>
        <v>0</v>
      </c>
      <c r="J10" s="1" t="s">
        <v>37</v>
      </c>
      <c r="K10" s="1" t="str">
        <f>CONCATENATE("1d8+",IF(elemental!A10&gt;elemental!B10,elemental!A10,elemental!B10))</f>
        <v>1d8+1</v>
      </c>
      <c r="L10" s="1" t="s">
        <v>46</v>
      </c>
      <c r="M10" s="14" t="s">
        <v>134</v>
      </c>
      <c r="N10" s="9" t="s">
        <v>138</v>
      </c>
      <c r="O10" s="63" t="s">
        <v>158</v>
      </c>
      <c r="P10" s="14" t="s">
        <v>170</v>
      </c>
      <c r="Q10" s="14" t="s">
        <v>187</v>
      </c>
      <c r="R10" s="14" t="s">
        <v>197</v>
      </c>
      <c r="S10" s="14" t="s">
        <v>210</v>
      </c>
    </row>
    <row r="11" spans="1:19" ht="240" x14ac:dyDescent="0.25">
      <c r="A11" s="40" t="s">
        <v>74</v>
      </c>
      <c r="B11" s="12" t="s">
        <v>112</v>
      </c>
      <c r="C11" s="1" t="b">
        <f>TRUE</f>
        <v>1</v>
      </c>
      <c r="D11" s="1" t="b">
        <f>FALSE</f>
        <v>0</v>
      </c>
      <c r="E11" s="1" t="b">
        <f>TRUE</f>
        <v>1</v>
      </c>
      <c r="F11" s="1" t="b">
        <f>FALSE</f>
        <v>0</v>
      </c>
      <c r="G11" s="1" t="b">
        <f>FALSE</f>
        <v>0</v>
      </c>
      <c r="H11" s="1" t="b">
        <f>FALSE</f>
        <v>0</v>
      </c>
      <c r="I11" s="1" t="b">
        <f>FALSE</f>
        <v>0</v>
      </c>
      <c r="J11" s="1" t="s">
        <v>35</v>
      </c>
      <c r="K11" s="1" t="str">
        <f>CONCATENATE("1d6/1d8+",IF(elemental!A10&gt;elemental!B10,elemental!A10,elemental!B10))</f>
        <v>1d6/1d8+1</v>
      </c>
      <c r="L11" s="1" t="s">
        <v>46</v>
      </c>
      <c r="M11" s="14" t="s">
        <v>124</v>
      </c>
      <c r="O11" s="63" t="s">
        <v>157</v>
      </c>
      <c r="P11" s="14" t="s">
        <v>169</v>
      </c>
      <c r="Q11" s="14" t="s">
        <v>188</v>
      </c>
      <c r="R11" s="14" t="s">
        <v>198</v>
      </c>
      <c r="S11" s="14" t="s">
        <v>211</v>
      </c>
    </row>
    <row r="12" spans="1:19" ht="225" x14ac:dyDescent="0.25">
      <c r="A12" s="40" t="s">
        <v>81</v>
      </c>
      <c r="B12" s="12" t="s">
        <v>113</v>
      </c>
      <c r="C12" s="1" t="b">
        <f>FALSE</f>
        <v>0</v>
      </c>
      <c r="D12" s="1" t="b">
        <f>TRUE</f>
        <v>1</v>
      </c>
      <c r="E12" s="1" t="b">
        <f>FALSE</f>
        <v>0</v>
      </c>
      <c r="F12" s="1" t="b">
        <f>FALSE</f>
        <v>0</v>
      </c>
      <c r="G12" s="1" t="b">
        <f>FALSE</f>
        <v>0</v>
      </c>
      <c r="H12" s="1" t="b">
        <f>TRUE</f>
        <v>1</v>
      </c>
      <c r="I12" s="1" t="b">
        <f>FALSE</f>
        <v>0</v>
      </c>
      <c r="J12" s="1" t="s">
        <v>36</v>
      </c>
      <c r="K12" s="1" t="str">
        <f>CONCATENATE("1d6/1d8+",elemental!A10)</f>
        <v>1d6/1d8+1</v>
      </c>
      <c r="L12" s="1" t="s">
        <v>48</v>
      </c>
      <c r="M12" s="14" t="s">
        <v>124</v>
      </c>
      <c r="N12" s="9" t="s">
        <v>140</v>
      </c>
      <c r="O12" s="63" t="s">
        <v>156</v>
      </c>
      <c r="P12" s="14" t="s">
        <v>168</v>
      </c>
      <c r="Q12" s="65" t="s">
        <v>175</v>
      </c>
      <c r="R12" s="14" t="s">
        <v>199</v>
      </c>
      <c r="S12" s="14" t="s">
        <v>212</v>
      </c>
    </row>
    <row r="13" spans="1:19" ht="240" x14ac:dyDescent="0.25">
      <c r="A13" s="40" t="s">
        <v>90</v>
      </c>
      <c r="B13" s="12" t="s">
        <v>116</v>
      </c>
      <c r="C13" s="1" t="b">
        <f>TRUE</f>
        <v>1</v>
      </c>
      <c r="D13" s="1" t="b">
        <f>TRUE</f>
        <v>1</v>
      </c>
      <c r="E13" s="1" t="b">
        <f>FALSE</f>
        <v>0</v>
      </c>
      <c r="F13" s="1" t="b">
        <f>FALSE</f>
        <v>0</v>
      </c>
      <c r="G13" s="1" t="b">
        <f>FALSE</f>
        <v>0</v>
      </c>
      <c r="H13" s="1" t="b">
        <f>FALSE</f>
        <v>0</v>
      </c>
      <c r="I13" s="1" t="b">
        <f>FALSE</f>
        <v>0</v>
      </c>
      <c r="J13" s="1" t="s">
        <v>31</v>
      </c>
      <c r="K13" s="1" t="str">
        <f>CONCATENATE("1d6/1d8+",elemental!A10)</f>
        <v>1d6/1d8+1</v>
      </c>
      <c r="L13" s="1" t="s">
        <v>48</v>
      </c>
      <c r="M13" s="14" t="s">
        <v>124</v>
      </c>
      <c r="N13" s="1"/>
      <c r="O13" s="63" t="s">
        <v>155</v>
      </c>
      <c r="P13" s="14" t="s">
        <v>167</v>
      </c>
      <c r="Q13" s="14" t="s">
        <v>179</v>
      </c>
      <c r="R13" s="14" t="s">
        <v>190</v>
      </c>
      <c r="S13" s="14" t="s">
        <v>213</v>
      </c>
    </row>
    <row r="14" spans="1:19" ht="29.25" customHeight="1" x14ac:dyDescent="0.25">
      <c r="A14" s="40"/>
      <c r="B14" s="12"/>
      <c r="C14" s="1"/>
      <c r="D14" s="1"/>
      <c r="E14" s="1"/>
      <c r="F14" s="1"/>
      <c r="G14" s="1"/>
      <c r="H14" s="1"/>
      <c r="I14" s="1"/>
      <c r="J14" s="1"/>
      <c r="K14" s="1"/>
      <c r="L14" s="1"/>
    </row>
    <row r="15" spans="1:19" ht="37.5" customHeight="1" x14ac:dyDescent="0.25">
      <c r="A15" s="23" t="s">
        <v>83</v>
      </c>
      <c r="B15" s="23" t="s">
        <v>54</v>
      </c>
      <c r="D15" s="27" t="s">
        <v>130</v>
      </c>
      <c r="E15" s="45" t="s">
        <v>4</v>
      </c>
      <c r="F15" s="27" t="s">
        <v>117</v>
      </c>
      <c r="G15" s="27" t="s">
        <v>54</v>
      </c>
    </row>
    <row r="16" spans="1:19" ht="45" x14ac:dyDescent="0.25">
      <c r="A16" s="19" t="s">
        <v>65</v>
      </c>
      <c r="B16" s="21" t="str">
        <f>CONCATENATE("The Elemental makes a Constitution save (DC 18), recovering ",ROUNDUP(elemental!B6/2,0),"d6 HP on a sucess.")</f>
        <v>The Elemental makes a Constitution save (DC 18), recovering 2d6 HP on a sucess.</v>
      </c>
      <c r="D16" s="26" t="s">
        <v>84</v>
      </c>
      <c r="E16" s="46">
        <v>1</v>
      </c>
      <c r="F16" s="49" t="s">
        <v>118</v>
      </c>
      <c r="G16" s="51" t="str">
        <f>CONCATENATE("The mote can occupy a creature's space.")</f>
        <v>The mote can occupy a creature's space.</v>
      </c>
    </row>
    <row r="17" spans="1:7" ht="60" x14ac:dyDescent="0.25">
      <c r="A17" s="20" t="s">
        <v>68</v>
      </c>
      <c r="B17" s="22" t="str">
        <f>CONCATENATE("The Elemental forces a creature to make an Intelligence save (DC ",elemental!A12+elemental!B6,") or become stunned until it suceeds. The creature may attempt the save at the start of its turn.")</f>
        <v>The Elemental forces a creature to make an Intelligence save (DC 13) or become stunned until it suceeds. The creature may attempt the save at the start of its turn.</v>
      </c>
      <c r="D17" s="41" t="s">
        <v>85</v>
      </c>
      <c r="E17" s="47">
        <v>2</v>
      </c>
      <c r="F17" s="50" t="s">
        <v>119</v>
      </c>
      <c r="G17" s="52" t="s">
        <v>121</v>
      </c>
    </row>
    <row r="18" spans="1:7" ht="105" x14ac:dyDescent="0.25">
      <c r="A18" s="19" t="s">
        <v>67</v>
      </c>
      <c r="B18" s="21" t="str">
        <f>CONCATENATE("The Elemental forces all creatures who can see it to make a Wisdom save (DC ",8+elemental!B6+elemental!C13,"). On a fail the creature takes ",IF(elemental!C13&gt;0,elemental!C13,1),"d6 psychic damage and is blinded until The Elemental's next turn. On a sucess the creature only takes half damage and is immune to this effect for 24 hours.")</f>
        <v>The Elemental forces all creatures who can see it to make a Wisdom save (DC 13). On a fail the creature takes 2d6 psychic damage and is blinded until The Elemental's next turn. On a sucess the creature only takes half damage and is immune to this effect for 24 hours.</v>
      </c>
      <c r="D18" s="43" t="s">
        <v>86</v>
      </c>
      <c r="E18" s="46">
        <v>3</v>
      </c>
      <c r="F18" s="53" t="s">
        <v>120</v>
      </c>
      <c r="G18" s="51" t="s">
        <v>122</v>
      </c>
    </row>
    <row r="19" spans="1:7" ht="45" x14ac:dyDescent="0.25">
      <c r="A19" s="24" t="s">
        <v>66</v>
      </c>
      <c r="B19" s="25" t="str">
        <f>CONCATENATE("The Elemental makes a Charisma save (DC ",20-elemental!B6,") ending any conditions or spell efects on itself or a creature it touches.")</f>
        <v>The Elemental makes a Charisma save (DC 17) ending any conditions or spell efects on itself or a creature it touches.</v>
      </c>
      <c r="D19" s="44" t="s">
        <v>87</v>
      </c>
      <c r="E19" s="47">
        <v>4</v>
      </c>
      <c r="F19" s="54" t="s">
        <v>127</v>
      </c>
      <c r="G19" s="55" t="s">
        <v>129</v>
      </c>
    </row>
    <row r="20" spans="1:7" ht="45" x14ac:dyDescent="0.25">
      <c r="D20" s="43" t="s">
        <v>88</v>
      </c>
      <c r="E20" s="46">
        <v>5</v>
      </c>
      <c r="F20" s="53" t="s">
        <v>126</v>
      </c>
      <c r="G20" s="51" t="s">
        <v>123</v>
      </c>
    </row>
    <row r="21" spans="1:7" ht="30" x14ac:dyDescent="0.25">
      <c r="D21" s="42" t="s">
        <v>89</v>
      </c>
      <c r="E21" s="48">
        <v>6</v>
      </c>
      <c r="F21" s="50" t="s">
        <v>178</v>
      </c>
      <c r="G21" s="52" t="s">
        <v>128</v>
      </c>
    </row>
  </sheetData>
  <phoneticPr fontId="4" type="noConversion"/>
  <conditionalFormatting sqref="C2:I13 C14:H14">
    <cfRule type="containsText" dxfId="1" priority="2" operator="containsText" text="TRUE">
      <formula>NOT(ISERROR(SEARCH("TRUE",C2)))</formula>
    </cfRule>
  </conditionalFormatting>
  <conditionalFormatting sqref="C2:I13">
    <cfRule type="cellIs" dxfId="0" priority="1" operator="equal">
      <formula>TRUE</formula>
    </cfRule>
  </conditionalFormatting>
  <pageMargins left="0.511811024" right="0.511811024" top="0.78740157499999996" bottom="0.78740157499999996" header="0.31496062000000002" footer="0.31496062000000002"/>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selection activeCell="C2" sqref="C2"/>
    </sheetView>
  </sheetViews>
  <sheetFormatPr defaultRowHeight="15" x14ac:dyDescent="0.25"/>
  <cols>
    <col min="1" max="1" width="26.5703125" bestFit="1" customWidth="1"/>
    <col min="2" max="2" width="17.7109375" bestFit="1" customWidth="1"/>
    <col min="3" max="3" width="89.42578125" style="39" customWidth="1"/>
  </cols>
  <sheetData>
    <row r="1" spans="1:3" x14ac:dyDescent="0.25">
      <c r="A1" t="s">
        <v>82</v>
      </c>
      <c r="B1" t="s">
        <v>53</v>
      </c>
      <c r="C1" s="39" t="s">
        <v>54</v>
      </c>
    </row>
    <row r="2" spans="1:3" ht="285" x14ac:dyDescent="0.25">
      <c r="A2" s="15" t="s">
        <v>90</v>
      </c>
      <c r="B2" s="16" t="s">
        <v>55</v>
      </c>
      <c r="C2" s="14" t="s">
        <v>56</v>
      </c>
    </row>
    <row r="3" spans="1:3" ht="270" x14ac:dyDescent="0.25">
      <c r="A3" s="17" t="s">
        <v>73</v>
      </c>
      <c r="B3" s="16" t="s">
        <v>57</v>
      </c>
      <c r="C3" s="14" t="s">
        <v>58</v>
      </c>
    </row>
    <row r="4" spans="1:3" ht="165" x14ac:dyDescent="0.25">
      <c r="A4" s="15" t="s">
        <v>72</v>
      </c>
      <c r="B4" s="16" t="s">
        <v>59</v>
      </c>
      <c r="C4" s="14" t="s">
        <v>60</v>
      </c>
    </row>
    <row r="5" spans="1:3" ht="210" x14ac:dyDescent="0.25">
      <c r="A5" s="17" t="s">
        <v>78</v>
      </c>
      <c r="B5" s="16" t="s">
        <v>61</v>
      </c>
      <c r="C5" s="14" t="s">
        <v>91</v>
      </c>
    </row>
    <row r="6" spans="1:3" ht="180" x14ac:dyDescent="0.25">
      <c r="A6" s="17" t="s">
        <v>75</v>
      </c>
      <c r="B6" s="16" t="s">
        <v>93</v>
      </c>
      <c r="C6" s="14" t="s">
        <v>94</v>
      </c>
    </row>
    <row r="7" spans="1:3" ht="195" x14ac:dyDescent="0.25">
      <c r="A7" s="17" t="s">
        <v>81</v>
      </c>
      <c r="B7" s="16" t="s">
        <v>62</v>
      </c>
      <c r="C7" s="14" t="s">
        <v>63</v>
      </c>
    </row>
    <row r="8" spans="1:3" ht="195" x14ac:dyDescent="0.25">
      <c r="A8" s="15" t="s">
        <v>79</v>
      </c>
      <c r="B8" s="16" t="s">
        <v>64</v>
      </c>
      <c r="C8" s="14" t="s">
        <v>92</v>
      </c>
    </row>
    <row r="9" spans="1:3" ht="240" x14ac:dyDescent="0.25">
      <c r="A9" s="17" t="s">
        <v>71</v>
      </c>
      <c r="B9" s="16" t="s">
        <v>69</v>
      </c>
      <c r="C9" s="14" t="s">
        <v>70</v>
      </c>
    </row>
    <row r="10" spans="1:3" ht="165" x14ac:dyDescent="0.25">
      <c r="A10" s="37" t="s">
        <v>76</v>
      </c>
      <c r="B10" s="16" t="s">
        <v>95</v>
      </c>
      <c r="C10" s="14" t="s">
        <v>97</v>
      </c>
    </row>
    <row r="11" spans="1:3" ht="165" x14ac:dyDescent="0.25">
      <c r="A11" s="38" t="s">
        <v>74</v>
      </c>
      <c r="B11" s="16" t="s">
        <v>96</v>
      </c>
      <c r="C11" s="14" t="s">
        <v>98</v>
      </c>
    </row>
    <row r="12" spans="1:3" ht="165" x14ac:dyDescent="0.25">
      <c r="A12" s="37" t="s">
        <v>80</v>
      </c>
      <c r="B12" s="16" t="s">
        <v>99</v>
      </c>
      <c r="C12" s="14" t="s">
        <v>102</v>
      </c>
    </row>
    <row r="13" spans="1:3" ht="240" x14ac:dyDescent="0.25">
      <c r="A13" s="38" t="s">
        <v>77</v>
      </c>
      <c r="B13" s="16" t="s">
        <v>100</v>
      </c>
      <c r="C13" s="14" t="s">
        <v>101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elemental</vt:lpstr>
      <vt:lpstr>info</vt:lpstr>
      <vt:lpstr>Theme 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Jhonatan Samuel Gimenes do Carmo</dc:creator>
  <cp:lastModifiedBy>Aspen G. C.</cp:lastModifiedBy>
  <dcterms:created xsi:type="dcterms:W3CDTF">2022-02-07T18:57:40Z</dcterms:created>
  <dcterms:modified xsi:type="dcterms:W3CDTF">2024-04-01T15:24:40Z</dcterms:modified>
</cp:coreProperties>
</file>