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gime\Desktop\TABLETOP\paid games\MM\attachments\Heliope The Second Age\monster gen\"/>
    </mc:Choice>
  </mc:AlternateContent>
  <xr:revisionPtr revIDLastSave="0" documentId="13_ncr:1_{122175A7-1AAB-440A-B72E-0D252C9F57F6}" xr6:coauthVersionLast="47" xr6:coauthVersionMax="47" xr10:uidLastSave="{00000000-0000-0000-0000-000000000000}"/>
  <bookViews>
    <workbookView xWindow="-120" yWindow="-120" windowWidth="20730" windowHeight="11040" activeTab="3" xr2:uid="{00000000-000D-0000-FFFF-FFFF00000000}"/>
  </bookViews>
  <sheets>
    <sheet name="demon" sheetId="2" r:id="rId1"/>
    <sheet name="info" sheetId="1" r:id="rId2"/>
    <sheet name="Theme Spells" sheetId="3" state="hidden" r:id="rId3"/>
    <sheet name="Soulrend" sheetId="4" r:id="rId4"/>
    <sheet name="Sheet2"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2" l="1"/>
  <c r="A31" i="2" s="1"/>
  <c r="A28" i="2"/>
  <c r="A29" i="2" s="1"/>
  <c r="B64" i="2" l="1"/>
  <c r="A3" i="2"/>
  <c r="B15" i="2"/>
  <c r="B19" i="2"/>
  <c r="A47" i="2"/>
  <c r="A59" i="2"/>
  <c r="A54" i="2"/>
  <c r="A35" i="2"/>
  <c r="B18" i="2"/>
  <c r="B20" i="2"/>
  <c r="A44" i="2"/>
  <c r="A41" i="2"/>
  <c r="C3" i="4"/>
  <c r="C4" i="4"/>
  <c r="C5" i="4"/>
  <c r="C6" i="4"/>
  <c r="C7" i="4"/>
  <c r="C8" i="4"/>
  <c r="C9" i="4"/>
  <c r="C10" i="4"/>
  <c r="C11" i="4"/>
  <c r="C12" i="4"/>
  <c r="C13" i="4"/>
  <c r="C14" i="4"/>
  <c r="C15" i="4"/>
  <c r="C16" i="4"/>
  <c r="C17" i="4"/>
  <c r="C18" i="4"/>
  <c r="C19" i="4"/>
  <c r="C20" i="4"/>
  <c r="C21" i="4"/>
  <c r="C2" i="4"/>
  <c r="A50" i="2" s="1"/>
  <c r="B24" i="2" l="1"/>
  <c r="A27" i="2" s="1"/>
  <c r="A51" i="2"/>
  <c r="A1" i="2" l="1"/>
  <c r="B1" i="6" s="1"/>
  <c r="A40" i="2" l="1"/>
  <c r="C6" i="2"/>
  <c r="B6" i="2"/>
  <c r="C12" i="2" l="1"/>
  <c r="C22" i="6" s="1"/>
  <c r="A48" i="2"/>
  <c r="B12" i="2"/>
  <c r="A12" i="2"/>
  <c r="C18" i="6" s="1"/>
  <c r="A9" i="2"/>
  <c r="C9" i="2"/>
  <c r="B15" i="1"/>
  <c r="B4" i="2"/>
  <c r="B9" i="2"/>
  <c r="C14" i="6" s="1"/>
  <c r="B18" i="1"/>
  <c r="B7" i="2"/>
  <c r="C13" i="2" l="1"/>
  <c r="B17" i="1" s="1"/>
  <c r="K31" i="6"/>
  <c r="C31" i="6" s="1"/>
  <c r="A10" i="2"/>
  <c r="C12" i="6"/>
  <c r="B13" i="2"/>
  <c r="C20" i="6"/>
  <c r="C10" i="2"/>
  <c r="C16" i="6"/>
  <c r="B10" i="2"/>
  <c r="B16" i="1"/>
  <c r="A60" i="2" s="1"/>
  <c r="A13" i="2"/>
  <c r="L18" i="6" s="1"/>
  <c r="L22" i="6" l="1"/>
  <c r="G31" i="6"/>
  <c r="L12" i="6"/>
  <c r="B16" i="2"/>
  <c r="I31" i="6"/>
  <c r="E31" i="6"/>
  <c r="H4" i="1"/>
  <c r="E2" i="1"/>
  <c r="L16" i="6"/>
  <c r="C5" i="2"/>
  <c r="M27" i="6" s="1"/>
  <c r="L14" i="6"/>
  <c r="I29" i="6"/>
  <c r="E3" i="1"/>
  <c r="B5" i="2"/>
  <c r="C27" i="6" s="1"/>
  <c r="G27" i="6" s="1"/>
  <c r="B22" i="2"/>
  <c r="L20" i="6"/>
  <c r="A33" i="2"/>
  <c r="B14" i="2"/>
  <c r="H3" i="1"/>
  <c r="H5" i="1"/>
  <c r="E4" i="1"/>
  <c r="E6" i="1"/>
  <c r="E5" i="1"/>
  <c r="H6" i="1"/>
  <c r="A42" i="2" l="1"/>
  <c r="A45" i="2"/>
</calcChain>
</file>

<file path=xl/sharedStrings.xml><?xml version="1.0" encoding="utf-8"?>
<sst xmlns="http://schemas.openxmlformats.org/spreadsheetml/2006/main" count="1144" uniqueCount="522">
  <si>
    <t>Azion</t>
  </si>
  <si>
    <t>Celandine</t>
  </si>
  <si>
    <t>Dedros</t>
  </si>
  <si>
    <t>Faelloc</t>
  </si>
  <si>
    <t>Kyborh</t>
  </si>
  <si>
    <t>L’zanes</t>
  </si>
  <si>
    <t>Ondir</t>
  </si>
  <si>
    <t>Resplandecencia</t>
  </si>
  <si>
    <t>Sin</t>
  </si>
  <si>
    <t>Teancri</t>
  </si>
  <si>
    <t>Thanagolth</t>
  </si>
  <si>
    <t>Vansol</t>
  </si>
  <si>
    <t>Xybus</t>
  </si>
  <si>
    <t>Zathor</t>
  </si>
  <si>
    <t>Spells</t>
  </si>
  <si>
    <t>God</t>
  </si>
  <si>
    <t>Category</t>
  </si>
  <si>
    <t>AC</t>
  </si>
  <si>
    <t>HP</t>
  </si>
  <si>
    <t>CR Bonus</t>
  </si>
  <si>
    <t>CR</t>
  </si>
  <si>
    <t>Speed</t>
  </si>
  <si>
    <t>STR</t>
  </si>
  <si>
    <t>DEX</t>
  </si>
  <si>
    <t>CON</t>
  </si>
  <si>
    <t>INT</t>
  </si>
  <si>
    <t>WIS</t>
  </si>
  <si>
    <t>CHA</t>
  </si>
  <si>
    <t>Naros</t>
  </si>
  <si>
    <t>Saves</t>
  </si>
  <si>
    <t>Skills</t>
  </si>
  <si>
    <t>Languages:</t>
  </si>
  <si>
    <t>Celestial, Primordial.</t>
  </si>
  <si>
    <t>Condition Immunities:</t>
  </si>
  <si>
    <t>Damage Immunities:</t>
  </si>
  <si>
    <t>Damage Resistances:</t>
  </si>
  <si>
    <t>Senses:</t>
  </si>
  <si>
    <t>Formula</t>
  </si>
  <si>
    <t>Charmed, exhaustion, frightened</t>
  </si>
  <si>
    <t>Beef (3)</t>
  </si>
  <si>
    <t>Mistery  (8)</t>
  </si>
  <si>
    <t>Speed (4)</t>
  </si>
  <si>
    <t>Smarts (6)</t>
  </si>
  <si>
    <t>Tank (5)</t>
  </si>
  <si>
    <t>Magic (9)</t>
  </si>
  <si>
    <t>Whip</t>
  </si>
  <si>
    <t>Scythe</t>
  </si>
  <si>
    <t>Net</t>
  </si>
  <si>
    <t>Quarterstaff</t>
  </si>
  <si>
    <t>Trident</t>
  </si>
  <si>
    <t>Rapier</t>
  </si>
  <si>
    <t>Halberd</t>
  </si>
  <si>
    <t>Longbow</t>
  </si>
  <si>
    <t>Proficiency Mod</t>
  </si>
  <si>
    <t>---------------------- Traits ----------------------</t>
  </si>
  <si>
    <t>---------------------- Actions ----------------------</t>
  </si>
  <si>
    <t>Multiattack</t>
  </si>
  <si>
    <t>Damage</t>
  </si>
  <si>
    <t>Greataxe</t>
  </si>
  <si>
    <t>Range</t>
  </si>
  <si>
    <t>10 ft</t>
  </si>
  <si>
    <t>10 ft.</t>
  </si>
  <si>
    <t>5 ft</t>
  </si>
  <si>
    <t>Thrown 5/15 ft</t>
  </si>
  <si>
    <t>150/600 ft</t>
  </si>
  <si>
    <t>5 ft Thrown 20/60 ft</t>
  </si>
  <si>
    <t>25/100 ft</t>
  </si>
  <si>
    <t>Blowgun</t>
  </si>
  <si>
    <t>Innate Spellcasting</t>
  </si>
  <si>
    <t>It can cast the following spells, requiring only verbal components:</t>
  </si>
  <si>
    <t>Spell Name</t>
  </si>
  <si>
    <t>Description</t>
  </si>
  <si>
    <t>1st level Evocation
Casting Time: 1 Action
Range: 30 ft.
Components: V, S, M (a teacup)
Duration: 1 minute.
You summon the winds of change upon a 15 ft cube within range. The area is covered in spectral depictions of the effects.
A creature is subject to the effects if it starts its turn in the area or when entering it for the first time in a round. The effects last until the end of the creature’s turn.
Choose one of the following:
Spring Allergies: Creatures in the area must make a Constitution save or be poisoned.
Summer Heat: Creatures in the area must make a Constitution save or be stunned.
Autumn Harvest: Creatures in the area gain 1d12 Temp HP.
Winter Blizzard: Creatures in the area must make a Constitution save or take 3d4 cold damage.</t>
  </si>
  <si>
    <t>Four Seasons</t>
  </si>
  <si>
    <t>Trickshot</t>
  </si>
  <si>
    <t xml:space="preserve">1st level Conjuration
Casting Time: 1 Action
Range: Self
Components: V, M (a piece of ammunition or a thrown weapon)
Duration: Instantaneous
You whisper a prayer for luck on a difficult shot.
As part of this spell, make a ranged weapon attack, ignoring any cover the target may have. On a hit, in addition to the weapon damage the target takes 2d10 thunder damage. 
</t>
  </si>
  <si>
    <t>Armistice</t>
  </si>
  <si>
    <t xml:space="preserve">1st level Enchantment
Casting Time: 1 Action
Range: Self (30 ft sphere)
Components: V, S, M (a white cloth)
Duration: Instantaneous
You shout a command to disarm and cease fighting.
All creatures (including you) within a 30 ft radius must succeed on a Wisdom Save or drop their weapons. 
At Higher Levels. When you cast this spell with a 3rd level slot or higher, creatures a size category larger than yourself make the save at disadvantage.
</t>
  </si>
  <si>
    <t xml:space="preserve">1st level Necromancy
Casting Time: 1 reaction (to a creature being killed in range) 
Range: 30 ft
Components: V
Duration: Instantaneous
You extend a shard of life to a killed creature, allowing it one last rampage.
You briefly reanimate the corpse of a creature that was killed, forcing its body to make an attack against a target of your choice. The corpse continues attacking its designated target once per turn. The spell ends if the corpse misses or the target dies.
</t>
  </si>
  <si>
    <t>Animate Fallen</t>
  </si>
  <si>
    <t>Prophecy</t>
  </si>
  <si>
    <t xml:space="preserve">1st level Enchantment
Casting Time: 1 Action
Range: Self
Components: V
Duration: Instantaneous
You delve deep into darkness and return with a glimpse of the future.
Roll a d20 and record that number and give it to the DM. You may substitute the result of any roll made until the next dawn with it, once you do, take that much psychic damage.
</t>
  </si>
  <si>
    <t>Electric Arc</t>
  </si>
  <si>
    <t>1st level Evocation
Casting Time: 1 Action
Range: 30 ft
Components: V, S
Duration: 1 minute.
You hurl a pair of twin motes of static electricity against two creatures, linking them with lightning. 
Choose two creatures within range, they must make a Dexterity save. On a fail each creature takes 2d10 lightning damage, creating a 5 ft wide line between them. On a success (from either target) they take damage and the spell ends. Linked creatures may attempt the save again at the end of their turn.
Creatures that start their turn in the line, or enter it for the first time on a turn must succeed on a Constitution save or take 1d6 lightning damage. On a success they take no damage.
At Higher Levels. When you cast this spell using a spell slot of 2nd level or higher, the initial
damage increases by 1d10 for each slot level above 1st.</t>
  </si>
  <si>
    <t>Path of Pain</t>
  </si>
  <si>
    <t>1st level Conjuration
Casting Time: 1 Action
Range: Self
Components: V, S, M (a flower with thorns)
Duration: Concentration, up to 1 minute.
Your steps grow a field of flaming flowers which bolster your allies and hinder your enemies in battle.
Until the end of your turn you gain 20 ft of movement and any squares you pass through grow flaming flowers.
The affected area becomes difficult terrain until the spell ends. Any allies in the area gain a number of Temporary HP equal to twice your Constitution Modifier (minimum 2) at the start of their turn. An enemy takes 1d4 fire damage for every 5 ft. of movement made by them in the area.
The flowers do not spread fire and wilt once the spell ends.</t>
  </si>
  <si>
    <t>Ziggurat</t>
  </si>
  <si>
    <t xml:space="preserve">1st level Transmutation
Casting Time: 1 Action
Range: 30 ft
Components: V, S, M (a gemstone worth 10 gp, which the spell consumes)
Duration: Instantaneous
You create a stone monolith or statue that fits in a 10 ft cube within range, any creatures in the area are shunted to an unoccupied space away from you and take 2d10 force damage. Any allies gain a bonus to their AC and all Saving Throws equal to your Intelligence modifier (minimum 1) while adjacent to it.
</t>
  </si>
  <si>
    <t>Ashes to Ash</t>
  </si>
  <si>
    <t>1st level Necromancy
Casting Time: 1 Action
Range: 60 ft
Components: V, S, M (An hourglass worth 50 gp)
Duration: Instantaneous
You attempt to siphon away part of a creatures lifetime, sending them to an early grave.
Choose a number of creatures up to your Wisdom modifier within range. They must make a Constitution Save. On a fail they take 1d10 necrotic damage and are stunned until the start of their next turn. On a success they take half damage and are not stunned.
At Higher Levels. When you cast this spell with a 2nd level slot or higher, for each level above 1st you may choose to deal an extra 1d10 cold damage or target 1 more creature.</t>
  </si>
  <si>
    <t>Fateweave</t>
  </si>
  <si>
    <t xml:space="preserve">Fateweave
1st level Illusion
Casting Time: 1 Action
Range: 30 ft
Components: S, M (a spool of thread)
Duration: Instantaneous
You spin a web of fate to ensnare a creature within range with visions and delusion, but fate is a double edged blade.
Make a ranged spell attack against a creature within range. On a hit the creature takes 1d8 psychic damage and is restrained until the start of your next turn. At the start of their turn, the target may attempt an Insight check contested by your Deception or Performance, if the creature succeeds it is freed and you become stunned until the end of your next turn.
At Higher Levels. When you cast this spell with a slot of 2nd level or higher you may choose one of the following:
- You make the attack with advantage.
- The creature makes the Insight check with disadvantage.
- The creature takes an extra 1d8 psychic damage per level above 1st.
</t>
  </si>
  <si>
    <t>Cleansing Rain</t>
  </si>
  <si>
    <t>1st level Transmutation
Casting Time: 1 Action
Range: Self (20 ft cylinder)
Components: V
Duration: Instantaneous
You call forth a cleansing rain to wash away the worries and ailments afflicting you.
A calm drizzle washes over you in a 20 ft radius cylinder from the sky. Any conditions you may have are removed and transferred to all other creatures in the area. If you are below your max HP by less than your level, that damage is also transferred.</t>
  </si>
  <si>
    <t>Gender Fluid</t>
  </si>
  <si>
    <t xml:space="preserve">1st level Transmutation
Casting Time: 1 hour
Range: Touch
Components: V,S,M (A healer’s kit, herbalism kit or alchemist’s supplies)
Duration: Permanent (cannot be dispelled, but can override itself)
You and a willing creature work together to create a potion that will reshape their body into one which more closely match their gender identity, the creature then consumes the potion and is transformed according to their desires over the course of a day. The creature cannot change type through this, meaning a humanoid remains humanoid, a giant remains giant, a dragon remains dragon etc.
</t>
  </si>
  <si>
    <t>Coral</t>
  </si>
  <si>
    <t xml:space="preserve">Coral
1st level Abjuration
Casting Time: 1 Action
Range: Touch
Components: S, M (a piece of coral worth 50 gp)
Duration: Concentration, up to 1 minute.
You touch another creature, coating them in an armor of brine, barnacles and coral.
The creature gains Temp HP equal to your Constitution score. While the Temp HP remains the creature is coated in sea water, and is immune to fire damage and vulnerable to lightning damage.
</t>
  </si>
  <si>
    <t>Glimmer</t>
  </si>
  <si>
    <t>Unearthly Power</t>
  </si>
  <si>
    <t xml:space="preserve">1st level Abjuration
Casting Time: 1 Action
Range: Touch
Components: V, S, M (a holy symbol worth 100 gp, which the spell consumes)
Duration: Instantaneous
You touch a willing creature, imbuing them with holy light and potential.
Until the end of the creature’s next turn all damage they suffer is also taken by the source of the damage, neither can benefit from any resistances or immunities.
If they drop to 0 HP they are restored to 1 HP.
</t>
  </si>
  <si>
    <t>Smog</t>
  </si>
  <si>
    <t>1st level Illusion 
Casting Time: 1 Action 
Range: Self
Components: S, M (a censer or smoking pipe)
Duration: 8 hours
You create a ghostly apparition from smoke in a shape of your design.
The apparition has AC 10 and 1 HP and is of medium or small size, but otherwise uses the statistics of a cat.
You can verbally issue it an order as a bonus action, which it obeys to the best of its ability. In combat it acts on your turn, it only moves if an order requires it.
As a reaction to being hit by an attack you can swap places with the apparition, the attack must be rerolled targeting it.</t>
  </si>
  <si>
    <t>Layer</t>
  </si>
  <si>
    <t>Blood Rank</t>
  </si>
  <si>
    <t>Lorewise (7)</t>
  </si>
  <si>
    <t>Umeo</t>
  </si>
  <si>
    <t>Muriat</t>
  </si>
  <si>
    <t>Assula</t>
  </si>
  <si>
    <t>Lampare</t>
  </si>
  <si>
    <t>Kyeh</t>
  </si>
  <si>
    <t>Prey</t>
  </si>
  <si>
    <t>Wretch</t>
  </si>
  <si>
    <t>Predator</t>
  </si>
  <si>
    <t>Main Weapon (10)</t>
  </si>
  <si>
    <t>Soulsight</t>
  </si>
  <si>
    <t>The Demon forces a creature it damaged to make a CHA Save (DC 15) or be frightened of it until the end of The Demon's next turn. On a sucess the creature is immune to this ability for the next hour.</t>
  </si>
  <si>
    <t>Resistance</t>
  </si>
  <si>
    <t>Acid, Fire</t>
  </si>
  <si>
    <t>Force, Poison</t>
  </si>
  <si>
    <t>Lightning, Radiant</t>
  </si>
  <si>
    <t>Psychic, Necrotic</t>
  </si>
  <si>
    <t>Acid, Cold</t>
  </si>
  <si>
    <t>Damage Vulnerabilities:</t>
  </si>
  <si>
    <t>Name</t>
  </si>
  <si>
    <t>Second Weapon (14)</t>
  </si>
  <si>
    <t>Damage2</t>
  </si>
  <si>
    <t>Range2</t>
  </si>
  <si>
    <t>At Will: Primal Savagery, Fog Cloud</t>
  </si>
  <si>
    <t>At Will: True Strike, Pass without a Trace</t>
  </si>
  <si>
    <t>At Will: Lightning Lure, Absorb Elements</t>
  </si>
  <si>
    <t>At Will: Darkness, Mind Spike</t>
  </si>
  <si>
    <t>Unfathomable (4 Souls)</t>
  </si>
  <si>
    <t>Unshackled (1 Soul)</t>
  </si>
  <si>
    <t xml:space="preserve">
3/Day: Cloudkill</t>
  </si>
  <si>
    <t xml:space="preserve">
3/Day: Phantasmal Killer</t>
  </si>
  <si>
    <t>At Will: Acid Splash, Dust Devil</t>
  </si>
  <si>
    <t xml:space="preserve">
3/Day: Wall of Fire</t>
  </si>
  <si>
    <t xml:space="preserve">
3/Day: Maelstrom</t>
  </si>
  <si>
    <t xml:space="preserve">
3/Day: Steel Wind Strike</t>
  </si>
  <si>
    <t>Rank</t>
  </si>
  <si>
    <t>Layer/Rank</t>
  </si>
  <si>
    <t>Column1</t>
  </si>
  <si>
    <t>Frighten</t>
  </si>
  <si>
    <t>The Wretch sucks the moisture from a 15 ft cone. Creatures in the area must make a Constitution save or take 3d8 necrotic damage or half on a sucessful save.</t>
  </si>
  <si>
    <t>The Wretch bursts into brine and teeth. All creatures within 10 ft must succeed on a Dexterity save or take Xd10 piercing damage and be poisoned until the end of their turn.</t>
  </si>
  <si>
    <t>SE(PROCV($i$1;BloodRank[#Tudo];3;FALSO)=VERDADEIRO;</t>
  </si>
  <si>
    <t>IF(VLOOKUP($I$1;BloodRank[#All];3;FALSE)=TRUE;</t>
  </si>
  <si>
    <t>Rampage (2 Souls)</t>
  </si>
  <si>
    <t>Last Bite (X souls)</t>
  </si>
  <si>
    <t>Unbreakable (1 soul)</t>
  </si>
  <si>
    <t>Unknowable (2 Souls)</t>
  </si>
  <si>
    <t>cr 17</t>
  </si>
  <si>
    <t>sin</t>
  </si>
  <si>
    <t>Parched (1 Souls)</t>
  </si>
  <si>
    <t>Wild Magic</t>
  </si>
  <si>
    <t>Lifesteal (1 Soul)</t>
  </si>
  <si>
    <t>The wretch's next attack deals an additional 4d6 necrotic damage. The Wretch heals for the same ammount.</t>
  </si>
  <si>
    <t>The Wretch gains advantage on attacks for 1 minute. It scores a critical hit on a natural 18, 19 or 20.</t>
  </si>
  <si>
    <t>Flee (1 Soul)</t>
  </si>
  <si>
    <t>The Prey teleports up to 30 ft. Leaving a poisonous cloud in its wake. Creatures within 5 ft of it must suceed on a Constitution save or take 6d4 poison damage and be blinded until the start of the Prey's next turn. On a sucess the creature takes half damage and isn't blinded.</t>
  </si>
  <si>
    <t>Trait (10)</t>
  </si>
  <si>
    <t>Trait (12)</t>
  </si>
  <si>
    <t>Lore (11)</t>
  </si>
  <si>
    <t>Extra Magic (10)</t>
  </si>
  <si>
    <t xml:space="preserve"> Trait Description (11)</t>
  </si>
  <si>
    <t>The Wretch can disengage as a bonus action.</t>
  </si>
  <si>
    <t>Ambush</t>
  </si>
  <si>
    <t>Trait Description (13)</t>
  </si>
  <si>
    <t>The Prey can dash as a bonus action</t>
  </si>
  <si>
    <t>The Predator deals 4d6 sneak attack damage on a weapon attack once per turn if it has advantage on an attack or has no allies within 5 ft.</t>
  </si>
  <si>
    <t>(Natural Armor)</t>
  </si>
  <si>
    <t>predator</t>
  </si>
  <si>
    <t>prey</t>
  </si>
  <si>
    <t>wretch</t>
  </si>
  <si>
    <t xml:space="preserve">cr </t>
  </si>
  <si>
    <t>Squirm</t>
  </si>
  <si>
    <t>Run</t>
  </si>
  <si>
    <t>Acolytes</t>
  </si>
  <si>
    <t>The Sin gains 1d4 souls at the start of its turn</t>
  </si>
  <si>
    <t>Spell Conduit</t>
  </si>
  <si>
    <t>The Demon gains Temp HP equal to the ammount of living creatures within 5 ft of it at the start of its turn.</t>
  </si>
  <si>
    <t>Crowded</t>
  </si>
  <si>
    <t>The Demon's weapons are poisoned. A creature hit by it must suceed on a DC 12 Constitution save or be poisoned until the end of their turn. Undead and creatures resistant to poison are immune to this effect.</t>
  </si>
  <si>
    <t>Letargy</t>
  </si>
  <si>
    <t>The Demon can teleport up to 30 feet between spaces in dim light or darkness as a bonus action. It can see in magical darkness.</t>
  </si>
  <si>
    <t>Darkstalker</t>
  </si>
  <si>
    <t>The Demon regains 5 hit points at the start of its turn if it has at least 1 hit point, unless it took radiant damage the previous turn.</t>
  </si>
  <si>
    <t>Regeneration</t>
  </si>
  <si>
    <t>If the demon is targeted by a spell and missed or suceeds its save, the demon gains the spell and can cast it once.</t>
  </si>
  <si>
    <t>While the Wretch has souls, a spellcaster must roll on the wild magic table after targeting it with a spell of 3nd level or higher.</t>
  </si>
  <si>
    <t>Feast (1 Soul)</t>
  </si>
  <si>
    <t>During the next turn, the damage inflicted by the Predator reduces the target's HP maximum. The Predator heals for half that damage.</t>
  </si>
  <si>
    <t>Whirlpool (2 Souls)</t>
  </si>
  <si>
    <t>The Predator sucks in all creatures within 20 ft. Creatures in the area must suceed on a DC 15 Strenght save or be dragged 10 ft toward it and take 2d8 Cold damage. The Predator can then make a melee attack against each creature adjacent to it.</t>
  </si>
  <si>
    <t>{"name"</t>
  </si>
  <si>
    <t>Iron Cobra</t>
  </si>
  <si>
    <t>img</t>
  </si>
  <si>
    <t>https://5etools-mirror-1.github.io/img/bestiary/MPMM/Clockwork%20Iron%20Cobra.webp</t>
  </si>
  <si>
    <t>type</t>
  </si>
  <si>
    <t>npc</t>
  </si>
  <si>
    <t>flags</t>
  </si>
  <si>
    <t>{</t>
  </si>
  <si>
    <t>plutonium</t>
  </si>
  <si>
    <t>page</t>
  </si>
  <si>
    <t>bestiary.html</t>
  </si>
  <si>
    <t>source</t>
  </si>
  <si>
    <t>MPMM</t>
  </si>
  <si>
    <t>hash</t>
  </si>
  <si>
    <t>core</t>
  </si>
  <si>
    <t>sourceId</t>
  </si>
  <si>
    <t>system</t>
  </si>
  <si>
    <t>abilities</t>
  </si>
  <si>
    <t>str</t>
  </si>
  <si>
    <t>value</t>
  </si>
  <si>
    <t>proficient</t>
  </si>
  <si>
    <t>bonuses</t>
  </si>
  <si>
    <t>{"check"</t>
  </si>
  <si>
    <t>save</t>
  </si>
  <si>
    <t>0}</t>
  </si>
  <si>
    <t>mod</t>
  </si>
  <si>
    <t>dex</t>
  </si>
  <si>
    <t>3}</t>
  </si>
  <si>
    <t>con</t>
  </si>
  <si>
    <t>int</t>
  </si>
  <si>
    <t>wis</t>
  </si>
  <si>
    <t>cha</t>
  </si>
  <si>
    <t>1</t>
  </si>
  <si>
    <t>attributes</t>
  </si>
  <si>
    <t>ac</t>
  </si>
  <si>
    <t>flat</t>
  </si>
  <si>
    <t>null</t>
  </si>
  <si>
    <t>calc</t>
  </si>
  <si>
    <t>default</t>
  </si>
  <si>
    <t>formula</t>
  </si>
  <si>
    <t>min</t>
  </si>
  <si>
    <t>null}</t>
  </si>
  <si>
    <t>hp</t>
  </si>
  <si>
    <t>max</t>
  </si>
  <si>
    <t>temp</t>
  </si>
  <si>
    <t>tempmax</t>
  </si>
  <si>
    <t>init</t>
  </si>
  <si>
    <t>0</t>
  </si>
  <si>
    <t>bonus</t>
  </si>
  <si>
    <t>total</t>
  </si>
  <si>
    <t>prof</t>
  </si>
  <si>
    <t>movement</t>
  </si>
  <si>
    <t>burrow</t>
  </si>
  <si>
    <t>climb</t>
  </si>
  <si>
    <t>fly</t>
  </si>
  <si>
    <t>swim</t>
  </si>
  <si>
    <t>walk</t>
  </si>
  <si>
    <t>units</t>
  </si>
  <si>
    <t>ft</t>
  </si>
  <si>
    <t>hover</t>
  </si>
  <si>
    <t>false}</t>
  </si>
  <si>
    <t>attunement</t>
  </si>
  <si>
    <t>senses</t>
  </si>
  <si>
    <t>darkvision</t>
  </si>
  <si>
    <t>60</t>
  </si>
  <si>
    <t>blindsight</t>
  </si>
  <si>
    <t>tremorsense</t>
  </si>
  <si>
    <t>truesight</t>
  </si>
  <si>
    <t>special</t>
  </si>
  <si>
    <t>}</t>
  </si>
  <si>
    <t>spellcasting</t>
  </si>
  <si>
    <t>2</t>
  </si>
  <si>
    <t>spelldc</t>
  </si>
  <si>
    <t>8</t>
  </si>
  <si>
    <t>details</t>
  </si>
  <si>
    <t>biography</t>
  </si>
  <si>
    <t>&lt;div class=\rd__b  rd__b--1\"&gt;&lt;p&gt;An iron cobra is exactly what its name implies</t>
  </si>
  <si>
    <t xml:space="preserve"> a metal snake with a poisonous bite. Gnomes load this clockwork with alchemical concoctions that can paralyze creatures and cloud the mind.&lt;/p&gt;&lt;/div&gt;&lt;div class=\"rd__b  rd__b--0\"&gt;&lt;h1 class=\"rd__h rd__h--0\" data-title-index=\"8113\"&gt; &lt;span class=\"entry-title-inner\"&gt;Clockworks&lt;/span&gt;&lt;span class=\"ve-flex-vh-center\"&gt;&lt;span class=\"rd__h-toggle ml-2 clickable\" data-rd-h-toggle-button=\"true\"&gt;[â€“]&lt;/span&gt;&lt;/span&gt;&lt;/h1&gt; &lt;p&gt;Gnomes' tinkering with magic and mechanical devices has produced many failed Constructs but also has resulted in genuine advances</t>
  </si>
  <si>
    <t xml:space="preserve"> such as clockworks. The methods used to craft clockworks have been shared between gnome communities over many generations.&lt;/p&gt;&lt;div class=\"rd__b  rd__b--1\"&gt;&lt;h2 class=\"rd__h rd__h--1\" data-title-index=\"8114\"&gt; &lt;span class=\"entry-title-inner\"&gt;Individual Designs&lt;/span&gt;&lt;span class=\"ve-flex-vh-center\"&gt;&lt;span class=\"rd__h-toggle ml-2 clickable\" data-rd-h-toggle-button=\"true\"&gt;[â€“]&lt;/span&gt;&lt;/span&gt;&lt;/h2&gt; &lt;p&gt;Gnome artisans prefer unique clockworks over perfectly functioning ones that copy too much from other creations. A clockwork can be customized by adding one of the following enhancements and one potential malfunction to its stat block. You can select randomly or choose a pair of modifications that fit the temperament of the clockwork's builder.&lt;/p&gt;&lt;table class=\"w-100 rd__table  stripe-odd-table\"&gt;&lt;caption&gt;Clockwork Enhancements&lt;/caption&gt;&lt;thead&gt;&lt;tr&gt;&lt;th class=\"col-1 text-center\" data-rd-isroller=\"true\"&gt;[[/r d10]]&lt;/th&gt;&lt;th class=\"col-11\" data-rd-isroller=\"false\"&gt;Enhancement&lt;/th&gt;&lt;/tr&gt;&lt;/thead&gt;&lt;tbody&gt;&lt;tr&gt;&lt;td class=\"col-1 text-center\" data-roll-min=\"1\" data-roll-max=\"1\"&gt;1&lt;/td&gt;&lt;td class=\"col-11\"&gt;&lt;b&gt;Camouflaged.&lt;/b&gt; The clockwork gains proficiency in @skill[Stealth] if it lacks that proficiency. While motionless</t>
  </si>
  <si>
    <t xml:space="preserve"> it is indistinguishable from a stopped machine.&lt;/td&gt;&lt;/tr&gt;&lt;tr&gt;&lt;td class=\"col-1 text-center\" data-roll-min=\"2\" data-roll-max=\"2\"&gt;2&lt;/td&gt;&lt;td class=\"col-11\"&gt;&lt;b&gt;Sensors.&lt;/b&gt; The range of the clockwork's @sense[darkvision] increases by 60 feet</t>
  </si>
  <si>
    <t xml:space="preserve"> and it gains proficiency in @skill[Perception] if it lacks that proficiency.&lt;/td&gt;&lt;/tr&gt;&lt;tr&gt;&lt;td class=\"col-1 text-center\" data-roll-min=\"3\" data-roll-max=\"3\"&gt;3&lt;/td&gt;&lt;td class=\"col-11\"&gt;&lt;b&gt;Fortified.&lt;/b&gt; The clockwork's AC increases by 2.&lt;/td&gt;&lt;/tr&gt;&lt;tr&gt;&lt;td class=\"col-1 text-center\" data-roll-min=\"4\" data-roll-max=\"4\"&gt;4&lt;/td&gt;&lt;td class=\"col-11\"&gt;&lt;b&gt;Increased Speed.&lt;/b&gt; The clockwork's speed increases by 10 feet.&lt;/td&gt;&lt;/tr&gt;&lt;tr&gt;&lt;td class=\"col-1 text-center\" data-roll-min=\"5\" data-roll-max=\"5\"&gt;5&lt;/td&gt;&lt;td class=\"col-11\"&gt;&lt;b&gt;Reinforced Construction.&lt;/b&gt; The clockwork has resistance to force</t>
  </si>
  <si>
    <t xml:space="preserve"> lightning</t>
  </si>
  <si>
    <t xml:space="preserve"> and thunder damage.&lt;/td&gt;&lt;/tr&gt;&lt;tr&gt;&lt;td class=\"col-1 text-center\" data-roll-min=\"6\" data-roll-max=\"6\"&gt;6&lt;/td&gt;&lt;td class=\"col-11\"&gt;&lt;b&gt;Self-Repairing.&lt;/b&gt; If the clockwork starts its turn with fewer than half its hit points but at least 1 hit point</t>
  </si>
  <si>
    <t xml:space="preserve"> it regains 5 hit points. If it takes lightning damage</t>
  </si>
  <si>
    <t xml:space="preserve"> this ability doesn't function at the start of its next turn.&lt;/td&gt;&lt;/tr&gt;&lt;tr&gt;&lt;td class=\"col-1 text-center\" data-roll-min=\"7\" data-roll-max=\"7\"&gt;7&lt;/td&gt;&lt;td class=\"col-11\"&gt;&lt;b&gt;Sturdy Frame.&lt;/b&gt; The clockwork's hit point maximum increases by an amount equal to its number of Hit Dice.&lt;/td&gt;&lt;/tr&gt;&lt;tr&gt;&lt;td class=\"col-1 text-center\" data-roll-min=\"8\" data-roll-max=\"8\"&gt;8&lt;/td&gt;&lt;td class=\"col-11\"&gt;&lt;b&gt;Suction.&lt;/b&gt; The clockwork gains a climbing speed of 30 feet.&lt;/td&gt;&lt;/tr&gt;&lt;tr&gt;&lt;td class=\"col-1 text-center\" data-roll-min=\"9\" data-roll-max=\"9\"&gt;9&lt;/td&gt;&lt;td class=\"col-11\"&gt;&lt;b&gt;Vocal Resonator.&lt;/b&gt; The clockwork gains the ability to speak rudimentary Common or Gnomish.&lt;/td&gt;&lt;/tr&gt;&lt;tr&gt;&lt;td class=\"col-1 text-center\" data-roll-min=\"10\" data-roll-max=\"10\"&gt;10&lt;/td&gt;&lt;td class=\"col-11\"&gt;&lt;b&gt;Water Propulsion.&lt;/b&gt; The clockwork gains a swimming speed of 30 feet.&lt;/td&gt;&lt;/tr&gt;&lt;/tbody&gt;&lt;/table&gt;&lt;table class=\"w-100 rd__table  stripe-odd-table\"&gt;&lt;caption&gt;Clockwork Malfunctions&lt;/caption&gt;&lt;thead&gt;&lt;tr&gt;&lt;th class=\"col-1 text-center\" data-rd-isroller=\"true\"&gt;[[/r d8]]&lt;/th&gt;&lt;th class=\"col-11\" data-rd-isroller=\"false\"&gt;Malfunction&lt;/th&gt;&lt;/tr&gt;&lt;/thead&gt;&lt;tbody&gt;&lt;tr&gt;&lt;td class=\"col-1 text-center\" data-roll-min=\"1\" data-roll-max=\"1\"&gt;1&lt;/td&gt;&lt;td class=\"col-11\"&gt;&lt;b&gt;Faulty Sensors.&lt;/b&gt; Roll a [[/r d6]] at the start of the clock work's turn. If you roll a 1</t>
  </si>
  <si>
    <t xml:space="preserve"> the clockwork is @condition[blinded] until the end of its turn.&lt;/td&gt;&lt;/tr&gt;&lt;tr&gt;&lt;td class=\"col-1 text-center\" data-roll-min=\"2\" data-roll-max=\"2\"&gt;2&lt;/td&gt;&lt;td class=\"col-11\"&gt;&lt;b&gt;Flawed Targeting.&lt;/b&gt; Roll a [[/r d6]] at the start of the clock work's turn. If you roll a 1</t>
  </si>
  <si>
    <t xml:space="preserve"> the clockwork makes attack rolls with disadvantage until the end of its turn.&lt;/td&gt;&lt;/tr&gt;&lt;tr&gt;&lt;td class=\"col-1 text-center\" data-roll-min=\"3\" data-roll-max=\"3\"&gt;3&lt;/td&gt;&lt;td class=\"col-11\"&gt;&lt;b&gt;Ground Fault.&lt;/b&gt; The clockwork has vulnerability to lightning damage.&lt;/td&gt;&lt;/tr&gt;&lt;tr&gt;&lt;td class=\"col-1 text-center\" data-roll-min=\"4\" data-roll-max=\"4\"&gt;4&lt;/td&gt;&lt;td class=\"col-11\"&gt;&lt;b&gt;Imprinting Loop.&lt;/b&gt; Roll a [[/r d6]] at the start of the clock work's turn. If you roll a 1</t>
  </si>
  <si>
    <t xml:space="preserve"> the clockwork mistakes one creature it can see within 30 feet for its creator. The clockwork won't willingly harm that creature for 1 minute or until that creature attacks or dam ages it.&lt;/td&gt;&lt;/tr&gt;&lt;tr&gt;&lt;td class=\"col-1 text-center\" data-roll-min=\"5\" data-roll-max=\"5\"&gt;5&lt;/td&gt;&lt;td class=\"col-11\"&gt;&lt;b&gt;Limited Steering.&lt;/b&gt; The clockwork must move in a straight line. It can turn up to 90 degrees before moving and again at the midpoint of its movement. It can rotate freely if it doesn't use any of its speeds on its turn.&lt;/td&gt;&lt;/tr&gt;&lt;tr&gt;&lt;td class=\"col-1 text-center\" data-roll-min=\"6\" data-roll-max=\"6\"&gt;6&lt;/td&gt;&lt;td class=\"col-11\"&gt;&lt;b&gt;Overactive Sense of Self-Preservation.&lt;/b&gt; If the clock work has half its hit points or fewer at the start of its turn in combat</t>
  </si>
  <si>
    <t xml:space="preserve"> roll a [[/r d6]]. If you roll a 1</t>
  </si>
  <si>
    <t xml:space="preserve"> it retreats from combat if possible. It otherwise keeps fighting.&lt;/td&gt;&lt;/tr&gt;&lt;tr&gt;&lt;td class=\"col-1 text-center\" data-roll-min=\"7\" data-roll-max=\"7\"&gt;7&lt;/td&gt;&lt;td class=\"col-11\"&gt;&lt;b&gt;Overheats.&lt;/b&gt; Roll a [[/r d6]] at the start of the clockwork's turn. If you roll a 1</t>
  </si>
  <si>
    <t xml:space="preserve"> the clockwork is @condition[incapacitated] until the end of its turn.&lt;/td&gt;&lt;/tr&gt;&lt;tr&gt;&lt;td class=\"col-1 text-center\" data-roll-min=\"8\" data-roll-max=\"8\"&gt;8&lt;/td&gt;&lt;td class=\"col-11\"&gt;&lt;b&gt;Rusty Gears.&lt;/b&gt; The clockwork has disadvantage on initiative rolls</t>
  </si>
  <si>
    <t xml:space="preserve"> and its speed decreases by 10 feet.&lt;/td&gt;&lt;/tr&gt;&lt;/tbody&gt;&lt;/table&gt;&lt;/div&gt;&lt;/div&gt;"</t>
  </si>
  <si>
    <t>public</t>
  </si>
  <si>
    <t>alignment</t>
  </si>
  <si>
    <t>unaligned</t>
  </si>
  <si>
    <t>race</t>
  </si>
  <si>
    <t>construct</t>
  </si>
  <si>
    <t>subtype</t>
  </si>
  <si>
    <t>swarm</t>
  </si>
  <si>
    <t>custom</t>
  </si>
  <si>
    <t>environment</t>
  </si>
  <si>
    <t>Forest, Grassland, Hill, Mountain</t>
  </si>
  <si>
    <t>cr</t>
  </si>
  <si>
    <t>4</t>
  </si>
  <si>
    <t>spellLevel</t>
  </si>
  <si>
    <t>xp</t>
  </si>
  <si>
    <t>1100}</t>
  </si>
  <si>
    <t>class</t>
  </si>
  <si>
    <t>{}</t>
  </si>
  <si>
    <t>traits</t>
  </si>
  <si>
    <t>size</t>
  </si>
  <si>
    <t>med</t>
  </si>
  <si>
    <t>di</t>
  </si>
  <si>
    <t>["poison"]</t>
  </si>
  <si>
    <t>bypasses</t>
  </si>
  <si>
    <t>[]</t>
  </si>
  <si>
    <t>dr</t>
  </si>
  <si>
    <t>["slashing"]</t>
  </si>
  <si>
    <t>["mgc"]</t>
  </si>
  <si>
    <t>dv</t>
  </si>
  <si>
    <t>ci</t>
  </si>
  <si>
    <t>["charmed"</t>
  </si>
  <si>
    <t>exhaustion</t>
  </si>
  <si>
    <t>frightened</t>
  </si>
  <si>
    <t>paralyzed</t>
  </si>
  <si>
    <t>petrified</t>
  </si>
  <si>
    <t>poisoned]</t>
  </si>
  <si>
    <t>languages</t>
  </si>
  <si>
    <t>understands one language of its creator but can't speak}}</t>
  </si>
  <si>
    <t>currency</t>
  </si>
  <si>
    <t>pp</t>
  </si>
  <si>
    <t>gp</t>
  </si>
  <si>
    <t>ep</t>
  </si>
  <si>
    <t>sp</t>
  </si>
  <si>
    <t>cp</t>
  </si>
  <si>
    <t>skills</t>
  </si>
  <si>
    <t>acr</t>
  </si>
  <si>
    <t>ability</t>
  </si>
  <si>
    <t>passive</t>
  </si>
  <si>
    <t>}}</t>
  </si>
  <si>
    <t>ani</t>
  </si>
  <si>
    <t>arc</t>
  </si>
  <si>
    <t>ath</t>
  </si>
  <si>
    <t>dec</t>
  </si>
  <si>
    <t>his</t>
  </si>
  <si>
    <t>ins</t>
  </si>
  <si>
    <t>itm</t>
  </si>
  <si>
    <t>inv</t>
  </si>
  <si>
    <t>nat</t>
  </si>
  <si>
    <t>prc</t>
  </si>
  <si>
    <t>prf</t>
  </si>
  <si>
    <t>per</t>
  </si>
  <si>
    <t>rel</t>
  </si>
  <si>
    <t>slt</t>
  </si>
  <si>
    <t>ste</t>
  </si>
  <si>
    <t>sur</t>
  </si>
  <si>
    <t>cus_0</t>
  </si>
  <si>
    <t>cus_1</t>
  </si>
  <si>
    <t>cus_2</t>
  </si>
  <si>
    <t>cus_3</t>
  </si>
  <si>
    <t>cus_4</t>
  </si>
  <si>
    <t>cus_5</t>
  </si>
  <si>
    <t>spells</t>
  </si>
  <si>
    <t>spell1</t>
  </si>
  <si>
    <t>override</t>
  </si>
  <si>
    <t>spell2</t>
  </si>
  <si>
    <t>spell3</t>
  </si>
  <si>
    <t>spell4</t>
  </si>
  <si>
    <t>spell5</t>
  </si>
  <si>
    <t>spell6</t>
  </si>
  <si>
    <t>spell7</t>
  </si>
  <si>
    <t>spell8</t>
  </si>
  <si>
    <t>spell9</t>
  </si>
  <si>
    <t>pact</t>
  </si>
  <si>
    <t>spell0</t>
  </si>
  <si>
    <t>0}}</t>
  </si>
  <si>
    <t>mwak</t>
  </si>
  <si>
    <t>attack</t>
  </si>
  <si>
    <t>damage</t>
  </si>
  <si>
    <t>rwak</t>
  </si>
  <si>
    <t>msak</t>
  </si>
  <si>
    <t>rsak</t>
  </si>
  <si>
    <t>check</t>
  </si>
  <si>
    <t>skill</t>
  </si>
  <si>
    <t>spell</t>
  </si>
  <si>
    <t>dc</t>
  </si>
  <si>
    <t>resources</t>
  </si>
  <si>
    <t>legact</t>
  </si>
  <si>
    <t>legres</t>
  </si>
  <si>
    <t>lair</t>
  </si>
  <si>
    <t>false</t>
  </si>
  <si>
    <t>initiative</t>
  </si>
  <si>
    <t>20}}}</t>
  </si>
  <si>
    <t>prototypeToken</t>
  </si>
  <si>
    <t>displayName</t>
  </si>
  <si>
    <t>20</t>
  </si>
  <si>
    <t>disposition</t>
  </si>
  <si>
    <t>displayBars</t>
  </si>
  <si>
    <t>bar1</t>
  </si>
  <si>
    <t>attribute</t>
  </si>
  <si>
    <t>attributes.hp}</t>
  </si>
  <si>
    <t>bar2</t>
  </si>
  <si>
    <t>name</t>
  </si>
  <si>
    <t>texture</t>
  </si>
  <si>
    <t>src</t>
  </si>
  <si>
    <t>https://assets.forge-vtt.com/642216f5f95102b0475fb545/assets/srd5e/img/MPMM/Clockwork%20Iron%20Cobra.png</t>
  </si>
  <si>
    <t>scaleX</t>
  </si>
  <si>
    <t>scaleY</t>
  </si>
  <si>
    <t>offsetX</t>
  </si>
  <si>
    <t>offsetY</t>
  </si>
  <si>
    <t>rotation</t>
  </si>
  <si>
    <t>tint</t>
  </si>
  <si>
    <t>width</t>
  </si>
  <si>
    <t>height</t>
  </si>
  <si>
    <t>actorLink</t>
  </si>
  <si>
    <t>randomImg</t>
  </si>
  <si>
    <t>sight</t>
  </si>
  <si>
    <t>enabled</t>
  </si>
  <si>
    <t>range</t>
  </si>
  <si>
    <t>brightness</t>
  </si>
  <si>
    <t>angle</t>
  </si>
  <si>
    <t>visionMode</t>
  </si>
  <si>
    <t>basic</t>
  </si>
  <si>
    <t>color</t>
  </si>
  <si>
    <t>attenuation</t>
  </si>
  <si>
    <t>0.1</t>
  </si>
  <si>
    <t>saturation</t>
  </si>
  <si>
    <t>contrast</t>
  </si>
  <si>
    <t>lockRotation</t>
  </si>
  <si>
    <t>alpha</t>
  </si>
  <si>
    <t>light</t>
  </si>
  <si>
    <t>0.5</t>
  </si>
  <si>
    <t>bright</t>
  </si>
  <si>
    <t>coloration</t>
  </si>
  <si>
    <t>dim</t>
  </si>
  <si>
    <t>luminosity</t>
  </si>
  <si>
    <t>shadows</t>
  </si>
  <si>
    <t>animation</t>
  </si>
  <si>
    <t>{"type"</t>
  </si>
  <si>
    <t>speed</t>
  </si>
  <si>
    <t>intensity</t>
  </si>
  <si>
    <t>reverse</t>
  </si>
  <si>
    <t>darkness</t>
  </si>
  <si>
    <t>1}}</t>
  </si>
  <si>
    <t>detectionModes</t>
  </si>
  <si>
    <t>[]}</t>
  </si>
  <si>
    <t>items</t>
  </si>
  <si>
    <t>[</t>
  </si>
  <si>
    <t>Bite</t>
  </si>
  <si>
    <t>_id</t>
  </si>
  <si>
    <t>62ZOmTfTGcmDbwjr</t>
  </si>
  <si>
    <t>icons/creatures/abilities/mouth-teeth-long-red.webp</t>
  </si>
  <si>
    <t>weapon</t>
  </si>
  <si>
    <t>description</t>
  </si>
  <si>
    <t>&lt;div  class=\rd__b  rd__b--3\"&gt;&lt;p&gt;&lt;i&gt;Melee Weapon Attack</t>
  </si>
  <si>
    <t>&lt;/i&gt; [[/r 1d20+5]] (+5) to hit</t>
  </si>
  <si>
    <t xml:space="preserve"> reach 5 ft.</t>
  </si>
  <si>
    <t xml:space="preserve"> one target. &lt;i&gt;Hit</t>
  </si>
  <si>
    <t>&lt;/i&gt; 6 ([[/r 1d6 + 3]]) piercing damage. If the target is a creature</t>
  </si>
  <si>
    <t xml:space="preserve"> it must succeed on a DC &lt;span class=\"rd__dc\"&gt;13&lt;/span&gt; Constitution saving throw or suffer one random effect (roll a [[/r d6]])</t>
  </si>
  <si>
    <t>&lt;/p&gt;&lt;div class=\"rd__spc-inline-post\"&gt;&lt;/div&gt;&lt;ul class=\"rd__list\"&gt;&lt;li class=\"rd__li \"&gt;1â€“2</t>
  </si>
  <si>
    <t xml:space="preserve"> Confusion&lt;/li&gt;&lt;li class=\"rd__li \"&gt;3â€“4</t>
  </si>
  <si>
    <t xml:space="preserve"> Paralysis&lt;/li&gt;&lt;li class=\"rd__li \"&gt;5â€“6</t>
  </si>
  <si>
    <t xml:space="preserve"> Poison&lt;/li&gt;&lt;/ul&gt;&lt;/div&gt;"</t>
  </si>
  <si>
    <t>chat</t>
  </si>
  <si>
    <t>unidentified</t>
  </si>
  <si>
    <t>quantity</t>
  </si>
  <si>
    <t>weight</t>
  </si>
  <si>
    <t>price</t>
  </si>
  <si>
    <t>equipped</t>
  </si>
  <si>
    <t>rarity</t>
  </si>
  <si>
    <t>identified</t>
  </si>
  <si>
    <t>true</t>
  </si>
  <si>
    <t>activation</t>
  </si>
  <si>
    <t>action</t>
  </si>
  <si>
    <t>cost</t>
  </si>
  <si>
    <t>condition</t>
  </si>
  <si>
    <t>duration</t>
  </si>
  <si>
    <t>target</t>
  </si>
  <si>
    <t>5</t>
  </si>
  <si>
    <t>long</t>
  </si>
  <si>
    <t>ft}</t>
  </si>
  <si>
    <t>uses</t>
  </si>
  <si>
    <t>recovery</t>
  </si>
  <si>
    <t>consume</t>
  </si>
  <si>
    <t>amount</t>
  </si>
  <si>
    <t>actionType</t>
  </si>
  <si>
    <t>attackBonus</t>
  </si>
  <si>
    <t>chatFlavor</t>
  </si>
  <si>
    <t>critical</t>
  </si>
  <si>
    <t>threshold</t>
  </si>
  <si>
    <t>parts</t>
  </si>
  <si>
    <t>[["1d6  + @mod"</t>
  </si>
  <si>
    <t>piercing]]</t>
  </si>
  <si>
    <t>versatile</t>
  </si>
  <si>
    <t>scaling</t>
  </si>
  <si>
    <t>dex}</t>
  </si>
  <si>
    <t>armor</t>
  </si>
  <si>
    <t>10}</t>
  </si>
  <si>
    <t>dt</t>
  </si>
  <si>
    <t>conditions</t>
  </si>
  <si>
    <t>weaponType</t>
  </si>
  <si>
    <t>natural</t>
  </si>
  <si>
    <t>baseItem</t>
  </si>
  <si>
    <t>properties</t>
  </si>
  <si>
    <t>recharge</t>
  </si>
  <si>
    <t>charged</t>
  </si>
  <si>
    <t>false}}</t>
  </si>
  <si>
    <t>monsterAction</t>
  </si>
  <si>
    <t>bite_clockwork%20iron%20cobra_mpmm_mpmm}}</t>
  </si>
  <si>
    <t>effects</t>
  </si>
  <si>
    <t>folder</t>
  </si>
  <si>
    <t>sort</t>
  </si>
  <si>
    <t>ownership</t>
  </si>
  <si>
    <t>_stats</t>
  </si>
  <si>
    <t>systemId</t>
  </si>
  <si>
    <t>systemVersion</t>
  </si>
  <si>
    <t>coreVersion</t>
  </si>
  <si>
    <t>createdTime</t>
  </si>
  <si>
    <t>modifiedTime</t>
  </si>
  <si>
    <t>lastModifiedBy</t>
  </si>
  <si>
    <t>Smokescreen</t>
  </si>
  <si>
    <t>Pounce (X Souls)</t>
  </si>
  <si>
    <t>The Predator vanishes, travelling through the psiche of it's foes. X creatures it can see take Xd8 psychic damage and must succeed an Intelligence save. On a success the creature takes Xd8 necrotic damage, on a failure the creature is frightened and the Predator may reappear adjacent to it.</t>
  </si>
  <si>
    <t>Corrupt (2 Souls)</t>
  </si>
  <si>
    <t>A creature the Sin touches must succeed on a Charisma save or have its current and maximum hitpoints halved as its body withers into that of a wretch. On a success the creature is poisoned for 1 minute. It can attempt the save again as an Action.</t>
  </si>
  <si>
    <t>While the prey has souls it can cast Cloudkill centered on itself. It is immune to the spell, which deals necrotic damage instead of poison.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</si>
</sst>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
      <b/>
      <sz val="16"/>
      <color theme="1"/>
      <name val="Arial"/>
      <family val="2"/>
    </font>
    <font>
      <b/>
      <sz val="14"/>
      <color theme="0"/>
      <name val="Calibri"/>
      <family val="2"/>
      <scheme val="minor"/>
    </font>
    <font>
      <b/>
      <sz val="10"/>
      <color theme="1"/>
      <name val="Arial"/>
      <family val="2"/>
    </font>
    <font>
      <b/>
      <sz val="12"/>
      <color theme="1"/>
      <name val="Calibri"/>
      <family val="2"/>
      <scheme val="minor"/>
    </font>
    <font>
      <sz val="11"/>
      <color theme="0"/>
      <name val="Calibri"/>
      <family val="2"/>
      <scheme val="minor"/>
    </font>
    <font>
      <b/>
      <sz val="16"/>
      <color theme="0"/>
      <name val="Calibri"/>
      <family val="2"/>
      <scheme val="minor"/>
    </font>
    <font>
      <b/>
      <sz val="24"/>
      <color theme="5" tint="-0.249977111117893"/>
      <name val="Calibri"/>
      <family val="2"/>
      <scheme val="minor"/>
    </font>
    <font>
      <b/>
      <sz val="11"/>
      <color theme="5" tint="-0.249977111117893"/>
      <name val="Calibri"/>
      <family val="2"/>
      <scheme val="minor"/>
    </font>
    <font>
      <b/>
      <sz val="14"/>
      <color theme="5" tint="-0.499984740745262"/>
      <name val="Calibri"/>
      <family val="2"/>
      <scheme val="minor"/>
    </font>
    <font>
      <sz val="11"/>
      <color theme="5" tint="-0.249977111117893"/>
      <name val="Calibri"/>
      <family val="2"/>
      <scheme val="minor"/>
    </font>
    <font>
      <b/>
      <sz val="10"/>
      <color theme="1"/>
      <name val="Arial"/>
      <family val="2"/>
    </font>
    <font>
      <b/>
      <sz val="14"/>
      <color theme="1"/>
      <name val="Calibri"/>
      <family val="2"/>
      <scheme val="minor"/>
    </font>
    <font>
      <sz val="14"/>
      <color theme="1"/>
      <name val="Calibri"/>
      <family val="2"/>
      <scheme val="minor"/>
    </font>
    <font>
      <b/>
      <sz val="12"/>
      <color theme="5" tint="-0.499984740745262"/>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bgColor indexed="64"/>
      </patternFill>
    </fill>
    <fill>
      <patternFill patternType="solid">
        <fgColor theme="4" tint="-0.249977111117893"/>
        <bgColor indexed="64"/>
      </patternFill>
    </fill>
    <fill>
      <patternFill patternType="solid">
        <fgColor rgb="FFFFF5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06">
    <xf numFmtId="0" fontId="0" fillId="0" borderId="0" xfId="0"/>
    <xf numFmtId="0" fontId="0" fillId="0" borderId="0" xfId="0" applyAlignment="1">
      <alignment horizontal="center" vertical="center"/>
    </xf>
    <xf numFmtId="0" fontId="0" fillId="2" borderId="0" xfId="0" applyFill="1"/>
    <xf numFmtId="0" fontId="0" fillId="4" borderId="0" xfId="0" applyFill="1"/>
    <xf numFmtId="0" fontId="2" fillId="4" borderId="0" xfId="0" applyFont="1" applyFill="1"/>
    <xf numFmtId="0" fontId="0" fillId="2" borderId="2" xfId="0" quotePrefix="1" applyFill="1" applyBorder="1" applyAlignment="1">
      <alignment horizontal="center" vertical="center"/>
    </xf>
    <xf numFmtId="0" fontId="0" fillId="2" borderId="3" xfId="0" applyFill="1" applyBorder="1" applyAlignment="1">
      <alignment horizontal="center" vertical="center"/>
    </xf>
    <xf numFmtId="0" fontId="0" fillId="2" borderId="3" xfId="0" quotePrefix="1"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center" wrapText="1"/>
    </xf>
    <xf numFmtId="0" fontId="6" fillId="5" borderId="5" xfId="0" applyFont="1" applyFill="1" applyBorder="1" applyAlignment="1">
      <alignment horizontal="left" vertical="center"/>
    </xf>
    <xf numFmtId="0" fontId="3" fillId="0" borderId="0" xfId="0" applyFont="1" applyAlignment="1">
      <alignment horizontal="left" vertical="center" wrapText="1"/>
    </xf>
    <xf numFmtId="0" fontId="6" fillId="0" borderId="5" xfId="0" applyFont="1" applyBorder="1" applyAlignment="1">
      <alignment horizontal="left" vertical="center"/>
    </xf>
    <xf numFmtId="0" fontId="8" fillId="0" borderId="0" xfId="0" applyFont="1" applyAlignment="1">
      <alignment horizontal="justify" vertical="center"/>
    </xf>
    <xf numFmtId="0" fontId="11" fillId="3" borderId="1" xfId="0" applyFont="1" applyFill="1" applyBorder="1"/>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0" fillId="7" borderId="7" xfId="0" applyFill="1" applyBorder="1" applyAlignment="1">
      <alignment horizontal="left" vertical="center" wrapText="1"/>
    </xf>
    <xf numFmtId="0" fontId="0" fillId="8" borderId="7" xfId="0" applyFill="1" applyBorder="1" applyAlignment="1">
      <alignment horizontal="left" vertical="center" wrapText="1"/>
    </xf>
    <xf numFmtId="0" fontId="3" fillId="9" borderId="9" xfId="0" applyFont="1" applyFill="1" applyBorder="1" applyAlignment="1">
      <alignment horizontal="center" vertical="center" wrapText="1"/>
    </xf>
    <xf numFmtId="0" fontId="9" fillId="8" borderId="10" xfId="0" applyFont="1" applyFill="1" applyBorder="1" applyAlignment="1">
      <alignment horizontal="left" vertical="center"/>
    </xf>
    <xf numFmtId="0" fontId="0" fillId="8" borderId="10" xfId="0" applyFill="1" applyBorder="1" applyAlignment="1">
      <alignment horizontal="left" vertical="center"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2" fillId="2" borderId="0" xfId="0" applyFont="1" applyFill="1"/>
    <xf numFmtId="0" fontId="2" fillId="2" borderId="14" xfId="0" applyFont="1" applyFill="1" applyBorder="1" applyAlignment="1">
      <alignment horizontal="center" vertical="center"/>
    </xf>
    <xf numFmtId="0" fontId="14" fillId="2" borderId="13" xfId="0" applyFont="1" applyFill="1" applyBorder="1"/>
    <xf numFmtId="0" fontId="16" fillId="0" borderId="0" xfId="0" applyFont="1" applyAlignment="1">
      <alignment horizontal="justify" vertical="center"/>
    </xf>
    <xf numFmtId="0" fontId="17" fillId="0" borderId="0" xfId="0" applyFont="1" applyAlignment="1">
      <alignment horizontal="center" vertical="center"/>
    </xf>
    <xf numFmtId="0" fontId="0" fillId="8" borderId="0" xfId="0" applyFill="1" applyAlignment="1">
      <alignment horizontal="center" vertical="center"/>
    </xf>
    <xf numFmtId="0" fontId="1" fillId="9" borderId="0" xfId="0" applyFont="1" applyFill="1" applyAlignment="1">
      <alignment horizontal="center" vertical="center"/>
    </xf>
    <xf numFmtId="0" fontId="1" fillId="9" borderId="0" xfId="0" applyFont="1" applyFill="1" applyAlignment="1">
      <alignment vertical="center"/>
    </xf>
    <xf numFmtId="0" fontId="9" fillId="8" borderId="0" xfId="0" applyFont="1" applyFill="1" applyAlignment="1">
      <alignment vertical="center"/>
    </xf>
    <xf numFmtId="0" fontId="9" fillId="7" borderId="6" xfId="0" applyFont="1" applyFill="1" applyBorder="1" applyAlignment="1">
      <alignment vertical="center"/>
    </xf>
    <xf numFmtId="0" fontId="9" fillId="8" borderId="6" xfId="0" applyFont="1" applyFill="1" applyBorder="1" applyAlignment="1">
      <alignment vertical="center"/>
    </xf>
    <xf numFmtId="0" fontId="0" fillId="0" borderId="0" xfId="0" applyAlignment="1">
      <alignment horizontal="center" vertical="center" wrapText="1"/>
    </xf>
    <xf numFmtId="0" fontId="0" fillId="0" borderId="0" xfId="0" applyAlignment="1">
      <alignment wrapText="1"/>
    </xf>
    <xf numFmtId="0" fontId="2" fillId="0" borderId="0" xfId="0" applyFont="1" applyAlignment="1">
      <alignment horizontal="left" vertical="center"/>
    </xf>
    <xf numFmtId="0" fontId="0" fillId="2" borderId="0" xfId="0" applyFill="1" applyAlignment="1">
      <alignment horizontal="left"/>
    </xf>
    <xf numFmtId="0" fontId="18" fillId="0" borderId="0" xfId="0" applyFont="1" applyAlignment="1">
      <alignment horizontal="left" vertical="center"/>
    </xf>
    <xf numFmtId="0" fontId="2" fillId="0" borderId="0" xfId="0" applyFont="1" applyAlignment="1">
      <alignment horizontal="left" vertical="center" wrapText="1"/>
    </xf>
    <xf numFmtId="0" fontId="1" fillId="9" borderId="9" xfId="0" applyFont="1" applyFill="1" applyBorder="1" applyAlignment="1">
      <alignment vertical="center"/>
    </xf>
    <xf numFmtId="0" fontId="0" fillId="8" borderId="0" xfId="0" applyFill="1" applyAlignment="1">
      <alignment horizontal="center" vertical="center" wrapText="1"/>
    </xf>
    <xf numFmtId="0" fontId="19" fillId="2" borderId="14" xfId="0" applyFont="1" applyFill="1" applyBorder="1" applyAlignment="1">
      <alignment horizontal="distributed"/>
    </xf>
    <xf numFmtId="0" fontId="19" fillId="2" borderId="13" xfId="0" applyFont="1" applyFill="1" applyBorder="1"/>
    <xf numFmtId="0" fontId="19" fillId="2" borderId="1" xfId="0" applyFont="1" applyFill="1" applyBorder="1" applyAlignment="1">
      <alignment horizontal="center" vertical="center"/>
    </xf>
    <xf numFmtId="0" fontId="0" fillId="7" borderId="7" xfId="0" applyFill="1" applyBorder="1" applyAlignment="1">
      <alignment horizontal="center" vertical="center" wrapText="1"/>
    </xf>
    <xf numFmtId="0" fontId="0" fillId="8" borderId="7" xfId="0" applyFill="1" applyBorder="1" applyAlignment="1">
      <alignment horizontal="center" vertical="center" wrapText="1"/>
    </xf>
    <xf numFmtId="0" fontId="0" fillId="0" borderId="0" xfId="0" applyAlignment="1">
      <alignment horizontal="left" vertical="center"/>
    </xf>
    <xf numFmtId="0" fontId="0" fillId="2" borderId="0" xfId="0" applyFill="1" applyAlignment="1">
      <alignment horizontal="center"/>
    </xf>
    <xf numFmtId="0" fontId="0" fillId="2" borderId="0" xfId="0" applyFill="1" applyAlignment="1">
      <alignment horizontal="left"/>
    </xf>
    <xf numFmtId="0" fontId="0" fillId="2" borderId="14" xfId="0" applyFill="1" applyBorder="1" applyAlignment="1">
      <alignment horizontal="left"/>
    </xf>
    <xf numFmtId="0" fontId="0" fillId="2" borderId="13" xfId="0" applyFill="1" applyBorder="1" applyAlignment="1">
      <alignment horizontal="left" wrapText="1"/>
    </xf>
    <xf numFmtId="0" fontId="0" fillId="2" borderId="0" xfId="0" applyFill="1" applyAlignment="1">
      <alignment horizontal="left" wrapText="1"/>
    </xf>
    <xf numFmtId="0" fontId="0" fillId="2" borderId="14" xfId="0" applyFill="1" applyBorder="1" applyAlignment="1">
      <alignment horizontal="left" wrapText="1"/>
    </xf>
    <xf numFmtId="0" fontId="0" fillId="2" borderId="13" xfId="0" applyFill="1" applyBorder="1" applyAlignment="1">
      <alignment horizontal="left"/>
    </xf>
    <xf numFmtId="0" fontId="19" fillId="11" borderId="0" xfId="0" quotePrefix="1" applyFont="1" applyFill="1" applyAlignment="1">
      <alignment horizontal="center"/>
    </xf>
    <xf numFmtId="0" fontId="19" fillId="11" borderId="14" xfId="0" quotePrefix="1" applyFont="1" applyFill="1" applyBorder="1" applyAlignment="1">
      <alignment horizontal="center"/>
    </xf>
    <xf numFmtId="0" fontId="0" fillId="2" borderId="13" xfId="0" quotePrefix="1" applyFill="1" applyBorder="1" applyAlignment="1">
      <alignment horizontal="left" vertical="top" wrapText="1"/>
    </xf>
    <xf numFmtId="0" fontId="0" fillId="2" borderId="0" xfId="0" quotePrefix="1" applyFill="1" applyAlignment="1">
      <alignment horizontal="left" vertical="top" wrapText="1"/>
    </xf>
    <xf numFmtId="0" fontId="0" fillId="2" borderId="14" xfId="0" quotePrefix="1" applyFill="1" applyBorder="1" applyAlignment="1">
      <alignment horizontal="left" vertical="top" wrapText="1"/>
    </xf>
    <xf numFmtId="0" fontId="0" fillId="2" borderId="9" xfId="0" quotePrefix="1" applyFill="1" applyBorder="1" applyAlignment="1">
      <alignment horizontal="left" vertical="top" wrapText="1"/>
    </xf>
    <xf numFmtId="0" fontId="0" fillId="2" borderId="15" xfId="0" quotePrefix="1" applyFill="1" applyBorder="1" applyAlignment="1">
      <alignment horizontal="left" vertical="top" wrapText="1"/>
    </xf>
    <xf numFmtId="0" fontId="19" fillId="2" borderId="13" xfId="0" applyFont="1" applyFill="1" applyBorder="1" applyAlignment="1">
      <alignment horizontal="left"/>
    </xf>
    <xf numFmtId="0" fontId="19" fillId="2" borderId="0" xfId="0" applyFont="1" applyFill="1" applyAlignment="1">
      <alignment horizontal="left"/>
    </xf>
    <xf numFmtId="0" fontId="19" fillId="2" borderId="14" xfId="0" applyFont="1" applyFill="1" applyBorder="1" applyAlignment="1">
      <alignment horizontal="left"/>
    </xf>
    <xf numFmtId="0" fontId="0" fillId="2" borderId="0" xfId="0" applyFill="1" applyAlignment="1">
      <alignment horizontal="left" vertical="top" wrapText="1"/>
    </xf>
    <xf numFmtId="0" fontId="0" fillId="2" borderId="14" xfId="0" applyFill="1" applyBorder="1" applyAlignment="1">
      <alignment horizontal="left" vertical="top" wrapText="1"/>
    </xf>
    <xf numFmtId="0" fontId="19" fillId="2" borderId="13" xfId="0" quotePrefix="1" applyFont="1" applyFill="1" applyBorder="1" applyAlignment="1">
      <alignment horizontal="center"/>
    </xf>
    <xf numFmtId="0" fontId="19" fillId="2" borderId="0" xfId="0" quotePrefix="1" applyFont="1" applyFill="1" applyAlignment="1">
      <alignment horizontal="center"/>
    </xf>
    <xf numFmtId="0" fontId="19" fillId="2" borderId="14" xfId="0" quotePrefix="1" applyFont="1" applyFill="1" applyBorder="1" applyAlignment="1">
      <alignment horizontal="center"/>
    </xf>
    <xf numFmtId="0" fontId="15" fillId="2" borderId="13" xfId="0" applyFont="1" applyFill="1" applyBorder="1" applyAlignment="1">
      <alignment horizontal="left" vertical="top" wrapText="1"/>
    </xf>
    <xf numFmtId="0" fontId="15" fillId="2" borderId="0" xfId="0" applyFont="1" applyFill="1" applyAlignment="1">
      <alignment horizontal="left" vertical="top" wrapText="1"/>
    </xf>
    <xf numFmtId="0" fontId="15" fillId="2" borderId="14" xfId="0" applyFont="1" applyFill="1" applyBorder="1" applyAlignment="1">
      <alignment horizontal="left" vertical="top" wrapText="1"/>
    </xf>
    <xf numFmtId="0" fontId="0" fillId="2" borderId="10" xfId="0" applyFill="1" applyBorder="1" applyAlignment="1">
      <alignment horizontal="distributed" indent="3"/>
    </xf>
    <xf numFmtId="0" fontId="0" fillId="2" borderId="12" xfId="0" applyFill="1" applyBorder="1" applyAlignment="1">
      <alignment horizontal="distributed" indent="3"/>
    </xf>
    <xf numFmtId="0" fontId="0" fillId="2" borderId="13" xfId="0" applyFill="1" applyBorder="1" applyAlignment="1">
      <alignment horizontal="left" vertical="top" wrapText="1"/>
    </xf>
    <xf numFmtId="0" fontId="5" fillId="4" borderId="1" xfId="0" applyFont="1" applyFill="1" applyBorder="1" applyAlignment="1">
      <alignment horizontal="center"/>
    </xf>
    <xf numFmtId="0" fontId="19" fillId="2" borderId="13" xfId="0" applyFont="1" applyFill="1" applyBorder="1" applyAlignment="1">
      <alignment horizontal="left" vertical="center"/>
    </xf>
    <xf numFmtId="0" fontId="0" fillId="2" borderId="0" xfId="0" quotePrefix="1" applyFill="1" applyAlignment="1">
      <alignment horizontal="left" wrapText="1"/>
    </xf>
    <xf numFmtId="0" fontId="0" fillId="2" borderId="14" xfId="0" quotePrefix="1" applyFill="1" applyBorder="1" applyAlignment="1">
      <alignment horizontal="left" wrapText="1"/>
    </xf>
    <xf numFmtId="0" fontId="0" fillId="2" borderId="9" xfId="0" quotePrefix="1" applyFill="1" applyBorder="1" applyAlignment="1">
      <alignment horizontal="left"/>
    </xf>
    <xf numFmtId="0" fontId="0" fillId="2" borderId="15" xfId="0" quotePrefix="1" applyFill="1" applyBorder="1" applyAlignment="1">
      <alignment horizontal="left"/>
    </xf>
    <xf numFmtId="0" fontId="12" fillId="2" borderId="11"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0" xfId="0" applyFont="1" applyFill="1" applyAlignment="1">
      <alignment horizontal="center" vertical="center"/>
    </xf>
    <xf numFmtId="0" fontId="12" fillId="2" borderId="14" xfId="0" applyFont="1" applyFill="1" applyBorder="1" applyAlignment="1">
      <alignment horizontal="center" vertical="center"/>
    </xf>
    <xf numFmtId="0" fontId="7" fillId="10" borderId="6" xfId="0" applyFont="1" applyFill="1" applyBorder="1" applyAlignment="1">
      <alignment horizontal="left"/>
    </xf>
    <xf numFmtId="0" fontId="7" fillId="10" borderId="7" xfId="0" applyFont="1" applyFill="1" applyBorder="1" applyAlignment="1">
      <alignment horizontal="left"/>
    </xf>
    <xf numFmtId="0" fontId="7" fillId="10" borderId="8" xfId="0" applyFont="1" applyFill="1" applyBorder="1" applyAlignment="1">
      <alignment horizontal="left"/>
    </xf>
    <xf numFmtId="0" fontId="10" fillId="6" borderId="6" xfId="0" applyFont="1" applyFill="1" applyBorder="1" applyAlignment="1">
      <alignment horizontal="left"/>
    </xf>
    <xf numFmtId="0" fontId="10" fillId="6" borderId="7" xfId="0" applyFont="1" applyFill="1" applyBorder="1" applyAlignment="1">
      <alignment horizontal="left"/>
    </xf>
    <xf numFmtId="0" fontId="10" fillId="6" borderId="8" xfId="0" applyFont="1" applyFill="1" applyBorder="1" applyAlignment="1">
      <alignment horizontal="left"/>
    </xf>
    <xf numFmtId="0" fontId="13" fillId="2" borderId="13" xfId="0" applyFont="1" applyFill="1" applyBorder="1" applyAlignment="1">
      <alignment horizontal="center"/>
    </xf>
    <xf numFmtId="0" fontId="13" fillId="2" borderId="0" xfId="0" applyFont="1" applyFill="1" applyAlignment="1">
      <alignment horizontal="center"/>
    </xf>
    <xf numFmtId="0" fontId="13" fillId="2" borderId="14" xfId="0" applyFont="1" applyFill="1" applyBorder="1" applyAlignment="1">
      <alignment horizontal="center"/>
    </xf>
    <xf numFmtId="0" fontId="19" fillId="2" borderId="13" xfId="0" applyFont="1" applyFill="1" applyBorder="1" applyAlignment="1">
      <alignment horizontal="left" vertical="top" wrapText="1"/>
    </xf>
    <xf numFmtId="0" fontId="19" fillId="2" borderId="0" xfId="0" applyFont="1" applyFill="1" applyAlignment="1">
      <alignment horizontal="left" vertical="top" wrapText="1"/>
    </xf>
    <xf numFmtId="0" fontId="19" fillId="2" borderId="14" xfId="0" applyFont="1" applyFill="1" applyBorder="1" applyAlignment="1">
      <alignment horizontal="left" vertical="top" wrapText="1"/>
    </xf>
  </cellXfs>
  <cellStyles count="1">
    <cellStyle name="Normal" xfId="0" builtinId="0"/>
  </cellStyles>
  <dxfs count="48">
    <dxf>
      <font>
        <color theme="9" tint="-0.499984740745262"/>
      </font>
      <fill>
        <patternFill>
          <bgColor theme="9" tint="0.59996337778862885"/>
        </patternFill>
      </fill>
    </dxf>
    <dxf>
      <font>
        <color rgb="FF00B050"/>
      </font>
      <fill>
        <patternFill>
          <bgColor theme="9" tint="0.39994506668294322"/>
        </patternFill>
      </fill>
    </dxf>
    <dxf>
      <fill>
        <patternFill>
          <bgColor theme="9" tint="0.79998168889431442"/>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al="none"/>
        <vertAlign val="baseline"/>
        <sz val="14"/>
        <color theme="1"/>
        <name val="Calibri"/>
        <scheme val="minor"/>
      </font>
      <fill>
        <patternFill patternType="none">
          <fgColor indexed="64"/>
          <bgColor auto="1"/>
        </patternFill>
      </fill>
      <alignment horizontal="left" vertical="center" textRotation="0" indent="0" justifyLastLine="0" shrinkToFit="0" readingOrder="0"/>
    </dxf>
    <dxf>
      <alignment horizontal="left" vertical="center" textRotation="0" wrapText="1" indent="0" justifyLastLine="0" shrinkToFit="0" readingOrder="0"/>
    </dxf>
    <dxf>
      <font>
        <b/>
        <strike val="0"/>
        <outline val="0"/>
        <shadow val="0"/>
        <u val="none"/>
        <vertAlign val="baseline"/>
        <sz val="16"/>
        <color theme="1"/>
      </font>
      <alignment horizontal="left" vertical="center" textRotation="0" wrapText="1" indent="0" justifyLastLine="0" shrinkToFit="0" readingOrder="0"/>
    </dxf>
    <dxf>
      <font>
        <b/>
        <i val="0"/>
        <strike val="0"/>
        <condense val="0"/>
        <extend val="0"/>
        <outline val="0"/>
        <shadow val="0"/>
        <u val="none"/>
        <vertAlign val="baseline"/>
        <sz val="16"/>
        <color theme="1"/>
        <name val="Arial"/>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alignment horizontal="left" vertical="center" textRotation="0" indent="0" justifyLastLine="0" shrinkToFit="0" readingOrder="0"/>
    </dxf>
    <dxf>
      <fill>
        <patternFill patternType="solid">
          <fgColor indexed="64"/>
          <bgColor theme="5" tint="0.59999389629810485"/>
        </patternFill>
      </fill>
      <alignment horizontal="center" vertical="center" textRotation="0" wrapText="1"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border diagonalUp="0" diagonalDown="0">
        <left/>
        <right/>
        <top style="thin">
          <color auto="1"/>
        </top>
        <bottom style="thin">
          <color auto="1"/>
        </bottom>
        <vertical/>
        <horizontal style="thin">
          <color auto="1"/>
        </horizontal>
      </border>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59999389629810485"/>
        </patternFill>
      </fill>
      <alignment horizontal="center" vertical="center" textRotation="0" wrapText="0" indent="0" justifyLastLine="0" shrinkToFit="0" readingOrder="0"/>
    </dxf>
    <dxf>
      <fill>
        <patternFill patternType="solid">
          <fgColor indexed="64"/>
          <bgColor theme="5" tint="0.79998168889431442"/>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5" tint="0.79998168889431442"/>
        </patternFill>
      </fill>
      <alignment horizontal="general" vertical="center"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fill>
        <patternFill patternType="solid">
          <fgColor indexed="64"/>
          <bgColor theme="5"/>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6"/>
        <color theme="1"/>
        <name val="Calibri"/>
        <scheme val="minor"/>
      </font>
      <fill>
        <patternFill patternType="solid">
          <fgColor indexed="64"/>
          <bgColor theme="5"/>
        </patternFill>
      </fill>
      <alignment horizontal="center"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0"/>
        <color theme="1"/>
        <name val="Arial"/>
        <scheme val="none"/>
      </font>
      <alignment horizontal="justify"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4"/>
        <color theme="1"/>
        <name val="Calibri"/>
        <scheme val="minor"/>
      </font>
      <alignment horizontal="center" vertical="center" textRotation="0" wrapText="0" indent="0" justifyLastLine="0" shrinkToFit="0" readingOrder="0"/>
    </dxf>
  </dxfs>
  <tableStyles count="0" defaultTableStyle="TableStyleMedium2" defaultPivotStyle="PivotStyleLight16"/>
  <colors>
    <mruColors>
      <color rgb="FFFFF5D9"/>
      <color rgb="FFFFF3D3"/>
      <color rgb="FFFFF6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M6" totalsRowShown="0" headerRowDxfId="47" dataDxfId="46">
  <autoFilter ref="A1:M6" xr:uid="{00000000-0009-0000-0100-000001000000}"/>
  <sortState xmlns:xlrd2="http://schemas.microsoft.com/office/spreadsheetml/2017/richdata2" ref="A2:F6">
    <sortCondition ref="A1:A6"/>
  </sortState>
  <tableColumns count="13">
    <tableColumn id="1" xr3:uid="{00000000-0010-0000-0000-000001000000}" name="Layer" dataDxfId="45"/>
    <tableColumn id="2" xr3:uid="{00000000-0010-0000-0000-000002000000}" name="Spells" dataDxfId="44"/>
    <tableColumn id="13" xr3:uid="{00000000-0010-0000-0000-00000D000000}" name="Resistance" dataDxfId="43"/>
    <tableColumn id="10" xr3:uid="{00000000-0010-0000-0000-00000A000000}" name="Main Weapon (10)" dataDxfId="42"/>
    <tableColumn id="11" xr3:uid="{00000000-0010-0000-0000-00000B000000}" name="Damage" dataDxfId="41"/>
    <tableColumn id="12" xr3:uid="{00000000-0010-0000-0000-00000C000000}" name="Range" dataDxfId="40"/>
    <tableColumn id="14" xr3:uid="{00000000-0010-0000-0000-00000E000000}" name="Second Weapon (14)" dataDxfId="39"/>
    <tableColumn id="15" xr3:uid="{00000000-0010-0000-0000-00000F000000}" name="Damage2" dataDxfId="38"/>
    <tableColumn id="16" xr3:uid="{00000000-0010-0000-0000-000010000000}" name="Range2" dataDxfId="37"/>
    <tableColumn id="17" xr3:uid="{00000000-0010-0000-0000-000011000000}" name="Extra Magic (10)" dataDxfId="36"/>
    <tableColumn id="18" xr3:uid="{00000000-0010-0000-0000-000012000000}" name="Lore (11)" dataDxfId="35"/>
    <tableColumn id="3" xr3:uid="{00000000-0010-0000-0000-000003000000}" name="Trait (12)" dataDxfId="34"/>
    <tableColumn id="4" xr3:uid="{00000000-0010-0000-0000-000004000000}" name="Trait Description (13)"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owers" displayName="Powers" ref="A14:B18" totalsRowShown="0" headerRowDxfId="32" headerRowBorderDxfId="31" tableBorderDxfId="30" totalsRowBorderDxfId="29">
  <autoFilter ref="A14:B18" xr:uid="{00000000-0009-0000-0100-000003000000}"/>
  <tableColumns count="2">
    <tableColumn id="1" xr3:uid="{00000000-0010-0000-0100-000001000000}" name="Unearthly Power"/>
    <tableColumn id="2" xr3:uid="{00000000-0010-0000-0100-000002000000}" name="Descriptio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BloodRank" displayName="BloodRank" ref="A8:K12" totalsRowShown="0" headerRowDxfId="28" headerRowBorderDxfId="27" tableBorderDxfId="26" totalsRowBorderDxfId="25">
  <autoFilter ref="A8:K12" xr:uid="{00000000-0009-0000-0100-000004000000}"/>
  <tableColumns count="11">
    <tableColumn id="1" xr3:uid="{00000000-0010-0000-0200-000001000000}" name="Blood Rank" dataDxfId="24"/>
    <tableColumn id="2" xr3:uid="{00000000-0010-0000-0200-000002000000}" name="CR Bonus" dataDxfId="23"/>
    <tableColumn id="3" xr3:uid="{00000000-0010-0000-0200-000003000000}" name="Beef (3)" dataDxfId="22"/>
    <tableColumn id="4" xr3:uid="{00000000-0010-0000-0200-000004000000}" name="Speed (4)" dataDxfId="21"/>
    <tableColumn id="5" xr3:uid="{00000000-0010-0000-0200-000005000000}" name="Tank (5)" dataDxfId="20"/>
    <tableColumn id="6" xr3:uid="{00000000-0010-0000-0200-000006000000}" name="Smarts (6)" dataDxfId="19"/>
    <tableColumn id="7" xr3:uid="{00000000-0010-0000-0200-000007000000}" name="Lorewise (7)" dataDxfId="18"/>
    <tableColumn id="8" xr3:uid="{00000000-0010-0000-0200-000008000000}" name="Mistery  (8)" dataDxfId="17"/>
    <tableColumn id="9" xr3:uid="{00000000-0010-0000-0200-000009000000}" name="Magic (9)" dataDxfId="16"/>
    <tableColumn id="10" xr3:uid="{00000000-0010-0000-0200-00000A000000}" name="Trait (10)" dataDxfId="15"/>
    <tableColumn id="11" xr3:uid="{00000000-0010-0000-0200-00000B000000}" name=" Trait Description (11)" dataDxfId="14"/>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hemeSpells" displayName="ThemeSpells" ref="A1:C16" totalsRowShown="0" dataDxfId="13">
  <autoFilter ref="A1:C16" xr:uid="{00000000-0009-0000-0100-000002000000}"/>
  <tableColumns count="3">
    <tableColumn id="1" xr3:uid="{00000000-0010-0000-0300-000001000000}" name="God" dataDxfId="12"/>
    <tableColumn id="2" xr3:uid="{00000000-0010-0000-0300-000002000000}" name="Spell Name" dataDxfId="11"/>
    <tableColumn id="3" xr3:uid="{00000000-0010-0000-0300-000003000000}" name="Description"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SoulRend" displayName="SoulRend" ref="A1:E21" totalsRowShown="0" headerRowDxfId="9" dataDxfId="8">
  <autoFilter ref="A1:E21" xr:uid="{00000000-0009-0000-0100-000006000000}"/>
  <tableColumns count="5">
    <tableColumn id="5" xr3:uid="{00000000-0010-0000-0400-000005000000}" name="Column1" dataDxfId="7"/>
    <tableColumn id="1" xr3:uid="{00000000-0010-0000-0400-000001000000}" name="Rank" dataDxfId="6"/>
    <tableColumn id="2" xr3:uid="{00000000-0010-0000-0400-000002000000}" name="Layer/Rank" dataDxfId="5">
      <calculatedColumnFormula>CONCATENATE(SoulRend[[#This Row],[Column1]],"/",SoulRend[[#This Row],[Rank]])</calculatedColumnFormula>
    </tableColumn>
    <tableColumn id="3" xr3:uid="{00000000-0010-0000-0400-000003000000}" name="Name" dataDxfId="4"/>
    <tableColumn id="4" xr3:uid="{00000000-0010-0000-0400-000004000000}" name="Description" dataDxfId="3"/>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5"/>
  <sheetViews>
    <sheetView topLeftCell="A45" zoomScaleNormal="100" workbookViewId="0">
      <selection activeCell="F50" sqref="F50"/>
    </sheetView>
  </sheetViews>
  <sheetFormatPr defaultRowHeight="15" x14ac:dyDescent="0.25"/>
  <cols>
    <col min="1" max="3" width="24.28515625" customWidth="1"/>
    <col min="4" max="4" width="4.5703125" customWidth="1"/>
    <col min="5" max="5" width="9.140625" customWidth="1"/>
    <col min="6" max="7" width="15.7109375" customWidth="1"/>
    <col min="8" max="8" width="12.28515625" bestFit="1" customWidth="1"/>
  </cols>
  <sheetData>
    <row r="1" spans="1:10" ht="21" x14ac:dyDescent="0.35">
      <c r="A1" s="88" t="str">
        <f>PROPER(CONCATENATE(I1," of ",F1))</f>
        <v>Predator Of Kyeh</v>
      </c>
      <c r="B1" s="89"/>
      <c r="C1" s="90"/>
      <c r="D1" s="3"/>
      <c r="E1" s="19" t="s">
        <v>103</v>
      </c>
      <c r="F1" s="82" t="s">
        <v>110</v>
      </c>
      <c r="G1" s="82"/>
      <c r="H1" s="19" t="s">
        <v>16</v>
      </c>
      <c r="I1" s="82" t="s">
        <v>113</v>
      </c>
      <c r="J1" s="82"/>
    </row>
    <row r="2" spans="1:10" ht="23.25" customHeight="1" x14ac:dyDescent="0.3">
      <c r="A2" s="91"/>
      <c r="B2" s="92"/>
      <c r="C2" s="93"/>
      <c r="D2" s="4"/>
    </row>
    <row r="3" spans="1:10" x14ac:dyDescent="0.25">
      <c r="A3" s="100" t="str">
        <f>CONCATENATE(IF(VLOOKUP(I1,BloodRank[#All],5,FALSE)=TRUE,"Medium","Large")," Fiend, Chaotic Evil")</f>
        <v>Large Fiend, Chaotic Evil</v>
      </c>
      <c r="B3" s="101"/>
      <c r="C3" s="102"/>
      <c r="D3" s="3"/>
    </row>
    <row r="4" spans="1:10" ht="18.75" x14ac:dyDescent="0.3">
      <c r="A4" s="31" t="s">
        <v>17</v>
      </c>
      <c r="B4" s="29">
        <f>ROUNDUP(15+B6,0)</f>
        <v>20</v>
      </c>
      <c r="C4" s="30" t="s">
        <v>171</v>
      </c>
      <c r="D4" s="3"/>
      <c r="E4" s="94" t="s">
        <v>37</v>
      </c>
      <c r="F4" s="95"/>
      <c r="G4" s="96"/>
    </row>
    <row r="5" spans="1:10" ht="18.75" x14ac:dyDescent="0.3">
      <c r="A5" s="31" t="s">
        <v>18</v>
      </c>
      <c r="B5" s="29">
        <f>ROUNDUP((B64+B24)*(IF(LEFT(A3,(LEN(A3)-20))="Medium",4.5,5.5)+(ROUNDDOWN(C10,0))),0)</f>
        <v>128</v>
      </c>
      <c r="C5" s="30" t="str">
        <f>CONCATENATE("",(B64+B24),IF(LEFT(A3,(LEN(A3)-20))="Medium","d8","d10")," + ",(B64+B24)*ROUNDDOWN(C10,0),"")</f>
        <v>17d10 + 34</v>
      </c>
      <c r="D5" s="3"/>
      <c r="E5" s="97" t="s">
        <v>146</v>
      </c>
      <c r="F5" s="98"/>
      <c r="G5" s="99"/>
    </row>
    <row r="6" spans="1:10" ht="15.75" x14ac:dyDescent="0.25">
      <c r="A6" s="49" t="s">
        <v>53</v>
      </c>
      <c r="B6" s="43">
        <f>IF(B24&lt;=4,2,IF(B24&lt;=8,3,IF(B24&lt;=12,4,IF(B24&lt;=16,5,IF(B24&lt;=20,6,IF(B24&lt;=24,7,8))))))</f>
        <v>5</v>
      </c>
      <c r="C6" s="48" t="str">
        <f>CONCATENATE("Souls  ",ROUNDDOWN(2.5*(IF($B$24&gt;18,4,IF($B$24&gt;15,3,IF($B$24&gt;10,2,1)))),0)," (",IF($B$24&gt;18,4,IF($B$24&gt;15,3,IF($B$24&gt;10,2,1))),"d4) ")</f>
        <v xml:space="preserve">Souls  5 (2d4) </v>
      </c>
      <c r="D6" s="3"/>
      <c r="E6" s="97" t="s">
        <v>147</v>
      </c>
      <c r="F6" s="98"/>
      <c r="G6" s="99"/>
    </row>
    <row r="7" spans="1:10" ht="15.75" x14ac:dyDescent="0.25">
      <c r="A7" s="49" t="s">
        <v>21</v>
      </c>
      <c r="B7" s="86" t="str">
        <f>CONCATENATE(IF(VLOOKUP($I$1,BloodRank[#All],4,FALSE)=TRUE,(10*B6)+30,30)," ft walking and ",IF(F1="Umeo","swim",IF(F1="Muriat","Burrow",IF(F1="Assula","Climb","Fly"))))</f>
        <v>30 ft walking and Fly</v>
      </c>
      <c r="C7" s="87"/>
      <c r="D7" s="3"/>
    </row>
    <row r="8" spans="1:10" ht="15.75" x14ac:dyDescent="0.25">
      <c r="A8" s="50" t="s">
        <v>22</v>
      </c>
      <c r="B8" s="50" t="s">
        <v>23</v>
      </c>
      <c r="C8" s="50" t="s">
        <v>24</v>
      </c>
      <c r="D8" s="3"/>
    </row>
    <row r="9" spans="1:10" x14ac:dyDescent="0.25">
      <c r="A9" s="5">
        <f>IF(VLOOKUP(I1,BloodRank[#All],3,FALSE)=TRUE,(12+(2*B6)),12+B64)</f>
        <v>22</v>
      </c>
      <c r="B9" s="5">
        <f>IF(VLOOKUP($I$1,BloodRank[#All],4,FALSE)=TRUE,(12+(2*B6)),12)</f>
        <v>12</v>
      </c>
      <c r="C9" s="5">
        <f>IF(VLOOKUP($I1,BloodRank[#All],5,FALSE)=TRUE,(12+(2*B6)),12+B64)</f>
        <v>15</v>
      </c>
      <c r="D9" s="3"/>
      <c r="G9" t="s">
        <v>174</v>
      </c>
      <c r="H9" t="s">
        <v>175</v>
      </c>
    </row>
    <row r="10" spans="1:10" x14ac:dyDescent="0.25">
      <c r="A10" s="6">
        <f>ROUNDDOWN(((A9-10)/2),0)</f>
        <v>6</v>
      </c>
      <c r="B10" s="6">
        <f t="shared" ref="B10:C10" si="0">ROUNDDOWN(((B9-10)/2),0)</f>
        <v>1</v>
      </c>
      <c r="C10" s="6">
        <f t="shared" si="0"/>
        <v>2</v>
      </c>
      <c r="D10" s="3"/>
      <c r="G10" t="s">
        <v>173</v>
      </c>
      <c r="H10" t="s">
        <v>175</v>
      </c>
    </row>
    <row r="11" spans="1:10" ht="15.75" x14ac:dyDescent="0.25">
      <c r="A11" s="50" t="s">
        <v>25</v>
      </c>
      <c r="B11" s="50" t="s">
        <v>26</v>
      </c>
      <c r="C11" s="50" t="s">
        <v>27</v>
      </c>
      <c r="D11" s="3"/>
      <c r="G11" t="s">
        <v>172</v>
      </c>
      <c r="H11" t="s">
        <v>175</v>
      </c>
    </row>
    <row r="12" spans="1:10" x14ac:dyDescent="0.25">
      <c r="A12" s="7">
        <f>IF(VLOOKUP($I$1,BloodRank[#All],6,FALSE)=TRUE,(12+(2*B6)),8+(2*B64))</f>
        <v>22</v>
      </c>
      <c r="B12" s="7">
        <f>IF(VLOOKUP($I$1,BloodRank[#All],7,FALSE)=TRUE,(12+(2*B6)),12+B64)</f>
        <v>22</v>
      </c>
      <c r="C12" s="7">
        <f>IF(VLOOKUP($I$1,BloodRank[#All],8,FALSE)=TRUE,(12+(2*B6)),10+B64)</f>
        <v>13</v>
      </c>
      <c r="D12" s="3"/>
      <c r="G12" t="s">
        <v>153</v>
      </c>
      <c r="H12" t="s">
        <v>152</v>
      </c>
    </row>
    <row r="13" spans="1:10" x14ac:dyDescent="0.25">
      <c r="A13" s="8">
        <f>ROUNDDOWN(((A12-10)/2),0)</f>
        <v>6</v>
      </c>
      <c r="B13" s="8">
        <f t="shared" ref="B13:C13" si="1">ROUNDDOWN(((B12-10)/2),0)</f>
        <v>6</v>
      </c>
      <c r="C13" s="8">
        <f t="shared" si="1"/>
        <v>1</v>
      </c>
      <c r="D13" s="3"/>
    </row>
    <row r="14" spans="1:10" x14ac:dyDescent="0.25">
      <c r="A14" s="83" t="s">
        <v>29</v>
      </c>
      <c r="B14" s="79" t="str">
        <f>CONCATENATE(IF(AND(VLOOKUP($I$1,BloodRank[#All],9,FALSE)=TRUE,VLOOKUP($I$1,BloodRank[#All],8,FALSE)=TRUE)=TRUE,CONCATENATE("WIS (+",$B$13+$B$6+$B$6,") "),""),IF(VLOOKUP($I$1,BloodRank[#All],3,FALSE)=TRUE,CONCATENATE("STR (+",$A$10+$B$6,") "),""),IF(VLOOKUP($I$1,BloodRank[#All],4,FALSE)=TRUE,CONCATENATE("DEX (+",$B$10+$B$6,") "),""),IF(VLOOKUP($I$1,BloodRank[#All],5,FALSE)=TRUE,CONCATENATE("CON (+",$C$10+$B$6,") "),""),IF(VLOOKUP($I$1,BloodRank[#All],6,FALSE)=TRUE,CONCATENATE("INT (+",$A$13+$B$6,") "),""),IF(VLOOKUP($I$1,BloodRank[#All],7,FALSE)=TRUE,CONCATENATE("WIS (+",$B$13+$B$6,") "),""),IF(VLOOKUP($I$1,BloodRank[#All],8,FALSE)=TRUE,CONCATENATE("CHA (+",$C$13+$B$6,") "),""))</f>
        <v xml:space="preserve">STR (+11) INT (+11) WIS (+11) </v>
      </c>
      <c r="C14" s="80"/>
      <c r="D14" s="3"/>
    </row>
    <row r="15" spans="1:10" x14ac:dyDescent="0.25">
      <c r="A15" s="83"/>
      <c r="B15" s="55" t="str">
        <f>IF(VLOOKUP($I$1,BloodRank[#All],9,FALSE)=TRUE,"Vantagem em saves contra magia"," ")</f>
        <v xml:space="preserve"> </v>
      </c>
      <c r="C15" s="56"/>
      <c r="D15" s="3"/>
    </row>
    <row r="16" spans="1:10" x14ac:dyDescent="0.25">
      <c r="A16" s="83" t="s">
        <v>30</v>
      </c>
      <c r="B16" s="84" t="str">
        <f>CONCATENATE(IF(VLOOKUP($I$1,BloodRank[#All],3,FALSE)=TRUE,CONCATENATE("Athlethics (+",A10+(2*B6),"), "),CONCATENATE("Athlethics (+",A10+B6,"), ")),IF(VLOOKUP($I$1,BloodRank[#All],4,FALSE)=TRUE,CONCATENATE("Stealth/Acrobatics (+",B10+B6,"), "),""),IF(VLOOKUP($I$1,BloodRank[#All],5,FALSE)=TRUE,CONCATENATE("Nature/Survival (+",B13+B6,"), "),""),IF(VLOOKUP($I$1,BloodRank[#All],6,FALSE)=TRUE,CONCATENATE("History (+",A13+B6,"), "),""),IF(VLOOKUP($I$1,BloodRank[#All],7,FALSE)=TRUE,CONCATENATE("Insight (+",B13+B6,"), "),""),IF(VLOOKUP($I$1,BloodRank[#All],8,FALSE)=TRUE,CONCATENATE("Performance/Deception (+",C13+B6,"), "),""),IF(VLOOKUP($I$1,BloodRank[#All],9,FALSE)=TRUE,CONCATENATE("Arcana (+",A13+B6,") "),""))</f>
        <v xml:space="preserve">Athlethics (+16), History (+11), Insight (+11), </v>
      </c>
      <c r="C16" s="85"/>
      <c r="D16" s="3"/>
    </row>
    <row r="17" spans="1:4" x14ac:dyDescent="0.25">
      <c r="A17" s="83"/>
      <c r="B17" s="84"/>
      <c r="C17" s="85"/>
      <c r="D17" s="3"/>
    </row>
    <row r="18" spans="1:4" ht="15.75" x14ac:dyDescent="0.25">
      <c r="A18" s="49" t="s">
        <v>35</v>
      </c>
      <c r="B18" s="55" t="str">
        <f>CONCATENATE(VLOOKUP(F1,Tabela1[#All],3,FALSE),IF(VLOOKUP(I1,BloodRank[#All],5,FALSE)=TRUE,".",", Non-magical Weapons."))</f>
        <v>Psychic, Necrotic, Non-magical Weapons.</v>
      </c>
      <c r="C18" s="56"/>
      <c r="D18" s="3"/>
    </row>
    <row r="19" spans="1:4" ht="15.75" x14ac:dyDescent="0.25">
      <c r="A19" s="49" t="s">
        <v>34</v>
      </c>
      <c r="B19" s="55" t="str">
        <f>CONCATENATE(IF(VLOOKUP(I1,BloodRank[#All],5,FALSE)=TRUE,"Non-magical Weapons.", "-"))</f>
        <v>-</v>
      </c>
      <c r="C19" s="56"/>
      <c r="D19" s="3"/>
    </row>
    <row r="20" spans="1:4" ht="15.75" x14ac:dyDescent="0.25">
      <c r="A20" s="49" t="s">
        <v>123</v>
      </c>
      <c r="B20" s="55" t="str">
        <f>IF(F1="Umeo","Silvered Weapons",IF(F1="Kyeh","Radiant","-"))</f>
        <v>Radiant</v>
      </c>
      <c r="C20" s="56"/>
      <c r="D20" s="3"/>
    </row>
    <row r="21" spans="1:4" ht="15.75" x14ac:dyDescent="0.25">
      <c r="A21" s="49" t="s">
        <v>33</v>
      </c>
      <c r="B21" s="55" t="s">
        <v>38</v>
      </c>
      <c r="C21" s="56"/>
      <c r="D21" s="3"/>
    </row>
    <row r="22" spans="1:4" ht="15.75" x14ac:dyDescent="0.25">
      <c r="A22" s="49" t="s">
        <v>36</v>
      </c>
      <c r="B22" s="55" t="str">
        <f>CONCATENATE("Darkvision 120 ft, Passive Perception ",10+B13)</f>
        <v>Darkvision 120 ft, Passive Perception 16</v>
      </c>
      <c r="C22" s="56"/>
      <c r="D22" s="3"/>
    </row>
    <row r="23" spans="1:4" ht="15.75" x14ac:dyDescent="0.25">
      <c r="A23" s="49" t="s">
        <v>31</v>
      </c>
      <c r="B23" s="55" t="s">
        <v>32</v>
      </c>
      <c r="C23" s="56"/>
      <c r="D23" s="3"/>
    </row>
    <row r="24" spans="1:4" ht="15.75" x14ac:dyDescent="0.25">
      <c r="A24" s="49" t="s">
        <v>20</v>
      </c>
      <c r="B24" s="55">
        <f>ROUNDUP(5+3*B64,0)</f>
        <v>14</v>
      </c>
      <c r="C24" s="56"/>
      <c r="D24" s="3"/>
    </row>
    <row r="25" spans="1:4" ht="15.75" x14ac:dyDescent="0.25">
      <c r="A25" s="73" t="s">
        <v>54</v>
      </c>
      <c r="B25" s="74"/>
      <c r="C25" s="75"/>
      <c r="D25" s="3"/>
    </row>
    <row r="26" spans="1:4" ht="15.75" x14ac:dyDescent="0.25">
      <c r="A26" s="68" t="s">
        <v>115</v>
      </c>
      <c r="B26" s="69"/>
      <c r="C26" s="70"/>
      <c r="D26" s="3"/>
    </row>
    <row r="27" spans="1:4" ht="15" customHeight="1" x14ac:dyDescent="0.25">
      <c r="A27" s="81" t="str">
        <f>CONCATENATE("The Demon knows the location of any sentient creature with a soul within ",5*B24," ft.")</f>
        <v>The Demon knows the location of any sentient creature with a soul within 70 ft.</v>
      </c>
      <c r="B27" s="71"/>
      <c r="C27" s="72"/>
      <c r="D27" s="3"/>
    </row>
    <row r="28" spans="1:4" ht="15" customHeight="1" x14ac:dyDescent="0.25">
      <c r="A28" s="103" t="str">
        <f>VLOOKUP(F1,Tabela1[#All],12,FALSE)</f>
        <v>Darkstalker</v>
      </c>
      <c r="B28" s="104"/>
      <c r="C28" s="105"/>
      <c r="D28" s="3"/>
    </row>
    <row r="29" spans="1:4" ht="30" customHeight="1" x14ac:dyDescent="0.25">
      <c r="A29" s="81" t="str">
        <f>VLOOKUP(A28,Tabela1[[Trait (12)]:[Trait Description (13)]],2,FALSE)</f>
        <v>The Demon can teleport up to 30 feet between spaces in dim light or darkness as a bonus action. It can see in magical darkness.</v>
      </c>
      <c r="B29" s="71"/>
      <c r="C29" s="72"/>
      <c r="D29" s="3"/>
    </row>
    <row r="30" spans="1:4" ht="15" customHeight="1" x14ac:dyDescent="0.25">
      <c r="A30" s="103" t="str">
        <f>VLOOKUP(I1,BloodRank[#All],10,FALSE)</f>
        <v>Ambush</v>
      </c>
      <c r="B30" s="104"/>
      <c r="C30" s="105"/>
      <c r="D30" s="3"/>
    </row>
    <row r="31" spans="1:4" ht="30" customHeight="1" x14ac:dyDescent="0.25">
      <c r="A31" s="81" t="str">
        <f>VLOOKUP(A30,BloodRank[[Trait (10)]:[ Trait Description (11)]],2,FALSE)</f>
        <v>The Predator deals 4d6 sneak attack damage on a weapon attack once per turn if it has advantage on an attack or has no allies within 5 ft.</v>
      </c>
      <c r="B31" s="71"/>
      <c r="C31" s="72"/>
      <c r="D31" s="3"/>
    </row>
    <row r="32" spans="1:4" ht="15.75" x14ac:dyDescent="0.25">
      <c r="A32" s="68" t="s">
        <v>68</v>
      </c>
      <c r="B32" s="69"/>
      <c r="C32" s="70"/>
      <c r="D32" s="3"/>
    </row>
    <row r="33" spans="1:4" x14ac:dyDescent="0.25">
      <c r="A33" s="60" t="str">
        <f>CONCATENATE("The Demon's spellcasting modifier is ",IF(AND(A12&gt;B12,A12&gt;C12)=TRUE,CONCATENATE("Intelligence (Save DC ",8+B6+A13," Attack +",A13,")"),IF(B12&gt;C12,CONCATENATE("Wisdom (Save DC ",8+B6+B13," Attack +",B13+B6,")"),CONCATENATE("Charisma (Save DC ",8+B6+C13," Attack +",C13+B6,")"))))</f>
        <v>The Demon's spellcasting modifier is Wisdom (Save DC 19 Attack +11)</v>
      </c>
      <c r="B33" s="55"/>
      <c r="C33" s="56"/>
      <c r="D33" s="3"/>
    </row>
    <row r="34" spans="1:4" x14ac:dyDescent="0.25">
      <c r="A34" s="60" t="s">
        <v>69</v>
      </c>
      <c r="B34" s="55"/>
      <c r="C34" s="56"/>
      <c r="D34" s="3"/>
    </row>
    <row r="35" spans="1:4" ht="15" customHeight="1" x14ac:dyDescent="0.25">
      <c r="A35" s="76" t="str">
        <f>CONCATENATE(VLOOKUP(F1,Tabela1[#All],2,FALSE),IF(VLOOKUP(I1,BloodRank[#All],9,FALSE)=TRUE,VLOOKUP(F1,Tabela1[#All],10,FALSE),""))</f>
        <v>At Will: Darkness, Mind Spike</v>
      </c>
      <c r="B35" s="77"/>
      <c r="C35" s="78"/>
      <c r="D35" s="3"/>
    </row>
    <row r="36" spans="1:4" x14ac:dyDescent="0.25">
      <c r="A36" s="76"/>
      <c r="B36" s="77"/>
      <c r="C36" s="78"/>
      <c r="D36" s="3"/>
    </row>
    <row r="37" spans="1:4" x14ac:dyDescent="0.25">
      <c r="A37" s="76"/>
      <c r="B37" s="77"/>
      <c r="C37" s="78"/>
      <c r="D37" s="3"/>
    </row>
    <row r="38" spans="1:4" ht="15.75" x14ac:dyDescent="0.25">
      <c r="A38" s="73" t="s">
        <v>55</v>
      </c>
      <c r="B38" s="74"/>
      <c r="C38" s="75"/>
      <c r="D38" s="3"/>
    </row>
    <row r="39" spans="1:4" ht="15.75" x14ac:dyDescent="0.25">
      <c r="A39" s="68" t="s">
        <v>56</v>
      </c>
      <c r="B39" s="69"/>
      <c r="C39" s="70"/>
      <c r="D39" s="3"/>
    </row>
    <row r="40" spans="1:4" x14ac:dyDescent="0.25">
      <c r="A40" s="60" t="str">
        <f>CONCATENATE("The Demon makes ",IF( B24&lt;11,"two",IF(B24&lt;17,"three","four"))," attacks from its list of actions.")</f>
        <v>The Demon makes three attacks from its list of actions.</v>
      </c>
      <c r="B40" s="55"/>
      <c r="C40" s="56"/>
      <c r="D40" s="3"/>
    </row>
    <row r="41" spans="1:4" ht="15.75" x14ac:dyDescent="0.25">
      <c r="A41" s="68" t="str">
        <f>VLOOKUP(F1,Tabela1[#All],4,FALSE)</f>
        <v>Longbow</v>
      </c>
      <c r="B41" s="69"/>
      <c r="C41" s="70"/>
      <c r="D41" s="3"/>
    </row>
    <row r="42" spans="1:4" x14ac:dyDescent="0.25">
      <c r="A42" s="63" t="str">
        <f>CONCATENATE(IF(OR(A41="Blowgun",A41="Longbow",A41="Sling",A41="Net",A41="Shortbow",A41="Crossbow")=TRUE,CONCATENATE("Ranged Weapon attack +",C10+B6,"  to hit. "),CONCATENATE("Melee Weapon attack +",IF(A10&gt;B10,A10+B6,B10+B6)," to hit. ")),VLOOKUP(A41,Tabela1[[#All],[Main Weapon (10)]:[Damage]],2,FALSE)," damage. Range ",VLOOKUP(A41,Tabela1[[#All],[Main Weapon (10)]:[Range]],3,FALSE),".")</f>
        <v>Ranged Weapon attack +7  to hit. 1d8+1 damage. Range 150/600 ft.</v>
      </c>
      <c r="B42" s="64"/>
      <c r="C42" s="65"/>
      <c r="D42" s="3"/>
    </row>
    <row r="43" spans="1:4" x14ac:dyDescent="0.25">
      <c r="A43" s="63"/>
      <c r="B43" s="64"/>
      <c r="C43" s="65"/>
      <c r="D43" s="3"/>
    </row>
    <row r="44" spans="1:4" ht="15.75" x14ac:dyDescent="0.25">
      <c r="A44" s="68" t="str">
        <f>VLOOKUP(F1,Tabela1[#All],7,FALSE)</f>
        <v>Rapier</v>
      </c>
      <c r="B44" s="69"/>
      <c r="C44" s="70"/>
      <c r="D44" s="3"/>
    </row>
    <row r="45" spans="1:4" x14ac:dyDescent="0.25">
      <c r="A45" s="63" t="str">
        <f>CONCATENATE(IF(OR(A44="Blowgun",A44="Longbow",A44="Sling",A44="Net",A44="Shortbow",A44="Crossbow")=TRUE,CONCATENATE("Ranged Weapon attack +",C10+B6,"  to hit. "),CONCATENATE("Melee Weapon attack +",IF(A10&gt;B10,A10+B6,B10+B6)," to hit. ")),VLOOKUP(A44,Tabela1[[#All],[Second Weapon (14)]:[Damage2]],2,FALSE)," damage. Range ",VLOOKUP(A44,Tabela1[[#All],[Second Weapon (14)]:[Range2]],3,FALSE),".")</f>
        <v>Melee Weapon attack +11 to hit. 1d8+6 damage. Range 5 ft.</v>
      </c>
      <c r="B45" s="64"/>
      <c r="C45" s="65"/>
      <c r="D45" s="3"/>
    </row>
    <row r="46" spans="1:4" x14ac:dyDescent="0.25">
      <c r="A46" s="63"/>
      <c r="B46" s="64"/>
      <c r="C46" s="65"/>
      <c r="D46" s="3"/>
    </row>
    <row r="47" spans="1:4" ht="15.75" x14ac:dyDescent="0.25">
      <c r="A47" s="68" t="str">
        <f>IF(VLOOKUP(I1,BloodRank[#All],7,FALSE)=TRUE,"Lorewise","Wrath (Recharge 6)")</f>
        <v>Lorewise</v>
      </c>
      <c r="B47" s="69"/>
      <c r="C47" s="70"/>
      <c r="D47" s="3"/>
    </row>
    <row r="48" spans="1:4" x14ac:dyDescent="0.25">
      <c r="A48" s="57" t="str">
        <f>IF(A47="Lorewise","The Demon forces a creature it can see within 30 ft to make a CHA save. On a fail it gains 1 soul. On a sucess the creature takes 1d12 necrotic damage.",CONCATENATE("The Demon spends ",B6," souls. It gains resistance to all damage until it takes damage listed in its vulnerabilities or reaches lethe."))</f>
        <v>The Demon forces a creature it can see within 30 ft to make a CHA save. On a fail it gains 1 soul. On a sucess the creature takes 1d12 necrotic damage.</v>
      </c>
      <c r="B48" s="58"/>
      <c r="C48" s="59"/>
      <c r="D48" s="3"/>
    </row>
    <row r="49" spans="1:4" x14ac:dyDescent="0.25">
      <c r="A49" s="57"/>
      <c r="B49" s="58"/>
      <c r="C49" s="59"/>
      <c r="D49" s="3"/>
    </row>
    <row r="50" spans="1:4" ht="15.75" x14ac:dyDescent="0.25">
      <c r="A50" s="69" t="str">
        <f>CONCATENATE("Soulrend - ",VLOOKUP(CONCATENATE(F1,"/",I1),SoulRend[[Layer/Rank]:[Description]],2,FALSE))</f>
        <v>Soulrend - Pounce (X Souls)</v>
      </c>
      <c r="B50" s="69"/>
      <c r="C50" s="70"/>
      <c r="D50" s="3"/>
    </row>
    <row r="51" spans="1:4" ht="20.25" customHeight="1" x14ac:dyDescent="0.25">
      <c r="A51" s="71" t="str">
        <f>VLOOKUP(CONCATENATE(F1,"/",$I$1),SoulRend[[Layer/Rank]:[Description]],3,FALSE)</f>
        <v>The Predator vanishes, travelling through the psiche of it's foes. X creatures it can see take Xd8 psychic damage and must succeed an Intelligence save. On a success the creature takes Xd8 necrotic damage, on a failure the creature is frightened and the Predator may reappear adjacent to it.</v>
      </c>
      <c r="B51" s="71"/>
      <c r="C51" s="72"/>
      <c r="D51" s="3"/>
    </row>
    <row r="52" spans="1:4" ht="20.25" customHeight="1" x14ac:dyDescent="0.25">
      <c r="A52" s="71"/>
      <c r="B52" s="71"/>
      <c r="C52" s="72"/>
      <c r="D52" s="3"/>
    </row>
    <row r="53" spans="1:4" ht="20.25" customHeight="1" x14ac:dyDescent="0.25">
      <c r="A53" s="71"/>
      <c r="B53" s="71"/>
      <c r="C53" s="72"/>
      <c r="D53" s="3"/>
    </row>
    <row r="54" spans="1:4" ht="15.75" x14ac:dyDescent="0.25">
      <c r="A54" s="61" t="str">
        <f>IF(VLOOKUP(I1,BloodRank[#All],4,FALSE)=TRUE,"--------------------- Bonus Actions ----------------------","")</f>
        <v/>
      </c>
      <c r="B54" s="61"/>
      <c r="C54" s="62"/>
      <c r="D54" s="3"/>
    </row>
    <row r="55" spans="1:4" ht="15.75" x14ac:dyDescent="0.25">
      <c r="A55" s="68" t="s">
        <v>143</v>
      </c>
      <c r="B55" s="69"/>
      <c r="C55" s="70"/>
      <c r="D55" s="3"/>
    </row>
    <row r="56" spans="1:4" x14ac:dyDescent="0.25">
      <c r="A56" s="57" t="s">
        <v>116</v>
      </c>
      <c r="B56" s="58"/>
      <c r="C56" s="59"/>
      <c r="D56" s="3"/>
    </row>
    <row r="57" spans="1:4" x14ac:dyDescent="0.25">
      <c r="A57" s="57"/>
      <c r="B57" s="58"/>
      <c r="C57" s="59"/>
      <c r="D57" s="3"/>
    </row>
    <row r="58" spans="1:4" x14ac:dyDescent="0.25">
      <c r="A58" s="57"/>
      <c r="B58" s="58"/>
      <c r="C58" s="59"/>
      <c r="D58" s="3"/>
    </row>
    <row r="59" spans="1:4" ht="15.75" x14ac:dyDescent="0.25">
      <c r="A59" s="68" t="str">
        <f>IF(VLOOKUP(I1,BloodRank[#All],5,FALSE)=TRUE,info!A15,IF(VLOOKUP(I1,BloodRank[#All],6,FALSE)=TRUE,info!A16,IF(VLOOKUP(I1,BloodRank[#All],8,FALSE)=TRUE,info!A17,info!A18)))</f>
        <v>Unknowable (2 Souls)</v>
      </c>
      <c r="B59" s="69"/>
      <c r="C59" s="70"/>
      <c r="D59" s="3"/>
    </row>
    <row r="60" spans="1:4" x14ac:dyDescent="0.25">
      <c r="A60" s="64" t="str">
        <f>VLOOKUP(A59,Powers[#All],2,FALSE)</f>
        <v>The Demon forces a creature to make an Intelligence save (DC 27) or become stunned until it suceeds. The creature may attempt the save at the start of its turn.</v>
      </c>
      <c r="B60" s="64"/>
      <c r="C60" s="65"/>
      <c r="D60" s="3"/>
    </row>
    <row r="61" spans="1:4" x14ac:dyDescent="0.25">
      <c r="A61" s="64"/>
      <c r="B61" s="64"/>
      <c r="C61" s="65"/>
      <c r="D61" s="3"/>
    </row>
    <row r="62" spans="1:4" x14ac:dyDescent="0.25">
      <c r="A62" s="64"/>
      <c r="B62" s="64"/>
      <c r="C62" s="65"/>
      <c r="D62" s="3"/>
    </row>
    <row r="63" spans="1:4" x14ac:dyDescent="0.25">
      <c r="A63" s="66"/>
      <c r="B63" s="66"/>
      <c r="C63" s="67"/>
      <c r="D63" s="3"/>
    </row>
    <row r="64" spans="1:4" x14ac:dyDescent="0.25">
      <c r="A64" s="2" t="s">
        <v>19</v>
      </c>
      <c r="B64" s="54">
        <f>VLOOKUP(PROPER(I1),BloodRank[],2,FALSE)</f>
        <v>3</v>
      </c>
      <c r="C64" s="54"/>
      <c r="D64" s="3"/>
    </row>
    <row r="65" spans="1:4" x14ac:dyDescent="0.25">
      <c r="A65" s="3"/>
      <c r="B65" s="3"/>
      <c r="C65" s="3"/>
      <c r="D65" s="3"/>
    </row>
  </sheetData>
  <mergeCells count="48">
    <mergeCell ref="A28:C28"/>
    <mergeCell ref="A30:C30"/>
    <mergeCell ref="A29:C29"/>
    <mergeCell ref="A31:C31"/>
    <mergeCell ref="A55:C55"/>
    <mergeCell ref="A33:C33"/>
    <mergeCell ref="A59:C59"/>
    <mergeCell ref="A39:C39"/>
    <mergeCell ref="A41:C41"/>
    <mergeCell ref="A44:C44"/>
    <mergeCell ref="A47:C47"/>
    <mergeCell ref="I1:J1"/>
    <mergeCell ref="A16:A17"/>
    <mergeCell ref="B16:C17"/>
    <mergeCell ref="A25:C25"/>
    <mergeCell ref="B7:C7"/>
    <mergeCell ref="A1:C2"/>
    <mergeCell ref="E4:G4"/>
    <mergeCell ref="E5:G5"/>
    <mergeCell ref="E6:G6"/>
    <mergeCell ref="A3:C3"/>
    <mergeCell ref="F1:G1"/>
    <mergeCell ref="A14:A15"/>
    <mergeCell ref="B23:C23"/>
    <mergeCell ref="B22:C22"/>
    <mergeCell ref="B21:C21"/>
    <mergeCell ref="B19:C19"/>
    <mergeCell ref="B18:C18"/>
    <mergeCell ref="B15:C15"/>
    <mergeCell ref="B14:C14"/>
    <mergeCell ref="B20:C20"/>
    <mergeCell ref="A27:C27"/>
    <mergeCell ref="B64:C64"/>
    <mergeCell ref="B24:C24"/>
    <mergeCell ref="A56:C58"/>
    <mergeCell ref="A40:C40"/>
    <mergeCell ref="A34:C34"/>
    <mergeCell ref="A54:C54"/>
    <mergeCell ref="A45:C46"/>
    <mergeCell ref="A48:C49"/>
    <mergeCell ref="A60:C63"/>
    <mergeCell ref="A42:C43"/>
    <mergeCell ref="A32:C32"/>
    <mergeCell ref="A26:C26"/>
    <mergeCell ref="A50:C50"/>
    <mergeCell ref="A51:C53"/>
    <mergeCell ref="A38:C38"/>
    <mergeCell ref="A35:C37"/>
  </mergeCells>
  <pageMargins left="0.511811024" right="0.511811024" top="0.78740157499999996" bottom="0.78740157499999996" header="0.31496062000000002" footer="0.31496062000000002"/>
  <pageSetup paperSize="9" scale="95" orientation="portrait" r:id="rId1"/>
  <colBreaks count="1" manualBreakCount="1">
    <brk id="4" max="1048575" man="1"/>
  </colBreaks>
  <cellWatches>
    <cellWatch r="A35"/>
  </cellWatche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info!$A$2:$A$6</xm:f>
          </x14:formula1>
          <xm:sqref>F1:G1</xm:sqref>
        </x14:dataValidation>
        <x14:dataValidation type="list" allowBlank="1" showInputMessage="1" showErrorMessage="1" xr:uid="{00000000-0002-0000-0000-000001000000}">
          <x14:formula1>
            <xm:f>info!$A$9:$A$12</xm:f>
          </x14:formula1>
          <xm:sqref>I1:J1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
  <sheetViews>
    <sheetView topLeftCell="A6" zoomScale="85" zoomScaleNormal="85" workbookViewId="0">
      <pane xSplit="1" topLeftCell="B1" activePane="topRight" state="frozen"/>
      <selection activeCell="A3" sqref="A3"/>
      <selection pane="topRight" activeCell="J6" sqref="J6"/>
    </sheetView>
  </sheetViews>
  <sheetFormatPr defaultRowHeight="15" x14ac:dyDescent="0.25"/>
  <cols>
    <col min="1" max="1" width="24.140625" style="9" customWidth="1"/>
    <col min="2" max="2" width="42.28515625" style="13" bestFit="1" customWidth="1"/>
    <col min="3" max="3" width="14.85546875" style="9" bestFit="1" customWidth="1"/>
    <col min="4" max="4" width="18.7109375" style="9" customWidth="1"/>
    <col min="5" max="5" width="14.85546875" style="9" bestFit="1" customWidth="1"/>
    <col min="6" max="6" width="17.42578125" style="9" bestFit="1" customWidth="1"/>
    <col min="7" max="7" width="18.28515625" style="9" bestFit="1" customWidth="1"/>
    <col min="8" max="8" width="19.28515625" style="9" bestFit="1" customWidth="1"/>
    <col min="9" max="9" width="16.42578125" style="9" bestFit="1" customWidth="1"/>
    <col min="10" max="10" width="24.85546875" style="9" customWidth="1"/>
    <col min="11" max="11" width="28.7109375" style="9" customWidth="1"/>
    <col min="12" max="12" width="18.85546875" style="9" bestFit="1" customWidth="1"/>
    <col min="13" max="13" width="18.140625" style="9" bestFit="1" customWidth="1"/>
    <col min="14" max="14" width="30.85546875" style="9" bestFit="1" customWidth="1"/>
    <col min="15" max="15" width="17.140625" style="9" bestFit="1" customWidth="1"/>
    <col min="16" max="16" width="15" style="9" bestFit="1" customWidth="1"/>
    <col min="17" max="16384" width="9.140625" style="9"/>
  </cols>
  <sheetData>
    <row r="1" spans="1:13" s="10" customFormat="1" ht="18.75" x14ac:dyDescent="0.25">
      <c r="A1" s="10" t="s">
        <v>103</v>
      </c>
      <c r="B1" s="11" t="s">
        <v>14</v>
      </c>
      <c r="C1" s="33" t="s">
        <v>117</v>
      </c>
      <c r="D1" s="10" t="s">
        <v>114</v>
      </c>
      <c r="E1" s="10" t="s">
        <v>57</v>
      </c>
      <c r="F1" s="10" t="s">
        <v>59</v>
      </c>
      <c r="G1" s="10" t="s">
        <v>125</v>
      </c>
      <c r="H1" s="33" t="s">
        <v>126</v>
      </c>
      <c r="I1" s="33" t="s">
        <v>127</v>
      </c>
      <c r="J1" s="10" t="s">
        <v>164</v>
      </c>
      <c r="K1" s="10" t="s">
        <v>163</v>
      </c>
      <c r="L1" s="10" t="s">
        <v>162</v>
      </c>
      <c r="M1" s="10" t="s">
        <v>168</v>
      </c>
    </row>
    <row r="2" spans="1:13" ht="29.25" customHeight="1" x14ac:dyDescent="0.25">
      <c r="A2" s="32" t="s">
        <v>106</v>
      </c>
      <c r="B2" s="12" t="s">
        <v>128</v>
      </c>
      <c r="C2" s="1" t="s">
        <v>122</v>
      </c>
      <c r="D2" s="1" t="s">
        <v>49</v>
      </c>
      <c r="E2" s="1" t="str">
        <f>CONCATENATE("1d6/1d8+",demon!A10)</f>
        <v>1d6/1d8+6</v>
      </c>
      <c r="F2" s="1" t="s">
        <v>65</v>
      </c>
      <c r="G2" s="1" t="s">
        <v>47</v>
      </c>
      <c r="H2" s="1">
        <v>0</v>
      </c>
      <c r="I2" s="1" t="s">
        <v>63</v>
      </c>
      <c r="J2" s="40" t="s">
        <v>138</v>
      </c>
      <c r="K2" s="1"/>
      <c r="L2" s="1" t="s">
        <v>188</v>
      </c>
      <c r="M2" s="53" t="s">
        <v>187</v>
      </c>
    </row>
    <row r="3" spans="1:13" ht="29.25" customHeight="1" x14ac:dyDescent="0.25">
      <c r="A3" s="32" t="s">
        <v>107</v>
      </c>
      <c r="B3" s="12" t="s">
        <v>136</v>
      </c>
      <c r="C3" s="1" t="s">
        <v>118</v>
      </c>
      <c r="D3" s="1" t="s">
        <v>51</v>
      </c>
      <c r="E3" s="1" t="str">
        <f>CONCATENATE("1d10+",demon!A10)</f>
        <v>1d10+6</v>
      </c>
      <c r="F3" s="1" t="s">
        <v>60</v>
      </c>
      <c r="G3" s="1" t="s">
        <v>48</v>
      </c>
      <c r="H3" s="1" t="str">
        <f>CONCATENATE("1d6/1d8+",IF(demon!A10&gt;demon!B10,demon!A10,demon!B10))</f>
        <v>1d6/1d8+6</v>
      </c>
      <c r="I3" s="1" t="s">
        <v>62</v>
      </c>
      <c r="J3" s="40" t="s">
        <v>137</v>
      </c>
      <c r="K3" s="1"/>
      <c r="L3" s="1" t="s">
        <v>182</v>
      </c>
      <c r="M3" s="53" t="s">
        <v>181</v>
      </c>
    </row>
    <row r="4" spans="1:13" ht="29.25" customHeight="1" x14ac:dyDescent="0.25">
      <c r="A4" s="32" t="s">
        <v>108</v>
      </c>
      <c r="B4" s="12" t="s">
        <v>129</v>
      </c>
      <c r="C4" s="1" t="s">
        <v>119</v>
      </c>
      <c r="D4" s="1" t="s">
        <v>67</v>
      </c>
      <c r="E4" s="1" t="str">
        <f>CONCATENATE("1+",demon!B10)</f>
        <v>1+1</v>
      </c>
      <c r="F4" s="1" t="s">
        <v>66</v>
      </c>
      <c r="G4" s="1" t="s">
        <v>58</v>
      </c>
      <c r="H4" s="1" t="str">
        <f>CONCATENATE("1d12+",demon!A10)</f>
        <v>1d12+6</v>
      </c>
      <c r="I4" s="1" t="s">
        <v>62</v>
      </c>
      <c r="J4" s="40" t="s">
        <v>134</v>
      </c>
      <c r="K4" s="1"/>
      <c r="L4" s="1" t="s">
        <v>184</v>
      </c>
      <c r="M4" s="53" t="s">
        <v>183</v>
      </c>
    </row>
    <row r="5" spans="1:13" ht="29.25" customHeight="1" x14ac:dyDescent="0.25">
      <c r="A5" s="32" t="s">
        <v>109</v>
      </c>
      <c r="B5" s="12" t="s">
        <v>130</v>
      </c>
      <c r="C5" s="1" t="s">
        <v>120</v>
      </c>
      <c r="D5" s="1" t="s">
        <v>46</v>
      </c>
      <c r="E5" s="1" t="str">
        <f>CONCATENATE("2d4+",demon!B10)</f>
        <v>2d4+1</v>
      </c>
      <c r="F5" s="1" t="s">
        <v>61</v>
      </c>
      <c r="G5" s="1" t="s">
        <v>45</v>
      </c>
      <c r="H5" s="1" t="str">
        <f>CONCATENATE("1d4+",IF(demon!A10&gt;demon!B10,demon!A10,demon!B10))</f>
        <v>1d4+6</v>
      </c>
      <c r="I5" s="1" t="s">
        <v>60</v>
      </c>
      <c r="J5" s="40" t="s">
        <v>139</v>
      </c>
      <c r="K5" s="1"/>
      <c r="L5" s="1" t="s">
        <v>180</v>
      </c>
      <c r="M5" s="53" t="s">
        <v>189</v>
      </c>
    </row>
    <row r="6" spans="1:13" ht="29.25" customHeight="1" x14ac:dyDescent="0.25">
      <c r="A6" s="32" t="s">
        <v>110</v>
      </c>
      <c r="B6" s="12" t="s">
        <v>131</v>
      </c>
      <c r="C6" s="1" t="s">
        <v>121</v>
      </c>
      <c r="D6" s="1" t="s">
        <v>52</v>
      </c>
      <c r="E6" s="1" t="str">
        <f>CONCATENATE("1d8+",demon!B10)</f>
        <v>1d8+1</v>
      </c>
      <c r="F6" s="1" t="s">
        <v>64</v>
      </c>
      <c r="G6" s="1" t="s">
        <v>50</v>
      </c>
      <c r="H6" s="1" t="str">
        <f>CONCATENATE("1d8+",IF(demon!A10&gt;demon!B10,demon!A10,demon!B10))</f>
        <v>1d8+6</v>
      </c>
      <c r="I6" s="1" t="s">
        <v>62</v>
      </c>
      <c r="J6" s="40" t="s">
        <v>135</v>
      </c>
      <c r="K6" s="1"/>
      <c r="L6" s="1" t="s">
        <v>186</v>
      </c>
      <c r="M6" s="53" t="s">
        <v>185</v>
      </c>
    </row>
    <row r="7" spans="1:13" ht="29.25" customHeight="1" x14ac:dyDescent="0.25">
      <c r="A7" s="18"/>
      <c r="C7" s="1"/>
      <c r="D7" s="1"/>
      <c r="E7" s="1"/>
      <c r="F7" s="1"/>
      <c r="G7" s="1"/>
      <c r="H7" s="1"/>
      <c r="I7" s="1"/>
      <c r="J7" s="1"/>
      <c r="K7" s="1"/>
      <c r="L7" s="1"/>
      <c r="M7" s="53"/>
    </row>
    <row r="8" spans="1:13" ht="37.5" customHeight="1" x14ac:dyDescent="0.25">
      <c r="A8" s="36" t="s">
        <v>104</v>
      </c>
      <c r="B8" s="36" t="s">
        <v>19</v>
      </c>
      <c r="C8" s="35" t="s">
        <v>39</v>
      </c>
      <c r="D8" s="35" t="s">
        <v>41</v>
      </c>
      <c r="E8" s="35" t="s">
        <v>43</v>
      </c>
      <c r="F8" s="35" t="s">
        <v>42</v>
      </c>
      <c r="G8" s="35" t="s">
        <v>105</v>
      </c>
      <c r="H8" s="36" t="s">
        <v>40</v>
      </c>
      <c r="I8" s="36" t="s">
        <v>44</v>
      </c>
      <c r="J8" s="46" t="s">
        <v>161</v>
      </c>
      <c r="K8" s="46" t="s">
        <v>165</v>
      </c>
    </row>
    <row r="9" spans="1:13" ht="30" x14ac:dyDescent="0.25">
      <c r="A9" s="38" t="s">
        <v>112</v>
      </c>
      <c r="B9" s="27">
        <v>1</v>
      </c>
      <c r="C9" s="27" t="b">
        <v>1</v>
      </c>
      <c r="D9" s="27" t="b">
        <v>1</v>
      </c>
      <c r="E9" s="27" t="b">
        <v>1</v>
      </c>
      <c r="F9" s="27" t="b">
        <v>0</v>
      </c>
      <c r="G9" s="27" t="b">
        <v>0</v>
      </c>
      <c r="H9" s="27" t="b">
        <v>0</v>
      </c>
      <c r="I9" s="27" t="b">
        <v>0</v>
      </c>
      <c r="J9" s="27" t="s">
        <v>176</v>
      </c>
      <c r="K9" s="51" t="s">
        <v>166</v>
      </c>
    </row>
    <row r="10" spans="1:13" ht="30" x14ac:dyDescent="0.25">
      <c r="A10" s="37" t="s">
        <v>111</v>
      </c>
      <c r="B10" s="34">
        <v>2</v>
      </c>
      <c r="C10" s="34" t="b">
        <v>0</v>
      </c>
      <c r="D10" s="34" t="b">
        <v>1</v>
      </c>
      <c r="E10" s="34" t="b">
        <v>1</v>
      </c>
      <c r="F10" s="34" t="b">
        <v>0</v>
      </c>
      <c r="G10" s="34" t="b">
        <v>0</v>
      </c>
      <c r="H10" s="34" t="b">
        <v>1</v>
      </c>
      <c r="I10" s="34" t="b">
        <v>0</v>
      </c>
      <c r="J10" s="28" t="s">
        <v>177</v>
      </c>
      <c r="K10" s="52" t="s">
        <v>169</v>
      </c>
    </row>
    <row r="11" spans="1:13" ht="75" x14ac:dyDescent="0.25">
      <c r="A11" s="38" t="s">
        <v>113</v>
      </c>
      <c r="B11" s="27">
        <v>3</v>
      </c>
      <c r="C11" s="27" t="b">
        <v>1</v>
      </c>
      <c r="D11" s="27" t="b">
        <v>0</v>
      </c>
      <c r="E11" s="27" t="b">
        <v>0</v>
      </c>
      <c r="F11" s="27" t="b">
        <v>1</v>
      </c>
      <c r="G11" s="27" t="b">
        <v>1</v>
      </c>
      <c r="H11" s="27" t="b">
        <v>0</v>
      </c>
      <c r="I11" s="27" t="b">
        <v>0</v>
      </c>
      <c r="J11" s="27" t="s">
        <v>167</v>
      </c>
      <c r="K11" s="51" t="s">
        <v>170</v>
      </c>
    </row>
    <row r="12" spans="1:13" ht="30" x14ac:dyDescent="0.25">
      <c r="A12" s="39" t="s">
        <v>8</v>
      </c>
      <c r="B12" s="28">
        <v>4</v>
      </c>
      <c r="C12" s="28" t="b">
        <v>0</v>
      </c>
      <c r="D12" s="28" t="b">
        <v>0</v>
      </c>
      <c r="E12" s="28" t="b">
        <v>0</v>
      </c>
      <c r="F12" s="28" t="b">
        <v>1</v>
      </c>
      <c r="G12" s="28" t="b">
        <v>1</v>
      </c>
      <c r="H12" s="28" t="b">
        <v>0</v>
      </c>
      <c r="I12" s="28" t="b">
        <v>1</v>
      </c>
      <c r="J12" s="34" t="s">
        <v>178</v>
      </c>
      <c r="K12" s="47" t="s">
        <v>179</v>
      </c>
    </row>
    <row r="14" spans="1:13" ht="21" x14ac:dyDescent="0.25">
      <c r="A14" s="24" t="s">
        <v>99</v>
      </c>
      <c r="B14" s="24" t="s">
        <v>71</v>
      </c>
    </row>
    <row r="15" spans="1:13" ht="30" x14ac:dyDescent="0.25">
      <c r="A15" s="20" t="s">
        <v>150</v>
      </c>
      <c r="B15" s="22" t="str">
        <f>CONCATENATE("The Demon makes a Constitution save (DC 18), recovering ",ROUNDUP(demon!B6,0),"d10 HP on a sucess.")</f>
        <v>The Demon makes a Constitution save (DC 18), recovering 5d10 HP on a sucess.</v>
      </c>
    </row>
    <row r="16" spans="1:13" ht="60" x14ac:dyDescent="0.25">
      <c r="A16" s="21" t="s">
        <v>151</v>
      </c>
      <c r="B16" s="23" t="str">
        <f>CONCATENATE("The Demon forces a creature to make an Intelligence save (DC ",demon!A12+demon!B6,") or become stunned until it suceeds. The creature may attempt the save at the start of its turn.")</f>
        <v>The Demon forces a creature to make an Intelligence save (DC 27) or become stunned until it suceeds. The creature may attempt the save at the start of its turn.</v>
      </c>
    </row>
    <row r="17" spans="1:2" ht="90" x14ac:dyDescent="0.25">
      <c r="A17" s="20" t="s">
        <v>132</v>
      </c>
      <c r="B17" s="22" t="str">
        <f>CONCATENATE("The Demon forces all creatures who can see it to make a Wisdom save (DC ",8+demon!B6+demon!C13,"). On a fail the creature takes ",IF(demon!C13&gt;0,demon!C13,1),"d6 psychic damage and is blinded until the demon's next turn. On a sucess the creature only takes half damage and is immune to this effect for 24 hours.")</f>
        <v>The Demon forces all creatures who can see it to make a Wisdom save (DC 14). On a fail the creature takes 1d6 psychic damage and is blinded until the demon's next turn. On a sucess the creature only takes half damage and is immune to this effect for 24 hours.</v>
      </c>
    </row>
    <row r="18" spans="1:2" ht="45" x14ac:dyDescent="0.25">
      <c r="A18" s="25" t="s">
        <v>133</v>
      </c>
      <c r="B18" s="26" t="str">
        <f>CONCATENATE("The Demon makes a Charisma save (DC ",20-demon!B6,") ending any conditions or spell efects on itself.")</f>
        <v>The Demon makes a Charisma save (DC 15) ending any conditions or spell efects on itself.</v>
      </c>
    </row>
  </sheetData>
  <phoneticPr fontId="4" type="noConversion"/>
  <conditionalFormatting sqref="C9:I12 G2:I2 C7:H7">
    <cfRule type="containsText" dxfId="2" priority="3" operator="containsText" text="TRUE">
      <formula>NOT(ISERROR(SEARCH("TRUE",C2)))</formula>
    </cfRule>
  </conditionalFormatting>
  <conditionalFormatting sqref="C9:I12">
    <cfRule type="cellIs" dxfId="1" priority="1" operator="equal">
      <formula>TRUE</formula>
    </cfRule>
    <cfRule type="cellIs" dxfId="0" priority="2" operator="equal">
      <formula>TRUE</formula>
    </cfRule>
  </conditionalFormatting>
  <pageMargins left="0.511811024" right="0.511811024" top="0.78740157499999996" bottom="0.78740157499999996" header="0.31496062000000002" footer="0.31496062000000002"/>
  <pageSetup paperSize="9" orientation="portrait" horizontalDpi="0" verticalDpi="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
  <sheetViews>
    <sheetView topLeftCell="A2" workbookViewId="0">
      <selection activeCell="C2" sqref="C2"/>
    </sheetView>
  </sheetViews>
  <sheetFormatPr defaultRowHeight="15" x14ac:dyDescent="0.25"/>
  <cols>
    <col min="1" max="1" width="26.5703125" bestFit="1" customWidth="1"/>
    <col min="2" max="2" width="17.7109375" bestFit="1" customWidth="1"/>
    <col min="3" max="3" width="89.42578125" customWidth="1"/>
  </cols>
  <sheetData>
    <row r="1" spans="1:3" x14ac:dyDescent="0.25">
      <c r="A1" t="s">
        <v>15</v>
      </c>
      <c r="B1" t="s">
        <v>70</v>
      </c>
      <c r="C1" t="s">
        <v>71</v>
      </c>
    </row>
    <row r="2" spans="1:3" ht="285" x14ac:dyDescent="0.25">
      <c r="A2" s="15" t="s">
        <v>0</v>
      </c>
      <c r="B2" s="16" t="s">
        <v>82</v>
      </c>
      <c r="C2" s="14" t="s">
        <v>83</v>
      </c>
    </row>
    <row r="3" spans="1:3" ht="270" x14ac:dyDescent="0.25">
      <c r="A3" s="17" t="s">
        <v>1</v>
      </c>
      <c r="B3" s="16" t="s">
        <v>84</v>
      </c>
      <c r="C3" s="14" t="s">
        <v>85</v>
      </c>
    </row>
    <row r="4" spans="1:3" ht="165" x14ac:dyDescent="0.25">
      <c r="A4" s="15" t="s">
        <v>2</v>
      </c>
      <c r="B4" s="16" t="s">
        <v>86</v>
      </c>
      <c r="C4" s="14" t="s">
        <v>87</v>
      </c>
    </row>
    <row r="5" spans="1:3" ht="210" x14ac:dyDescent="0.25">
      <c r="A5" s="17" t="s">
        <v>3</v>
      </c>
      <c r="B5" s="16" t="s">
        <v>88</v>
      </c>
      <c r="C5" s="14" t="s">
        <v>89</v>
      </c>
    </row>
    <row r="6" spans="1:3" ht="315" x14ac:dyDescent="0.25">
      <c r="A6" s="15" t="s">
        <v>4</v>
      </c>
      <c r="B6" s="16" t="s">
        <v>90</v>
      </c>
      <c r="C6" s="14" t="s">
        <v>91</v>
      </c>
    </row>
    <row r="7" spans="1:3" ht="165" x14ac:dyDescent="0.25">
      <c r="A7" s="17" t="s">
        <v>5</v>
      </c>
      <c r="B7" s="16" t="s">
        <v>92</v>
      </c>
      <c r="C7" s="14" t="s">
        <v>93</v>
      </c>
    </row>
    <row r="8" spans="1:3" ht="180" x14ac:dyDescent="0.25">
      <c r="A8" s="15" t="s">
        <v>28</v>
      </c>
      <c r="B8" s="16" t="s">
        <v>94</v>
      </c>
      <c r="C8" s="14" t="s">
        <v>95</v>
      </c>
    </row>
    <row r="9" spans="1:3" ht="195" x14ac:dyDescent="0.25">
      <c r="A9" s="17" t="s">
        <v>6</v>
      </c>
      <c r="B9" s="16" t="s">
        <v>96</v>
      </c>
      <c r="C9" s="14" t="s">
        <v>97</v>
      </c>
    </row>
    <row r="10" spans="1:3" ht="195" x14ac:dyDescent="0.25">
      <c r="A10" s="15" t="s">
        <v>7</v>
      </c>
      <c r="B10" s="16" t="s">
        <v>98</v>
      </c>
      <c r="C10" s="14" t="s">
        <v>100</v>
      </c>
    </row>
    <row r="11" spans="1:3" ht="165" x14ac:dyDescent="0.25">
      <c r="A11" s="17" t="s">
        <v>8</v>
      </c>
      <c r="B11" s="16" t="s">
        <v>80</v>
      </c>
      <c r="C11" s="14" t="s">
        <v>81</v>
      </c>
    </row>
    <row r="12" spans="1:3" ht="240" x14ac:dyDescent="0.25">
      <c r="A12" s="15" t="s">
        <v>9</v>
      </c>
      <c r="B12" s="16" t="s">
        <v>101</v>
      </c>
      <c r="C12" s="14" t="s">
        <v>102</v>
      </c>
    </row>
    <row r="13" spans="1:3" ht="180" x14ac:dyDescent="0.25">
      <c r="A13" s="17" t="s">
        <v>10</v>
      </c>
      <c r="B13" s="16" t="s">
        <v>79</v>
      </c>
      <c r="C13" s="14" t="s">
        <v>78</v>
      </c>
    </row>
    <row r="14" spans="1:3" ht="210" x14ac:dyDescent="0.25">
      <c r="A14" s="15" t="s">
        <v>11</v>
      </c>
      <c r="B14" s="16" t="s">
        <v>76</v>
      </c>
      <c r="C14" s="14" t="s">
        <v>77</v>
      </c>
    </row>
    <row r="15" spans="1:3" ht="165" x14ac:dyDescent="0.25">
      <c r="A15" s="17" t="s">
        <v>12</v>
      </c>
      <c r="B15" s="16" t="s">
        <v>74</v>
      </c>
      <c r="C15" s="14" t="s">
        <v>75</v>
      </c>
    </row>
    <row r="16" spans="1:3" ht="270" x14ac:dyDescent="0.25">
      <c r="A16" s="15" t="s">
        <v>13</v>
      </c>
      <c r="B16" s="16" t="s">
        <v>73</v>
      </c>
      <c r="C16" s="14" t="s">
        <v>72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
  <sheetViews>
    <sheetView tabSelected="1" topLeftCell="C14" workbookViewId="0">
      <selection activeCell="E20" sqref="E20"/>
    </sheetView>
  </sheetViews>
  <sheetFormatPr defaultRowHeight="15" x14ac:dyDescent="0.25"/>
  <cols>
    <col min="1" max="1" width="9.140625" hidden="1" customWidth="1"/>
    <col min="2" max="2" width="9.7109375" hidden="1" customWidth="1"/>
    <col min="3" max="3" width="17.42578125" bestFit="1" customWidth="1"/>
    <col min="4" max="4" width="18.28515625" style="41" customWidth="1"/>
    <col min="5" max="5" width="45.42578125" customWidth="1"/>
  </cols>
  <sheetData>
    <row r="1" spans="1:5" s="42" customFormat="1" ht="18.75" x14ac:dyDescent="0.25">
      <c r="A1" s="44" t="s">
        <v>142</v>
      </c>
      <c r="B1" s="42" t="s">
        <v>140</v>
      </c>
      <c r="C1" s="42" t="s">
        <v>141</v>
      </c>
      <c r="D1" s="42" t="s">
        <v>124</v>
      </c>
      <c r="E1" s="45" t="s">
        <v>71</v>
      </c>
    </row>
    <row r="2" spans="1:5" ht="60" x14ac:dyDescent="0.25">
      <c r="A2" t="s">
        <v>106</v>
      </c>
      <c r="B2" t="s">
        <v>112</v>
      </c>
      <c r="C2" t="str">
        <f>CONCATENATE(SoulRend[[#This Row],[Column1]],"/",SoulRend[[#This Row],[Rank]])</f>
        <v>Umeo/Wretch</v>
      </c>
      <c r="D2" t="s">
        <v>149</v>
      </c>
      <c r="E2" s="41" t="s">
        <v>145</v>
      </c>
    </row>
    <row r="3" spans="1:5" ht="90" x14ac:dyDescent="0.25">
      <c r="A3" t="s">
        <v>106</v>
      </c>
      <c r="B3" t="s">
        <v>111</v>
      </c>
      <c r="C3" t="str">
        <f>CONCATENATE(SoulRend[[#This Row],[Column1]],"/",SoulRend[[#This Row],[Rank]])</f>
        <v>Umeo/Prey</v>
      </c>
      <c r="D3" t="s">
        <v>159</v>
      </c>
      <c r="E3" s="41" t="s">
        <v>160</v>
      </c>
    </row>
    <row r="4" spans="1:5" ht="90" x14ac:dyDescent="0.25">
      <c r="A4" t="s">
        <v>106</v>
      </c>
      <c r="B4" t="s">
        <v>113</v>
      </c>
      <c r="C4" t="str">
        <f>CONCATENATE(SoulRend[[#This Row],[Column1]],"/",SoulRend[[#This Row],[Rank]])</f>
        <v>Umeo/Predator</v>
      </c>
      <c r="D4" t="s">
        <v>193</v>
      </c>
      <c r="E4" s="41" t="s">
        <v>194</v>
      </c>
    </row>
    <row r="5" spans="1:5" x14ac:dyDescent="0.25">
      <c r="A5" t="s">
        <v>106</v>
      </c>
      <c r="B5" t="s">
        <v>8</v>
      </c>
      <c r="C5" t="str">
        <f>CONCATENATE(SoulRend[[#This Row],[Column1]],"/",SoulRend[[#This Row],[Rank]])</f>
        <v>Umeo/Sin</v>
      </c>
      <c r="D5"/>
      <c r="E5" s="41"/>
    </row>
    <row r="6" spans="1:5" ht="60" x14ac:dyDescent="0.25">
      <c r="A6" t="s">
        <v>107</v>
      </c>
      <c r="B6" t="s">
        <v>112</v>
      </c>
      <c r="C6" t="str">
        <f>CONCATENATE(SoulRend[[#This Row],[Column1]],"/",SoulRend[[#This Row],[Rank]])</f>
        <v>Muriat/Wretch</v>
      </c>
      <c r="D6" t="s">
        <v>154</v>
      </c>
      <c r="E6" s="41" t="s">
        <v>144</v>
      </c>
    </row>
    <row r="7" spans="1:5" x14ac:dyDescent="0.25">
      <c r="A7" t="s">
        <v>107</v>
      </c>
      <c r="B7" t="s">
        <v>111</v>
      </c>
      <c r="C7" t="str">
        <f>CONCATENATE(SoulRend[[#This Row],[Column1]],"/",SoulRend[[#This Row],[Rank]])</f>
        <v>Muriat/Prey</v>
      </c>
      <c r="D7"/>
      <c r="E7" s="41"/>
    </row>
    <row r="8" spans="1:5" ht="45" x14ac:dyDescent="0.25">
      <c r="A8" t="s">
        <v>107</v>
      </c>
      <c r="B8" t="s">
        <v>113</v>
      </c>
      <c r="C8" t="str">
        <f>CONCATENATE(SoulRend[[#This Row],[Column1]],"/",SoulRend[[#This Row],[Rank]])</f>
        <v>Muriat/Predator</v>
      </c>
      <c r="D8" t="s">
        <v>191</v>
      </c>
      <c r="E8" s="41" t="s">
        <v>192</v>
      </c>
    </row>
    <row r="9" spans="1:5" x14ac:dyDescent="0.25">
      <c r="A9" t="s">
        <v>107</v>
      </c>
      <c r="B9" t="s">
        <v>8</v>
      </c>
      <c r="C9" t="str">
        <f>CONCATENATE(SoulRend[[#This Row],[Column1]],"/",SoulRend[[#This Row],[Rank]])</f>
        <v>Muriat/Sin</v>
      </c>
      <c r="D9"/>
      <c r="E9" s="41"/>
    </row>
    <row r="10" spans="1:5" ht="45" x14ac:dyDescent="0.25">
      <c r="A10" t="s">
        <v>108</v>
      </c>
      <c r="B10" t="s">
        <v>112</v>
      </c>
      <c r="C10" t="str">
        <f>CONCATENATE(SoulRend[[#This Row],[Column1]],"/",SoulRend[[#This Row],[Rank]])</f>
        <v>Assula/Wretch</v>
      </c>
      <c r="D10" t="s">
        <v>148</v>
      </c>
      <c r="E10" s="41" t="s">
        <v>158</v>
      </c>
    </row>
    <row r="11" spans="1:5" x14ac:dyDescent="0.25">
      <c r="A11" t="s">
        <v>108</v>
      </c>
      <c r="B11" t="s">
        <v>111</v>
      </c>
      <c r="C11" t="str">
        <f>CONCATENATE(SoulRend[[#This Row],[Column1]],"/",SoulRend[[#This Row],[Rank]])</f>
        <v>Assula/Prey</v>
      </c>
      <c r="D11"/>
      <c r="E11" s="41"/>
    </row>
    <row r="12" spans="1:5" x14ac:dyDescent="0.25">
      <c r="A12" t="s">
        <v>108</v>
      </c>
      <c r="B12" t="s">
        <v>113</v>
      </c>
      <c r="C12" t="str">
        <f>CONCATENATE(SoulRend[[#This Row],[Column1]],"/",SoulRend[[#This Row],[Rank]])</f>
        <v>Assula/Predator</v>
      </c>
      <c r="D12"/>
      <c r="E12" s="41"/>
    </row>
    <row r="13" spans="1:5" x14ac:dyDescent="0.25">
      <c r="A13" t="s">
        <v>108</v>
      </c>
      <c r="B13" t="s">
        <v>8</v>
      </c>
      <c r="C13" t="str">
        <f>CONCATENATE(SoulRend[[#This Row],[Column1]],"/",SoulRend[[#This Row],[Rank]])</f>
        <v>Assula/Sin</v>
      </c>
      <c r="D13"/>
      <c r="E13" s="41"/>
    </row>
    <row r="14" spans="1:5" ht="45" x14ac:dyDescent="0.25">
      <c r="A14" t="s">
        <v>109</v>
      </c>
      <c r="B14" t="s">
        <v>112</v>
      </c>
      <c r="C14" t="str">
        <f>CONCATENATE(SoulRend[[#This Row],[Column1]],"/",SoulRend[[#This Row],[Rank]])</f>
        <v>Lampare/Wretch</v>
      </c>
      <c r="D14" t="s">
        <v>155</v>
      </c>
      <c r="E14" s="41" t="s">
        <v>190</v>
      </c>
    </row>
    <row r="15" spans="1:5" x14ac:dyDescent="0.25">
      <c r="A15" t="s">
        <v>109</v>
      </c>
      <c r="B15" t="s">
        <v>111</v>
      </c>
      <c r="C15" t="str">
        <f>CONCATENATE(SoulRend[[#This Row],[Column1]],"/",SoulRend[[#This Row],[Rank]])</f>
        <v>Lampare/Prey</v>
      </c>
      <c r="D15"/>
      <c r="E15" s="41"/>
    </row>
    <row r="16" spans="1:5" x14ac:dyDescent="0.25">
      <c r="A16" t="s">
        <v>109</v>
      </c>
      <c r="B16" t="s">
        <v>113</v>
      </c>
      <c r="C16" t="str">
        <f>CONCATENATE(SoulRend[[#This Row],[Column1]],"/",SoulRend[[#This Row],[Rank]])</f>
        <v>Lampare/Predator</v>
      </c>
      <c r="D16"/>
      <c r="E16" s="41"/>
    </row>
    <row r="17" spans="1:5" x14ac:dyDescent="0.25">
      <c r="A17" t="s">
        <v>109</v>
      </c>
      <c r="B17" t="s">
        <v>8</v>
      </c>
      <c r="C17" t="str">
        <f>CONCATENATE(SoulRend[[#This Row],[Column1]],"/",SoulRend[[#This Row],[Rank]])</f>
        <v>Lampare/Sin</v>
      </c>
      <c r="D17"/>
      <c r="E17" s="41"/>
    </row>
    <row r="18" spans="1:5" ht="45" x14ac:dyDescent="0.25">
      <c r="A18" t="s">
        <v>110</v>
      </c>
      <c r="B18" t="s">
        <v>112</v>
      </c>
      <c r="C18" t="str">
        <f>CONCATENATE(SoulRend[[#This Row],[Column1]],"/",SoulRend[[#This Row],[Rank]])</f>
        <v>Kyeh/Wretch</v>
      </c>
      <c r="D18" t="s">
        <v>156</v>
      </c>
      <c r="E18" s="41" t="s">
        <v>157</v>
      </c>
    </row>
    <row r="19" spans="1:5" ht="45" x14ac:dyDescent="0.25">
      <c r="A19" t="s">
        <v>110</v>
      </c>
      <c r="B19" t="s">
        <v>111</v>
      </c>
      <c r="C19" t="str">
        <f>CONCATENATE(SoulRend[[#This Row],[Column1]],"/",SoulRend[[#This Row],[Rank]])</f>
        <v>Kyeh/Prey</v>
      </c>
      <c r="D19" t="s">
        <v>516</v>
      </c>
      <c r="E19" s="41" t="s">
        <v>521</v>
      </c>
    </row>
    <row r="20" spans="1:5" ht="105" x14ac:dyDescent="0.25">
      <c r="A20" t="s">
        <v>110</v>
      </c>
      <c r="B20" t="s">
        <v>113</v>
      </c>
      <c r="C20" t="str">
        <f>CONCATENATE(SoulRend[[#This Row],[Column1]],"/",SoulRend[[#This Row],[Rank]])</f>
        <v>Kyeh/Predator</v>
      </c>
      <c r="D20" t="s">
        <v>517</v>
      </c>
      <c r="E20" s="41" t="s">
        <v>518</v>
      </c>
    </row>
    <row r="21" spans="1:5" ht="90" x14ac:dyDescent="0.25">
      <c r="A21" t="s">
        <v>110</v>
      </c>
      <c r="B21" t="s">
        <v>8</v>
      </c>
      <c r="C21" t="str">
        <f>CONCATENATE(SoulRend[[#This Row],[Column1]],"/",SoulRend[[#This Row],[Rank]])</f>
        <v>Kyeh/Sin</v>
      </c>
      <c r="D21" t="s">
        <v>519</v>
      </c>
      <c r="E21" s="41" t="s">
        <v>520</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242"/>
  <sheetViews>
    <sheetView topLeftCell="A39" workbookViewId="0">
      <selection activeCell="E31" sqref="E31"/>
    </sheetView>
  </sheetViews>
  <sheetFormatPr defaultRowHeight="15" x14ac:dyDescent="0.25"/>
  <sheetData>
    <row r="1" spans="1:12" x14ac:dyDescent="0.25">
      <c r="A1" t="s">
        <v>195</v>
      </c>
      <c r="B1" t="str">
        <f>demon!A1</f>
        <v>Predator Of Kyeh</v>
      </c>
    </row>
    <row r="2" spans="1:12" x14ac:dyDescent="0.25">
      <c r="B2" t="s">
        <v>197</v>
      </c>
      <c r="C2" t="s">
        <v>198</v>
      </c>
    </row>
    <row r="3" spans="1:12" x14ac:dyDescent="0.25">
      <c r="B3" t="s">
        <v>199</v>
      </c>
      <c r="C3" t="s">
        <v>200</v>
      </c>
    </row>
    <row r="4" spans="1:12" x14ac:dyDescent="0.25">
      <c r="B4" t="s">
        <v>201</v>
      </c>
      <c r="C4" t="s">
        <v>202</v>
      </c>
    </row>
    <row r="5" spans="1:12" x14ac:dyDescent="0.25">
      <c r="B5" t="s">
        <v>203</v>
      </c>
      <c r="C5" t="s">
        <v>202</v>
      </c>
    </row>
    <row r="6" spans="1:12" x14ac:dyDescent="0.25">
      <c r="B6" t="s">
        <v>204</v>
      </c>
      <c r="C6" t="s">
        <v>205</v>
      </c>
      <c r="D6" t="s">
        <v>206</v>
      </c>
      <c r="E6" t="s">
        <v>207</v>
      </c>
      <c r="F6" t="s">
        <v>208</v>
      </c>
      <c r="G6" t="s">
        <v>236</v>
      </c>
    </row>
    <row r="7" spans="1:12" x14ac:dyDescent="0.25">
      <c r="B7" t="s">
        <v>209</v>
      </c>
      <c r="C7" t="s">
        <v>202</v>
      </c>
    </row>
    <row r="8" spans="1:12" x14ac:dyDescent="0.25">
      <c r="B8" t="s">
        <v>210</v>
      </c>
      <c r="C8" t="s">
        <v>334</v>
      </c>
    </row>
    <row r="9" spans="1:12" x14ac:dyDescent="0.25">
      <c r="B9" t="s">
        <v>211</v>
      </c>
      <c r="C9" t="s">
        <v>202</v>
      </c>
    </row>
    <row r="10" spans="1:12" x14ac:dyDescent="0.25">
      <c r="B10" t="s">
        <v>212</v>
      </c>
      <c r="C10" t="s">
        <v>202</v>
      </c>
    </row>
    <row r="11" spans="1:12" x14ac:dyDescent="0.25">
      <c r="B11" t="s">
        <v>213</v>
      </c>
      <c r="C11" t="s">
        <v>202</v>
      </c>
    </row>
    <row r="12" spans="1:12" x14ac:dyDescent="0.25">
      <c r="B12" t="s">
        <v>214</v>
      </c>
      <c r="C12">
        <f>demon!A9</f>
        <v>22</v>
      </c>
      <c r="D12" t="s">
        <v>215</v>
      </c>
      <c r="E12">
        <v>0</v>
      </c>
      <c r="F12" t="s">
        <v>216</v>
      </c>
      <c r="G12" t="s">
        <v>217</v>
      </c>
      <c r="I12" t="s">
        <v>218</v>
      </c>
      <c r="J12" t="s">
        <v>219</v>
      </c>
      <c r="K12" t="s">
        <v>220</v>
      </c>
      <c r="L12" t="str">
        <f>CONCATENATE(demon!A10,"}")</f>
        <v>6}</v>
      </c>
    </row>
    <row r="13" spans="1:12" x14ac:dyDescent="0.25">
      <c r="B13" t="s">
        <v>221</v>
      </c>
      <c r="C13" t="s">
        <v>202</v>
      </c>
    </row>
    <row r="14" spans="1:12" x14ac:dyDescent="0.25">
      <c r="B14" t="s">
        <v>214</v>
      </c>
      <c r="C14">
        <f>demon!B9</f>
        <v>12</v>
      </c>
      <c r="D14" t="s">
        <v>215</v>
      </c>
      <c r="E14">
        <v>0</v>
      </c>
      <c r="F14" t="s">
        <v>216</v>
      </c>
      <c r="G14" t="s">
        <v>217</v>
      </c>
      <c r="I14" t="s">
        <v>218</v>
      </c>
      <c r="J14" t="s">
        <v>219</v>
      </c>
      <c r="K14" t="s">
        <v>220</v>
      </c>
      <c r="L14" t="str">
        <f>CONCATENATE(demon!B10,"}")</f>
        <v>1}</v>
      </c>
    </row>
    <row r="15" spans="1:12" x14ac:dyDescent="0.25">
      <c r="B15" t="s">
        <v>223</v>
      </c>
      <c r="C15" t="s">
        <v>202</v>
      </c>
    </row>
    <row r="16" spans="1:12" x14ac:dyDescent="0.25">
      <c r="B16" t="s">
        <v>214</v>
      </c>
      <c r="C16">
        <f>demon!C9</f>
        <v>15</v>
      </c>
      <c r="D16" t="s">
        <v>215</v>
      </c>
      <c r="E16">
        <v>0</v>
      </c>
      <c r="F16" t="s">
        <v>216</v>
      </c>
      <c r="G16" t="s">
        <v>217</v>
      </c>
      <c r="I16" t="s">
        <v>218</v>
      </c>
      <c r="J16" t="s">
        <v>219</v>
      </c>
      <c r="K16" t="s">
        <v>220</v>
      </c>
      <c r="L16" t="str">
        <f>CONCATENATE(demon!C10,"}")</f>
        <v>2}</v>
      </c>
    </row>
    <row r="17" spans="2:15" x14ac:dyDescent="0.25">
      <c r="B17" t="s">
        <v>224</v>
      </c>
      <c r="C17" t="s">
        <v>202</v>
      </c>
    </row>
    <row r="18" spans="2:15" x14ac:dyDescent="0.25">
      <c r="B18" t="s">
        <v>214</v>
      </c>
      <c r="C18">
        <f>demon!A12</f>
        <v>22</v>
      </c>
      <c r="D18" t="s">
        <v>215</v>
      </c>
      <c r="E18">
        <v>0</v>
      </c>
      <c r="F18" t="s">
        <v>216</v>
      </c>
      <c r="G18" t="s">
        <v>217</v>
      </c>
      <c r="I18" t="s">
        <v>218</v>
      </c>
      <c r="J18" t="s">
        <v>219</v>
      </c>
      <c r="K18" t="s">
        <v>220</v>
      </c>
      <c r="L18" t="str">
        <f>CONCATENATE(demon!A$13,"}")</f>
        <v>6}</v>
      </c>
    </row>
    <row r="19" spans="2:15" x14ac:dyDescent="0.25">
      <c r="B19" t="s">
        <v>225</v>
      </c>
      <c r="C19" t="s">
        <v>202</v>
      </c>
    </row>
    <row r="20" spans="2:15" x14ac:dyDescent="0.25">
      <c r="B20" t="s">
        <v>214</v>
      </c>
      <c r="C20">
        <f>demon!B12</f>
        <v>22</v>
      </c>
      <c r="D20" t="s">
        <v>215</v>
      </c>
      <c r="E20">
        <v>0</v>
      </c>
      <c r="F20" t="s">
        <v>216</v>
      </c>
      <c r="G20" t="s">
        <v>217</v>
      </c>
      <c r="I20" t="s">
        <v>218</v>
      </c>
      <c r="J20" t="s">
        <v>219</v>
      </c>
      <c r="K20" t="s">
        <v>220</v>
      </c>
      <c r="L20" t="str">
        <f>CONCATENATE(demon!B13,"}")</f>
        <v>6}</v>
      </c>
    </row>
    <row r="21" spans="2:15" x14ac:dyDescent="0.25">
      <c r="B21" t="s">
        <v>226</v>
      </c>
      <c r="C21" t="s">
        <v>202</v>
      </c>
    </row>
    <row r="22" spans="2:15" x14ac:dyDescent="0.25">
      <c r="B22" t="s">
        <v>214</v>
      </c>
      <c r="C22">
        <f>demon!C12</f>
        <v>13</v>
      </c>
      <c r="D22" t="s">
        <v>215</v>
      </c>
      <c r="E22">
        <v>0</v>
      </c>
      <c r="F22" t="s">
        <v>216</v>
      </c>
      <c r="G22" t="s">
        <v>217</v>
      </c>
      <c r="I22" t="s">
        <v>218</v>
      </c>
      <c r="J22" t="s">
        <v>219</v>
      </c>
      <c r="K22" t="s">
        <v>220</v>
      </c>
      <c r="L22" t="str">
        <f>CONCATENATE(demon!C$13,"}}")</f>
        <v>1}}</v>
      </c>
    </row>
    <row r="23" spans="2:15" x14ac:dyDescent="0.25">
      <c r="B23" t="s">
        <v>228</v>
      </c>
      <c r="C23" t="s">
        <v>202</v>
      </c>
    </row>
    <row r="24" spans="2:15" x14ac:dyDescent="0.25">
      <c r="B24" t="s">
        <v>229</v>
      </c>
      <c r="C24" t="s">
        <v>202</v>
      </c>
    </row>
    <row r="25" spans="2:15" x14ac:dyDescent="0.25">
      <c r="B25" t="s">
        <v>230</v>
      </c>
      <c r="C25" t="s">
        <v>231</v>
      </c>
      <c r="D25" t="s">
        <v>232</v>
      </c>
      <c r="E25" t="s">
        <v>233</v>
      </c>
      <c r="F25" t="s">
        <v>234</v>
      </c>
      <c r="G25" t="s">
        <v>231</v>
      </c>
      <c r="H25" t="s">
        <v>235</v>
      </c>
      <c r="I25">
        <v>0</v>
      </c>
      <c r="J25" t="s">
        <v>214</v>
      </c>
      <c r="K25" t="s">
        <v>236</v>
      </c>
    </row>
    <row r="26" spans="2:15" x14ac:dyDescent="0.25">
      <c r="B26" t="s">
        <v>237</v>
      </c>
      <c r="C26" t="s">
        <v>202</v>
      </c>
    </row>
    <row r="27" spans="2:15" x14ac:dyDescent="0.25">
      <c r="B27" t="s">
        <v>214</v>
      </c>
      <c r="C27">
        <f>demon!B5</f>
        <v>128</v>
      </c>
      <c r="D27" t="s">
        <v>235</v>
      </c>
      <c r="E27">
        <v>0</v>
      </c>
      <c r="F27" t="s">
        <v>238</v>
      </c>
      <c r="G27">
        <f>C27</f>
        <v>128</v>
      </c>
      <c r="H27" t="s">
        <v>239</v>
      </c>
      <c r="I27" t="s">
        <v>231</v>
      </c>
      <c r="J27" t="s">
        <v>240</v>
      </c>
      <c r="K27">
        <v>0</v>
      </c>
      <c r="L27" t="s">
        <v>234</v>
      </c>
      <c r="M27" t="str">
        <f>CONCATENATE(demon!C5,"}")</f>
        <v>17d10 + 34}</v>
      </c>
    </row>
    <row r="28" spans="2:15" x14ac:dyDescent="0.25">
      <c r="B28" t="s">
        <v>241</v>
      </c>
      <c r="C28" t="s">
        <v>202</v>
      </c>
    </row>
    <row r="29" spans="2:15" x14ac:dyDescent="0.25">
      <c r="B29" t="s">
        <v>214</v>
      </c>
      <c r="C29" t="s">
        <v>242</v>
      </c>
      <c r="D29" t="s">
        <v>243</v>
      </c>
      <c r="E29">
        <v>0</v>
      </c>
      <c r="F29" t="s">
        <v>220</v>
      </c>
      <c r="G29">
        <v>0</v>
      </c>
      <c r="H29" t="s">
        <v>244</v>
      </c>
      <c r="I29">
        <f>demon!B10</f>
        <v>1</v>
      </c>
      <c r="J29" t="s">
        <v>245</v>
      </c>
      <c r="K29" t="s">
        <v>219</v>
      </c>
    </row>
    <row r="30" spans="2:15" x14ac:dyDescent="0.25">
      <c r="B30" t="s">
        <v>246</v>
      </c>
      <c r="C30" t="s">
        <v>202</v>
      </c>
    </row>
    <row r="31" spans="2:15" x14ac:dyDescent="0.25">
      <c r="B31" t="s">
        <v>247</v>
      </c>
      <c r="C31" t="str">
        <f>IF(LOWER(RIGHT(TRIM(demon!B7),LEN(B31)))=B31,K31,"null")</f>
        <v>null</v>
      </c>
      <c r="D31" t="s">
        <v>248</v>
      </c>
      <c r="E31" t="str">
        <f>IF(LOWER(RIGHT(TRIM(demon!B7),LEN(D31)))=D31,K31,"null")</f>
        <v>null</v>
      </c>
      <c r="F31" t="s">
        <v>249</v>
      </c>
      <c r="G31" t="str">
        <f>IF(LOWER(RIGHT(TRIM(demon!B7),LEN(F31)))=F31,K31,"null")</f>
        <v>30</v>
      </c>
      <c r="H31" t="s">
        <v>250</v>
      </c>
      <c r="I31" t="str">
        <f>IF(LOWER(RIGHT(TRIM(demon!B7),LEN(H31)))=H31,K31,"null")</f>
        <v>null</v>
      </c>
      <c r="J31" t="s">
        <v>251</v>
      </c>
      <c r="K31" t="str">
        <f>LEFT(demon!B7,2)</f>
        <v>30</v>
      </c>
      <c r="L31" t="s">
        <v>252</v>
      </c>
      <c r="M31" t="s">
        <v>253</v>
      </c>
      <c r="N31" t="s">
        <v>254</v>
      </c>
      <c r="O31" t="s">
        <v>255</v>
      </c>
    </row>
    <row r="32" spans="2:15" x14ac:dyDescent="0.25">
      <c r="B32" t="s">
        <v>256</v>
      </c>
      <c r="C32" t="s">
        <v>202</v>
      </c>
    </row>
    <row r="33" spans="2:20" x14ac:dyDescent="0.25">
      <c r="B33" t="s">
        <v>238</v>
      </c>
      <c r="C33" t="s">
        <v>222</v>
      </c>
    </row>
    <row r="34" spans="2:20" x14ac:dyDescent="0.25">
      <c r="B34" t="s">
        <v>257</v>
      </c>
      <c r="C34" t="s">
        <v>202</v>
      </c>
    </row>
    <row r="35" spans="2:20" x14ac:dyDescent="0.25">
      <c r="B35" t="s">
        <v>258</v>
      </c>
      <c r="C35" t="s">
        <v>259</v>
      </c>
      <c r="D35" t="s">
        <v>260</v>
      </c>
      <c r="E35">
        <v>0</v>
      </c>
      <c r="F35" t="s">
        <v>261</v>
      </c>
      <c r="G35">
        <v>0</v>
      </c>
      <c r="H35" t="s">
        <v>262</v>
      </c>
      <c r="I35">
        <v>0</v>
      </c>
      <c r="J35" t="s">
        <v>252</v>
      </c>
      <c r="K35" t="s">
        <v>253</v>
      </c>
      <c r="L35" t="s">
        <v>263</v>
      </c>
      <c r="M35" t="s">
        <v>264</v>
      </c>
    </row>
    <row r="36" spans="2:20" x14ac:dyDescent="0.25">
      <c r="B36" t="s">
        <v>265</v>
      </c>
    </row>
    <row r="37" spans="2:20" x14ac:dyDescent="0.25">
      <c r="B37" t="s">
        <v>245</v>
      </c>
      <c r="C37" t="s">
        <v>266</v>
      </c>
    </row>
    <row r="38" spans="2:20" x14ac:dyDescent="0.25">
      <c r="B38" t="s">
        <v>267</v>
      </c>
      <c r="C38" t="s">
        <v>268</v>
      </c>
    </row>
    <row r="39" spans="2:20" x14ac:dyDescent="0.25">
      <c r="B39" t="s">
        <v>264</v>
      </c>
    </row>
    <row r="40" spans="2:20" x14ac:dyDescent="0.25">
      <c r="B40" t="s">
        <v>269</v>
      </c>
      <c r="C40" t="s">
        <v>202</v>
      </c>
    </row>
    <row r="41" spans="2:20" x14ac:dyDescent="0.25">
      <c r="B41" t="s">
        <v>270</v>
      </c>
      <c r="C41" t="s">
        <v>202</v>
      </c>
    </row>
    <row r="42" spans="2:20" x14ac:dyDescent="0.25">
      <c r="B42" t="s">
        <v>214</v>
      </c>
      <c r="C42" t="s">
        <v>271</v>
      </c>
      <c r="D42" t="s">
        <v>272</v>
      </c>
      <c r="E42" t="s">
        <v>273</v>
      </c>
      <c r="F42" t="s">
        <v>274</v>
      </c>
      <c r="G42" t="s">
        <v>275</v>
      </c>
      <c r="H42" t="s">
        <v>276</v>
      </c>
      <c r="I42" t="s">
        <v>277</v>
      </c>
      <c r="J42" t="s">
        <v>278</v>
      </c>
      <c r="K42" t="s">
        <v>279</v>
      </c>
      <c r="L42" t="s">
        <v>280</v>
      </c>
      <c r="M42" t="s">
        <v>281</v>
      </c>
      <c r="N42" t="s">
        <v>282</v>
      </c>
      <c r="O42" t="s">
        <v>283</v>
      </c>
      <c r="P42" t="s">
        <v>284</v>
      </c>
      <c r="Q42" t="s">
        <v>285</v>
      </c>
      <c r="R42" t="s">
        <v>286</v>
      </c>
      <c r="S42" t="s">
        <v>287</v>
      </c>
      <c r="T42" t="s">
        <v>264</v>
      </c>
    </row>
    <row r="43" spans="2:20" x14ac:dyDescent="0.25">
      <c r="B43" t="s">
        <v>288</v>
      </c>
      <c r="C43" t="s">
        <v>289</v>
      </c>
    </row>
    <row r="44" spans="2:20" x14ac:dyDescent="0.25">
      <c r="B44" t="s">
        <v>290</v>
      </c>
    </row>
    <row r="45" spans="2:20" x14ac:dyDescent="0.25">
      <c r="B45" t="s">
        <v>199</v>
      </c>
      <c r="C45" t="s">
        <v>202</v>
      </c>
    </row>
    <row r="46" spans="2:20" x14ac:dyDescent="0.25">
      <c r="B46" t="s">
        <v>214</v>
      </c>
      <c r="C46" t="s">
        <v>291</v>
      </c>
      <c r="D46" t="s">
        <v>292</v>
      </c>
      <c r="F46" t="s">
        <v>293</v>
      </c>
      <c r="G46" t="s">
        <v>231</v>
      </c>
      <c r="H46" t="s">
        <v>294</v>
      </c>
      <c r="I46" t="s">
        <v>264</v>
      </c>
    </row>
    <row r="47" spans="2:20" x14ac:dyDescent="0.25">
      <c r="B47" t="s">
        <v>295</v>
      </c>
      <c r="C47" t="s">
        <v>296</v>
      </c>
    </row>
    <row r="48" spans="2:20" x14ac:dyDescent="0.25">
      <c r="B48" t="s">
        <v>297</v>
      </c>
      <c r="C48" t="s">
        <v>298</v>
      </c>
    </row>
    <row r="49" spans="2:10" x14ac:dyDescent="0.25">
      <c r="B49" t="s">
        <v>299</v>
      </c>
      <c r="C49" t="s">
        <v>242</v>
      </c>
    </row>
    <row r="50" spans="2:10" x14ac:dyDescent="0.25">
      <c r="B50" t="s">
        <v>300</v>
      </c>
      <c r="C50" t="s">
        <v>202</v>
      </c>
    </row>
    <row r="51" spans="2:10" x14ac:dyDescent="0.25">
      <c r="B51" t="s">
        <v>214</v>
      </c>
      <c r="C51" t="s">
        <v>301</v>
      </c>
    </row>
    <row r="52" spans="2:10" x14ac:dyDescent="0.25">
      <c r="B52" t="s">
        <v>206</v>
      </c>
      <c r="C52" t="s">
        <v>207</v>
      </c>
    </row>
    <row r="53" spans="2:10" x14ac:dyDescent="0.25">
      <c r="B53" t="s">
        <v>302</v>
      </c>
      <c r="C53" t="s">
        <v>303</v>
      </c>
    </row>
    <row r="54" spans="2:10" x14ac:dyDescent="0.25">
      <c r="B54" t="s">
        <v>264</v>
      </c>
    </row>
    <row r="55" spans="2:10" x14ac:dyDescent="0.25">
      <c r="B55" t="s">
        <v>304</v>
      </c>
      <c r="C55" t="s">
        <v>202</v>
      </c>
    </row>
    <row r="56" spans="2:10" x14ac:dyDescent="0.25">
      <c r="B56" t="s">
        <v>305</v>
      </c>
      <c r="C56" t="s">
        <v>306</v>
      </c>
    </row>
    <row r="57" spans="2:10" x14ac:dyDescent="0.25">
      <c r="B57" t="s">
        <v>307</v>
      </c>
      <c r="C57" t="s">
        <v>202</v>
      </c>
    </row>
    <row r="58" spans="2:10" x14ac:dyDescent="0.25">
      <c r="B58" t="s">
        <v>214</v>
      </c>
      <c r="C58" t="s">
        <v>308</v>
      </c>
      <c r="D58" t="s">
        <v>309</v>
      </c>
      <c r="E58" t="s">
        <v>310</v>
      </c>
      <c r="F58" t="s">
        <v>294</v>
      </c>
      <c r="G58" t="s">
        <v>264</v>
      </c>
    </row>
    <row r="59" spans="2:10" x14ac:dyDescent="0.25">
      <c r="B59" t="s">
        <v>311</v>
      </c>
      <c r="C59" t="s">
        <v>202</v>
      </c>
    </row>
    <row r="60" spans="2:10" x14ac:dyDescent="0.25">
      <c r="B60" t="s">
        <v>214</v>
      </c>
      <c r="C60" t="s">
        <v>312</v>
      </c>
      <c r="D60" t="s">
        <v>309</v>
      </c>
      <c r="E60" t="s">
        <v>313</v>
      </c>
      <c r="F60" t="s">
        <v>294</v>
      </c>
      <c r="G60" t="s">
        <v>264</v>
      </c>
    </row>
    <row r="61" spans="2:10" x14ac:dyDescent="0.25">
      <c r="B61" t="s">
        <v>314</v>
      </c>
      <c r="C61" t="s">
        <v>202</v>
      </c>
    </row>
    <row r="62" spans="2:10" x14ac:dyDescent="0.25">
      <c r="B62" t="s">
        <v>214</v>
      </c>
      <c r="C62" t="s">
        <v>310</v>
      </c>
      <c r="D62" t="s">
        <v>309</v>
      </c>
      <c r="E62" t="s">
        <v>310</v>
      </c>
      <c r="F62" t="s">
        <v>294</v>
      </c>
      <c r="G62" t="s">
        <v>264</v>
      </c>
    </row>
    <row r="63" spans="2:10" x14ac:dyDescent="0.25">
      <c r="B63" t="s">
        <v>315</v>
      </c>
      <c r="C63" t="s">
        <v>202</v>
      </c>
    </row>
    <row r="64" spans="2:10" x14ac:dyDescent="0.25">
      <c r="B64" t="s">
        <v>214</v>
      </c>
      <c r="C64" t="s">
        <v>316</v>
      </c>
      <c r="D64" t="s">
        <v>317</v>
      </c>
      <c r="E64" t="s">
        <v>318</v>
      </c>
      <c r="F64" t="s">
        <v>319</v>
      </c>
      <c r="G64" t="s">
        <v>320</v>
      </c>
      <c r="H64" t="s">
        <v>321</v>
      </c>
      <c r="I64" t="s">
        <v>294</v>
      </c>
      <c r="J64" t="s">
        <v>264</v>
      </c>
    </row>
    <row r="65" spans="2:11" x14ac:dyDescent="0.25">
      <c r="B65" t="s">
        <v>322</v>
      </c>
      <c r="C65" t="s">
        <v>202</v>
      </c>
    </row>
    <row r="66" spans="2:11" x14ac:dyDescent="0.25">
      <c r="B66" t="s">
        <v>214</v>
      </c>
      <c r="C66" t="s">
        <v>310</v>
      </c>
      <c r="D66" t="s">
        <v>294</v>
      </c>
      <c r="E66" t="s">
        <v>323</v>
      </c>
    </row>
    <row r="67" spans="2:11" x14ac:dyDescent="0.25">
      <c r="B67" t="s">
        <v>324</v>
      </c>
      <c r="C67" t="s">
        <v>202</v>
      </c>
    </row>
    <row r="68" spans="2:11" x14ac:dyDescent="0.25">
      <c r="B68" t="s">
        <v>325</v>
      </c>
      <c r="C68" t="s">
        <v>242</v>
      </c>
      <c r="D68" t="s">
        <v>326</v>
      </c>
      <c r="E68">
        <v>0</v>
      </c>
      <c r="F68" t="s">
        <v>327</v>
      </c>
      <c r="G68">
        <v>0</v>
      </c>
      <c r="H68" t="s">
        <v>328</v>
      </c>
      <c r="I68">
        <v>0</v>
      </c>
      <c r="J68" t="s">
        <v>329</v>
      </c>
      <c r="K68" t="s">
        <v>219</v>
      </c>
    </row>
    <row r="69" spans="2:11" x14ac:dyDescent="0.25">
      <c r="B69" t="s">
        <v>330</v>
      </c>
      <c r="C69" t="s">
        <v>202</v>
      </c>
    </row>
    <row r="70" spans="2:11" x14ac:dyDescent="0.25">
      <c r="B70" t="s">
        <v>331</v>
      </c>
      <c r="C70" t="s">
        <v>202</v>
      </c>
    </row>
    <row r="71" spans="2:11" x14ac:dyDescent="0.25">
      <c r="B71" t="s">
        <v>214</v>
      </c>
      <c r="C71" t="s">
        <v>242</v>
      </c>
      <c r="D71" t="s">
        <v>332</v>
      </c>
      <c r="E71" t="s">
        <v>221</v>
      </c>
      <c r="F71" t="s">
        <v>216</v>
      </c>
      <c r="G71" t="s">
        <v>217</v>
      </c>
      <c r="H71">
        <v>0</v>
      </c>
      <c r="I71" t="s">
        <v>333</v>
      </c>
      <c r="J71" t="s">
        <v>334</v>
      </c>
    </row>
    <row r="72" spans="2:11" x14ac:dyDescent="0.25">
      <c r="B72" t="s">
        <v>335</v>
      </c>
      <c r="C72" t="s">
        <v>202</v>
      </c>
    </row>
    <row r="73" spans="2:11" x14ac:dyDescent="0.25">
      <c r="B73" t="s">
        <v>214</v>
      </c>
      <c r="C73" t="s">
        <v>242</v>
      </c>
      <c r="D73" t="s">
        <v>332</v>
      </c>
      <c r="E73" t="s">
        <v>225</v>
      </c>
      <c r="F73" t="s">
        <v>216</v>
      </c>
      <c r="G73" t="s">
        <v>217</v>
      </c>
      <c r="H73">
        <v>0</v>
      </c>
      <c r="I73" t="s">
        <v>333</v>
      </c>
      <c r="J73" t="s">
        <v>334</v>
      </c>
    </row>
    <row r="74" spans="2:11" x14ac:dyDescent="0.25">
      <c r="B74" t="s">
        <v>336</v>
      </c>
      <c r="C74" t="s">
        <v>202</v>
      </c>
    </row>
    <row r="75" spans="2:11" x14ac:dyDescent="0.25">
      <c r="B75" t="s">
        <v>214</v>
      </c>
      <c r="C75" t="s">
        <v>242</v>
      </c>
      <c r="D75" t="s">
        <v>332</v>
      </c>
      <c r="E75" t="s">
        <v>224</v>
      </c>
      <c r="F75" t="s">
        <v>216</v>
      </c>
      <c r="G75" t="s">
        <v>217</v>
      </c>
      <c r="H75">
        <v>0</v>
      </c>
      <c r="I75" t="s">
        <v>333</v>
      </c>
      <c r="J75" t="s">
        <v>334</v>
      </c>
    </row>
    <row r="76" spans="2:11" x14ac:dyDescent="0.25">
      <c r="B76" t="s">
        <v>337</v>
      </c>
      <c r="C76" t="s">
        <v>202</v>
      </c>
    </row>
    <row r="77" spans="2:11" x14ac:dyDescent="0.25">
      <c r="B77" t="s">
        <v>214</v>
      </c>
      <c r="C77" t="s">
        <v>242</v>
      </c>
      <c r="D77" t="s">
        <v>332</v>
      </c>
      <c r="E77" t="s">
        <v>213</v>
      </c>
      <c r="F77" t="s">
        <v>216</v>
      </c>
      <c r="G77" t="s">
        <v>217</v>
      </c>
      <c r="H77">
        <v>0</v>
      </c>
      <c r="I77" t="s">
        <v>333</v>
      </c>
      <c r="J77" t="s">
        <v>334</v>
      </c>
    </row>
    <row r="78" spans="2:11" x14ac:dyDescent="0.25">
      <c r="B78" t="s">
        <v>338</v>
      </c>
      <c r="C78" t="s">
        <v>202</v>
      </c>
    </row>
    <row r="79" spans="2:11" x14ac:dyDescent="0.25">
      <c r="B79" t="s">
        <v>214</v>
      </c>
      <c r="C79" t="s">
        <v>242</v>
      </c>
      <c r="D79" t="s">
        <v>332</v>
      </c>
      <c r="E79" t="s">
        <v>226</v>
      </c>
      <c r="F79" t="s">
        <v>216</v>
      </c>
      <c r="G79" t="s">
        <v>217</v>
      </c>
      <c r="H79">
        <v>0</v>
      </c>
      <c r="I79" t="s">
        <v>333</v>
      </c>
      <c r="J79" t="s">
        <v>334</v>
      </c>
    </row>
    <row r="80" spans="2:11" x14ac:dyDescent="0.25">
      <c r="B80" t="s">
        <v>339</v>
      </c>
      <c r="C80" t="s">
        <v>202</v>
      </c>
    </row>
    <row r="81" spans="2:10" x14ac:dyDescent="0.25">
      <c r="B81" t="s">
        <v>214</v>
      </c>
      <c r="C81" t="s">
        <v>242</v>
      </c>
      <c r="D81" t="s">
        <v>332</v>
      </c>
      <c r="E81" t="s">
        <v>224</v>
      </c>
      <c r="F81" t="s">
        <v>216</v>
      </c>
      <c r="G81" t="s">
        <v>217</v>
      </c>
      <c r="H81">
        <v>0</v>
      </c>
      <c r="I81" t="s">
        <v>333</v>
      </c>
      <c r="J81" t="s">
        <v>334</v>
      </c>
    </row>
    <row r="82" spans="2:10" x14ac:dyDescent="0.25">
      <c r="B82" t="s">
        <v>340</v>
      </c>
      <c r="C82" t="s">
        <v>202</v>
      </c>
    </row>
    <row r="83" spans="2:10" x14ac:dyDescent="0.25">
      <c r="B83" t="s">
        <v>214</v>
      </c>
      <c r="C83" t="s">
        <v>242</v>
      </c>
      <c r="D83" t="s">
        <v>332</v>
      </c>
      <c r="E83" t="s">
        <v>225</v>
      </c>
      <c r="F83" t="s">
        <v>216</v>
      </c>
      <c r="G83" t="s">
        <v>217</v>
      </c>
      <c r="H83">
        <v>0</v>
      </c>
      <c r="I83" t="s">
        <v>333</v>
      </c>
      <c r="J83" t="s">
        <v>334</v>
      </c>
    </row>
    <row r="84" spans="2:10" x14ac:dyDescent="0.25">
      <c r="B84" t="s">
        <v>341</v>
      </c>
      <c r="C84" t="s">
        <v>202</v>
      </c>
    </row>
    <row r="85" spans="2:10" x14ac:dyDescent="0.25">
      <c r="B85" t="s">
        <v>214</v>
      </c>
      <c r="C85" t="s">
        <v>242</v>
      </c>
      <c r="D85" t="s">
        <v>332</v>
      </c>
      <c r="E85" t="s">
        <v>226</v>
      </c>
      <c r="F85" t="s">
        <v>216</v>
      </c>
      <c r="G85" t="s">
        <v>217</v>
      </c>
      <c r="H85">
        <v>0</v>
      </c>
      <c r="I85" t="s">
        <v>333</v>
      </c>
      <c r="J85" t="s">
        <v>334</v>
      </c>
    </row>
    <row r="86" spans="2:10" x14ac:dyDescent="0.25">
      <c r="B86" t="s">
        <v>342</v>
      </c>
      <c r="C86" t="s">
        <v>202</v>
      </c>
    </row>
    <row r="87" spans="2:10" x14ac:dyDescent="0.25">
      <c r="B87" t="s">
        <v>214</v>
      </c>
      <c r="C87" t="s">
        <v>242</v>
      </c>
      <c r="D87" t="s">
        <v>332</v>
      </c>
      <c r="E87" t="s">
        <v>224</v>
      </c>
      <c r="F87" t="s">
        <v>216</v>
      </c>
      <c r="G87" t="s">
        <v>217</v>
      </c>
      <c r="H87">
        <v>0</v>
      </c>
      <c r="I87" t="s">
        <v>333</v>
      </c>
      <c r="J87" t="s">
        <v>334</v>
      </c>
    </row>
    <row r="88" spans="2:10" x14ac:dyDescent="0.25">
      <c r="B88" t="s">
        <v>306</v>
      </c>
      <c r="C88" t="s">
        <v>202</v>
      </c>
    </row>
    <row r="89" spans="2:10" x14ac:dyDescent="0.25">
      <c r="B89" t="s">
        <v>214</v>
      </c>
      <c r="C89" t="s">
        <v>242</v>
      </c>
      <c r="D89" t="s">
        <v>332</v>
      </c>
      <c r="E89" t="s">
        <v>225</v>
      </c>
      <c r="F89" t="s">
        <v>216</v>
      </c>
      <c r="G89" t="s">
        <v>217</v>
      </c>
      <c r="H89">
        <v>0</v>
      </c>
      <c r="I89" t="s">
        <v>333</v>
      </c>
      <c r="J89" t="s">
        <v>334</v>
      </c>
    </row>
    <row r="90" spans="2:10" x14ac:dyDescent="0.25">
      <c r="B90" t="s">
        <v>343</v>
      </c>
      <c r="C90" t="s">
        <v>202</v>
      </c>
    </row>
    <row r="91" spans="2:10" x14ac:dyDescent="0.25">
      <c r="B91" t="s">
        <v>214</v>
      </c>
      <c r="C91" t="s">
        <v>242</v>
      </c>
      <c r="D91" t="s">
        <v>332</v>
      </c>
      <c r="E91" t="s">
        <v>224</v>
      </c>
      <c r="F91" t="s">
        <v>216</v>
      </c>
      <c r="G91" t="s">
        <v>217</v>
      </c>
      <c r="H91">
        <v>0</v>
      </c>
      <c r="I91" t="s">
        <v>333</v>
      </c>
      <c r="J91" t="s">
        <v>334</v>
      </c>
    </row>
    <row r="92" spans="2:10" x14ac:dyDescent="0.25">
      <c r="B92" t="s">
        <v>344</v>
      </c>
      <c r="C92" t="s">
        <v>202</v>
      </c>
    </row>
    <row r="93" spans="2:10" x14ac:dyDescent="0.25">
      <c r="B93" t="s">
        <v>214</v>
      </c>
      <c r="C93" t="s">
        <v>242</v>
      </c>
      <c r="D93" t="s">
        <v>332</v>
      </c>
      <c r="E93" t="s">
        <v>225</v>
      </c>
      <c r="F93" t="s">
        <v>216</v>
      </c>
      <c r="G93" t="s">
        <v>217</v>
      </c>
      <c r="H93">
        <v>0</v>
      </c>
      <c r="I93" t="s">
        <v>333</v>
      </c>
      <c r="J93" t="s">
        <v>334</v>
      </c>
    </row>
    <row r="94" spans="2:10" x14ac:dyDescent="0.25">
      <c r="B94" t="s">
        <v>345</v>
      </c>
      <c r="C94" t="s">
        <v>202</v>
      </c>
    </row>
    <row r="95" spans="2:10" x14ac:dyDescent="0.25">
      <c r="B95" t="s">
        <v>214</v>
      </c>
      <c r="C95" t="s">
        <v>242</v>
      </c>
      <c r="D95" t="s">
        <v>332</v>
      </c>
      <c r="E95" t="s">
        <v>226</v>
      </c>
      <c r="F95" t="s">
        <v>216</v>
      </c>
      <c r="G95" t="s">
        <v>217</v>
      </c>
      <c r="H95">
        <v>0</v>
      </c>
      <c r="I95" t="s">
        <v>333</v>
      </c>
      <c r="J95" t="s">
        <v>334</v>
      </c>
    </row>
    <row r="96" spans="2:10" x14ac:dyDescent="0.25">
      <c r="B96" t="s">
        <v>346</v>
      </c>
      <c r="C96" t="s">
        <v>202</v>
      </c>
    </row>
    <row r="97" spans="2:10" x14ac:dyDescent="0.25">
      <c r="B97" t="s">
        <v>214</v>
      </c>
      <c r="C97" t="s">
        <v>242</v>
      </c>
      <c r="D97" t="s">
        <v>332</v>
      </c>
      <c r="E97" t="s">
        <v>226</v>
      </c>
      <c r="F97" t="s">
        <v>216</v>
      </c>
      <c r="G97" t="s">
        <v>217</v>
      </c>
      <c r="H97">
        <v>0</v>
      </c>
      <c r="I97" t="s">
        <v>333</v>
      </c>
      <c r="J97" t="s">
        <v>334</v>
      </c>
    </row>
    <row r="98" spans="2:10" x14ac:dyDescent="0.25">
      <c r="B98" t="s">
        <v>347</v>
      </c>
      <c r="C98" t="s">
        <v>202</v>
      </c>
    </row>
    <row r="99" spans="2:10" x14ac:dyDescent="0.25">
      <c r="B99" t="s">
        <v>214</v>
      </c>
      <c r="C99" t="s">
        <v>242</v>
      </c>
      <c r="D99" t="s">
        <v>332</v>
      </c>
      <c r="E99" t="s">
        <v>224</v>
      </c>
      <c r="F99" t="s">
        <v>216</v>
      </c>
      <c r="G99" t="s">
        <v>217</v>
      </c>
      <c r="H99">
        <v>0</v>
      </c>
      <c r="I99" t="s">
        <v>333</v>
      </c>
      <c r="J99" t="s">
        <v>334</v>
      </c>
    </row>
    <row r="100" spans="2:10" x14ac:dyDescent="0.25">
      <c r="B100" t="s">
        <v>348</v>
      </c>
      <c r="C100" t="s">
        <v>202</v>
      </c>
    </row>
    <row r="101" spans="2:10" x14ac:dyDescent="0.25">
      <c r="B101" t="s">
        <v>214</v>
      </c>
      <c r="C101" t="s">
        <v>242</v>
      </c>
      <c r="D101" t="s">
        <v>332</v>
      </c>
      <c r="E101" t="s">
        <v>221</v>
      </c>
      <c r="F101" t="s">
        <v>216</v>
      </c>
      <c r="G101" t="s">
        <v>217</v>
      </c>
      <c r="H101">
        <v>0</v>
      </c>
      <c r="I101" t="s">
        <v>333</v>
      </c>
      <c r="J101" t="s">
        <v>334</v>
      </c>
    </row>
    <row r="102" spans="2:10" x14ac:dyDescent="0.25">
      <c r="B102" t="s">
        <v>349</v>
      </c>
      <c r="C102" t="s">
        <v>202</v>
      </c>
    </row>
    <row r="103" spans="2:10" x14ac:dyDescent="0.25">
      <c r="B103" t="s">
        <v>214</v>
      </c>
      <c r="C103" t="s">
        <v>266</v>
      </c>
      <c r="D103" t="s">
        <v>332</v>
      </c>
      <c r="E103" t="s">
        <v>221</v>
      </c>
      <c r="F103" t="s">
        <v>216</v>
      </c>
      <c r="G103" t="s">
        <v>217</v>
      </c>
      <c r="H103">
        <v>0</v>
      </c>
      <c r="I103" t="s">
        <v>333</v>
      </c>
      <c r="J103" t="s">
        <v>334</v>
      </c>
    </row>
    <row r="104" spans="2:10" x14ac:dyDescent="0.25">
      <c r="B104" t="s">
        <v>350</v>
      </c>
      <c r="C104" t="s">
        <v>202</v>
      </c>
    </row>
    <row r="105" spans="2:10" x14ac:dyDescent="0.25">
      <c r="B105" t="s">
        <v>214</v>
      </c>
      <c r="C105" t="s">
        <v>242</v>
      </c>
      <c r="D105" t="s">
        <v>332</v>
      </c>
      <c r="E105" t="s">
        <v>225</v>
      </c>
      <c r="F105" t="s">
        <v>216</v>
      </c>
      <c r="G105" t="s">
        <v>217</v>
      </c>
      <c r="H105">
        <v>0</v>
      </c>
      <c r="I105" t="s">
        <v>333</v>
      </c>
      <c r="J105" t="s">
        <v>334</v>
      </c>
    </row>
    <row r="106" spans="2:10" x14ac:dyDescent="0.25">
      <c r="B106" t="s">
        <v>351</v>
      </c>
      <c r="C106" t="s">
        <v>202</v>
      </c>
    </row>
    <row r="107" spans="2:10" x14ac:dyDescent="0.25">
      <c r="B107" t="s">
        <v>214</v>
      </c>
      <c r="C107" t="s">
        <v>242</v>
      </c>
      <c r="D107" t="s">
        <v>332</v>
      </c>
      <c r="E107" t="s">
        <v>221</v>
      </c>
      <c r="F107" t="s">
        <v>216</v>
      </c>
      <c r="G107" t="s">
        <v>217</v>
      </c>
      <c r="I107" t="s">
        <v>333</v>
      </c>
      <c r="J107" t="s">
        <v>334</v>
      </c>
    </row>
    <row r="108" spans="2:10" x14ac:dyDescent="0.25">
      <c r="B108" t="s">
        <v>352</v>
      </c>
      <c r="C108" t="s">
        <v>202</v>
      </c>
    </row>
    <row r="109" spans="2:10" x14ac:dyDescent="0.25">
      <c r="B109" t="s">
        <v>214</v>
      </c>
      <c r="C109" t="s">
        <v>242</v>
      </c>
      <c r="D109" t="s">
        <v>332</v>
      </c>
      <c r="E109" t="s">
        <v>224</v>
      </c>
      <c r="F109" t="s">
        <v>216</v>
      </c>
      <c r="G109" t="s">
        <v>217</v>
      </c>
      <c r="I109" t="s">
        <v>333</v>
      </c>
      <c r="J109" t="s">
        <v>334</v>
      </c>
    </row>
    <row r="110" spans="2:10" x14ac:dyDescent="0.25">
      <c r="B110" t="s">
        <v>353</v>
      </c>
      <c r="C110" t="s">
        <v>202</v>
      </c>
    </row>
    <row r="111" spans="2:10" x14ac:dyDescent="0.25">
      <c r="B111" t="s">
        <v>214</v>
      </c>
      <c r="C111" t="s">
        <v>242</v>
      </c>
      <c r="D111" t="s">
        <v>332</v>
      </c>
      <c r="E111" t="s">
        <v>224</v>
      </c>
      <c r="F111" t="s">
        <v>216</v>
      </c>
      <c r="G111" t="s">
        <v>217</v>
      </c>
      <c r="I111" t="s">
        <v>333</v>
      </c>
      <c r="J111" t="s">
        <v>334</v>
      </c>
    </row>
    <row r="112" spans="2:10" x14ac:dyDescent="0.25">
      <c r="B112" t="s">
        <v>354</v>
      </c>
      <c r="C112" t="s">
        <v>202</v>
      </c>
    </row>
    <row r="113" spans="2:10" x14ac:dyDescent="0.25">
      <c r="B113" t="s">
        <v>214</v>
      </c>
      <c r="C113" t="s">
        <v>242</v>
      </c>
      <c r="D113" t="s">
        <v>332</v>
      </c>
      <c r="E113" t="s">
        <v>224</v>
      </c>
      <c r="F113" t="s">
        <v>216</v>
      </c>
      <c r="G113" t="s">
        <v>217</v>
      </c>
      <c r="I113" t="s">
        <v>333</v>
      </c>
      <c r="J113" t="s">
        <v>334</v>
      </c>
    </row>
    <row r="114" spans="2:10" x14ac:dyDescent="0.25">
      <c r="B114" t="s">
        <v>355</v>
      </c>
      <c r="C114" t="s">
        <v>202</v>
      </c>
    </row>
    <row r="115" spans="2:10" x14ac:dyDescent="0.25">
      <c r="B115" t="s">
        <v>214</v>
      </c>
      <c r="C115" t="s">
        <v>242</v>
      </c>
      <c r="D115" t="s">
        <v>332</v>
      </c>
      <c r="E115" t="s">
        <v>225</v>
      </c>
      <c r="F115" t="s">
        <v>216</v>
      </c>
      <c r="G115" t="s">
        <v>217</v>
      </c>
      <c r="I115" t="s">
        <v>333</v>
      </c>
      <c r="J115" t="s">
        <v>334</v>
      </c>
    </row>
    <row r="116" spans="2:10" x14ac:dyDescent="0.25">
      <c r="B116" t="s">
        <v>356</v>
      </c>
      <c r="C116" t="s">
        <v>202</v>
      </c>
    </row>
    <row r="117" spans="2:10" x14ac:dyDescent="0.25">
      <c r="B117" t="s">
        <v>214</v>
      </c>
      <c r="C117" t="s">
        <v>242</v>
      </c>
      <c r="D117" t="s">
        <v>332</v>
      </c>
      <c r="E117" t="s">
        <v>226</v>
      </c>
      <c r="F117" t="s">
        <v>216</v>
      </c>
      <c r="G117" t="s">
        <v>217</v>
      </c>
      <c r="I117" t="s">
        <v>333</v>
      </c>
      <c r="J117" t="s">
        <v>334</v>
      </c>
    </row>
    <row r="118" spans="2:10" x14ac:dyDescent="0.25">
      <c r="B118" t="s">
        <v>264</v>
      </c>
    </row>
    <row r="119" spans="2:10" x14ac:dyDescent="0.25">
      <c r="B119" t="s">
        <v>357</v>
      </c>
      <c r="C119" t="s">
        <v>202</v>
      </c>
    </row>
    <row r="120" spans="2:10" x14ac:dyDescent="0.25">
      <c r="B120" t="s">
        <v>358</v>
      </c>
      <c r="C120" t="s">
        <v>202</v>
      </c>
    </row>
    <row r="121" spans="2:10" x14ac:dyDescent="0.25">
      <c r="B121" t="s">
        <v>214</v>
      </c>
      <c r="C121" t="s">
        <v>242</v>
      </c>
      <c r="D121" t="s">
        <v>359</v>
      </c>
      <c r="E121" t="s">
        <v>231</v>
      </c>
      <c r="F121" t="s">
        <v>238</v>
      </c>
      <c r="G121" t="s">
        <v>219</v>
      </c>
    </row>
    <row r="122" spans="2:10" x14ac:dyDescent="0.25">
      <c r="B122" t="s">
        <v>360</v>
      </c>
      <c r="C122" t="s">
        <v>202</v>
      </c>
    </row>
    <row r="123" spans="2:10" x14ac:dyDescent="0.25">
      <c r="B123" t="s">
        <v>214</v>
      </c>
      <c r="C123" t="s">
        <v>242</v>
      </c>
      <c r="D123" t="s">
        <v>359</v>
      </c>
      <c r="E123" t="s">
        <v>231</v>
      </c>
      <c r="F123" t="s">
        <v>238</v>
      </c>
      <c r="G123" t="s">
        <v>219</v>
      </c>
    </row>
    <row r="124" spans="2:10" x14ac:dyDescent="0.25">
      <c r="B124" t="s">
        <v>361</v>
      </c>
      <c r="C124" t="s">
        <v>202</v>
      </c>
    </row>
    <row r="125" spans="2:10" x14ac:dyDescent="0.25">
      <c r="B125" t="s">
        <v>214</v>
      </c>
      <c r="C125" t="s">
        <v>242</v>
      </c>
      <c r="D125" t="s">
        <v>359</v>
      </c>
      <c r="E125" t="s">
        <v>231</v>
      </c>
      <c r="F125" t="s">
        <v>238</v>
      </c>
      <c r="G125" t="s">
        <v>219</v>
      </c>
    </row>
    <row r="126" spans="2:10" x14ac:dyDescent="0.25">
      <c r="B126" t="s">
        <v>362</v>
      </c>
      <c r="C126" t="s">
        <v>202</v>
      </c>
    </row>
    <row r="127" spans="2:10" x14ac:dyDescent="0.25">
      <c r="B127" t="s">
        <v>214</v>
      </c>
      <c r="C127" t="s">
        <v>242</v>
      </c>
      <c r="D127" t="s">
        <v>359</v>
      </c>
      <c r="E127" t="s">
        <v>231</v>
      </c>
      <c r="F127" t="s">
        <v>238</v>
      </c>
      <c r="G127" t="s">
        <v>219</v>
      </c>
    </row>
    <row r="128" spans="2:10" x14ac:dyDescent="0.25">
      <c r="B128" t="s">
        <v>363</v>
      </c>
      <c r="C128" t="s">
        <v>202</v>
      </c>
    </row>
    <row r="129" spans="2:7" x14ac:dyDescent="0.25">
      <c r="B129" t="s">
        <v>214</v>
      </c>
      <c r="C129" t="s">
        <v>242</v>
      </c>
      <c r="D129" t="s">
        <v>359</v>
      </c>
      <c r="E129" t="s">
        <v>231</v>
      </c>
      <c r="F129" t="s">
        <v>238</v>
      </c>
      <c r="G129" t="s">
        <v>219</v>
      </c>
    </row>
    <row r="130" spans="2:7" x14ac:dyDescent="0.25">
      <c r="B130" t="s">
        <v>364</v>
      </c>
      <c r="C130" t="s">
        <v>202</v>
      </c>
    </row>
    <row r="131" spans="2:7" x14ac:dyDescent="0.25">
      <c r="B131" t="s">
        <v>214</v>
      </c>
      <c r="C131" t="s">
        <v>242</v>
      </c>
      <c r="D131" t="s">
        <v>359</v>
      </c>
      <c r="E131" t="s">
        <v>231</v>
      </c>
      <c r="F131" t="s">
        <v>238</v>
      </c>
      <c r="G131" t="s">
        <v>219</v>
      </c>
    </row>
    <row r="132" spans="2:7" x14ac:dyDescent="0.25">
      <c r="B132" t="s">
        <v>365</v>
      </c>
      <c r="C132" t="s">
        <v>202</v>
      </c>
    </row>
    <row r="133" spans="2:7" x14ac:dyDescent="0.25">
      <c r="B133" t="s">
        <v>214</v>
      </c>
      <c r="C133" t="s">
        <v>242</v>
      </c>
      <c r="D133" t="s">
        <v>359</v>
      </c>
      <c r="E133" t="s">
        <v>231</v>
      </c>
      <c r="F133" t="s">
        <v>238</v>
      </c>
      <c r="G133" t="s">
        <v>219</v>
      </c>
    </row>
    <row r="134" spans="2:7" x14ac:dyDescent="0.25">
      <c r="B134" t="s">
        <v>366</v>
      </c>
      <c r="C134" t="s">
        <v>202</v>
      </c>
    </row>
    <row r="135" spans="2:7" x14ac:dyDescent="0.25">
      <c r="B135" t="s">
        <v>214</v>
      </c>
      <c r="C135" t="s">
        <v>242</v>
      </c>
      <c r="D135" t="s">
        <v>359</v>
      </c>
      <c r="E135" t="s">
        <v>231</v>
      </c>
      <c r="F135" t="s">
        <v>238</v>
      </c>
      <c r="G135" t="s">
        <v>219</v>
      </c>
    </row>
    <row r="136" spans="2:7" x14ac:dyDescent="0.25">
      <c r="B136" t="s">
        <v>367</v>
      </c>
      <c r="C136" t="s">
        <v>202</v>
      </c>
    </row>
    <row r="137" spans="2:7" x14ac:dyDescent="0.25">
      <c r="B137" t="s">
        <v>214</v>
      </c>
      <c r="C137" t="s">
        <v>242</v>
      </c>
      <c r="D137" t="s">
        <v>359</v>
      </c>
      <c r="E137" t="s">
        <v>231</v>
      </c>
      <c r="F137" t="s">
        <v>238</v>
      </c>
      <c r="G137" t="s">
        <v>219</v>
      </c>
    </row>
    <row r="138" spans="2:7" x14ac:dyDescent="0.25">
      <c r="B138" t="s">
        <v>368</v>
      </c>
      <c r="C138" t="s">
        <v>202</v>
      </c>
    </row>
    <row r="139" spans="2:7" x14ac:dyDescent="0.25">
      <c r="B139" t="s">
        <v>214</v>
      </c>
      <c r="C139" t="s">
        <v>242</v>
      </c>
      <c r="D139" t="s">
        <v>359</v>
      </c>
      <c r="E139" t="s">
        <v>236</v>
      </c>
    </row>
    <row r="140" spans="2:7" x14ac:dyDescent="0.25">
      <c r="B140" t="s">
        <v>369</v>
      </c>
      <c r="C140" t="s">
        <v>202</v>
      </c>
    </row>
    <row r="141" spans="2:7" x14ac:dyDescent="0.25">
      <c r="B141" t="s">
        <v>214</v>
      </c>
      <c r="C141" t="s">
        <v>242</v>
      </c>
      <c r="D141" t="s">
        <v>238</v>
      </c>
      <c r="E141" t="s">
        <v>370</v>
      </c>
    </row>
    <row r="142" spans="2:7" x14ac:dyDescent="0.25">
      <c r="B142" t="s">
        <v>216</v>
      </c>
      <c r="C142" t="s">
        <v>202</v>
      </c>
    </row>
    <row r="143" spans="2:7" x14ac:dyDescent="0.25">
      <c r="B143" t="s">
        <v>371</v>
      </c>
      <c r="C143" t="s">
        <v>202</v>
      </c>
    </row>
    <row r="144" spans="2:7" x14ac:dyDescent="0.25">
      <c r="B144" t="s">
        <v>372</v>
      </c>
      <c r="D144" t="s">
        <v>373</v>
      </c>
      <c r="E144" t="s">
        <v>264</v>
      </c>
    </row>
    <row r="145" spans="2:7" x14ac:dyDescent="0.25">
      <c r="B145" t="s">
        <v>374</v>
      </c>
      <c r="C145" t="s">
        <v>202</v>
      </c>
    </row>
    <row r="146" spans="2:7" x14ac:dyDescent="0.25">
      <c r="B146" t="s">
        <v>372</v>
      </c>
      <c r="D146" t="s">
        <v>373</v>
      </c>
      <c r="E146" t="s">
        <v>264</v>
      </c>
    </row>
    <row r="147" spans="2:7" x14ac:dyDescent="0.25">
      <c r="B147" t="s">
        <v>375</v>
      </c>
      <c r="C147" t="s">
        <v>202</v>
      </c>
    </row>
    <row r="148" spans="2:7" x14ac:dyDescent="0.25">
      <c r="B148" t="s">
        <v>372</v>
      </c>
      <c r="D148" t="s">
        <v>373</v>
      </c>
      <c r="E148" t="s">
        <v>264</v>
      </c>
    </row>
    <row r="149" spans="2:7" x14ac:dyDescent="0.25">
      <c r="B149" t="s">
        <v>376</v>
      </c>
      <c r="C149" t="s">
        <v>202</v>
      </c>
    </row>
    <row r="150" spans="2:7" x14ac:dyDescent="0.25">
      <c r="B150" t="s">
        <v>372</v>
      </c>
      <c r="D150" t="s">
        <v>373</v>
      </c>
      <c r="E150" t="s">
        <v>264</v>
      </c>
    </row>
    <row r="151" spans="2:7" x14ac:dyDescent="0.25">
      <c r="B151" t="s">
        <v>212</v>
      </c>
      <c r="C151" t="s">
        <v>202</v>
      </c>
    </row>
    <row r="152" spans="2:7" x14ac:dyDescent="0.25">
      <c r="B152" t="s">
        <v>377</v>
      </c>
      <c r="D152" t="s">
        <v>218</v>
      </c>
      <c r="F152" t="s">
        <v>378</v>
      </c>
      <c r="G152" t="s">
        <v>264</v>
      </c>
    </row>
    <row r="153" spans="2:7" x14ac:dyDescent="0.25">
      <c r="B153" t="s">
        <v>379</v>
      </c>
      <c r="C153" t="s">
        <v>202</v>
      </c>
    </row>
    <row r="154" spans="2:7" x14ac:dyDescent="0.25">
      <c r="B154" t="s">
        <v>380</v>
      </c>
      <c r="C154" t="s">
        <v>334</v>
      </c>
    </row>
    <row r="155" spans="2:7" x14ac:dyDescent="0.25">
      <c r="B155" t="s">
        <v>381</v>
      </c>
      <c r="C155" t="s">
        <v>202</v>
      </c>
    </row>
    <row r="156" spans="2:7" x14ac:dyDescent="0.25">
      <c r="B156" t="s">
        <v>382</v>
      </c>
      <c r="C156" t="s">
        <v>202</v>
      </c>
    </row>
    <row r="157" spans="2:7" x14ac:dyDescent="0.25">
      <c r="B157" t="s">
        <v>214</v>
      </c>
      <c r="C157" t="s">
        <v>242</v>
      </c>
      <c r="D157" t="s">
        <v>238</v>
      </c>
      <c r="E157" t="s">
        <v>219</v>
      </c>
    </row>
    <row r="158" spans="2:7" x14ac:dyDescent="0.25">
      <c r="B158" t="s">
        <v>383</v>
      </c>
      <c r="C158" t="s">
        <v>202</v>
      </c>
    </row>
    <row r="159" spans="2:7" x14ac:dyDescent="0.25">
      <c r="B159" t="s">
        <v>214</v>
      </c>
      <c r="C159" t="s">
        <v>242</v>
      </c>
      <c r="D159" t="s">
        <v>238</v>
      </c>
      <c r="E159" t="s">
        <v>219</v>
      </c>
    </row>
    <row r="160" spans="2:7" x14ac:dyDescent="0.25">
      <c r="B160" t="s">
        <v>384</v>
      </c>
      <c r="C160" t="s">
        <v>202</v>
      </c>
    </row>
    <row r="161" spans="2:15" x14ac:dyDescent="0.25">
      <c r="B161" t="s">
        <v>214</v>
      </c>
      <c r="C161" t="s">
        <v>385</v>
      </c>
      <c r="D161" t="s">
        <v>386</v>
      </c>
      <c r="E161" t="s">
        <v>387</v>
      </c>
    </row>
    <row r="162" spans="2:15" x14ac:dyDescent="0.25">
      <c r="B162" t="s">
        <v>388</v>
      </c>
      <c r="C162" t="s">
        <v>202</v>
      </c>
    </row>
    <row r="163" spans="2:15" x14ac:dyDescent="0.25">
      <c r="B163" t="s">
        <v>389</v>
      </c>
      <c r="C163" t="s">
        <v>390</v>
      </c>
      <c r="D163" t="s">
        <v>391</v>
      </c>
      <c r="E163">
        <v>-1</v>
      </c>
      <c r="F163" t="s">
        <v>392</v>
      </c>
      <c r="G163">
        <v>40</v>
      </c>
    </row>
    <row r="164" spans="2:15" x14ac:dyDescent="0.25">
      <c r="B164" t="s">
        <v>393</v>
      </c>
      <c r="C164" t="s">
        <v>202</v>
      </c>
    </row>
    <row r="165" spans="2:15" x14ac:dyDescent="0.25">
      <c r="B165" t="s">
        <v>394</v>
      </c>
      <c r="C165" t="s">
        <v>395</v>
      </c>
    </row>
    <row r="166" spans="2:15" x14ac:dyDescent="0.25">
      <c r="B166" t="s">
        <v>396</v>
      </c>
      <c r="C166" t="s">
        <v>202</v>
      </c>
    </row>
    <row r="167" spans="2:15" x14ac:dyDescent="0.25">
      <c r="B167" t="s">
        <v>394</v>
      </c>
      <c r="C167" t="s">
        <v>236</v>
      </c>
    </row>
    <row r="168" spans="2:15" x14ac:dyDescent="0.25">
      <c r="B168" t="s">
        <v>397</v>
      </c>
      <c r="C168" t="s">
        <v>196</v>
      </c>
    </row>
    <row r="169" spans="2:15" x14ac:dyDescent="0.25">
      <c r="B169" t="s">
        <v>398</v>
      </c>
      <c r="C169" t="s">
        <v>202</v>
      </c>
    </row>
    <row r="170" spans="2:15" x14ac:dyDescent="0.25">
      <c r="B170" t="s">
        <v>399</v>
      </c>
      <c r="C170" t="s">
        <v>400</v>
      </c>
      <c r="D170" t="s">
        <v>401</v>
      </c>
      <c r="E170">
        <v>1</v>
      </c>
      <c r="F170" t="s">
        <v>402</v>
      </c>
      <c r="G170">
        <v>1</v>
      </c>
      <c r="H170" t="s">
        <v>403</v>
      </c>
      <c r="I170">
        <v>0</v>
      </c>
      <c r="J170" t="s">
        <v>404</v>
      </c>
      <c r="K170">
        <v>0</v>
      </c>
      <c r="L170" t="s">
        <v>405</v>
      </c>
      <c r="M170">
        <v>0</v>
      </c>
      <c r="N170" t="s">
        <v>406</v>
      </c>
      <c r="O170" t="s">
        <v>236</v>
      </c>
    </row>
    <row r="171" spans="2:15" x14ac:dyDescent="0.25">
      <c r="B171" t="s">
        <v>407</v>
      </c>
      <c r="C171" t="s">
        <v>227</v>
      </c>
    </row>
    <row r="172" spans="2:15" x14ac:dyDescent="0.25">
      <c r="B172" t="s">
        <v>408</v>
      </c>
      <c r="C172" t="s">
        <v>227</v>
      </c>
    </row>
    <row r="173" spans="2:15" x14ac:dyDescent="0.25">
      <c r="B173" t="s">
        <v>405</v>
      </c>
      <c r="C173" t="s">
        <v>242</v>
      </c>
    </row>
    <row r="174" spans="2:15" x14ac:dyDescent="0.25">
      <c r="B174" t="s">
        <v>409</v>
      </c>
      <c r="C174" t="s">
        <v>385</v>
      </c>
    </row>
    <row r="175" spans="2:15" x14ac:dyDescent="0.25">
      <c r="B175" t="s">
        <v>201</v>
      </c>
      <c r="C175" t="s">
        <v>303</v>
      </c>
    </row>
    <row r="176" spans="2:15" x14ac:dyDescent="0.25">
      <c r="B176" t="s">
        <v>410</v>
      </c>
      <c r="C176" t="s">
        <v>385</v>
      </c>
    </row>
    <row r="177" spans="2:32" x14ac:dyDescent="0.25">
      <c r="B177" t="s">
        <v>411</v>
      </c>
      <c r="C177" t="s">
        <v>202</v>
      </c>
    </row>
    <row r="178" spans="2:32" x14ac:dyDescent="0.25">
      <c r="B178" t="s">
        <v>412</v>
      </c>
      <c r="C178" t="s">
        <v>385</v>
      </c>
      <c r="D178" t="s">
        <v>413</v>
      </c>
      <c r="E178">
        <v>60</v>
      </c>
      <c r="F178" t="s">
        <v>414</v>
      </c>
      <c r="G178">
        <v>0</v>
      </c>
      <c r="H178" t="s">
        <v>415</v>
      </c>
      <c r="I178">
        <v>360</v>
      </c>
      <c r="J178" t="s">
        <v>416</v>
      </c>
      <c r="K178" t="s">
        <v>417</v>
      </c>
      <c r="L178" t="s">
        <v>418</v>
      </c>
      <c r="M178" t="s">
        <v>231</v>
      </c>
      <c r="N178" t="s">
        <v>419</v>
      </c>
      <c r="O178" t="s">
        <v>420</v>
      </c>
      <c r="P178" t="s">
        <v>421</v>
      </c>
      <c r="Q178">
        <v>0</v>
      </c>
      <c r="R178" t="s">
        <v>422</v>
      </c>
      <c r="S178" t="s">
        <v>219</v>
      </c>
    </row>
    <row r="179" spans="2:32" x14ac:dyDescent="0.25">
      <c r="B179" t="s">
        <v>423</v>
      </c>
      <c r="C179" t="s">
        <v>385</v>
      </c>
    </row>
    <row r="180" spans="2:32" x14ac:dyDescent="0.25">
      <c r="B180" t="s">
        <v>424</v>
      </c>
      <c r="C180" t="s">
        <v>227</v>
      </c>
    </row>
    <row r="181" spans="2:32" x14ac:dyDescent="0.25">
      <c r="B181" t="s">
        <v>425</v>
      </c>
      <c r="C181" t="s">
        <v>202</v>
      </c>
    </row>
    <row r="182" spans="2:32" x14ac:dyDescent="0.25">
      <c r="B182" t="s">
        <v>424</v>
      </c>
      <c r="C182" t="s">
        <v>426</v>
      </c>
      <c r="D182" t="s">
        <v>415</v>
      </c>
      <c r="E182">
        <v>360</v>
      </c>
      <c r="F182" t="s">
        <v>427</v>
      </c>
      <c r="G182">
        <v>0</v>
      </c>
      <c r="H182" t="s">
        <v>418</v>
      </c>
      <c r="I182" t="s">
        <v>231</v>
      </c>
      <c r="J182" t="s">
        <v>428</v>
      </c>
      <c r="K182">
        <v>1</v>
      </c>
      <c r="L182" t="s">
        <v>429</v>
      </c>
      <c r="M182">
        <v>0</v>
      </c>
      <c r="N182" t="s">
        <v>419</v>
      </c>
      <c r="O182" t="s">
        <v>426</v>
      </c>
      <c r="P182" t="s">
        <v>430</v>
      </c>
      <c r="Q182" t="s">
        <v>426</v>
      </c>
      <c r="R182" t="s">
        <v>421</v>
      </c>
      <c r="S182">
        <v>0</v>
      </c>
      <c r="T182" t="s">
        <v>422</v>
      </c>
      <c r="U182">
        <v>0</v>
      </c>
      <c r="V182" t="s">
        <v>431</v>
      </c>
      <c r="W182">
        <v>0</v>
      </c>
      <c r="X182" t="s">
        <v>432</v>
      </c>
      <c r="Y182" t="s">
        <v>433</v>
      </c>
      <c r="Z182" t="s">
        <v>231</v>
      </c>
      <c r="AA182" t="s">
        <v>434</v>
      </c>
      <c r="AB182">
        <v>5</v>
      </c>
      <c r="AC182" t="s">
        <v>435</v>
      </c>
      <c r="AD182">
        <v>5</v>
      </c>
      <c r="AE182" t="s">
        <v>436</v>
      </c>
      <c r="AF182" t="s">
        <v>255</v>
      </c>
    </row>
    <row r="183" spans="2:32" x14ac:dyDescent="0.25">
      <c r="B183" t="s">
        <v>437</v>
      </c>
      <c r="C183" t="s">
        <v>202</v>
      </c>
    </row>
    <row r="184" spans="2:32" x14ac:dyDescent="0.25">
      <c r="B184" t="s">
        <v>235</v>
      </c>
      <c r="C184" t="s">
        <v>242</v>
      </c>
      <c r="D184" t="s">
        <v>238</v>
      </c>
      <c r="E184" t="s">
        <v>438</v>
      </c>
    </row>
    <row r="185" spans="2:32" x14ac:dyDescent="0.25">
      <c r="B185" t="s">
        <v>439</v>
      </c>
      <c r="C185" t="s">
        <v>440</v>
      </c>
    </row>
    <row r="186" spans="2:32" x14ac:dyDescent="0.25">
      <c r="B186" t="s">
        <v>441</v>
      </c>
      <c r="C186" t="s">
        <v>442</v>
      </c>
    </row>
    <row r="187" spans="2:32" x14ac:dyDescent="0.25">
      <c r="B187" t="s">
        <v>195</v>
      </c>
      <c r="C187" t="s">
        <v>443</v>
      </c>
    </row>
    <row r="188" spans="2:32" x14ac:dyDescent="0.25">
      <c r="B188" t="s">
        <v>444</v>
      </c>
      <c r="C188" t="s">
        <v>445</v>
      </c>
    </row>
    <row r="189" spans="2:32" x14ac:dyDescent="0.25">
      <c r="B189" t="s">
        <v>197</v>
      </c>
      <c r="C189" t="s">
        <v>446</v>
      </c>
    </row>
    <row r="190" spans="2:32" x14ac:dyDescent="0.25">
      <c r="B190" t="s">
        <v>199</v>
      </c>
      <c r="C190" t="s">
        <v>447</v>
      </c>
    </row>
    <row r="191" spans="2:32" x14ac:dyDescent="0.25">
      <c r="B191" t="s">
        <v>211</v>
      </c>
      <c r="C191" t="s">
        <v>202</v>
      </c>
    </row>
    <row r="192" spans="2:32" x14ac:dyDescent="0.25">
      <c r="B192" t="s">
        <v>448</v>
      </c>
      <c r="C192" t="s">
        <v>202</v>
      </c>
    </row>
    <row r="193" spans="2:16" x14ac:dyDescent="0.25">
      <c r="B193" t="s">
        <v>214</v>
      </c>
      <c r="C193" t="s">
        <v>449</v>
      </c>
      <c r="D193" t="s">
        <v>450</v>
      </c>
      <c r="E193" t="s">
        <v>451</v>
      </c>
      <c r="F193" t="s">
        <v>452</v>
      </c>
      <c r="G193" t="s">
        <v>453</v>
      </c>
      <c r="H193" t="s">
        <v>454</v>
      </c>
      <c r="I193" t="s">
        <v>455</v>
      </c>
      <c r="J193" t="s">
        <v>456</v>
      </c>
      <c r="K193" t="s">
        <v>457</v>
      </c>
      <c r="L193" t="s">
        <v>458</v>
      </c>
      <c r="M193" t="s">
        <v>459</v>
      </c>
      <c r="O193" t="s">
        <v>460</v>
      </c>
      <c r="P193" t="s">
        <v>264</v>
      </c>
    </row>
    <row r="194" spans="2:16" x14ac:dyDescent="0.25">
      <c r="B194" t="s">
        <v>206</v>
      </c>
      <c r="C194" t="s">
        <v>207</v>
      </c>
    </row>
    <row r="195" spans="2:16" x14ac:dyDescent="0.25">
      <c r="B195" t="s">
        <v>461</v>
      </c>
      <c r="C195" t="s">
        <v>227</v>
      </c>
      <c r="D195" t="s">
        <v>462</v>
      </c>
      <c r="E195">
        <v>0</v>
      </c>
      <c r="F195" t="s">
        <v>463</v>
      </c>
      <c r="G195">
        <v>0</v>
      </c>
      <c r="H195" t="s">
        <v>256</v>
      </c>
      <c r="I195">
        <v>0</v>
      </c>
    </row>
    <row r="196" spans="2:16" x14ac:dyDescent="0.25">
      <c r="B196" t="s">
        <v>464</v>
      </c>
      <c r="C196" t="s">
        <v>385</v>
      </c>
    </row>
    <row r="197" spans="2:16" x14ac:dyDescent="0.25">
      <c r="B197" t="s">
        <v>465</v>
      </c>
    </row>
    <row r="198" spans="2:16" x14ac:dyDescent="0.25">
      <c r="B198" t="s">
        <v>466</v>
      </c>
      <c r="C198" t="s">
        <v>467</v>
      </c>
    </row>
    <row r="199" spans="2:16" x14ac:dyDescent="0.25">
      <c r="B199" t="s">
        <v>468</v>
      </c>
      <c r="C199" t="s">
        <v>202</v>
      </c>
    </row>
    <row r="200" spans="2:16" x14ac:dyDescent="0.25">
      <c r="B200" t="s">
        <v>199</v>
      </c>
      <c r="C200" t="s">
        <v>469</v>
      </c>
      <c r="D200" t="s">
        <v>470</v>
      </c>
      <c r="E200">
        <v>1</v>
      </c>
      <c r="F200" t="s">
        <v>471</v>
      </c>
      <c r="G200" t="s">
        <v>264</v>
      </c>
    </row>
    <row r="201" spans="2:16" x14ac:dyDescent="0.25">
      <c r="B201" t="s">
        <v>472</v>
      </c>
      <c r="C201" t="s">
        <v>202</v>
      </c>
    </row>
    <row r="202" spans="2:16" x14ac:dyDescent="0.25">
      <c r="B202" t="s">
        <v>214</v>
      </c>
      <c r="C202" t="s">
        <v>231</v>
      </c>
      <c r="D202" t="s">
        <v>252</v>
      </c>
      <c r="E202" t="s">
        <v>264</v>
      </c>
    </row>
    <row r="203" spans="2:16" x14ac:dyDescent="0.25">
      <c r="B203" t="s">
        <v>473</v>
      </c>
      <c r="C203" t="s">
        <v>202</v>
      </c>
    </row>
    <row r="204" spans="2:16" x14ac:dyDescent="0.25">
      <c r="B204" t="s">
        <v>214</v>
      </c>
      <c r="C204" t="s">
        <v>231</v>
      </c>
      <c r="D204" t="s">
        <v>407</v>
      </c>
      <c r="E204" t="s">
        <v>231</v>
      </c>
      <c r="F204" t="s">
        <v>252</v>
      </c>
      <c r="H204" t="s">
        <v>199</v>
      </c>
      <c r="I204" t="s">
        <v>264</v>
      </c>
    </row>
    <row r="205" spans="2:16" x14ac:dyDescent="0.25">
      <c r="B205" t="s">
        <v>413</v>
      </c>
      <c r="C205" t="s">
        <v>202</v>
      </c>
    </row>
    <row r="206" spans="2:16" x14ac:dyDescent="0.25">
      <c r="B206" t="s">
        <v>214</v>
      </c>
      <c r="C206" t="s">
        <v>474</v>
      </c>
      <c r="D206" t="s">
        <v>475</v>
      </c>
      <c r="E206" t="s">
        <v>231</v>
      </c>
      <c r="F206" t="s">
        <v>252</v>
      </c>
      <c r="G206" t="s">
        <v>476</v>
      </c>
    </row>
    <row r="207" spans="2:16" x14ac:dyDescent="0.25">
      <c r="B207" t="s">
        <v>477</v>
      </c>
      <c r="C207" t="s">
        <v>202</v>
      </c>
    </row>
    <row r="208" spans="2:16" x14ac:dyDescent="0.25">
      <c r="B208" t="s">
        <v>214</v>
      </c>
      <c r="C208" t="s">
        <v>231</v>
      </c>
      <c r="D208" t="s">
        <v>238</v>
      </c>
      <c r="F208" t="s">
        <v>346</v>
      </c>
      <c r="G208" t="s">
        <v>231</v>
      </c>
      <c r="H208" t="s">
        <v>478</v>
      </c>
      <c r="I208" t="s">
        <v>264</v>
      </c>
    </row>
    <row r="209" spans="2:7" x14ac:dyDescent="0.25">
      <c r="B209" t="s">
        <v>479</v>
      </c>
      <c r="C209" t="s">
        <v>202</v>
      </c>
    </row>
    <row r="210" spans="2:7" x14ac:dyDescent="0.25">
      <c r="B210" t="s">
        <v>199</v>
      </c>
      <c r="D210" t="s">
        <v>473</v>
      </c>
      <c r="E210" t="s">
        <v>231</v>
      </c>
      <c r="F210" t="s">
        <v>480</v>
      </c>
      <c r="G210" t="s">
        <v>236</v>
      </c>
    </row>
    <row r="211" spans="2:7" x14ac:dyDescent="0.25">
      <c r="B211" t="s">
        <v>332</v>
      </c>
      <c r="C211" t="s">
        <v>221</v>
      </c>
    </row>
    <row r="212" spans="2:7" x14ac:dyDescent="0.25">
      <c r="B212" t="s">
        <v>481</v>
      </c>
      <c r="C212" t="s">
        <v>371</v>
      </c>
    </row>
    <row r="213" spans="2:7" x14ac:dyDescent="0.25">
      <c r="B213" t="s">
        <v>482</v>
      </c>
      <c r="C213" t="s">
        <v>242</v>
      </c>
    </row>
    <row r="214" spans="2:7" x14ac:dyDescent="0.25">
      <c r="B214" t="s">
        <v>483</v>
      </c>
    </row>
    <row r="215" spans="2:7" x14ac:dyDescent="0.25">
      <c r="B215" t="s">
        <v>484</v>
      </c>
      <c r="C215" t="s">
        <v>202</v>
      </c>
    </row>
    <row r="216" spans="2:7" x14ac:dyDescent="0.25">
      <c r="B216" t="s">
        <v>485</v>
      </c>
      <c r="C216" t="s">
        <v>231</v>
      </c>
      <c r="D216" t="s">
        <v>373</v>
      </c>
      <c r="E216" t="s">
        <v>264</v>
      </c>
    </row>
    <row r="217" spans="2:7" x14ac:dyDescent="0.25">
      <c r="B217" t="s">
        <v>373</v>
      </c>
      <c r="C217" t="s">
        <v>202</v>
      </c>
    </row>
    <row r="218" spans="2:7" x14ac:dyDescent="0.25">
      <c r="B218" t="s">
        <v>486</v>
      </c>
      <c r="C218" t="s">
        <v>487</v>
      </c>
      <c r="D218" t="s">
        <v>488</v>
      </c>
      <c r="E218" t="s">
        <v>489</v>
      </c>
      <c r="F218" t="s">
        <v>264</v>
      </c>
    </row>
    <row r="219" spans="2:7" x14ac:dyDescent="0.25">
      <c r="B219" t="s">
        <v>234</v>
      </c>
    </row>
    <row r="220" spans="2:7" x14ac:dyDescent="0.25">
      <c r="B220" t="s">
        <v>218</v>
      </c>
      <c r="C220" t="s">
        <v>202</v>
      </c>
    </row>
    <row r="221" spans="2:7" x14ac:dyDescent="0.25">
      <c r="B221" t="s">
        <v>332</v>
      </c>
      <c r="C221" t="s">
        <v>223</v>
      </c>
      <c r="D221" t="s">
        <v>380</v>
      </c>
      <c r="E221">
        <v>13</v>
      </c>
      <c r="F221" t="s">
        <v>490</v>
      </c>
      <c r="G221" t="s">
        <v>491</v>
      </c>
    </row>
    <row r="222" spans="2:7" x14ac:dyDescent="0.25">
      <c r="B222" t="s">
        <v>492</v>
      </c>
      <c r="C222" t="s">
        <v>202</v>
      </c>
    </row>
    <row r="223" spans="2:7" x14ac:dyDescent="0.25">
      <c r="B223" t="s">
        <v>214</v>
      </c>
      <c r="C223" t="s">
        <v>493</v>
      </c>
    </row>
    <row r="224" spans="2:7" x14ac:dyDescent="0.25">
      <c r="B224" t="s">
        <v>237</v>
      </c>
      <c r="C224" t="s">
        <v>202</v>
      </c>
    </row>
    <row r="225" spans="2:9" x14ac:dyDescent="0.25">
      <c r="B225" t="s">
        <v>214</v>
      </c>
      <c r="C225" t="s">
        <v>242</v>
      </c>
      <c r="D225" t="s">
        <v>238</v>
      </c>
      <c r="E225">
        <v>0</v>
      </c>
      <c r="F225" t="s">
        <v>494</v>
      </c>
      <c r="G225" t="s">
        <v>231</v>
      </c>
      <c r="H225" t="s">
        <v>495</v>
      </c>
      <c r="I225" t="s">
        <v>264</v>
      </c>
    </row>
    <row r="226" spans="2:9" x14ac:dyDescent="0.25">
      <c r="B226" t="s">
        <v>496</v>
      </c>
      <c r="C226" t="s">
        <v>497</v>
      </c>
    </row>
    <row r="227" spans="2:9" x14ac:dyDescent="0.25">
      <c r="B227" t="s">
        <v>498</v>
      </c>
    </row>
    <row r="228" spans="2:9" x14ac:dyDescent="0.25">
      <c r="B228" t="s">
        <v>499</v>
      </c>
      <c r="C228" t="s">
        <v>303</v>
      </c>
    </row>
    <row r="229" spans="2:9" x14ac:dyDescent="0.25">
      <c r="B229" t="s">
        <v>215</v>
      </c>
      <c r="C229" t="s">
        <v>467</v>
      </c>
    </row>
    <row r="230" spans="2:9" x14ac:dyDescent="0.25">
      <c r="B230" t="s">
        <v>500</v>
      </c>
      <c r="C230" t="s">
        <v>202</v>
      </c>
    </row>
    <row r="231" spans="2:9" x14ac:dyDescent="0.25">
      <c r="B231" t="s">
        <v>214</v>
      </c>
      <c r="C231" t="s">
        <v>231</v>
      </c>
      <c r="D231" t="s">
        <v>501</v>
      </c>
      <c r="E231" t="s">
        <v>502</v>
      </c>
    </row>
    <row r="232" spans="2:9" x14ac:dyDescent="0.25">
      <c r="B232" t="s">
        <v>201</v>
      </c>
      <c r="C232" t="s">
        <v>202</v>
      </c>
    </row>
    <row r="233" spans="2:9" x14ac:dyDescent="0.25">
      <c r="B233" t="s">
        <v>203</v>
      </c>
      <c r="C233" t="s">
        <v>202</v>
      </c>
    </row>
    <row r="234" spans="2:9" x14ac:dyDescent="0.25">
      <c r="B234" t="s">
        <v>204</v>
      </c>
      <c r="C234" t="s">
        <v>503</v>
      </c>
      <c r="D234" t="s">
        <v>206</v>
      </c>
      <c r="E234" t="s">
        <v>207</v>
      </c>
      <c r="F234" t="s">
        <v>208</v>
      </c>
      <c r="G234" t="s">
        <v>504</v>
      </c>
    </row>
    <row r="235" spans="2:9" x14ac:dyDescent="0.25">
      <c r="B235" t="s">
        <v>505</v>
      </c>
      <c r="C235" t="s">
        <v>310</v>
      </c>
    </row>
    <row r="236" spans="2:9" x14ac:dyDescent="0.25">
      <c r="B236" t="s">
        <v>506</v>
      </c>
      <c r="C236" t="s">
        <v>231</v>
      </c>
    </row>
    <row r="237" spans="2:9" x14ac:dyDescent="0.25">
      <c r="B237" t="s">
        <v>507</v>
      </c>
      <c r="C237" t="s">
        <v>242</v>
      </c>
    </row>
    <row r="238" spans="2:9" x14ac:dyDescent="0.25">
      <c r="B238" t="s">
        <v>508</v>
      </c>
      <c r="C238" t="s">
        <v>202</v>
      </c>
    </row>
    <row r="239" spans="2:9" x14ac:dyDescent="0.25">
      <c r="B239" t="s">
        <v>233</v>
      </c>
      <c r="C239" t="s">
        <v>219</v>
      </c>
    </row>
    <row r="240" spans="2:9" x14ac:dyDescent="0.25">
      <c r="B240" t="s">
        <v>509</v>
      </c>
      <c r="C240" t="s">
        <v>202</v>
      </c>
    </row>
    <row r="241" spans="2:13" x14ac:dyDescent="0.25">
      <c r="B241" t="s">
        <v>510</v>
      </c>
      <c r="C241" t="s">
        <v>231</v>
      </c>
      <c r="D241" t="s">
        <v>511</v>
      </c>
      <c r="E241" t="s">
        <v>231</v>
      </c>
      <c r="F241" t="s">
        <v>512</v>
      </c>
      <c r="G241" t="s">
        <v>231</v>
      </c>
      <c r="H241" t="s">
        <v>513</v>
      </c>
      <c r="I241" t="s">
        <v>231</v>
      </c>
      <c r="J241" t="s">
        <v>514</v>
      </c>
      <c r="K241" t="s">
        <v>231</v>
      </c>
      <c r="L241" t="s">
        <v>515</v>
      </c>
      <c r="M241" t="s">
        <v>236</v>
      </c>
    </row>
    <row r="242" spans="2:13" x14ac:dyDescent="0.25">
      <c r="B242"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demon</vt:lpstr>
      <vt:lpstr>info</vt:lpstr>
      <vt:lpstr>Theme Spells</vt:lpstr>
      <vt:lpstr>Soulrend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Jhonatan Samuel Gimenes do Carmo</dc:creator>
  <cp:lastModifiedBy>Aspen G. C.</cp:lastModifiedBy>
  <dcterms:created xsi:type="dcterms:W3CDTF">2022-02-07T18:57:40Z</dcterms:created>
  <dcterms:modified xsi:type="dcterms:W3CDTF">2024-04-01T16:15:06Z</dcterms:modified>
</cp:coreProperties>
</file>