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ome\Downloads\"/>
    </mc:Choice>
  </mc:AlternateContent>
  <xr:revisionPtr revIDLastSave="0" documentId="13_ncr:1_{C8903356-A1F6-4EAB-ACFF-C3ED144209DB}" xr6:coauthVersionLast="47" xr6:coauthVersionMax="47" xr10:uidLastSave="{00000000-0000-0000-0000-000000000000}"/>
  <bookViews>
    <workbookView xWindow="-60" yWindow="-60" windowWidth="28920" windowHeight="17400" tabRatio="500" activeTab="4" xr2:uid="{00000000-000D-0000-FFFF-FFFF00000000}"/>
  </bookViews>
  <sheets>
    <sheet name="Perf Overview + Raster Summary" sheetId="1" r:id="rId1"/>
    <sheet name="Combined Summary" sheetId="2" r:id="rId2"/>
    <sheet name="Analysis Summary" sheetId="3" r:id="rId3"/>
    <sheet name="Movement Vectors" sheetId="4" r:id="rId4"/>
    <sheet name="Basic L1" sheetId="5" r:id="rId5"/>
    <sheet name="Basic L2" sheetId="6" r:id="rId6"/>
    <sheet name="Advanced L1" sheetId="7" r:id="rId7"/>
    <sheet name="Germany L1" sheetId="8" r:id="rId8"/>
    <sheet name="Japan L7" sheetId="9" r:id="rId9"/>
    <sheet name="Snowden Tower L1" sheetId="10" r:id="rId10"/>
    <sheet name="Snowden Tower L2" sheetId="11" r:id="rId11"/>
  </sheets>
  <definedNames>
    <definedName name="_xlnm._FilterDatabase" localSheetId="6" hidden="1">'Advanced L1'!$A$1:$H$47</definedName>
    <definedName name="_xlnm._FilterDatabase" localSheetId="4" hidden="1">'Basic L1'!$A$1:$H$14</definedName>
    <definedName name="_xlnm._FilterDatabase" localSheetId="5" hidden="1">'Basic L2'!$A$1:$H$19</definedName>
    <definedName name="_xlnm._FilterDatabase" localSheetId="7" hidden="1">'Germany L1'!$A$1:$H$23</definedName>
    <definedName name="_xlnm._FilterDatabase" localSheetId="8" hidden="1">'Japan L7'!$A$1:$H$101</definedName>
    <definedName name="_xlnm._FilterDatabase" localSheetId="9" hidden="1">'Snowden Tower L1'!$A$1:$H$72</definedName>
    <definedName name="_xlnm._FilterDatabase" localSheetId="10" hidden="1">'Snowden Tower L2'!$A$1:$H$59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46" i="1" l="1"/>
  <c r="J95" i="11"/>
  <c r="J94" i="11"/>
  <c r="J93" i="11"/>
  <c r="J92" i="11"/>
  <c r="J91" i="11"/>
  <c r="K86" i="11"/>
  <c r="J86" i="11"/>
  <c r="B77" i="11"/>
  <c r="B76" i="11"/>
  <c r="B75" i="11"/>
  <c r="B74" i="11"/>
  <c r="B73" i="11"/>
  <c r="Q70" i="11"/>
  <c r="P70" i="11"/>
  <c r="O70" i="11"/>
  <c r="N70" i="11"/>
  <c r="M70" i="11"/>
  <c r="R70" i="11" s="1"/>
  <c r="L70" i="11"/>
  <c r="K70" i="11"/>
  <c r="J70" i="11"/>
  <c r="S70" i="11" s="1"/>
  <c r="S69" i="11"/>
  <c r="R69" i="11"/>
  <c r="Q69" i="11"/>
  <c r="P69" i="11"/>
  <c r="O69" i="11"/>
  <c r="M69" i="11"/>
  <c r="L69" i="11"/>
  <c r="K69" i="11"/>
  <c r="N69" i="11" s="1"/>
  <c r="J69" i="11"/>
  <c r="Q68" i="11"/>
  <c r="P68" i="11"/>
  <c r="O68" i="11"/>
  <c r="N68" i="11"/>
  <c r="M68" i="11"/>
  <c r="R68" i="11" s="1"/>
  <c r="L68" i="11"/>
  <c r="K68" i="11"/>
  <c r="J68" i="11"/>
  <c r="S68" i="11" s="1"/>
  <c r="Q67" i="11"/>
  <c r="P67" i="11"/>
  <c r="O67" i="11"/>
  <c r="L67" i="11"/>
  <c r="K67" i="11"/>
  <c r="N67" i="11" s="1"/>
  <c r="J67" i="11"/>
  <c r="S67" i="11" s="1"/>
  <c r="S66" i="11"/>
  <c r="Q66" i="11"/>
  <c r="P66" i="11"/>
  <c r="O66" i="11"/>
  <c r="N66" i="11"/>
  <c r="M66" i="11"/>
  <c r="R66" i="11" s="1"/>
  <c r="L66" i="11"/>
  <c r="K66" i="11"/>
  <c r="J66" i="11"/>
  <c r="Q65" i="11"/>
  <c r="P65" i="11"/>
  <c r="O65" i="11"/>
  <c r="L65" i="11"/>
  <c r="N65" i="11" s="1"/>
  <c r="K65" i="11"/>
  <c r="K77" i="11" s="1"/>
  <c r="J65" i="11"/>
  <c r="S65" i="11" s="1"/>
  <c r="Q64" i="11"/>
  <c r="P64" i="11"/>
  <c r="O64" i="11"/>
  <c r="L64" i="11"/>
  <c r="N64" i="11" s="1"/>
  <c r="K64" i="11"/>
  <c r="J64" i="11"/>
  <c r="S64" i="11" s="1"/>
  <c r="Q63" i="11"/>
  <c r="P63" i="11"/>
  <c r="O63" i="11"/>
  <c r="L63" i="11"/>
  <c r="K63" i="11"/>
  <c r="J63" i="11"/>
  <c r="Q62" i="11"/>
  <c r="P62" i="11"/>
  <c r="O62" i="11"/>
  <c r="M62" i="11"/>
  <c r="R62" i="11" s="1"/>
  <c r="L62" i="11"/>
  <c r="K62" i="11"/>
  <c r="J62" i="11"/>
  <c r="S61" i="11"/>
  <c r="Q61" i="11"/>
  <c r="P61" i="11"/>
  <c r="O61" i="11"/>
  <c r="L61" i="11"/>
  <c r="N61" i="11" s="1"/>
  <c r="K61" i="11"/>
  <c r="J61" i="11"/>
  <c r="Q60" i="11"/>
  <c r="P60" i="11"/>
  <c r="O60" i="11"/>
  <c r="L60" i="11"/>
  <c r="K60" i="11"/>
  <c r="J60" i="11"/>
  <c r="Q59" i="11"/>
  <c r="P59" i="11"/>
  <c r="O59" i="11"/>
  <c r="L59" i="11"/>
  <c r="S59" i="11" s="1"/>
  <c r="K59" i="11"/>
  <c r="J59" i="11"/>
  <c r="Q58" i="11"/>
  <c r="P58" i="11"/>
  <c r="O58" i="11"/>
  <c r="N58" i="11"/>
  <c r="M58" i="11"/>
  <c r="R58" i="11" s="1"/>
  <c r="L58" i="11"/>
  <c r="K58" i="11"/>
  <c r="J58" i="11"/>
  <c r="S58" i="11" s="1"/>
  <c r="Q57" i="11"/>
  <c r="P57" i="11"/>
  <c r="O57" i="11"/>
  <c r="L57" i="11"/>
  <c r="K57" i="11"/>
  <c r="N57" i="11" s="1"/>
  <c r="J57" i="11"/>
  <c r="S57" i="11" s="1"/>
  <c r="S56" i="11"/>
  <c r="Q56" i="11"/>
  <c r="P56" i="11"/>
  <c r="O56" i="11"/>
  <c r="N56" i="11"/>
  <c r="M56" i="11"/>
  <c r="R56" i="11" s="1"/>
  <c r="L56" i="11"/>
  <c r="K56" i="11"/>
  <c r="J56" i="11"/>
  <c r="Q55" i="11"/>
  <c r="P55" i="11"/>
  <c r="O55" i="11"/>
  <c r="N55" i="11"/>
  <c r="L55" i="11"/>
  <c r="M55" i="11" s="1"/>
  <c r="R55" i="11" s="1"/>
  <c r="K55" i="11"/>
  <c r="J55" i="11"/>
  <c r="S55" i="11" s="1"/>
  <c r="S54" i="11"/>
  <c r="Q54" i="11"/>
  <c r="P54" i="11"/>
  <c r="O54" i="11"/>
  <c r="N54" i="11"/>
  <c r="M54" i="11"/>
  <c r="R54" i="11" s="1"/>
  <c r="L54" i="11"/>
  <c r="K54" i="11"/>
  <c r="J54" i="11"/>
  <c r="S53" i="11"/>
  <c r="Q53" i="11"/>
  <c r="P53" i="11"/>
  <c r="O53" i="11"/>
  <c r="L53" i="11"/>
  <c r="K53" i="11"/>
  <c r="M53" i="11" s="1"/>
  <c r="R53" i="11" s="1"/>
  <c r="J53" i="11"/>
  <c r="Q52" i="11"/>
  <c r="P52" i="11"/>
  <c r="O52" i="11"/>
  <c r="M52" i="11"/>
  <c r="R52" i="11" s="1"/>
  <c r="L52" i="11"/>
  <c r="K52" i="11"/>
  <c r="J52" i="11"/>
  <c r="S51" i="11"/>
  <c r="Q51" i="11"/>
  <c r="P51" i="11"/>
  <c r="O51" i="11"/>
  <c r="L51" i="11"/>
  <c r="K51" i="11"/>
  <c r="J51" i="11"/>
  <c r="Q50" i="11"/>
  <c r="P50" i="11"/>
  <c r="O50" i="11"/>
  <c r="L50" i="11"/>
  <c r="K50" i="11"/>
  <c r="J50" i="11"/>
  <c r="S49" i="11"/>
  <c r="Q49" i="11"/>
  <c r="P49" i="11"/>
  <c r="O49" i="11"/>
  <c r="L49" i="11"/>
  <c r="K49" i="11"/>
  <c r="J49" i="11"/>
  <c r="Q48" i="11"/>
  <c r="P48" i="11"/>
  <c r="O48" i="11"/>
  <c r="M48" i="11"/>
  <c r="R48" i="11" s="1"/>
  <c r="L48" i="11"/>
  <c r="N48" i="11" s="1"/>
  <c r="K48" i="11"/>
  <c r="J48" i="11"/>
  <c r="S48" i="11" s="1"/>
  <c r="Q47" i="11"/>
  <c r="P47" i="11"/>
  <c r="O47" i="11"/>
  <c r="N47" i="11"/>
  <c r="M47" i="11"/>
  <c r="R47" i="11" s="1"/>
  <c r="L47" i="11"/>
  <c r="S47" i="11" s="1"/>
  <c r="K47" i="11"/>
  <c r="J47" i="11"/>
  <c r="Q46" i="11"/>
  <c r="P46" i="11"/>
  <c r="O46" i="11"/>
  <c r="N46" i="11"/>
  <c r="M46" i="11"/>
  <c r="R46" i="11" s="1"/>
  <c r="L46" i="11"/>
  <c r="K46" i="11"/>
  <c r="J46" i="11"/>
  <c r="S46" i="11" s="1"/>
  <c r="S45" i="11"/>
  <c r="Q45" i="11"/>
  <c r="P45" i="11"/>
  <c r="O45" i="11"/>
  <c r="N45" i="11"/>
  <c r="M45" i="11"/>
  <c r="R45" i="11" s="1"/>
  <c r="L45" i="11"/>
  <c r="K45" i="11"/>
  <c r="J45" i="11"/>
  <c r="S44" i="11"/>
  <c r="R44" i="11"/>
  <c r="Q44" i="11"/>
  <c r="P44" i="11"/>
  <c r="O44" i="11"/>
  <c r="N44" i="11"/>
  <c r="M44" i="11"/>
  <c r="L44" i="11"/>
  <c r="K44" i="11"/>
  <c r="J44" i="11"/>
  <c r="S43" i="11"/>
  <c r="Q43" i="11"/>
  <c r="P43" i="11"/>
  <c r="O43" i="11"/>
  <c r="L43" i="11"/>
  <c r="M43" i="11" s="1"/>
  <c r="R43" i="11" s="1"/>
  <c r="K43" i="11"/>
  <c r="N43" i="11" s="1"/>
  <c r="J43" i="11"/>
  <c r="S42" i="11"/>
  <c r="Q42" i="11"/>
  <c r="P42" i="11"/>
  <c r="O42" i="11"/>
  <c r="N42" i="11"/>
  <c r="M42" i="11"/>
  <c r="R42" i="11" s="1"/>
  <c r="L42" i="11"/>
  <c r="K42" i="11"/>
  <c r="J42" i="11"/>
  <c r="S41" i="11"/>
  <c r="Q41" i="11"/>
  <c r="P41" i="11"/>
  <c r="O41" i="11"/>
  <c r="L41" i="11"/>
  <c r="K41" i="11"/>
  <c r="M41" i="11" s="1"/>
  <c r="R41" i="11" s="1"/>
  <c r="J41" i="11"/>
  <c r="Q40" i="11"/>
  <c r="P40" i="11"/>
  <c r="O40" i="11"/>
  <c r="L40" i="11"/>
  <c r="K40" i="11"/>
  <c r="J40" i="11"/>
  <c r="S40" i="11" s="1"/>
  <c r="Q39" i="11"/>
  <c r="P39" i="11"/>
  <c r="O39" i="11"/>
  <c r="L39" i="11"/>
  <c r="K39" i="11"/>
  <c r="J39" i="11"/>
  <c r="Q38" i="11"/>
  <c r="P38" i="11"/>
  <c r="O38" i="11"/>
  <c r="M38" i="11"/>
  <c r="R38" i="11" s="1"/>
  <c r="L38" i="11"/>
  <c r="K38" i="11"/>
  <c r="J38" i="11"/>
  <c r="S37" i="11"/>
  <c r="Q37" i="11"/>
  <c r="P37" i="11"/>
  <c r="O37" i="11"/>
  <c r="L37" i="11"/>
  <c r="N37" i="11" s="1"/>
  <c r="K37" i="11"/>
  <c r="J37" i="11"/>
  <c r="Q36" i="11"/>
  <c r="P36" i="11"/>
  <c r="O36" i="11"/>
  <c r="L36" i="11"/>
  <c r="N36" i="11" s="1"/>
  <c r="K36" i="11"/>
  <c r="J36" i="11"/>
  <c r="S35" i="11"/>
  <c r="Q35" i="11"/>
  <c r="P35" i="11"/>
  <c r="O35" i="11"/>
  <c r="L35" i="11"/>
  <c r="K35" i="11"/>
  <c r="J35" i="11"/>
  <c r="Q34" i="11"/>
  <c r="P34" i="11"/>
  <c r="O34" i="11"/>
  <c r="N34" i="11"/>
  <c r="M34" i="11"/>
  <c r="R34" i="11" s="1"/>
  <c r="L34" i="11"/>
  <c r="K34" i="11"/>
  <c r="J34" i="11"/>
  <c r="S34" i="11" s="1"/>
  <c r="Q33" i="11"/>
  <c r="P33" i="11"/>
  <c r="O33" i="11"/>
  <c r="L33" i="11"/>
  <c r="K33" i="11"/>
  <c r="J33" i="11"/>
  <c r="S33" i="11" s="1"/>
  <c r="S32" i="11"/>
  <c r="Q32" i="11"/>
  <c r="P32" i="11"/>
  <c r="O32" i="11"/>
  <c r="N32" i="11"/>
  <c r="M32" i="11"/>
  <c r="R32" i="11" s="1"/>
  <c r="L32" i="11"/>
  <c r="K32" i="11"/>
  <c r="J32" i="11"/>
  <c r="Q31" i="11"/>
  <c r="P31" i="11"/>
  <c r="O31" i="11"/>
  <c r="L31" i="11"/>
  <c r="K31" i="11"/>
  <c r="N31" i="11" s="1"/>
  <c r="J31" i="11"/>
  <c r="S31" i="11" s="1"/>
  <c r="S30" i="11"/>
  <c r="Q30" i="11"/>
  <c r="P30" i="11"/>
  <c r="O30" i="11"/>
  <c r="N30" i="11"/>
  <c r="M30" i="11"/>
  <c r="R30" i="11" s="1"/>
  <c r="L30" i="11"/>
  <c r="K30" i="11"/>
  <c r="J30" i="11"/>
  <c r="Q29" i="11"/>
  <c r="P29" i="11"/>
  <c r="O29" i="11"/>
  <c r="L29" i="11"/>
  <c r="N29" i="11" s="1"/>
  <c r="K29" i="11"/>
  <c r="M29" i="11" s="1"/>
  <c r="R29" i="11" s="1"/>
  <c r="J29" i="11"/>
  <c r="S29" i="11" s="1"/>
  <c r="Q28" i="11"/>
  <c r="P28" i="11"/>
  <c r="O28" i="11"/>
  <c r="M28" i="11"/>
  <c r="R28" i="11" s="1"/>
  <c r="L28" i="11"/>
  <c r="K28" i="11"/>
  <c r="J28" i="11"/>
  <c r="S28" i="11" s="1"/>
  <c r="Q27" i="11"/>
  <c r="P27" i="11"/>
  <c r="O27" i="11"/>
  <c r="L27" i="11"/>
  <c r="K27" i="11"/>
  <c r="J27" i="11"/>
  <c r="Q26" i="11"/>
  <c r="P26" i="11"/>
  <c r="O26" i="11"/>
  <c r="L26" i="11"/>
  <c r="K26" i="11"/>
  <c r="J26" i="11"/>
  <c r="S25" i="11"/>
  <c r="Q25" i="11"/>
  <c r="P25" i="11"/>
  <c r="O25" i="11"/>
  <c r="L25" i="11"/>
  <c r="N25" i="11" s="1"/>
  <c r="K25" i="11"/>
  <c r="J25" i="11"/>
  <c r="R24" i="11"/>
  <c r="Q24" i="11"/>
  <c r="P24" i="11"/>
  <c r="O24" i="11"/>
  <c r="M24" i="11"/>
  <c r="L24" i="11"/>
  <c r="N24" i="11" s="1"/>
  <c r="K24" i="11"/>
  <c r="J24" i="11"/>
  <c r="S24" i="11" s="1"/>
  <c r="S23" i="11"/>
  <c r="Q23" i="11"/>
  <c r="P23" i="11"/>
  <c r="O23" i="11"/>
  <c r="L23" i="11"/>
  <c r="L84" i="11" s="1"/>
  <c r="K23" i="11"/>
  <c r="M23" i="11" s="1"/>
  <c r="R23" i="11" s="1"/>
  <c r="J23" i="11"/>
  <c r="Q22" i="11"/>
  <c r="P22" i="11"/>
  <c r="O22" i="11"/>
  <c r="N22" i="11"/>
  <c r="M22" i="11"/>
  <c r="R22" i="11" s="1"/>
  <c r="L22" i="11"/>
  <c r="K22" i="11"/>
  <c r="J22" i="11"/>
  <c r="S22" i="11" s="1"/>
  <c r="S21" i="11"/>
  <c r="Q21" i="11"/>
  <c r="P21" i="11"/>
  <c r="O21" i="11"/>
  <c r="N21" i="11"/>
  <c r="M21" i="11"/>
  <c r="R21" i="11" s="1"/>
  <c r="L21" i="11"/>
  <c r="K21" i="11"/>
  <c r="J21" i="11"/>
  <c r="R20" i="11"/>
  <c r="Q20" i="11"/>
  <c r="P20" i="11"/>
  <c r="O20" i="11"/>
  <c r="N20" i="11"/>
  <c r="M20" i="11"/>
  <c r="L20" i="11"/>
  <c r="K20" i="11"/>
  <c r="J20" i="11"/>
  <c r="S20" i="11" s="1"/>
  <c r="S19" i="11"/>
  <c r="Q19" i="11"/>
  <c r="P19" i="11"/>
  <c r="O19" i="11"/>
  <c r="N19" i="11"/>
  <c r="L19" i="11"/>
  <c r="M19" i="11" s="1"/>
  <c r="R19" i="11" s="1"/>
  <c r="K19" i="11"/>
  <c r="J19" i="11"/>
  <c r="S18" i="11"/>
  <c r="Q18" i="11"/>
  <c r="P18" i="11"/>
  <c r="O18" i="11"/>
  <c r="N18" i="11"/>
  <c r="M18" i="11"/>
  <c r="R18" i="11" s="1"/>
  <c r="L18" i="11"/>
  <c r="K18" i="11"/>
  <c r="J18" i="11"/>
  <c r="S17" i="11"/>
  <c r="Q17" i="11"/>
  <c r="P17" i="11"/>
  <c r="O17" i="11"/>
  <c r="L17" i="11"/>
  <c r="K17" i="11"/>
  <c r="J17" i="11"/>
  <c r="Q16" i="11"/>
  <c r="P16" i="11"/>
  <c r="O16" i="11"/>
  <c r="M16" i="11"/>
  <c r="R16" i="11" s="1"/>
  <c r="L16" i="11"/>
  <c r="N16" i="11" s="1"/>
  <c r="K16" i="11"/>
  <c r="J16" i="11"/>
  <c r="S15" i="11"/>
  <c r="Q15" i="11"/>
  <c r="P15" i="11"/>
  <c r="O15" i="11"/>
  <c r="L15" i="11"/>
  <c r="K15" i="11"/>
  <c r="J15" i="11"/>
  <c r="S14" i="11"/>
  <c r="Q14" i="11"/>
  <c r="P14" i="11"/>
  <c r="O14" i="11"/>
  <c r="L14" i="11"/>
  <c r="N14" i="11" s="1"/>
  <c r="K14" i="11"/>
  <c r="J14" i="11"/>
  <c r="S13" i="11"/>
  <c r="Q13" i="11"/>
  <c r="P13" i="11"/>
  <c r="O13" i="11"/>
  <c r="L13" i="11"/>
  <c r="N13" i="11" s="1"/>
  <c r="K13" i="11"/>
  <c r="J13" i="11"/>
  <c r="Q12" i="11"/>
  <c r="P12" i="11"/>
  <c r="O12" i="11"/>
  <c r="H20" i="2" s="1"/>
  <c r="H11" i="3" s="1"/>
  <c r="M12" i="11"/>
  <c r="R12" i="11" s="1"/>
  <c r="L12" i="11"/>
  <c r="N12" i="11" s="1"/>
  <c r="K12" i="11"/>
  <c r="J12" i="11"/>
  <c r="S12" i="11" s="1"/>
  <c r="S11" i="11"/>
  <c r="Q11" i="11"/>
  <c r="P11" i="11"/>
  <c r="O11" i="11"/>
  <c r="L11" i="11"/>
  <c r="M11" i="11" s="1"/>
  <c r="R11" i="11" s="1"/>
  <c r="K11" i="11"/>
  <c r="N11" i="11" s="1"/>
  <c r="J11" i="11"/>
  <c r="Q10" i="11"/>
  <c r="P10" i="11"/>
  <c r="O10" i="11"/>
  <c r="N10" i="11"/>
  <c r="M10" i="11"/>
  <c r="R10" i="11" s="1"/>
  <c r="L10" i="11"/>
  <c r="K10" i="11"/>
  <c r="J10" i="11"/>
  <c r="S10" i="11" s="1"/>
  <c r="S9" i="11"/>
  <c r="Q9" i="11"/>
  <c r="P9" i="11"/>
  <c r="O9" i="11"/>
  <c r="L9" i="11"/>
  <c r="K9" i="11"/>
  <c r="N9" i="11" s="1"/>
  <c r="J9" i="11"/>
  <c r="R8" i="11"/>
  <c r="Q8" i="11"/>
  <c r="P8" i="11"/>
  <c r="O8" i="11"/>
  <c r="N8" i="11"/>
  <c r="M8" i="11"/>
  <c r="L8" i="11"/>
  <c r="K8" i="11"/>
  <c r="J8" i="11"/>
  <c r="S8" i="11" s="1"/>
  <c r="S7" i="11"/>
  <c r="Q7" i="11"/>
  <c r="P7" i="11"/>
  <c r="O7" i="11"/>
  <c r="N7" i="11"/>
  <c r="L7" i="11"/>
  <c r="M7" i="11" s="1"/>
  <c r="R7" i="11" s="1"/>
  <c r="K7" i="11"/>
  <c r="J7" i="11"/>
  <c r="S6" i="11"/>
  <c r="Q6" i="11"/>
  <c r="P6" i="11"/>
  <c r="O6" i="11"/>
  <c r="N6" i="11"/>
  <c r="M6" i="11"/>
  <c r="R6" i="11" s="1"/>
  <c r="L6" i="11"/>
  <c r="K6" i="11"/>
  <c r="J6" i="11"/>
  <c r="Q5" i="11"/>
  <c r="P5" i="11"/>
  <c r="O5" i="11"/>
  <c r="L5" i="11"/>
  <c r="K5" i="11"/>
  <c r="M5" i="11" s="1"/>
  <c r="R5" i="11" s="1"/>
  <c r="J5" i="11"/>
  <c r="S5" i="11" s="1"/>
  <c r="Q4" i="11"/>
  <c r="P4" i="11"/>
  <c r="O4" i="11"/>
  <c r="M4" i="11"/>
  <c r="R4" i="11" s="1"/>
  <c r="L4" i="11"/>
  <c r="N4" i="11" s="1"/>
  <c r="K4" i="11"/>
  <c r="J4" i="11"/>
  <c r="J74" i="11" s="1"/>
  <c r="Q3" i="11"/>
  <c r="P3" i="11"/>
  <c r="O3" i="11"/>
  <c r="L3" i="11"/>
  <c r="K3" i="11"/>
  <c r="J3" i="11"/>
  <c r="S2" i="11"/>
  <c r="Q2" i="11"/>
  <c r="P2" i="11"/>
  <c r="O2" i="11"/>
  <c r="M2" i="11"/>
  <c r="L2" i="11"/>
  <c r="K2" i="11"/>
  <c r="Q91" i="11" s="1"/>
  <c r="J2" i="11"/>
  <c r="J110" i="10"/>
  <c r="J109" i="10"/>
  <c r="J108" i="10"/>
  <c r="J107" i="10"/>
  <c r="B93" i="10"/>
  <c r="B92" i="10"/>
  <c r="B90" i="10"/>
  <c r="B89" i="10"/>
  <c r="S86" i="10"/>
  <c r="Q86" i="10"/>
  <c r="P86" i="10"/>
  <c r="O86" i="10"/>
  <c r="L86" i="10"/>
  <c r="K86" i="10"/>
  <c r="N86" i="10" s="1"/>
  <c r="J86" i="10"/>
  <c r="Q85" i="10"/>
  <c r="P85" i="10"/>
  <c r="O85" i="10"/>
  <c r="L85" i="10"/>
  <c r="S85" i="10" s="1"/>
  <c r="K85" i="10"/>
  <c r="M85" i="10" s="1"/>
  <c r="R85" i="10" s="1"/>
  <c r="J85" i="10"/>
  <c r="Q84" i="10"/>
  <c r="P84" i="10"/>
  <c r="O84" i="10"/>
  <c r="N84" i="10"/>
  <c r="L84" i="10"/>
  <c r="K84" i="10"/>
  <c r="J84" i="10"/>
  <c r="S84" i="10" s="1"/>
  <c r="Q83" i="10"/>
  <c r="P83" i="10"/>
  <c r="O83" i="10"/>
  <c r="N83" i="10"/>
  <c r="L83" i="10"/>
  <c r="M83" i="10" s="1"/>
  <c r="R83" i="10" s="1"/>
  <c r="K83" i="10"/>
  <c r="J83" i="10"/>
  <c r="S83" i="10" s="1"/>
  <c r="Q82" i="10"/>
  <c r="P82" i="10"/>
  <c r="O82" i="10"/>
  <c r="N82" i="10"/>
  <c r="L82" i="10"/>
  <c r="K82" i="10"/>
  <c r="M82" i="10" s="1"/>
  <c r="R82" i="10" s="1"/>
  <c r="J82" i="10"/>
  <c r="S82" i="10" s="1"/>
  <c r="Q81" i="10"/>
  <c r="P81" i="10"/>
  <c r="O81" i="10"/>
  <c r="L81" i="10"/>
  <c r="K81" i="10"/>
  <c r="J81" i="10"/>
  <c r="Q80" i="10"/>
  <c r="P80" i="10"/>
  <c r="O80" i="10"/>
  <c r="L80" i="10"/>
  <c r="K80" i="10"/>
  <c r="N80" i="10" s="1"/>
  <c r="J80" i="10"/>
  <c r="S80" i="10" s="1"/>
  <c r="S79" i="10"/>
  <c r="Q79" i="10"/>
  <c r="P79" i="10"/>
  <c r="O79" i="10"/>
  <c r="N79" i="10"/>
  <c r="M79" i="10"/>
  <c r="R79" i="10" s="1"/>
  <c r="L79" i="10"/>
  <c r="K79" i="10"/>
  <c r="J79" i="10"/>
  <c r="R78" i="10"/>
  <c r="Q78" i="10"/>
  <c r="P78" i="10"/>
  <c r="O78" i="10"/>
  <c r="L78" i="10"/>
  <c r="M78" i="10" s="1"/>
  <c r="K78" i="10"/>
  <c r="J78" i="10"/>
  <c r="S78" i="10" s="1"/>
  <c r="Q77" i="10"/>
  <c r="P77" i="10"/>
  <c r="O77" i="10"/>
  <c r="N77" i="10"/>
  <c r="M77" i="10"/>
  <c r="R77" i="10" s="1"/>
  <c r="L77" i="10"/>
  <c r="K77" i="10"/>
  <c r="J77" i="10"/>
  <c r="S77" i="10" s="1"/>
  <c r="Q76" i="10"/>
  <c r="P76" i="10"/>
  <c r="O76" i="10"/>
  <c r="L76" i="10"/>
  <c r="K76" i="10"/>
  <c r="J76" i="10"/>
  <c r="S76" i="10" s="1"/>
  <c r="Q75" i="10"/>
  <c r="P75" i="10"/>
  <c r="O75" i="10"/>
  <c r="M75" i="10"/>
  <c r="R75" i="10" s="1"/>
  <c r="L75" i="10"/>
  <c r="N75" i="10" s="1"/>
  <c r="K75" i="10"/>
  <c r="J75" i="10"/>
  <c r="S75" i="10" s="1"/>
  <c r="Q74" i="10"/>
  <c r="P74" i="10"/>
  <c r="O74" i="10"/>
  <c r="L74" i="10"/>
  <c r="K74" i="10"/>
  <c r="J74" i="10"/>
  <c r="Q73" i="10"/>
  <c r="P73" i="10"/>
  <c r="O73" i="10"/>
  <c r="N73" i="10"/>
  <c r="M73" i="10"/>
  <c r="R73" i="10" s="1"/>
  <c r="L73" i="10"/>
  <c r="S73" i="10" s="1"/>
  <c r="K73" i="10"/>
  <c r="J73" i="10"/>
  <c r="Q72" i="10"/>
  <c r="P72" i="10"/>
  <c r="O72" i="10"/>
  <c r="L72" i="10"/>
  <c r="K72" i="10"/>
  <c r="J72" i="10"/>
  <c r="S72" i="10" s="1"/>
  <c r="Q71" i="10"/>
  <c r="P71" i="10"/>
  <c r="O71" i="10"/>
  <c r="N71" i="10"/>
  <c r="L71" i="10"/>
  <c r="M71" i="10" s="1"/>
  <c r="R71" i="10" s="1"/>
  <c r="K71" i="10"/>
  <c r="J71" i="10"/>
  <c r="Q70" i="10"/>
  <c r="P70" i="10"/>
  <c r="O70" i="10"/>
  <c r="L70" i="10"/>
  <c r="K70" i="10"/>
  <c r="J70" i="10"/>
  <c r="Q69" i="10"/>
  <c r="P69" i="10"/>
  <c r="O69" i="10"/>
  <c r="L69" i="10"/>
  <c r="K69" i="10"/>
  <c r="J69" i="10"/>
  <c r="S69" i="10" s="1"/>
  <c r="S68" i="10"/>
  <c r="Q68" i="10"/>
  <c r="P68" i="10"/>
  <c r="O68" i="10"/>
  <c r="N68" i="10"/>
  <c r="M68" i="10"/>
  <c r="R68" i="10" s="1"/>
  <c r="L68" i="10"/>
  <c r="K68" i="10"/>
  <c r="J68" i="10"/>
  <c r="Q67" i="10"/>
  <c r="P67" i="10"/>
  <c r="O67" i="10"/>
  <c r="L67" i="10"/>
  <c r="N67" i="10" s="1"/>
  <c r="K67" i="10"/>
  <c r="J67" i="10"/>
  <c r="S67" i="10" s="1"/>
  <c r="Q66" i="10"/>
  <c r="P66" i="10"/>
  <c r="O66" i="10"/>
  <c r="L66" i="10"/>
  <c r="M66" i="10" s="1"/>
  <c r="R66" i="10" s="1"/>
  <c r="K66" i="10"/>
  <c r="J66" i="10"/>
  <c r="S66" i="10" s="1"/>
  <c r="S65" i="10"/>
  <c r="Q65" i="10"/>
  <c r="P65" i="10"/>
  <c r="O65" i="10"/>
  <c r="N65" i="10"/>
  <c r="M65" i="10"/>
  <c r="R65" i="10" s="1"/>
  <c r="L65" i="10"/>
  <c r="K65" i="10"/>
  <c r="J65" i="10"/>
  <c r="Q64" i="10"/>
  <c r="P64" i="10"/>
  <c r="O64" i="10"/>
  <c r="L64" i="10"/>
  <c r="K64" i="10"/>
  <c r="J64" i="10"/>
  <c r="S64" i="10" s="1"/>
  <c r="Q63" i="10"/>
  <c r="P63" i="10"/>
  <c r="O63" i="10"/>
  <c r="L63" i="10"/>
  <c r="K63" i="10"/>
  <c r="J63" i="10"/>
  <c r="S63" i="10" s="1"/>
  <c r="Q62" i="10"/>
  <c r="P62" i="10"/>
  <c r="O62" i="10"/>
  <c r="L62" i="10"/>
  <c r="K62" i="10"/>
  <c r="N62" i="10" s="1"/>
  <c r="J62" i="10"/>
  <c r="S62" i="10" s="1"/>
  <c r="Q61" i="10"/>
  <c r="P61" i="10"/>
  <c r="O61" i="10"/>
  <c r="N61" i="10"/>
  <c r="M61" i="10"/>
  <c r="R61" i="10" s="1"/>
  <c r="L61" i="10"/>
  <c r="S61" i="10" s="1"/>
  <c r="K61" i="10"/>
  <c r="J61" i="10"/>
  <c r="S60" i="10"/>
  <c r="Q60" i="10"/>
  <c r="P60" i="10"/>
  <c r="O60" i="10"/>
  <c r="N60" i="10"/>
  <c r="L60" i="10"/>
  <c r="K60" i="10"/>
  <c r="J60" i="10"/>
  <c r="Q59" i="10"/>
  <c r="P59" i="10"/>
  <c r="O59" i="10"/>
  <c r="L59" i="10"/>
  <c r="K59" i="10"/>
  <c r="J59" i="10"/>
  <c r="Q58" i="10"/>
  <c r="P58" i="10"/>
  <c r="O58" i="10"/>
  <c r="L58" i="10"/>
  <c r="K58" i="10"/>
  <c r="J58" i="10"/>
  <c r="S58" i="10" s="1"/>
  <c r="R57" i="10"/>
  <c r="Q57" i="10"/>
  <c r="P57" i="10"/>
  <c r="O57" i="10"/>
  <c r="M57" i="10"/>
  <c r="L57" i="10"/>
  <c r="N57" i="10" s="1"/>
  <c r="K57" i="10"/>
  <c r="J57" i="10"/>
  <c r="S57" i="10" s="1"/>
  <c r="S56" i="10"/>
  <c r="Q56" i="10"/>
  <c r="P56" i="10"/>
  <c r="O56" i="10"/>
  <c r="L56" i="10"/>
  <c r="K56" i="10"/>
  <c r="J56" i="10"/>
  <c r="S55" i="10"/>
  <c r="R55" i="10"/>
  <c r="Q55" i="10"/>
  <c r="P55" i="10"/>
  <c r="O55" i="10"/>
  <c r="N55" i="10"/>
  <c r="M55" i="10"/>
  <c r="L55" i="10"/>
  <c r="K55" i="10"/>
  <c r="J55" i="10"/>
  <c r="Q54" i="10"/>
  <c r="P54" i="10"/>
  <c r="O54" i="10"/>
  <c r="L54" i="10"/>
  <c r="K54" i="10"/>
  <c r="J54" i="10"/>
  <c r="Q53" i="10"/>
  <c r="P53" i="10"/>
  <c r="O53" i="10"/>
  <c r="M53" i="10"/>
  <c r="R53" i="10" s="1"/>
  <c r="L53" i="10"/>
  <c r="N53" i="10" s="1"/>
  <c r="K53" i="10"/>
  <c r="J53" i="10"/>
  <c r="S53" i="10" s="1"/>
  <c r="Q52" i="10"/>
  <c r="P52" i="10"/>
  <c r="O52" i="10"/>
  <c r="M52" i="10"/>
  <c r="R52" i="10" s="1"/>
  <c r="L52" i="10"/>
  <c r="N52" i="10" s="1"/>
  <c r="K52" i="10"/>
  <c r="J52" i="10"/>
  <c r="S52" i="10" s="1"/>
  <c r="Q51" i="10"/>
  <c r="P51" i="10"/>
  <c r="O51" i="10"/>
  <c r="L51" i="10"/>
  <c r="K51" i="10"/>
  <c r="J51" i="10"/>
  <c r="S51" i="10" s="1"/>
  <c r="S50" i="10"/>
  <c r="Q50" i="10"/>
  <c r="P50" i="10"/>
  <c r="O50" i="10"/>
  <c r="L50" i="10"/>
  <c r="K50" i="10"/>
  <c r="N50" i="10" s="1"/>
  <c r="J50" i="10"/>
  <c r="Q49" i="10"/>
  <c r="P49" i="10"/>
  <c r="O49" i="10"/>
  <c r="L49" i="10"/>
  <c r="S49" i="10" s="1"/>
  <c r="K49" i="10"/>
  <c r="M49" i="10" s="1"/>
  <c r="R49" i="10" s="1"/>
  <c r="J49" i="10"/>
  <c r="Q48" i="10"/>
  <c r="P48" i="10"/>
  <c r="O48" i="10"/>
  <c r="N48" i="10"/>
  <c r="L48" i="10"/>
  <c r="K48" i="10"/>
  <c r="J48" i="10"/>
  <c r="Q47" i="10"/>
  <c r="P47" i="10"/>
  <c r="O47" i="10"/>
  <c r="N47" i="10"/>
  <c r="L47" i="10"/>
  <c r="M47" i="10" s="1"/>
  <c r="R47" i="10" s="1"/>
  <c r="K47" i="10"/>
  <c r="J47" i="10"/>
  <c r="S47" i="10" s="1"/>
  <c r="Q46" i="10"/>
  <c r="P46" i="10"/>
  <c r="O46" i="10"/>
  <c r="N46" i="10"/>
  <c r="L46" i="10"/>
  <c r="K46" i="10"/>
  <c r="M46" i="10" s="1"/>
  <c r="R46" i="10" s="1"/>
  <c r="J46" i="10"/>
  <c r="S46" i="10" s="1"/>
  <c r="Q45" i="10"/>
  <c r="P45" i="10"/>
  <c r="O45" i="10"/>
  <c r="L45" i="10"/>
  <c r="K45" i="10"/>
  <c r="J45" i="10"/>
  <c r="Q44" i="10"/>
  <c r="P44" i="10"/>
  <c r="O44" i="10"/>
  <c r="L44" i="10"/>
  <c r="K44" i="10"/>
  <c r="N44" i="10" s="1"/>
  <c r="J44" i="10"/>
  <c r="S44" i="10" s="1"/>
  <c r="S43" i="10"/>
  <c r="Q43" i="10"/>
  <c r="P43" i="10"/>
  <c r="O43" i="10"/>
  <c r="N43" i="10"/>
  <c r="M43" i="10"/>
  <c r="R43" i="10" s="1"/>
  <c r="L43" i="10"/>
  <c r="K43" i="10"/>
  <c r="J43" i="10"/>
  <c r="R42" i="10"/>
  <c r="Q42" i="10"/>
  <c r="P42" i="10"/>
  <c r="O42" i="10"/>
  <c r="L42" i="10"/>
  <c r="M42" i="10" s="1"/>
  <c r="K42" i="10"/>
  <c r="J42" i="10"/>
  <c r="S42" i="10" s="1"/>
  <c r="Q41" i="10"/>
  <c r="P41" i="10"/>
  <c r="O41" i="10"/>
  <c r="N41" i="10"/>
  <c r="M41" i="10"/>
  <c r="R41" i="10" s="1"/>
  <c r="L41" i="10"/>
  <c r="K41" i="10"/>
  <c r="J41" i="10"/>
  <c r="S41" i="10" s="1"/>
  <c r="S40" i="10"/>
  <c r="Q40" i="10"/>
  <c r="P40" i="10"/>
  <c r="O40" i="10"/>
  <c r="L40" i="10"/>
  <c r="K40" i="10"/>
  <c r="J40" i="10"/>
  <c r="Q39" i="10"/>
  <c r="P39" i="10"/>
  <c r="O39" i="10"/>
  <c r="M39" i="10"/>
  <c r="R39" i="10" s="1"/>
  <c r="L39" i="10"/>
  <c r="N39" i="10" s="1"/>
  <c r="K39" i="10"/>
  <c r="J39" i="10"/>
  <c r="S39" i="10" s="1"/>
  <c r="Q38" i="10"/>
  <c r="P38" i="10"/>
  <c r="O38" i="10"/>
  <c r="L38" i="10"/>
  <c r="K38" i="10"/>
  <c r="J38" i="10"/>
  <c r="Q37" i="10"/>
  <c r="P37" i="10"/>
  <c r="O37" i="10"/>
  <c r="N37" i="10"/>
  <c r="M37" i="10"/>
  <c r="R37" i="10" s="1"/>
  <c r="L37" i="10"/>
  <c r="S37" i="10" s="1"/>
  <c r="K37" i="10"/>
  <c r="J37" i="10"/>
  <c r="Q36" i="10"/>
  <c r="P36" i="10"/>
  <c r="O36" i="10"/>
  <c r="L36" i="10"/>
  <c r="K36" i="10"/>
  <c r="J36" i="10"/>
  <c r="S36" i="10" s="1"/>
  <c r="Q35" i="10"/>
  <c r="P35" i="10"/>
  <c r="O35" i="10"/>
  <c r="N35" i="10"/>
  <c r="L35" i="10"/>
  <c r="M35" i="10" s="1"/>
  <c r="R35" i="10" s="1"/>
  <c r="K35" i="10"/>
  <c r="J35" i="10"/>
  <c r="Q34" i="10"/>
  <c r="P34" i="10"/>
  <c r="O34" i="10"/>
  <c r="L34" i="10"/>
  <c r="K34" i="10"/>
  <c r="J34" i="10"/>
  <c r="Q33" i="10"/>
  <c r="P33" i="10"/>
  <c r="O33" i="10"/>
  <c r="L33" i="10"/>
  <c r="K33" i="10"/>
  <c r="J33" i="10"/>
  <c r="S33" i="10" s="1"/>
  <c r="S32" i="10"/>
  <c r="Q32" i="10"/>
  <c r="P32" i="10"/>
  <c r="O32" i="10"/>
  <c r="N32" i="10"/>
  <c r="M32" i="10"/>
  <c r="R32" i="10" s="1"/>
  <c r="L32" i="10"/>
  <c r="K32" i="10"/>
  <c r="J32" i="10"/>
  <c r="Q31" i="10"/>
  <c r="P31" i="10"/>
  <c r="O31" i="10"/>
  <c r="L31" i="10"/>
  <c r="K31" i="10"/>
  <c r="J31" i="10"/>
  <c r="S31" i="10" s="1"/>
  <c r="Q30" i="10"/>
  <c r="P30" i="10"/>
  <c r="O30" i="10"/>
  <c r="L30" i="10"/>
  <c r="M30" i="10" s="1"/>
  <c r="R30" i="10" s="1"/>
  <c r="K30" i="10"/>
  <c r="J30" i="10"/>
  <c r="S30" i="10" s="1"/>
  <c r="S29" i="10"/>
  <c r="Q29" i="10"/>
  <c r="P29" i="10"/>
  <c r="O29" i="10"/>
  <c r="N29" i="10"/>
  <c r="M29" i="10"/>
  <c r="R29" i="10" s="1"/>
  <c r="L29" i="10"/>
  <c r="K29" i="10"/>
  <c r="J29" i="10"/>
  <c r="Q28" i="10"/>
  <c r="P28" i="10"/>
  <c r="O28" i="10"/>
  <c r="L28" i="10"/>
  <c r="N28" i="10" s="1"/>
  <c r="K28" i="10"/>
  <c r="J28" i="10"/>
  <c r="S28" i="10" s="1"/>
  <c r="Q27" i="10"/>
  <c r="P27" i="10"/>
  <c r="O27" i="10"/>
  <c r="L27" i="10"/>
  <c r="K27" i="10"/>
  <c r="J27" i="10"/>
  <c r="Q26" i="10"/>
  <c r="P26" i="10"/>
  <c r="O26" i="10"/>
  <c r="L26" i="10"/>
  <c r="K26" i="10"/>
  <c r="N26" i="10" s="1"/>
  <c r="J26" i="10"/>
  <c r="S26" i="10" s="1"/>
  <c r="Q25" i="10"/>
  <c r="P25" i="10"/>
  <c r="O25" i="10"/>
  <c r="N25" i="10"/>
  <c r="M25" i="10"/>
  <c r="R25" i="10" s="1"/>
  <c r="L25" i="10"/>
  <c r="S25" i="10" s="1"/>
  <c r="K25" i="10"/>
  <c r="J25" i="10"/>
  <c r="S24" i="10"/>
  <c r="Q24" i="10"/>
  <c r="P24" i="10"/>
  <c r="O24" i="10"/>
  <c r="N24" i="10"/>
  <c r="L24" i="10"/>
  <c r="K24" i="10"/>
  <c r="J24" i="10"/>
  <c r="Q23" i="10"/>
  <c r="P23" i="10"/>
  <c r="O23" i="10"/>
  <c r="M23" i="10"/>
  <c r="R23" i="10" s="1"/>
  <c r="L23" i="10"/>
  <c r="N23" i="10" s="1"/>
  <c r="K23" i="10"/>
  <c r="J23" i="10"/>
  <c r="Q22" i="10"/>
  <c r="P22" i="10"/>
  <c r="O22" i="10"/>
  <c r="L22" i="10"/>
  <c r="K22" i="10"/>
  <c r="J22" i="10"/>
  <c r="S22" i="10" s="1"/>
  <c r="Q21" i="10"/>
  <c r="P21" i="10"/>
  <c r="O21" i="10"/>
  <c r="M21" i="10"/>
  <c r="R21" i="10" s="1"/>
  <c r="L21" i="10"/>
  <c r="N21" i="10" s="1"/>
  <c r="K21" i="10"/>
  <c r="J21" i="10"/>
  <c r="S21" i="10" s="1"/>
  <c r="S20" i="10"/>
  <c r="Q20" i="10"/>
  <c r="P20" i="10"/>
  <c r="O20" i="10"/>
  <c r="M20" i="10"/>
  <c r="R20" i="10" s="1"/>
  <c r="L20" i="10"/>
  <c r="K20" i="10"/>
  <c r="N20" i="10" s="1"/>
  <c r="J20" i="10"/>
  <c r="S19" i="10"/>
  <c r="R19" i="10"/>
  <c r="Q19" i="10"/>
  <c r="P19" i="10"/>
  <c r="O19" i="10"/>
  <c r="N19" i="10"/>
  <c r="M19" i="10"/>
  <c r="L19" i="10"/>
  <c r="K19" i="10"/>
  <c r="J19" i="10"/>
  <c r="Q18" i="10"/>
  <c r="P18" i="10"/>
  <c r="O18" i="10"/>
  <c r="N18" i="10"/>
  <c r="L18" i="10"/>
  <c r="M18" i="10" s="1"/>
  <c r="R18" i="10" s="1"/>
  <c r="K18" i="10"/>
  <c r="J18" i="10"/>
  <c r="Q17" i="10"/>
  <c r="P17" i="10"/>
  <c r="O17" i="10"/>
  <c r="H19" i="2" s="1"/>
  <c r="M17" i="10"/>
  <c r="R17" i="10" s="1"/>
  <c r="L17" i="10"/>
  <c r="N17" i="10" s="1"/>
  <c r="K17" i="10"/>
  <c r="J17" i="10"/>
  <c r="S17" i="10" s="1"/>
  <c r="Q16" i="10"/>
  <c r="P16" i="10"/>
  <c r="O16" i="10"/>
  <c r="M16" i="10"/>
  <c r="R16" i="10" s="1"/>
  <c r="L16" i="10"/>
  <c r="K16" i="10"/>
  <c r="J16" i="10"/>
  <c r="Q15" i="10"/>
  <c r="P15" i="10"/>
  <c r="O15" i="10"/>
  <c r="L15" i="10"/>
  <c r="K15" i="10"/>
  <c r="J15" i="10"/>
  <c r="S15" i="10" s="1"/>
  <c r="S14" i="10"/>
  <c r="Q14" i="10"/>
  <c r="P14" i="10"/>
  <c r="O14" i="10"/>
  <c r="L14" i="10"/>
  <c r="K14" i="10"/>
  <c r="N14" i="10" s="1"/>
  <c r="J14" i="10"/>
  <c r="Q13" i="10"/>
  <c r="P13" i="10"/>
  <c r="O13" i="10"/>
  <c r="L13" i="10"/>
  <c r="S13" i="10" s="1"/>
  <c r="K13" i="10"/>
  <c r="M13" i="10" s="1"/>
  <c r="R13" i="10" s="1"/>
  <c r="J13" i="10"/>
  <c r="Q12" i="10"/>
  <c r="P12" i="10"/>
  <c r="O12" i="10"/>
  <c r="N12" i="10"/>
  <c r="L12" i="10"/>
  <c r="K12" i="10"/>
  <c r="J12" i="10"/>
  <c r="S12" i="10" s="1"/>
  <c r="Q11" i="10"/>
  <c r="P11" i="10"/>
  <c r="O11" i="10"/>
  <c r="N11" i="10"/>
  <c r="L11" i="10"/>
  <c r="M11" i="10" s="1"/>
  <c r="R11" i="10" s="1"/>
  <c r="K11" i="10"/>
  <c r="J11" i="10"/>
  <c r="S11" i="10" s="1"/>
  <c r="Q10" i="10"/>
  <c r="P10" i="10"/>
  <c r="O10" i="10"/>
  <c r="N10" i="10"/>
  <c r="L10" i="10"/>
  <c r="K10" i="10"/>
  <c r="M10" i="10" s="1"/>
  <c r="R10" i="10" s="1"/>
  <c r="J10" i="10"/>
  <c r="S10" i="10" s="1"/>
  <c r="Q9" i="10"/>
  <c r="P9" i="10"/>
  <c r="O9" i="10"/>
  <c r="L9" i="10"/>
  <c r="K9" i="10"/>
  <c r="J9" i="10"/>
  <c r="S9" i="10" s="1"/>
  <c r="Q8" i="10"/>
  <c r="P8" i="10"/>
  <c r="O8" i="10"/>
  <c r="L8" i="10"/>
  <c r="K8" i="10"/>
  <c r="N8" i="10" s="1"/>
  <c r="J8" i="10"/>
  <c r="S7" i="10"/>
  <c r="Q7" i="10"/>
  <c r="P7" i="10"/>
  <c r="O7" i="10"/>
  <c r="N7" i="10"/>
  <c r="M7" i="10"/>
  <c r="R7" i="10" s="1"/>
  <c r="L7" i="10"/>
  <c r="K7" i="10"/>
  <c r="J7" i="10"/>
  <c r="R6" i="10"/>
  <c r="Q6" i="10"/>
  <c r="P6" i="10"/>
  <c r="O6" i="10"/>
  <c r="L6" i="10"/>
  <c r="M6" i="10" s="1"/>
  <c r="K6" i="10"/>
  <c r="J6" i="10"/>
  <c r="S6" i="10" s="1"/>
  <c r="Q5" i="10"/>
  <c r="P5" i="10"/>
  <c r="O5" i="10"/>
  <c r="N5" i="10"/>
  <c r="M5" i="10"/>
  <c r="R5" i="10" s="1"/>
  <c r="L5" i="10"/>
  <c r="K5" i="10"/>
  <c r="J5" i="10"/>
  <c r="S5" i="10" s="1"/>
  <c r="Q4" i="10"/>
  <c r="P4" i="10"/>
  <c r="O4" i="10"/>
  <c r="L4" i="10"/>
  <c r="K4" i="10"/>
  <c r="J4" i="10"/>
  <c r="S4" i="10" s="1"/>
  <c r="Q3" i="10"/>
  <c r="P3" i="10"/>
  <c r="O3" i="10"/>
  <c r="M3" i="10"/>
  <c r="R3" i="10" s="1"/>
  <c r="L3" i="10"/>
  <c r="N3" i="10" s="1"/>
  <c r="K3" i="10"/>
  <c r="J3" i="10"/>
  <c r="S3" i="10" s="1"/>
  <c r="Q2" i="10"/>
  <c r="P2" i="10"/>
  <c r="O2" i="10"/>
  <c r="L2" i="10"/>
  <c r="K2" i="10"/>
  <c r="J2" i="10"/>
  <c r="S2" i="10" s="1"/>
  <c r="J137" i="9"/>
  <c r="J136" i="9"/>
  <c r="R135" i="9"/>
  <c r="J135" i="9"/>
  <c r="J134" i="9"/>
  <c r="J133" i="9"/>
  <c r="B120" i="9"/>
  <c r="J119" i="9"/>
  <c r="B119" i="9"/>
  <c r="B118" i="9"/>
  <c r="L117" i="9"/>
  <c r="B117" i="9"/>
  <c r="B116" i="9"/>
  <c r="Q112" i="9"/>
  <c r="P112" i="9"/>
  <c r="O112" i="9"/>
  <c r="L112" i="9"/>
  <c r="N112" i="9" s="1"/>
  <c r="K112" i="9"/>
  <c r="J112" i="9"/>
  <c r="S111" i="9"/>
  <c r="Q111" i="9"/>
  <c r="P111" i="9"/>
  <c r="O111" i="9"/>
  <c r="N111" i="9"/>
  <c r="M111" i="9"/>
  <c r="R111" i="9" s="1"/>
  <c r="L111" i="9"/>
  <c r="K111" i="9"/>
  <c r="J111" i="9"/>
  <c r="Q110" i="9"/>
  <c r="P110" i="9"/>
  <c r="O110" i="9"/>
  <c r="N110" i="9"/>
  <c r="M110" i="9"/>
  <c r="R110" i="9" s="1"/>
  <c r="L110" i="9"/>
  <c r="K110" i="9"/>
  <c r="J110" i="9"/>
  <c r="S110" i="9" s="1"/>
  <c r="Q109" i="9"/>
  <c r="P109" i="9"/>
  <c r="O109" i="9"/>
  <c r="L109" i="9"/>
  <c r="S109" i="9" s="1"/>
  <c r="K109" i="9"/>
  <c r="N109" i="9" s="1"/>
  <c r="J109" i="9"/>
  <c r="Q108" i="9"/>
  <c r="P108" i="9"/>
  <c r="O108" i="9"/>
  <c r="N108" i="9"/>
  <c r="L108" i="9"/>
  <c r="M108" i="9" s="1"/>
  <c r="R108" i="9" s="1"/>
  <c r="K108" i="9"/>
  <c r="J108" i="9"/>
  <c r="S108" i="9" s="1"/>
  <c r="Q107" i="9"/>
  <c r="P107" i="9"/>
  <c r="O107" i="9"/>
  <c r="N107" i="9"/>
  <c r="L107" i="9"/>
  <c r="M107" i="9" s="1"/>
  <c r="R107" i="9" s="1"/>
  <c r="K107" i="9"/>
  <c r="J107" i="9"/>
  <c r="S107" i="9" s="1"/>
  <c r="S106" i="9"/>
  <c r="Q106" i="9"/>
  <c r="P106" i="9"/>
  <c r="O106" i="9"/>
  <c r="N106" i="9"/>
  <c r="M106" i="9"/>
  <c r="R106" i="9" s="1"/>
  <c r="L106" i="9"/>
  <c r="K106" i="9"/>
  <c r="J106" i="9"/>
  <c r="Q105" i="9"/>
  <c r="P105" i="9"/>
  <c r="O105" i="9"/>
  <c r="M105" i="9"/>
  <c r="R105" i="9" s="1"/>
  <c r="L105" i="9"/>
  <c r="N105" i="9" s="1"/>
  <c r="K105" i="9"/>
  <c r="J105" i="9"/>
  <c r="Q104" i="9"/>
  <c r="P104" i="9"/>
  <c r="O104" i="9"/>
  <c r="L104" i="9"/>
  <c r="K104" i="9"/>
  <c r="N104" i="9" s="1"/>
  <c r="J104" i="9"/>
  <c r="Q103" i="9"/>
  <c r="P103" i="9"/>
  <c r="O103" i="9"/>
  <c r="L103" i="9"/>
  <c r="K103" i="9"/>
  <c r="J103" i="9"/>
  <c r="S102" i="9"/>
  <c r="R102" i="9"/>
  <c r="Q102" i="9"/>
  <c r="P102" i="9"/>
  <c r="O102" i="9"/>
  <c r="N102" i="9"/>
  <c r="M102" i="9"/>
  <c r="L102" i="9"/>
  <c r="K102" i="9"/>
  <c r="K128" i="9" s="1"/>
  <c r="J102" i="9"/>
  <c r="J128" i="9" s="1"/>
  <c r="S101" i="9"/>
  <c r="R101" i="9"/>
  <c r="Q101" i="9"/>
  <c r="P101" i="9"/>
  <c r="O101" i="9"/>
  <c r="N101" i="9"/>
  <c r="M101" i="9"/>
  <c r="L101" i="9"/>
  <c r="K101" i="9"/>
  <c r="J101" i="9"/>
  <c r="Q100" i="9"/>
  <c r="P100" i="9"/>
  <c r="O100" i="9"/>
  <c r="L100" i="9"/>
  <c r="K100" i="9"/>
  <c r="J100" i="9"/>
  <c r="S99" i="9"/>
  <c r="R99" i="9"/>
  <c r="Q99" i="9"/>
  <c r="P99" i="9"/>
  <c r="O99" i="9"/>
  <c r="N99" i="9"/>
  <c r="M99" i="9"/>
  <c r="L99" i="9"/>
  <c r="K99" i="9"/>
  <c r="J99" i="9"/>
  <c r="S98" i="9"/>
  <c r="Q98" i="9"/>
  <c r="P98" i="9"/>
  <c r="O98" i="9"/>
  <c r="N98" i="9"/>
  <c r="L98" i="9"/>
  <c r="K98" i="9"/>
  <c r="M98" i="9" s="1"/>
  <c r="R98" i="9" s="1"/>
  <c r="J98" i="9"/>
  <c r="S97" i="9"/>
  <c r="R97" i="9"/>
  <c r="Q97" i="9"/>
  <c r="P97" i="9"/>
  <c r="O97" i="9"/>
  <c r="N97" i="9"/>
  <c r="M97" i="9"/>
  <c r="L97" i="9"/>
  <c r="K97" i="9"/>
  <c r="J97" i="9"/>
  <c r="S96" i="9"/>
  <c r="R96" i="9"/>
  <c r="Q96" i="9"/>
  <c r="P96" i="9"/>
  <c r="O96" i="9"/>
  <c r="N96" i="9"/>
  <c r="L96" i="9"/>
  <c r="M96" i="9" s="1"/>
  <c r="K96" i="9"/>
  <c r="J96" i="9"/>
  <c r="Q95" i="9"/>
  <c r="P95" i="9"/>
  <c r="O95" i="9"/>
  <c r="M95" i="9"/>
  <c r="R95" i="9" s="1"/>
  <c r="L95" i="9"/>
  <c r="N95" i="9" s="1"/>
  <c r="K95" i="9"/>
  <c r="J95" i="9"/>
  <c r="S95" i="9" s="1"/>
  <c r="Q94" i="9"/>
  <c r="P94" i="9"/>
  <c r="O94" i="9"/>
  <c r="N94" i="9"/>
  <c r="M94" i="9"/>
  <c r="R94" i="9" s="1"/>
  <c r="L94" i="9"/>
  <c r="S94" i="9" s="1"/>
  <c r="K94" i="9"/>
  <c r="J94" i="9"/>
  <c r="Q93" i="9"/>
  <c r="P93" i="9"/>
  <c r="O93" i="9"/>
  <c r="L93" i="9"/>
  <c r="K93" i="9"/>
  <c r="J93" i="9"/>
  <c r="S92" i="9"/>
  <c r="Q92" i="9"/>
  <c r="P92" i="9"/>
  <c r="O92" i="9"/>
  <c r="N92" i="9"/>
  <c r="L92" i="9"/>
  <c r="K92" i="9"/>
  <c r="M92" i="9" s="1"/>
  <c r="R92" i="9" s="1"/>
  <c r="J92" i="9"/>
  <c r="S91" i="9"/>
  <c r="R91" i="9"/>
  <c r="Q91" i="9"/>
  <c r="P91" i="9"/>
  <c r="O91" i="9"/>
  <c r="N91" i="9"/>
  <c r="M91" i="9"/>
  <c r="L91" i="9"/>
  <c r="K91" i="9"/>
  <c r="J91" i="9"/>
  <c r="Q90" i="9"/>
  <c r="P90" i="9"/>
  <c r="O90" i="9"/>
  <c r="N90" i="9"/>
  <c r="M90" i="9"/>
  <c r="R90" i="9" s="1"/>
  <c r="L90" i="9"/>
  <c r="K90" i="9"/>
  <c r="J90" i="9"/>
  <c r="S90" i="9" s="1"/>
  <c r="S89" i="9"/>
  <c r="Q89" i="9"/>
  <c r="P89" i="9"/>
  <c r="O89" i="9"/>
  <c r="L89" i="9"/>
  <c r="N89" i="9" s="1"/>
  <c r="K89" i="9"/>
  <c r="J89" i="9"/>
  <c r="Q88" i="9"/>
  <c r="P88" i="9"/>
  <c r="O88" i="9"/>
  <c r="L88" i="9"/>
  <c r="K88" i="9"/>
  <c r="N88" i="9" s="1"/>
  <c r="J88" i="9"/>
  <c r="S88" i="9" s="1"/>
  <c r="S87" i="9"/>
  <c r="Q87" i="9"/>
  <c r="P87" i="9"/>
  <c r="O87" i="9"/>
  <c r="N87" i="9"/>
  <c r="M87" i="9"/>
  <c r="R87" i="9" s="1"/>
  <c r="L87" i="9"/>
  <c r="K87" i="9"/>
  <c r="J87" i="9"/>
  <c r="S86" i="9"/>
  <c r="R86" i="9"/>
  <c r="Q86" i="9"/>
  <c r="P86" i="9"/>
  <c r="O86" i="9"/>
  <c r="N86" i="9"/>
  <c r="M86" i="9"/>
  <c r="L86" i="9"/>
  <c r="K86" i="9"/>
  <c r="J86" i="9"/>
  <c r="Q85" i="9"/>
  <c r="P85" i="9"/>
  <c r="O85" i="9"/>
  <c r="N85" i="9"/>
  <c r="L85" i="9"/>
  <c r="M85" i="9" s="1"/>
  <c r="R85" i="9" s="1"/>
  <c r="K85" i="9"/>
  <c r="J85" i="9"/>
  <c r="S85" i="9" s="1"/>
  <c r="S84" i="9"/>
  <c r="Q84" i="9"/>
  <c r="P84" i="9"/>
  <c r="O84" i="9"/>
  <c r="N84" i="9"/>
  <c r="L84" i="9"/>
  <c r="K84" i="9"/>
  <c r="J84" i="9"/>
  <c r="Q83" i="9"/>
  <c r="P83" i="9"/>
  <c r="O83" i="9"/>
  <c r="N83" i="9"/>
  <c r="M83" i="9"/>
  <c r="R83" i="9" s="1"/>
  <c r="L83" i="9"/>
  <c r="K83" i="9"/>
  <c r="J83" i="9"/>
  <c r="S83" i="9" s="1"/>
  <c r="Q82" i="9"/>
  <c r="P82" i="9"/>
  <c r="O82" i="9"/>
  <c r="L82" i="9"/>
  <c r="N82" i="9" s="1"/>
  <c r="K82" i="9"/>
  <c r="J82" i="9"/>
  <c r="S82" i="9" s="1"/>
  <c r="R81" i="9"/>
  <c r="Q81" i="9"/>
  <c r="P81" i="9"/>
  <c r="O81" i="9"/>
  <c r="M81" i="9"/>
  <c r="L81" i="9"/>
  <c r="N81" i="9" s="1"/>
  <c r="K81" i="9"/>
  <c r="J81" i="9"/>
  <c r="Q80" i="9"/>
  <c r="P80" i="9"/>
  <c r="O80" i="9"/>
  <c r="L80" i="9"/>
  <c r="N80" i="9" s="1"/>
  <c r="K80" i="9"/>
  <c r="J80" i="9"/>
  <c r="S79" i="9"/>
  <c r="Q79" i="9"/>
  <c r="P79" i="9"/>
  <c r="O79" i="9"/>
  <c r="N79" i="9"/>
  <c r="L79" i="9"/>
  <c r="K79" i="9"/>
  <c r="M79" i="9" s="1"/>
  <c r="R79" i="9" s="1"/>
  <c r="J79" i="9"/>
  <c r="Q78" i="9"/>
  <c r="P78" i="9"/>
  <c r="O78" i="9"/>
  <c r="N78" i="9"/>
  <c r="L78" i="9"/>
  <c r="K78" i="9"/>
  <c r="M78" i="9" s="1"/>
  <c r="R78" i="9" s="1"/>
  <c r="J78" i="9"/>
  <c r="S78" i="9" s="1"/>
  <c r="Q77" i="9"/>
  <c r="P77" i="9"/>
  <c r="O77" i="9"/>
  <c r="N77" i="9"/>
  <c r="M77" i="9"/>
  <c r="R77" i="9" s="1"/>
  <c r="L77" i="9"/>
  <c r="K77" i="9"/>
  <c r="J77" i="9"/>
  <c r="S77" i="9" s="1"/>
  <c r="S76" i="9"/>
  <c r="R76" i="9"/>
  <c r="Q76" i="9"/>
  <c r="P76" i="9"/>
  <c r="O76" i="9"/>
  <c r="N76" i="9"/>
  <c r="M76" i="9"/>
  <c r="L76" i="9"/>
  <c r="K76" i="9"/>
  <c r="J76" i="9"/>
  <c r="Q75" i="9"/>
  <c r="P75" i="9"/>
  <c r="O75" i="9"/>
  <c r="L75" i="9"/>
  <c r="K75" i="9"/>
  <c r="J75" i="9"/>
  <c r="S75" i="9" s="1"/>
  <c r="S74" i="9"/>
  <c r="Q74" i="9"/>
  <c r="P74" i="9"/>
  <c r="O74" i="9"/>
  <c r="N74" i="9"/>
  <c r="M74" i="9"/>
  <c r="R74" i="9" s="1"/>
  <c r="L74" i="9"/>
  <c r="K74" i="9"/>
  <c r="J74" i="9"/>
  <c r="Q73" i="9"/>
  <c r="P73" i="9"/>
  <c r="O73" i="9"/>
  <c r="L73" i="9"/>
  <c r="K73" i="9"/>
  <c r="J73" i="9"/>
  <c r="Q72" i="9"/>
  <c r="P72" i="9"/>
  <c r="O72" i="9"/>
  <c r="L72" i="9"/>
  <c r="K72" i="9"/>
  <c r="N72" i="9" s="1"/>
  <c r="J72" i="9"/>
  <c r="S72" i="9" s="1"/>
  <c r="Q71" i="9"/>
  <c r="P71" i="9"/>
  <c r="O71" i="9"/>
  <c r="N71" i="9"/>
  <c r="M71" i="9"/>
  <c r="R71" i="9" s="1"/>
  <c r="L71" i="9"/>
  <c r="K71" i="9"/>
  <c r="J71" i="9"/>
  <c r="S71" i="9" s="1"/>
  <c r="S70" i="9"/>
  <c r="Q70" i="9"/>
  <c r="P70" i="9"/>
  <c r="O70" i="9"/>
  <c r="N70" i="9"/>
  <c r="L70" i="9"/>
  <c r="M70" i="9" s="1"/>
  <c r="R70" i="9" s="1"/>
  <c r="K70" i="9"/>
  <c r="J70" i="9"/>
  <c r="Q69" i="9"/>
  <c r="P69" i="9"/>
  <c r="O69" i="9"/>
  <c r="L69" i="9"/>
  <c r="N69" i="9" s="1"/>
  <c r="K69" i="9"/>
  <c r="J69" i="9"/>
  <c r="S69" i="9" s="1"/>
  <c r="S68" i="9"/>
  <c r="Q68" i="9"/>
  <c r="P68" i="9"/>
  <c r="O68" i="9"/>
  <c r="N68" i="9"/>
  <c r="L68" i="9"/>
  <c r="K68" i="9"/>
  <c r="M68" i="9" s="1"/>
  <c r="R68" i="9" s="1"/>
  <c r="J68" i="9"/>
  <c r="S67" i="9"/>
  <c r="Q67" i="9"/>
  <c r="P67" i="9"/>
  <c r="O67" i="9"/>
  <c r="L67" i="9"/>
  <c r="N67" i="9" s="1"/>
  <c r="K67" i="9"/>
  <c r="J67" i="9"/>
  <c r="R66" i="9"/>
  <c r="Q66" i="9"/>
  <c r="P66" i="9"/>
  <c r="O66" i="9"/>
  <c r="N66" i="9"/>
  <c r="M66" i="9"/>
  <c r="L66" i="9"/>
  <c r="K66" i="9"/>
  <c r="J66" i="9"/>
  <c r="S66" i="9" s="1"/>
  <c r="Q65" i="9"/>
  <c r="P65" i="9"/>
  <c r="O65" i="9"/>
  <c r="L65" i="9"/>
  <c r="M65" i="9" s="1"/>
  <c r="R65" i="9" s="1"/>
  <c r="K65" i="9"/>
  <c r="J65" i="9"/>
  <c r="S65" i="9" s="1"/>
  <c r="S64" i="9"/>
  <c r="Q64" i="9"/>
  <c r="P64" i="9"/>
  <c r="O64" i="9"/>
  <c r="L64" i="9"/>
  <c r="N64" i="9" s="1"/>
  <c r="K64" i="9"/>
  <c r="J64" i="9"/>
  <c r="Q63" i="9"/>
  <c r="P63" i="9"/>
  <c r="O63" i="9"/>
  <c r="L63" i="9"/>
  <c r="K63" i="9"/>
  <c r="J63" i="9"/>
  <c r="S63" i="9" s="1"/>
  <c r="Q62" i="9"/>
  <c r="P62" i="9"/>
  <c r="O62" i="9"/>
  <c r="L62" i="9"/>
  <c r="K62" i="9"/>
  <c r="J62" i="9"/>
  <c r="S62" i="9" s="1"/>
  <c r="S61" i="9"/>
  <c r="Q61" i="9"/>
  <c r="P61" i="9"/>
  <c r="O61" i="9"/>
  <c r="L61" i="9"/>
  <c r="K61" i="9"/>
  <c r="J61" i="9"/>
  <c r="Q60" i="9"/>
  <c r="P60" i="9"/>
  <c r="O60" i="9"/>
  <c r="L60" i="9"/>
  <c r="K60" i="9"/>
  <c r="J60" i="9"/>
  <c r="S59" i="9"/>
  <c r="Q59" i="9"/>
  <c r="P59" i="9"/>
  <c r="O59" i="9"/>
  <c r="N59" i="9"/>
  <c r="M59" i="9"/>
  <c r="R59" i="9" s="1"/>
  <c r="L59" i="9"/>
  <c r="K59" i="9"/>
  <c r="J59" i="9"/>
  <c r="Q58" i="9"/>
  <c r="P58" i="9"/>
  <c r="O58" i="9"/>
  <c r="L58" i="9"/>
  <c r="K58" i="9"/>
  <c r="J58" i="9"/>
  <c r="Q57" i="9"/>
  <c r="P57" i="9"/>
  <c r="O57" i="9"/>
  <c r="L57" i="9"/>
  <c r="K57" i="9"/>
  <c r="J57" i="9"/>
  <c r="S56" i="9"/>
  <c r="R56" i="9"/>
  <c r="Q56" i="9"/>
  <c r="P56" i="9"/>
  <c r="O56" i="9"/>
  <c r="N56" i="9"/>
  <c r="M56" i="9"/>
  <c r="L56" i="9"/>
  <c r="K56" i="9"/>
  <c r="J56" i="9"/>
  <c r="Q55" i="9"/>
  <c r="P55" i="9"/>
  <c r="O55" i="9"/>
  <c r="L55" i="9"/>
  <c r="K55" i="9"/>
  <c r="J55" i="9"/>
  <c r="S54" i="9"/>
  <c r="R54" i="9"/>
  <c r="Q54" i="9"/>
  <c r="P54" i="9"/>
  <c r="O54" i="9"/>
  <c r="N54" i="9"/>
  <c r="M54" i="9"/>
  <c r="L54" i="9"/>
  <c r="K54" i="9"/>
  <c r="J54" i="9"/>
  <c r="Q53" i="9"/>
  <c r="P53" i="9"/>
  <c r="O53" i="9"/>
  <c r="L53" i="9"/>
  <c r="N53" i="9" s="1"/>
  <c r="K53" i="9"/>
  <c r="J53" i="9"/>
  <c r="Q52" i="9"/>
  <c r="P52" i="9"/>
  <c r="O52" i="9"/>
  <c r="L52" i="9"/>
  <c r="K52" i="9"/>
  <c r="N52" i="9" s="1"/>
  <c r="J52" i="9"/>
  <c r="S52" i="9" s="1"/>
  <c r="S51" i="9"/>
  <c r="Q51" i="9"/>
  <c r="P51" i="9"/>
  <c r="O51" i="9"/>
  <c r="L51" i="9"/>
  <c r="K51" i="9"/>
  <c r="J51" i="9"/>
  <c r="S50" i="9"/>
  <c r="Q50" i="9"/>
  <c r="P50" i="9"/>
  <c r="O50" i="9"/>
  <c r="N50" i="9"/>
  <c r="L50" i="9"/>
  <c r="K50" i="9"/>
  <c r="J50" i="9"/>
  <c r="J124" i="9" s="1"/>
  <c r="S49" i="9"/>
  <c r="Q49" i="9"/>
  <c r="P49" i="9"/>
  <c r="O49" i="9"/>
  <c r="N49" i="9"/>
  <c r="M49" i="9"/>
  <c r="R49" i="9" s="1"/>
  <c r="L49" i="9"/>
  <c r="K49" i="9"/>
  <c r="J49" i="9"/>
  <c r="R48" i="9"/>
  <c r="Q48" i="9"/>
  <c r="P48" i="9"/>
  <c r="O48" i="9"/>
  <c r="N48" i="9"/>
  <c r="L48" i="9"/>
  <c r="M48" i="9" s="1"/>
  <c r="K48" i="9"/>
  <c r="J48" i="9"/>
  <c r="Q47" i="9"/>
  <c r="P47" i="9"/>
  <c r="O47" i="9"/>
  <c r="L47" i="9"/>
  <c r="K47" i="9"/>
  <c r="N47" i="9" s="1"/>
  <c r="J47" i="9"/>
  <c r="S47" i="9" s="1"/>
  <c r="Q46" i="9"/>
  <c r="P46" i="9"/>
  <c r="O46" i="9"/>
  <c r="L46" i="9"/>
  <c r="K46" i="9"/>
  <c r="J46" i="9"/>
  <c r="Q45" i="9"/>
  <c r="P45" i="9"/>
  <c r="O45" i="9"/>
  <c r="M45" i="9"/>
  <c r="R45" i="9" s="1"/>
  <c r="L45" i="9"/>
  <c r="N45" i="9" s="1"/>
  <c r="K45" i="9"/>
  <c r="J45" i="9"/>
  <c r="S45" i="9" s="1"/>
  <c r="Q44" i="9"/>
  <c r="P44" i="9"/>
  <c r="O44" i="9"/>
  <c r="M44" i="9"/>
  <c r="R44" i="9" s="1"/>
  <c r="L44" i="9"/>
  <c r="S44" i="9" s="1"/>
  <c r="K44" i="9"/>
  <c r="J44" i="9"/>
  <c r="Q43" i="9"/>
  <c r="P43" i="9"/>
  <c r="O43" i="9"/>
  <c r="L43" i="9"/>
  <c r="K43" i="9"/>
  <c r="J43" i="9"/>
  <c r="Q42" i="9"/>
  <c r="P42" i="9"/>
  <c r="O42" i="9"/>
  <c r="L42" i="9"/>
  <c r="N42" i="9" s="1"/>
  <c r="K42" i="9"/>
  <c r="J42" i="9"/>
  <c r="S41" i="9"/>
  <c r="Q41" i="9"/>
  <c r="P41" i="9"/>
  <c r="O41" i="9"/>
  <c r="L41" i="9"/>
  <c r="K41" i="9"/>
  <c r="J41" i="9"/>
  <c r="S40" i="9"/>
  <c r="Q40" i="9"/>
  <c r="P40" i="9"/>
  <c r="O40" i="9"/>
  <c r="L40" i="9"/>
  <c r="N40" i="9" s="1"/>
  <c r="K40" i="9"/>
  <c r="J40" i="9"/>
  <c r="S39" i="9"/>
  <c r="Q39" i="9"/>
  <c r="P39" i="9"/>
  <c r="O39" i="9"/>
  <c r="N39" i="9"/>
  <c r="M39" i="9"/>
  <c r="R39" i="9" s="1"/>
  <c r="L39" i="9"/>
  <c r="K39" i="9"/>
  <c r="J39" i="9"/>
  <c r="Q38" i="9"/>
  <c r="P38" i="9"/>
  <c r="O38" i="9"/>
  <c r="N38" i="9"/>
  <c r="L38" i="9"/>
  <c r="K38" i="9"/>
  <c r="M38" i="9" s="1"/>
  <c r="R38" i="9" s="1"/>
  <c r="J38" i="9"/>
  <c r="S38" i="9" s="1"/>
  <c r="Q37" i="9"/>
  <c r="P37" i="9"/>
  <c r="O37" i="9"/>
  <c r="L37" i="9"/>
  <c r="M37" i="9" s="1"/>
  <c r="R37" i="9" s="1"/>
  <c r="K37" i="9"/>
  <c r="N37" i="9" s="1"/>
  <c r="J37" i="9"/>
  <c r="Q36" i="9"/>
  <c r="P36" i="9"/>
  <c r="O36" i="9"/>
  <c r="N36" i="9"/>
  <c r="L36" i="9"/>
  <c r="M36" i="9" s="1"/>
  <c r="R36" i="9" s="1"/>
  <c r="K36" i="9"/>
  <c r="J36" i="9"/>
  <c r="S36" i="9" s="1"/>
  <c r="S35" i="9"/>
  <c r="Q35" i="9"/>
  <c r="P35" i="9"/>
  <c r="O35" i="9"/>
  <c r="N35" i="9"/>
  <c r="M35" i="9"/>
  <c r="R35" i="9" s="1"/>
  <c r="L35" i="9"/>
  <c r="K35" i="9"/>
  <c r="J35" i="9"/>
  <c r="S34" i="9"/>
  <c r="R34" i="9"/>
  <c r="Q34" i="9"/>
  <c r="P34" i="9"/>
  <c r="O34" i="9"/>
  <c r="N34" i="9"/>
  <c r="M34" i="9"/>
  <c r="L34" i="9"/>
  <c r="K34" i="9"/>
  <c r="J34" i="9"/>
  <c r="Q33" i="9"/>
  <c r="P33" i="9"/>
  <c r="O33" i="9"/>
  <c r="L33" i="9"/>
  <c r="K33" i="9"/>
  <c r="J33" i="9"/>
  <c r="S33" i="9" s="1"/>
  <c r="Q32" i="9"/>
  <c r="P32" i="9"/>
  <c r="O32" i="9"/>
  <c r="L32" i="9"/>
  <c r="K32" i="9"/>
  <c r="J32" i="9"/>
  <c r="Q31" i="9"/>
  <c r="P31" i="9"/>
  <c r="O31" i="9"/>
  <c r="L31" i="9"/>
  <c r="K31" i="9"/>
  <c r="J31" i="9"/>
  <c r="S30" i="9"/>
  <c r="Q30" i="9"/>
  <c r="P30" i="9"/>
  <c r="O30" i="9"/>
  <c r="L30" i="9"/>
  <c r="K30" i="9"/>
  <c r="N30" i="9" s="1"/>
  <c r="J30" i="9"/>
  <c r="S29" i="9"/>
  <c r="R29" i="9"/>
  <c r="Q29" i="9"/>
  <c r="P29" i="9"/>
  <c r="O29" i="9"/>
  <c r="N29" i="9"/>
  <c r="M29" i="9"/>
  <c r="L29" i="9"/>
  <c r="K29" i="9"/>
  <c r="J29" i="9"/>
  <c r="Q28" i="9"/>
  <c r="P28" i="9"/>
  <c r="O28" i="9"/>
  <c r="L28" i="9"/>
  <c r="K28" i="9"/>
  <c r="N28" i="9" s="1"/>
  <c r="J28" i="9"/>
  <c r="S28" i="9" s="1"/>
  <c r="S27" i="9"/>
  <c r="Q27" i="9"/>
  <c r="P27" i="9"/>
  <c r="O27" i="9"/>
  <c r="L27" i="9"/>
  <c r="K27" i="9"/>
  <c r="J27" i="9"/>
  <c r="S26" i="9"/>
  <c r="Q26" i="9"/>
  <c r="P26" i="9"/>
  <c r="O26" i="9"/>
  <c r="L26" i="9"/>
  <c r="K26" i="9"/>
  <c r="N26" i="9" s="1"/>
  <c r="J26" i="9"/>
  <c r="S25" i="9"/>
  <c r="Q25" i="9"/>
  <c r="P25" i="9"/>
  <c r="O25" i="9"/>
  <c r="L25" i="9"/>
  <c r="K25" i="9"/>
  <c r="N25" i="9" s="1"/>
  <c r="J25" i="9"/>
  <c r="S24" i="9"/>
  <c r="R24" i="9"/>
  <c r="Q24" i="9"/>
  <c r="P24" i="9"/>
  <c r="O24" i="9"/>
  <c r="N24" i="9"/>
  <c r="L24" i="9"/>
  <c r="M24" i="9" s="1"/>
  <c r="K24" i="9"/>
  <c r="J24" i="9"/>
  <c r="Q23" i="9"/>
  <c r="P23" i="9"/>
  <c r="O23" i="9"/>
  <c r="M23" i="9"/>
  <c r="R23" i="9" s="1"/>
  <c r="L23" i="9"/>
  <c r="N23" i="9" s="1"/>
  <c r="K23" i="9"/>
  <c r="J23" i="9"/>
  <c r="S23" i="9" s="1"/>
  <c r="Q22" i="9"/>
  <c r="P22" i="9"/>
  <c r="O22" i="9"/>
  <c r="L22" i="9"/>
  <c r="M22" i="9" s="1"/>
  <c r="R22" i="9" s="1"/>
  <c r="K22" i="9"/>
  <c r="N22" i="9" s="1"/>
  <c r="J22" i="9"/>
  <c r="S22" i="9" s="1"/>
  <c r="Q21" i="9"/>
  <c r="P21" i="9"/>
  <c r="O21" i="9"/>
  <c r="L21" i="9"/>
  <c r="K21" i="9"/>
  <c r="J21" i="9"/>
  <c r="Q20" i="9"/>
  <c r="P20" i="9"/>
  <c r="O20" i="9"/>
  <c r="L20" i="9"/>
  <c r="K20" i="9"/>
  <c r="J20" i="9"/>
  <c r="S19" i="9"/>
  <c r="Q19" i="9"/>
  <c r="P19" i="9"/>
  <c r="O19" i="9"/>
  <c r="N19" i="9"/>
  <c r="M19" i="9"/>
  <c r="R19" i="9" s="1"/>
  <c r="L19" i="9"/>
  <c r="K19" i="9"/>
  <c r="J19" i="9"/>
  <c r="Q18" i="9"/>
  <c r="P18" i="9"/>
  <c r="O18" i="9"/>
  <c r="L18" i="9"/>
  <c r="K18" i="9"/>
  <c r="N18" i="9" s="1"/>
  <c r="J18" i="9"/>
  <c r="S18" i="9" s="1"/>
  <c r="Q17" i="9"/>
  <c r="P17" i="9"/>
  <c r="O17" i="9"/>
  <c r="M17" i="9"/>
  <c r="R17" i="9" s="1"/>
  <c r="L17" i="9"/>
  <c r="N17" i="9" s="1"/>
  <c r="K17" i="9"/>
  <c r="J17" i="9"/>
  <c r="S17" i="9" s="1"/>
  <c r="S16" i="9"/>
  <c r="Q16" i="9"/>
  <c r="P16" i="9"/>
  <c r="O16" i="9"/>
  <c r="M16" i="9"/>
  <c r="R16" i="9" s="1"/>
  <c r="L16" i="9"/>
  <c r="L126" i="9" s="1"/>
  <c r="K16" i="9"/>
  <c r="K126" i="9" s="1"/>
  <c r="J16" i="9"/>
  <c r="Q15" i="9"/>
  <c r="P15" i="9"/>
  <c r="O15" i="9"/>
  <c r="L15" i="9"/>
  <c r="K15" i="9"/>
  <c r="J15" i="9"/>
  <c r="S14" i="9"/>
  <c r="R14" i="9"/>
  <c r="Q14" i="9"/>
  <c r="P14" i="9"/>
  <c r="O14" i="9"/>
  <c r="N14" i="9"/>
  <c r="M14" i="9"/>
  <c r="L14" i="9"/>
  <c r="K14" i="9"/>
  <c r="J14" i="9"/>
  <c r="Q13" i="9"/>
  <c r="P13" i="9"/>
  <c r="O13" i="9"/>
  <c r="L13" i="9"/>
  <c r="K13" i="9"/>
  <c r="N13" i="9" s="1"/>
  <c r="J13" i="9"/>
  <c r="S13" i="9" s="1"/>
  <c r="Q12" i="9"/>
  <c r="P12" i="9"/>
  <c r="O12" i="9"/>
  <c r="L12" i="9"/>
  <c r="K12" i="9"/>
  <c r="J12" i="9"/>
  <c r="S12" i="9" s="1"/>
  <c r="Q11" i="9"/>
  <c r="P11" i="9"/>
  <c r="O11" i="9"/>
  <c r="N11" i="9"/>
  <c r="M11" i="9"/>
  <c r="R11" i="9" s="1"/>
  <c r="L11" i="9"/>
  <c r="K11" i="9"/>
  <c r="J11" i="9"/>
  <c r="S11" i="9" s="1"/>
  <c r="Q10" i="9"/>
  <c r="P10" i="9"/>
  <c r="O10" i="9"/>
  <c r="N10" i="9"/>
  <c r="L10" i="9"/>
  <c r="K10" i="9"/>
  <c r="M10" i="9" s="1"/>
  <c r="R10" i="9" s="1"/>
  <c r="J10" i="9"/>
  <c r="S10" i="9" s="1"/>
  <c r="R9" i="9"/>
  <c r="Q9" i="9"/>
  <c r="P9" i="9"/>
  <c r="O9" i="9"/>
  <c r="M9" i="9"/>
  <c r="L9" i="9"/>
  <c r="N9" i="9" s="1"/>
  <c r="K9" i="9"/>
  <c r="J9" i="9"/>
  <c r="R8" i="9"/>
  <c r="Q8" i="9"/>
  <c r="P8" i="9"/>
  <c r="O8" i="9"/>
  <c r="N8" i="9"/>
  <c r="M8" i="9"/>
  <c r="L8" i="9"/>
  <c r="K8" i="9"/>
  <c r="J8" i="9"/>
  <c r="S8" i="9" s="1"/>
  <c r="Q7" i="9"/>
  <c r="P7" i="9"/>
  <c r="O7" i="9"/>
  <c r="M7" i="9"/>
  <c r="R7" i="9" s="1"/>
  <c r="L7" i="9"/>
  <c r="K7" i="9"/>
  <c r="J7" i="9"/>
  <c r="S6" i="9"/>
  <c r="Q6" i="9"/>
  <c r="P6" i="9"/>
  <c r="O6" i="9"/>
  <c r="N6" i="9"/>
  <c r="M6" i="9"/>
  <c r="R6" i="9" s="1"/>
  <c r="L6" i="9"/>
  <c r="K6" i="9"/>
  <c r="J6" i="9"/>
  <c r="Q5" i="9"/>
  <c r="P5" i="9"/>
  <c r="O5" i="9"/>
  <c r="L5" i="9"/>
  <c r="S5" i="9" s="1"/>
  <c r="K5" i="9"/>
  <c r="J5" i="9"/>
  <c r="R4" i="9"/>
  <c r="Q4" i="9"/>
  <c r="P4" i="9"/>
  <c r="O4" i="9"/>
  <c r="M137" i="9" s="1" a="1"/>
  <c r="M137" i="9" s="1"/>
  <c r="N4" i="9"/>
  <c r="M4" i="9"/>
  <c r="L4" i="9"/>
  <c r="K4" i="9"/>
  <c r="J4" i="9"/>
  <c r="S4" i="9" s="1"/>
  <c r="S3" i="9"/>
  <c r="Q3" i="9"/>
  <c r="P3" i="9"/>
  <c r="O3" i="9"/>
  <c r="N3" i="9"/>
  <c r="M3" i="9"/>
  <c r="R3" i="9" s="1"/>
  <c r="L3" i="9"/>
  <c r="K3" i="9"/>
  <c r="J3" i="9"/>
  <c r="J125" i="9" s="1"/>
  <c r="S2" i="9"/>
  <c r="Q2" i="9"/>
  <c r="P2" i="9"/>
  <c r="O2" i="9"/>
  <c r="M2" i="9"/>
  <c r="L2" i="9"/>
  <c r="K2" i="9"/>
  <c r="J2" i="9"/>
  <c r="O61" i="8" a="1"/>
  <c r="O61" i="8" s="1"/>
  <c r="J61" i="8"/>
  <c r="J60" i="8"/>
  <c r="J59" i="8"/>
  <c r="J58" i="8"/>
  <c r="J53" i="8"/>
  <c r="J49" i="8"/>
  <c r="B45" i="8"/>
  <c r="J44" i="8"/>
  <c r="B44" i="8"/>
  <c r="B43" i="8"/>
  <c r="J42" i="8"/>
  <c r="B42" i="8"/>
  <c r="B41" i="8"/>
  <c r="B40" i="8" s="1"/>
  <c r="Q37" i="8"/>
  <c r="P37" i="8"/>
  <c r="O37" i="8"/>
  <c r="L37" i="8"/>
  <c r="N37" i="8" s="1"/>
  <c r="K37" i="8"/>
  <c r="J37" i="8"/>
  <c r="Q36" i="8"/>
  <c r="P36" i="8"/>
  <c r="O36" i="8"/>
  <c r="L36" i="8"/>
  <c r="M36" i="8" s="1"/>
  <c r="R36" i="8" s="1"/>
  <c r="K36" i="8"/>
  <c r="J36" i="8"/>
  <c r="S36" i="8" s="1"/>
  <c r="S35" i="8"/>
  <c r="R35" i="8"/>
  <c r="Q35" i="8"/>
  <c r="P35" i="8"/>
  <c r="O35" i="8"/>
  <c r="N35" i="8"/>
  <c r="L35" i="8"/>
  <c r="M35" i="8" s="1"/>
  <c r="K35" i="8"/>
  <c r="J35" i="8"/>
  <c r="Q34" i="8"/>
  <c r="P34" i="8"/>
  <c r="O34" i="8"/>
  <c r="L34" i="8"/>
  <c r="K34" i="8"/>
  <c r="J34" i="8"/>
  <c r="Q33" i="8"/>
  <c r="P33" i="8"/>
  <c r="O33" i="8"/>
  <c r="N33" i="8"/>
  <c r="L33" i="8"/>
  <c r="M33" i="8" s="1"/>
  <c r="R33" i="8" s="1"/>
  <c r="K33" i="8"/>
  <c r="J33" i="8"/>
  <c r="S33" i="8" s="1"/>
  <c r="S32" i="8"/>
  <c r="Q32" i="8"/>
  <c r="P32" i="8"/>
  <c r="O32" i="8"/>
  <c r="L32" i="8"/>
  <c r="K32" i="8"/>
  <c r="N32" i="8" s="1"/>
  <c r="J32" i="8"/>
  <c r="Q31" i="8"/>
  <c r="P31" i="8"/>
  <c r="O31" i="8"/>
  <c r="N31" i="8"/>
  <c r="L31" i="8"/>
  <c r="K31" i="8"/>
  <c r="M31" i="8" s="1"/>
  <c r="R31" i="8" s="1"/>
  <c r="J31" i="8"/>
  <c r="S31" i="8" s="1"/>
  <c r="Q30" i="8"/>
  <c r="P30" i="8"/>
  <c r="O30" i="8"/>
  <c r="N30" i="8"/>
  <c r="M30" i="8"/>
  <c r="R30" i="8" s="1"/>
  <c r="L30" i="8"/>
  <c r="S30" i="8" s="1"/>
  <c r="K30" i="8"/>
  <c r="J30" i="8"/>
  <c r="Q29" i="8"/>
  <c r="P29" i="8"/>
  <c r="O29" i="8"/>
  <c r="N29" i="8"/>
  <c r="M29" i="8"/>
  <c r="R29" i="8" s="1"/>
  <c r="L29" i="8"/>
  <c r="K29" i="8"/>
  <c r="J29" i="8"/>
  <c r="Q28" i="8"/>
  <c r="P28" i="8"/>
  <c r="O28" i="8"/>
  <c r="L28" i="8"/>
  <c r="S28" i="8" s="1"/>
  <c r="K28" i="8"/>
  <c r="J28" i="8"/>
  <c r="S27" i="8"/>
  <c r="Q27" i="8"/>
  <c r="P27" i="8"/>
  <c r="O27" i="8"/>
  <c r="M27" i="8"/>
  <c r="R27" i="8" s="1"/>
  <c r="L27" i="8"/>
  <c r="K27" i="8"/>
  <c r="N27" i="8" s="1"/>
  <c r="J27" i="8"/>
  <c r="S26" i="8"/>
  <c r="Q26" i="8"/>
  <c r="P26" i="8"/>
  <c r="O26" i="8"/>
  <c r="N26" i="8"/>
  <c r="M26" i="8"/>
  <c r="R26" i="8" s="1"/>
  <c r="L26" i="8"/>
  <c r="K26" i="8"/>
  <c r="J26" i="8"/>
  <c r="S25" i="8"/>
  <c r="R25" i="8"/>
  <c r="Q25" i="8"/>
  <c r="P25" i="8"/>
  <c r="O25" i="8"/>
  <c r="N25" i="8"/>
  <c r="M25" i="8"/>
  <c r="L25" i="8"/>
  <c r="K25" i="8"/>
  <c r="J25" i="8"/>
  <c r="S24" i="8"/>
  <c r="Q24" i="8"/>
  <c r="P24" i="8"/>
  <c r="O24" i="8"/>
  <c r="N24" i="8"/>
  <c r="L24" i="8"/>
  <c r="M24" i="8" s="1"/>
  <c r="R24" i="8" s="1"/>
  <c r="K24" i="8"/>
  <c r="J24" i="8"/>
  <c r="Q23" i="8"/>
  <c r="P23" i="8"/>
  <c r="O23" i="8"/>
  <c r="M23" i="8"/>
  <c r="R23" i="8" s="1"/>
  <c r="L23" i="8"/>
  <c r="K23" i="8"/>
  <c r="N23" i="8" s="1"/>
  <c r="J23" i="8"/>
  <c r="S23" i="8" s="1"/>
  <c r="Q22" i="8"/>
  <c r="P22" i="8"/>
  <c r="O22" i="8"/>
  <c r="L22" i="8"/>
  <c r="K22" i="8"/>
  <c r="D17" i="2" s="1"/>
  <c r="E12" i="3" s="1"/>
  <c r="J22" i="8"/>
  <c r="Q21" i="8"/>
  <c r="P21" i="8"/>
  <c r="O21" i="8"/>
  <c r="N21" i="8"/>
  <c r="M21" i="8"/>
  <c r="R21" i="8" s="1"/>
  <c r="L21" i="8"/>
  <c r="K21" i="8"/>
  <c r="J21" i="8"/>
  <c r="S21" i="8" s="1"/>
  <c r="S20" i="8"/>
  <c r="Q20" i="8"/>
  <c r="P20" i="8"/>
  <c r="O20" i="8"/>
  <c r="N20" i="8"/>
  <c r="M20" i="8"/>
  <c r="R20" i="8" s="1"/>
  <c r="L20" i="8"/>
  <c r="K20" i="8"/>
  <c r="J20" i="8"/>
  <c r="Q19" i="8"/>
  <c r="P19" i="8"/>
  <c r="O19" i="8"/>
  <c r="N19" i="8"/>
  <c r="M19" i="8"/>
  <c r="R19" i="8" s="1"/>
  <c r="L19" i="8"/>
  <c r="K19" i="8"/>
  <c r="J19" i="8"/>
  <c r="S19" i="8" s="1"/>
  <c r="S18" i="8"/>
  <c r="Q18" i="8"/>
  <c r="P18" i="8"/>
  <c r="O18" i="8"/>
  <c r="N18" i="8"/>
  <c r="L18" i="8"/>
  <c r="K18" i="8"/>
  <c r="M18" i="8" s="1"/>
  <c r="R18" i="8" s="1"/>
  <c r="J18" i="8"/>
  <c r="Q17" i="8"/>
  <c r="P17" i="8"/>
  <c r="O17" i="8"/>
  <c r="L17" i="8"/>
  <c r="N17" i="8" s="1"/>
  <c r="K17" i="8"/>
  <c r="J17" i="8"/>
  <c r="S16" i="8"/>
  <c r="R16" i="8"/>
  <c r="Q16" i="8"/>
  <c r="P16" i="8"/>
  <c r="O16" i="8"/>
  <c r="N16" i="8"/>
  <c r="M16" i="8"/>
  <c r="L16" i="8"/>
  <c r="K16" i="8"/>
  <c r="J16" i="8"/>
  <c r="S15" i="8"/>
  <c r="R15" i="8"/>
  <c r="Q15" i="8"/>
  <c r="P15" i="8"/>
  <c r="O15" i="8"/>
  <c r="N15" i="8"/>
  <c r="M15" i="8"/>
  <c r="L15" i="8"/>
  <c r="K15" i="8"/>
  <c r="J15" i="8"/>
  <c r="S14" i="8"/>
  <c r="R14" i="8"/>
  <c r="Q14" i="8"/>
  <c r="P14" i="8"/>
  <c r="O14" i="8"/>
  <c r="N14" i="8"/>
  <c r="L14" i="8"/>
  <c r="M14" i="8" s="1"/>
  <c r="K14" i="8"/>
  <c r="J14" i="8"/>
  <c r="S13" i="8"/>
  <c r="Q13" i="8"/>
  <c r="P13" i="8"/>
  <c r="O13" i="8"/>
  <c r="L13" i="8"/>
  <c r="K13" i="8"/>
  <c r="J13" i="8"/>
  <c r="Q12" i="8"/>
  <c r="P12" i="8"/>
  <c r="O12" i="8"/>
  <c r="L12" i="8"/>
  <c r="K12" i="8"/>
  <c r="J12" i="8"/>
  <c r="Q11" i="8"/>
  <c r="P11" i="8"/>
  <c r="O11" i="8"/>
  <c r="N11" i="8"/>
  <c r="M11" i="8"/>
  <c r="R11" i="8" s="1"/>
  <c r="L11" i="8"/>
  <c r="S11" i="8" s="1"/>
  <c r="K11" i="8"/>
  <c r="J11" i="8"/>
  <c r="S10" i="8"/>
  <c r="Q10" i="8"/>
  <c r="P10" i="8"/>
  <c r="O10" i="8"/>
  <c r="M10" i="8"/>
  <c r="R10" i="8" s="1"/>
  <c r="L10" i="8"/>
  <c r="N10" i="8" s="1"/>
  <c r="K10" i="8"/>
  <c r="J10" i="8"/>
  <c r="Q9" i="8"/>
  <c r="P9" i="8"/>
  <c r="O9" i="8"/>
  <c r="N9" i="8"/>
  <c r="L9" i="8"/>
  <c r="K9" i="8"/>
  <c r="M9" i="8" s="1"/>
  <c r="R9" i="8" s="1"/>
  <c r="J9" i="8"/>
  <c r="S9" i="8" s="1"/>
  <c r="Q8" i="8"/>
  <c r="P8" i="8"/>
  <c r="O8" i="8"/>
  <c r="L8" i="8"/>
  <c r="M8" i="8" s="1"/>
  <c r="R8" i="8" s="1"/>
  <c r="K8" i="8"/>
  <c r="N8" i="8" s="1"/>
  <c r="J8" i="8"/>
  <c r="Q7" i="8"/>
  <c r="P7" i="8"/>
  <c r="O7" i="8"/>
  <c r="M7" i="8"/>
  <c r="R7" i="8" s="1"/>
  <c r="L7" i="8"/>
  <c r="N7" i="8" s="1"/>
  <c r="K7" i="8"/>
  <c r="J7" i="8"/>
  <c r="S6" i="8"/>
  <c r="Q6" i="8"/>
  <c r="P6" i="8"/>
  <c r="O6" i="8"/>
  <c r="L6" i="8"/>
  <c r="K6" i="8"/>
  <c r="J6" i="8"/>
  <c r="S5" i="8"/>
  <c r="R5" i="8"/>
  <c r="Q5" i="8"/>
  <c r="P5" i="8"/>
  <c r="O5" i="8"/>
  <c r="N5" i="8"/>
  <c r="M5" i="8"/>
  <c r="L5" i="8"/>
  <c r="K5" i="8"/>
  <c r="J5" i="8"/>
  <c r="Q4" i="8"/>
  <c r="P4" i="8"/>
  <c r="O4" i="8"/>
  <c r="M60" i="8" s="1" a="1"/>
  <c r="M60" i="8" s="1"/>
  <c r="L4" i="8"/>
  <c r="M4" i="8" s="1"/>
  <c r="R4" i="8" s="1"/>
  <c r="K4" i="8"/>
  <c r="N58" i="8" s="1" a="1"/>
  <c r="N58" i="8" s="1"/>
  <c r="J4" i="8"/>
  <c r="S3" i="8"/>
  <c r="R3" i="8"/>
  <c r="Q3" i="8"/>
  <c r="P3" i="8"/>
  <c r="O3" i="8"/>
  <c r="M3" i="8"/>
  <c r="L3" i="8"/>
  <c r="K3" i="8"/>
  <c r="J3" i="8"/>
  <c r="Q2" i="8"/>
  <c r="P2" i="8"/>
  <c r="O2" i="8"/>
  <c r="L2" i="8"/>
  <c r="K2" i="8"/>
  <c r="J2" i="8"/>
  <c r="J103" i="7"/>
  <c r="R102" i="7"/>
  <c r="J102" i="7"/>
  <c r="J101" i="7"/>
  <c r="J100" i="7"/>
  <c r="J99" i="7"/>
  <c r="B86" i="7"/>
  <c r="B85" i="7"/>
  <c r="L84" i="7"/>
  <c r="K84" i="7"/>
  <c r="B84" i="7"/>
  <c r="B83" i="7"/>
  <c r="B82" i="7"/>
  <c r="B81" i="7"/>
  <c r="Q78" i="7"/>
  <c r="P78" i="7"/>
  <c r="O78" i="7"/>
  <c r="L78" i="7"/>
  <c r="N78" i="7" s="1"/>
  <c r="K78" i="7"/>
  <c r="J78" i="7"/>
  <c r="Q77" i="7"/>
  <c r="P77" i="7"/>
  <c r="O77" i="7"/>
  <c r="N77" i="7"/>
  <c r="M77" i="7"/>
  <c r="R77" i="7" s="1"/>
  <c r="L77" i="7"/>
  <c r="K77" i="7"/>
  <c r="J77" i="7"/>
  <c r="S77" i="7" s="1"/>
  <c r="Q76" i="7"/>
  <c r="P76" i="7"/>
  <c r="O76" i="7"/>
  <c r="N76" i="7"/>
  <c r="L76" i="7"/>
  <c r="K76" i="7"/>
  <c r="J76" i="7"/>
  <c r="Q75" i="7"/>
  <c r="P75" i="7"/>
  <c r="O75" i="7"/>
  <c r="L75" i="7"/>
  <c r="N75" i="7" s="1"/>
  <c r="K75" i="7"/>
  <c r="J75" i="7"/>
  <c r="S74" i="7"/>
  <c r="Q74" i="7"/>
  <c r="P74" i="7"/>
  <c r="O74" i="7"/>
  <c r="L74" i="7"/>
  <c r="N74" i="7" s="1"/>
  <c r="K74" i="7"/>
  <c r="J74" i="7"/>
  <c r="Q73" i="7"/>
  <c r="P73" i="7"/>
  <c r="O73" i="7"/>
  <c r="N73" i="7"/>
  <c r="M73" i="7"/>
  <c r="R73" i="7" s="1"/>
  <c r="L73" i="7"/>
  <c r="K73" i="7"/>
  <c r="J73" i="7"/>
  <c r="S73" i="7" s="1"/>
  <c r="Q72" i="7"/>
  <c r="P72" i="7"/>
  <c r="O72" i="7"/>
  <c r="L72" i="7"/>
  <c r="K72" i="7"/>
  <c r="J72" i="7"/>
  <c r="Q71" i="7"/>
  <c r="P71" i="7"/>
  <c r="O71" i="7"/>
  <c r="N71" i="7"/>
  <c r="M71" i="7"/>
  <c r="R71" i="7" s="1"/>
  <c r="L71" i="7"/>
  <c r="K71" i="7"/>
  <c r="J71" i="7"/>
  <c r="S71" i="7" s="1"/>
  <c r="Q70" i="7"/>
  <c r="P70" i="7"/>
  <c r="O70" i="7"/>
  <c r="L70" i="7"/>
  <c r="N70" i="7" s="1"/>
  <c r="K70" i="7"/>
  <c r="D16" i="2" s="1"/>
  <c r="E9" i="3" s="1"/>
  <c r="J70" i="7"/>
  <c r="Q69" i="7"/>
  <c r="P69" i="7"/>
  <c r="O69" i="7"/>
  <c r="L69" i="7"/>
  <c r="N69" i="7" s="1"/>
  <c r="K69" i="7"/>
  <c r="J69" i="7"/>
  <c r="Q68" i="7"/>
  <c r="P68" i="7"/>
  <c r="O68" i="7"/>
  <c r="N68" i="7"/>
  <c r="L68" i="7"/>
  <c r="M68" i="7" s="1"/>
  <c r="R68" i="7" s="1"/>
  <c r="K68" i="7"/>
  <c r="J68" i="7"/>
  <c r="S68" i="7" s="1"/>
  <c r="Q67" i="7"/>
  <c r="P67" i="7"/>
  <c r="O67" i="7"/>
  <c r="M67" i="7"/>
  <c r="R67" i="7" s="1"/>
  <c r="L67" i="7"/>
  <c r="S67" i="7" s="1"/>
  <c r="K67" i="7"/>
  <c r="J67" i="7"/>
  <c r="Q66" i="7"/>
  <c r="P66" i="7"/>
  <c r="O66" i="7"/>
  <c r="M66" i="7"/>
  <c r="R66" i="7" s="1"/>
  <c r="L66" i="7"/>
  <c r="K66" i="7"/>
  <c r="J66" i="7"/>
  <c r="S66" i="7" s="1"/>
  <c r="Q65" i="7"/>
  <c r="P65" i="7"/>
  <c r="O65" i="7"/>
  <c r="L65" i="7"/>
  <c r="N65" i="7" s="1"/>
  <c r="K65" i="7"/>
  <c r="J65" i="7"/>
  <c r="S64" i="7"/>
  <c r="Q64" i="7"/>
  <c r="P64" i="7"/>
  <c r="O64" i="7"/>
  <c r="L64" i="7"/>
  <c r="N64" i="7" s="1"/>
  <c r="K64" i="7"/>
  <c r="J64" i="7"/>
  <c r="Q63" i="7"/>
  <c r="P63" i="7"/>
  <c r="O63" i="7"/>
  <c r="L63" i="7"/>
  <c r="K63" i="7"/>
  <c r="J63" i="7"/>
  <c r="Q62" i="7"/>
  <c r="P62" i="7"/>
  <c r="O62" i="7"/>
  <c r="L62" i="7"/>
  <c r="K62" i="7"/>
  <c r="J62" i="7"/>
  <c r="Q61" i="7"/>
  <c r="P61" i="7"/>
  <c r="O61" i="7"/>
  <c r="L61" i="7"/>
  <c r="K61" i="7"/>
  <c r="J61" i="7"/>
  <c r="Q60" i="7"/>
  <c r="P60" i="7"/>
  <c r="O60" i="7"/>
  <c r="L60" i="7"/>
  <c r="K60" i="7"/>
  <c r="J60" i="7"/>
  <c r="S60" i="7" s="1"/>
  <c r="S59" i="7"/>
  <c r="Q59" i="7"/>
  <c r="P59" i="7"/>
  <c r="O59" i="7"/>
  <c r="M59" i="7"/>
  <c r="R59" i="7" s="1"/>
  <c r="L59" i="7"/>
  <c r="K59" i="7"/>
  <c r="N59" i="7" s="1"/>
  <c r="J59" i="7"/>
  <c r="Q58" i="7"/>
  <c r="P58" i="7"/>
  <c r="O58" i="7"/>
  <c r="N58" i="7"/>
  <c r="L58" i="7"/>
  <c r="M58" i="7" s="1"/>
  <c r="R58" i="7" s="1"/>
  <c r="K58" i="7"/>
  <c r="J58" i="7"/>
  <c r="S58" i="7" s="1"/>
  <c r="S57" i="7"/>
  <c r="R57" i="7"/>
  <c r="Q57" i="7"/>
  <c r="P57" i="7"/>
  <c r="O57" i="7"/>
  <c r="N57" i="7"/>
  <c r="M57" i="7"/>
  <c r="L57" i="7"/>
  <c r="K57" i="7"/>
  <c r="J57" i="7"/>
  <c r="S56" i="7"/>
  <c r="Q56" i="7"/>
  <c r="P56" i="7"/>
  <c r="O56" i="7"/>
  <c r="L56" i="7"/>
  <c r="M56" i="7" s="1"/>
  <c r="R56" i="7" s="1"/>
  <c r="K56" i="7"/>
  <c r="J56" i="7"/>
  <c r="S55" i="7"/>
  <c r="Q55" i="7"/>
  <c r="P55" i="7"/>
  <c r="O55" i="7"/>
  <c r="L55" i="7"/>
  <c r="N55" i="7" s="1"/>
  <c r="K55" i="7"/>
  <c r="J55" i="7"/>
  <c r="Q54" i="7"/>
  <c r="P54" i="7"/>
  <c r="O54" i="7"/>
  <c r="L54" i="7"/>
  <c r="K54" i="7"/>
  <c r="J54" i="7"/>
  <c r="Q53" i="7"/>
  <c r="P53" i="7"/>
  <c r="O53" i="7"/>
  <c r="N53" i="7"/>
  <c r="L53" i="7"/>
  <c r="M53" i="7" s="1"/>
  <c r="R53" i="7" s="1"/>
  <c r="K53" i="7"/>
  <c r="J53" i="7"/>
  <c r="Q52" i="7"/>
  <c r="P52" i="7"/>
  <c r="O52" i="7"/>
  <c r="N52" i="7"/>
  <c r="L52" i="7"/>
  <c r="K52" i="7"/>
  <c r="J52" i="7"/>
  <c r="Q51" i="7"/>
  <c r="P51" i="7"/>
  <c r="O51" i="7"/>
  <c r="N51" i="7"/>
  <c r="M51" i="7"/>
  <c r="R51" i="7" s="1"/>
  <c r="L51" i="7"/>
  <c r="K51" i="7"/>
  <c r="K94" i="7" s="1"/>
  <c r="J51" i="7"/>
  <c r="Q50" i="7"/>
  <c r="P50" i="7"/>
  <c r="O50" i="7"/>
  <c r="L50" i="7"/>
  <c r="K50" i="7"/>
  <c r="J50" i="7"/>
  <c r="Q49" i="7"/>
  <c r="P49" i="7"/>
  <c r="O49" i="7"/>
  <c r="L49" i="7"/>
  <c r="N49" i="7" s="1"/>
  <c r="K49" i="7"/>
  <c r="J49" i="7"/>
  <c r="S49" i="7" s="1"/>
  <c r="Q48" i="7"/>
  <c r="P48" i="7"/>
  <c r="O48" i="7"/>
  <c r="L48" i="7"/>
  <c r="M48" i="7" s="1"/>
  <c r="R48" i="7" s="1"/>
  <c r="K48" i="7"/>
  <c r="J48" i="7"/>
  <c r="J85" i="7" s="1"/>
  <c r="S47" i="7"/>
  <c r="R47" i="7"/>
  <c r="Q47" i="7"/>
  <c r="P47" i="7"/>
  <c r="O47" i="7"/>
  <c r="N47" i="7"/>
  <c r="M47" i="7"/>
  <c r="L47" i="7"/>
  <c r="K47" i="7"/>
  <c r="J47" i="7"/>
  <c r="J84" i="7" s="1"/>
  <c r="R46" i="7"/>
  <c r="Q46" i="7"/>
  <c r="P46" i="7"/>
  <c r="O46" i="7"/>
  <c r="H8" i="2" s="1"/>
  <c r="N46" i="7"/>
  <c r="M46" i="7"/>
  <c r="L46" i="7"/>
  <c r="L93" i="7" s="1"/>
  <c r="K46" i="7"/>
  <c r="J46" i="7"/>
  <c r="J93" i="7" s="1"/>
  <c r="S45" i="7"/>
  <c r="R45" i="7"/>
  <c r="Q45" i="7"/>
  <c r="P45" i="7"/>
  <c r="O45" i="7"/>
  <c r="M45" i="7"/>
  <c r="L45" i="7"/>
  <c r="N45" i="7" s="1"/>
  <c r="K45" i="7"/>
  <c r="J45" i="7"/>
  <c r="Q44" i="7"/>
  <c r="P44" i="7"/>
  <c r="O44" i="7"/>
  <c r="N44" i="7"/>
  <c r="L44" i="7"/>
  <c r="M44" i="7" s="1"/>
  <c r="R44" i="7" s="1"/>
  <c r="K44" i="7"/>
  <c r="J44" i="7"/>
  <c r="S44" i="7" s="1"/>
  <c r="S43" i="7"/>
  <c r="Q43" i="7"/>
  <c r="P43" i="7"/>
  <c r="O43" i="7"/>
  <c r="L43" i="7"/>
  <c r="K43" i="7"/>
  <c r="K83" i="7" s="1"/>
  <c r="J43" i="7"/>
  <c r="S42" i="7"/>
  <c r="Q42" i="7"/>
  <c r="P42" i="7"/>
  <c r="O42" i="7"/>
  <c r="M42" i="7"/>
  <c r="R42" i="7" s="1"/>
  <c r="L42" i="7"/>
  <c r="N42" i="7" s="1"/>
  <c r="K42" i="7"/>
  <c r="J42" i="7"/>
  <c r="Q41" i="7"/>
  <c r="P41" i="7"/>
  <c r="O41" i="7"/>
  <c r="N41" i="7"/>
  <c r="L41" i="7"/>
  <c r="M41" i="7" s="1"/>
  <c r="R41" i="7" s="1"/>
  <c r="K41" i="7"/>
  <c r="J41" i="7"/>
  <c r="S40" i="7"/>
  <c r="R40" i="7"/>
  <c r="Q40" i="7"/>
  <c r="P40" i="7"/>
  <c r="O40" i="7"/>
  <c r="N40" i="7"/>
  <c r="M40" i="7"/>
  <c r="L40" i="7"/>
  <c r="K40" i="7"/>
  <c r="J40" i="7"/>
  <c r="S39" i="7"/>
  <c r="Q39" i="7"/>
  <c r="P39" i="7"/>
  <c r="O39" i="7"/>
  <c r="L39" i="7"/>
  <c r="K39" i="7"/>
  <c r="J39" i="7"/>
  <c r="S38" i="7"/>
  <c r="Q38" i="7"/>
  <c r="P38" i="7"/>
  <c r="O38" i="7"/>
  <c r="N38" i="7"/>
  <c r="M38" i="7"/>
  <c r="R38" i="7" s="1"/>
  <c r="L38" i="7"/>
  <c r="K38" i="7"/>
  <c r="J38" i="7"/>
  <c r="S37" i="7"/>
  <c r="R37" i="7"/>
  <c r="Q37" i="7"/>
  <c r="P37" i="7"/>
  <c r="O37" i="7"/>
  <c r="N37" i="7"/>
  <c r="M37" i="7"/>
  <c r="L37" i="7"/>
  <c r="K37" i="7"/>
  <c r="J37" i="7"/>
  <c r="Q36" i="7"/>
  <c r="P36" i="7"/>
  <c r="O36" i="7"/>
  <c r="N36" i="7"/>
  <c r="L36" i="7"/>
  <c r="M36" i="7" s="1"/>
  <c r="R36" i="7" s="1"/>
  <c r="K36" i="7"/>
  <c r="J36" i="7"/>
  <c r="Q35" i="7"/>
  <c r="P35" i="7"/>
  <c r="O35" i="7"/>
  <c r="N35" i="7"/>
  <c r="M35" i="7"/>
  <c r="R35" i="7" s="1"/>
  <c r="L35" i="7"/>
  <c r="K35" i="7"/>
  <c r="J35" i="7"/>
  <c r="S35" i="7" s="1"/>
  <c r="Q34" i="7"/>
  <c r="P34" i="7"/>
  <c r="O34" i="7"/>
  <c r="N34" i="7"/>
  <c r="L34" i="7"/>
  <c r="K34" i="7"/>
  <c r="J34" i="7"/>
  <c r="S34" i="7" s="1"/>
  <c r="Q33" i="7"/>
  <c r="P33" i="7"/>
  <c r="O33" i="7"/>
  <c r="N33" i="7"/>
  <c r="M33" i="7"/>
  <c r="R33" i="7" s="1"/>
  <c r="L33" i="7"/>
  <c r="K33" i="7"/>
  <c r="J33" i="7"/>
  <c r="S33" i="7" s="1"/>
  <c r="S32" i="7"/>
  <c r="Q32" i="7"/>
  <c r="P32" i="7"/>
  <c r="O32" i="7"/>
  <c r="N32" i="7"/>
  <c r="L32" i="7"/>
  <c r="M32" i="7" s="1"/>
  <c r="R32" i="7" s="1"/>
  <c r="K32" i="7"/>
  <c r="J32" i="7"/>
  <c r="Q31" i="7"/>
  <c r="P31" i="7"/>
  <c r="O31" i="7"/>
  <c r="N31" i="7"/>
  <c r="L31" i="7"/>
  <c r="K31" i="7"/>
  <c r="L16" i="2" s="1"/>
  <c r="J31" i="7"/>
  <c r="S31" i="7" s="1"/>
  <c r="Q30" i="7"/>
  <c r="P30" i="7"/>
  <c r="O30" i="7"/>
  <c r="L30" i="7"/>
  <c r="K30" i="7"/>
  <c r="J30" i="7"/>
  <c r="R29" i="7"/>
  <c r="Q29" i="7"/>
  <c r="P29" i="7"/>
  <c r="O29" i="7"/>
  <c r="M29" i="7"/>
  <c r="L29" i="7"/>
  <c r="N29" i="7" s="1"/>
  <c r="K29" i="7"/>
  <c r="J29" i="7"/>
  <c r="S29" i="7" s="1"/>
  <c r="Q28" i="7"/>
  <c r="P28" i="7"/>
  <c r="O28" i="7"/>
  <c r="N28" i="7"/>
  <c r="L28" i="7"/>
  <c r="S28" i="7" s="1"/>
  <c r="K28" i="7"/>
  <c r="J28" i="7"/>
  <c r="S27" i="7"/>
  <c r="R27" i="7"/>
  <c r="Q27" i="7"/>
  <c r="P27" i="7"/>
  <c r="O27" i="7"/>
  <c r="N27" i="7"/>
  <c r="M27" i="7"/>
  <c r="L27" i="7"/>
  <c r="K27" i="7"/>
  <c r="J27" i="7"/>
  <c r="Q26" i="7"/>
  <c r="P26" i="7"/>
  <c r="O26" i="7"/>
  <c r="N26" i="7"/>
  <c r="M26" i="7"/>
  <c r="R26" i="7" s="1"/>
  <c r="L26" i="7"/>
  <c r="K26" i="7"/>
  <c r="J26" i="7"/>
  <c r="S26" i="7" s="1"/>
  <c r="S25" i="7"/>
  <c r="Q25" i="7"/>
  <c r="P25" i="7"/>
  <c r="O25" i="7"/>
  <c r="L25" i="7"/>
  <c r="K25" i="7"/>
  <c r="J25" i="7"/>
  <c r="Q24" i="7"/>
  <c r="P24" i="7"/>
  <c r="O24" i="7"/>
  <c r="N24" i="7"/>
  <c r="L24" i="7"/>
  <c r="M24" i="7" s="1"/>
  <c r="R24" i="7" s="1"/>
  <c r="K24" i="7"/>
  <c r="J24" i="7"/>
  <c r="S24" i="7" s="1"/>
  <c r="S23" i="7"/>
  <c r="Q23" i="7"/>
  <c r="P23" i="7"/>
  <c r="O23" i="7"/>
  <c r="N23" i="7"/>
  <c r="M23" i="7"/>
  <c r="R23" i="7" s="1"/>
  <c r="L23" i="7"/>
  <c r="K23" i="7"/>
  <c r="J23" i="7"/>
  <c r="S22" i="7"/>
  <c r="Q22" i="7"/>
  <c r="P22" i="7"/>
  <c r="O22" i="7"/>
  <c r="L22" i="7"/>
  <c r="K22" i="7"/>
  <c r="J22" i="7"/>
  <c r="Q21" i="7"/>
  <c r="P21" i="7"/>
  <c r="O21" i="7"/>
  <c r="L21" i="7"/>
  <c r="K21" i="7"/>
  <c r="J21" i="7"/>
  <c r="S21" i="7" s="1"/>
  <c r="S20" i="7"/>
  <c r="Q20" i="7"/>
  <c r="P20" i="7"/>
  <c r="O20" i="7"/>
  <c r="N20" i="7"/>
  <c r="L20" i="7"/>
  <c r="M20" i="7" s="1"/>
  <c r="R20" i="7" s="1"/>
  <c r="K20" i="7"/>
  <c r="J20" i="7"/>
  <c r="Q19" i="7"/>
  <c r="P19" i="7"/>
  <c r="O19" i="7"/>
  <c r="L19" i="7"/>
  <c r="N19" i="7" s="1"/>
  <c r="K19" i="7"/>
  <c r="J19" i="7"/>
  <c r="Q18" i="7"/>
  <c r="P18" i="7"/>
  <c r="O18" i="7"/>
  <c r="M18" i="7"/>
  <c r="R18" i="7" s="1"/>
  <c r="L18" i="7"/>
  <c r="K18" i="7"/>
  <c r="J18" i="7"/>
  <c r="S18" i="7" s="1"/>
  <c r="Q17" i="7"/>
  <c r="P17" i="7"/>
  <c r="O17" i="7"/>
  <c r="L17" i="7"/>
  <c r="N17" i="7" s="1"/>
  <c r="K17" i="7"/>
  <c r="J17" i="7"/>
  <c r="S17" i="7" s="1"/>
  <c r="Q16" i="7"/>
  <c r="P16" i="7"/>
  <c r="O16" i="7"/>
  <c r="N16" i="7"/>
  <c r="M16" i="7"/>
  <c r="R16" i="7" s="1"/>
  <c r="L16" i="7"/>
  <c r="S16" i="7" s="1"/>
  <c r="K16" i="7"/>
  <c r="J16" i="7"/>
  <c r="S15" i="7"/>
  <c r="Q15" i="7"/>
  <c r="P15" i="7"/>
  <c r="O15" i="7"/>
  <c r="N15" i="7"/>
  <c r="M15" i="7"/>
  <c r="R15" i="7" s="1"/>
  <c r="L15" i="7"/>
  <c r="K15" i="7"/>
  <c r="J15" i="7"/>
  <c r="Q14" i="7"/>
  <c r="P14" i="7"/>
  <c r="O14" i="7"/>
  <c r="N14" i="7"/>
  <c r="M14" i="7"/>
  <c r="R14" i="7" s="1"/>
  <c r="L14" i="7"/>
  <c r="K14" i="7"/>
  <c r="J14" i="7"/>
  <c r="S14" i="7" s="1"/>
  <c r="S13" i="7"/>
  <c r="R13" i="7"/>
  <c r="Q13" i="7"/>
  <c r="P13" i="7"/>
  <c r="O13" i="7"/>
  <c r="N13" i="7"/>
  <c r="M13" i="7"/>
  <c r="L13" i="7"/>
  <c r="K13" i="7"/>
  <c r="J13" i="7"/>
  <c r="Q12" i="7"/>
  <c r="P12" i="7"/>
  <c r="O12" i="7"/>
  <c r="L12" i="7"/>
  <c r="N12" i="7" s="1"/>
  <c r="K12" i="7"/>
  <c r="J12" i="7"/>
  <c r="S12" i="7" s="1"/>
  <c r="S11" i="7"/>
  <c r="R11" i="7"/>
  <c r="Q11" i="7"/>
  <c r="P11" i="7"/>
  <c r="O11" i="7"/>
  <c r="N11" i="7"/>
  <c r="M11" i="7"/>
  <c r="L11" i="7"/>
  <c r="K11" i="7"/>
  <c r="J11" i="7"/>
  <c r="S10" i="7"/>
  <c r="R10" i="7"/>
  <c r="Q10" i="7"/>
  <c r="P10" i="7"/>
  <c r="O10" i="7"/>
  <c r="N10" i="7"/>
  <c r="M10" i="7"/>
  <c r="L10" i="7"/>
  <c r="K10" i="7"/>
  <c r="J10" i="7"/>
  <c r="Q9" i="7"/>
  <c r="P9" i="7"/>
  <c r="O9" i="7"/>
  <c r="M101" i="7" s="1" a="1"/>
  <c r="M101" i="7" s="1"/>
  <c r="N9" i="7"/>
  <c r="L9" i="7"/>
  <c r="M9" i="7" s="1"/>
  <c r="R9" i="7" s="1"/>
  <c r="K9" i="7"/>
  <c r="J9" i="7"/>
  <c r="S9" i="7" s="1"/>
  <c r="S8" i="7"/>
  <c r="Q8" i="7"/>
  <c r="P8" i="7"/>
  <c r="O8" i="7"/>
  <c r="N8" i="7"/>
  <c r="M8" i="7"/>
  <c r="R8" i="7" s="1"/>
  <c r="L8" i="7"/>
  <c r="K8" i="7"/>
  <c r="J8" i="7"/>
  <c r="Q7" i="7"/>
  <c r="P7" i="7"/>
  <c r="O7" i="7"/>
  <c r="N7" i="7"/>
  <c r="M7" i="7"/>
  <c r="R7" i="7" s="1"/>
  <c r="L7" i="7"/>
  <c r="K7" i="7"/>
  <c r="J7" i="7"/>
  <c r="S7" i="7" s="1"/>
  <c r="Q6" i="7"/>
  <c r="P6" i="7"/>
  <c r="O6" i="7"/>
  <c r="L6" i="7"/>
  <c r="N6" i="7" s="1"/>
  <c r="K6" i="7"/>
  <c r="O103" i="7" s="1" a="1"/>
  <c r="O103" i="7" s="1"/>
  <c r="J6" i="7"/>
  <c r="S5" i="7"/>
  <c r="R5" i="7"/>
  <c r="Q5" i="7"/>
  <c r="P5" i="7"/>
  <c r="O5" i="7"/>
  <c r="N5" i="7"/>
  <c r="M5" i="7"/>
  <c r="L5" i="7"/>
  <c r="K5" i="7"/>
  <c r="J5" i="7"/>
  <c r="R4" i="7"/>
  <c r="Q4" i="7"/>
  <c r="P4" i="7"/>
  <c r="O4" i="7"/>
  <c r="N4" i="7"/>
  <c r="M4" i="7"/>
  <c r="L4" i="7"/>
  <c r="K4" i="7"/>
  <c r="J4" i="7"/>
  <c r="S4" i="7" s="1"/>
  <c r="S3" i="7"/>
  <c r="Q3" i="7"/>
  <c r="P3" i="7"/>
  <c r="O3" i="7"/>
  <c r="N3" i="7"/>
  <c r="M3" i="7"/>
  <c r="R3" i="7" s="1"/>
  <c r="L3" i="7"/>
  <c r="K3" i="7"/>
  <c r="J3" i="7"/>
  <c r="Q2" i="7"/>
  <c r="P2" i="7"/>
  <c r="O2" i="7"/>
  <c r="M102" i="7" s="1" a="1"/>
  <c r="M102" i="7" s="1"/>
  <c r="L2" i="7"/>
  <c r="L91" i="7" s="1"/>
  <c r="K2" i="7"/>
  <c r="C16" i="2" s="1"/>
  <c r="D9" i="3" s="1"/>
  <c r="J2" i="7"/>
  <c r="J91" i="7" s="1"/>
  <c r="J51" i="6"/>
  <c r="P50" i="6" a="1"/>
  <c r="P50" i="6" s="1"/>
  <c r="J50" i="6"/>
  <c r="J49" i="6"/>
  <c r="J48" i="6"/>
  <c r="B35" i="6"/>
  <c r="B34" i="6"/>
  <c r="B33" i="6"/>
  <c r="B32" i="6"/>
  <c r="B31" i="6"/>
  <c r="B30" i="6" s="1"/>
  <c r="Q27" i="6"/>
  <c r="P27" i="6"/>
  <c r="O27" i="6"/>
  <c r="L27" i="6"/>
  <c r="N27" i="6" s="1"/>
  <c r="K27" i="6"/>
  <c r="J27" i="6"/>
  <c r="Q26" i="6"/>
  <c r="P26" i="6"/>
  <c r="O26" i="6"/>
  <c r="L26" i="6"/>
  <c r="N26" i="6" s="1"/>
  <c r="K26" i="6"/>
  <c r="J26" i="6"/>
  <c r="Q25" i="6"/>
  <c r="P25" i="6"/>
  <c r="O25" i="6"/>
  <c r="L25" i="6"/>
  <c r="K25" i="6"/>
  <c r="K43" i="6" s="1"/>
  <c r="J25" i="6"/>
  <c r="S24" i="6"/>
  <c r="Q24" i="6"/>
  <c r="P24" i="6"/>
  <c r="O24" i="6"/>
  <c r="L24" i="6"/>
  <c r="K24" i="6"/>
  <c r="J24" i="6"/>
  <c r="Q23" i="6"/>
  <c r="P23" i="6"/>
  <c r="O23" i="6"/>
  <c r="L23" i="6"/>
  <c r="K23" i="6"/>
  <c r="J23" i="6"/>
  <c r="S22" i="6"/>
  <c r="Q22" i="6"/>
  <c r="P22" i="6"/>
  <c r="O22" i="6"/>
  <c r="N22" i="6"/>
  <c r="M22" i="6"/>
  <c r="R22" i="6" s="1"/>
  <c r="L22" i="6"/>
  <c r="K22" i="6"/>
  <c r="J22" i="6"/>
  <c r="Q21" i="6"/>
  <c r="P21" i="6"/>
  <c r="O21" i="6"/>
  <c r="N21" i="6"/>
  <c r="L21" i="6"/>
  <c r="L43" i="6" s="1"/>
  <c r="K21" i="6"/>
  <c r="J21" i="6"/>
  <c r="Q20" i="6"/>
  <c r="P20" i="6"/>
  <c r="O20" i="6"/>
  <c r="N20" i="6"/>
  <c r="L20" i="6"/>
  <c r="M20" i="6" s="1"/>
  <c r="R20" i="6" s="1"/>
  <c r="K20" i="6"/>
  <c r="J20" i="6"/>
  <c r="Q19" i="6"/>
  <c r="P19" i="6"/>
  <c r="O19" i="6"/>
  <c r="N19" i="6"/>
  <c r="M19" i="6"/>
  <c r="R19" i="6" s="1"/>
  <c r="L19" i="6"/>
  <c r="K19" i="6"/>
  <c r="J19" i="6"/>
  <c r="S19" i="6" s="1"/>
  <c r="S18" i="6"/>
  <c r="Q18" i="6"/>
  <c r="P18" i="6"/>
  <c r="O18" i="6"/>
  <c r="L18" i="6"/>
  <c r="K18" i="6"/>
  <c r="J18" i="6"/>
  <c r="S17" i="6"/>
  <c r="Q17" i="6"/>
  <c r="P17" i="6"/>
  <c r="O17" i="6"/>
  <c r="N17" i="6"/>
  <c r="L17" i="6"/>
  <c r="K17" i="6"/>
  <c r="M17" i="6" s="1"/>
  <c r="R17" i="6" s="1"/>
  <c r="J17" i="6"/>
  <c r="Q16" i="6"/>
  <c r="P16" i="6"/>
  <c r="O16" i="6"/>
  <c r="N16" i="6"/>
  <c r="M16" i="6"/>
  <c r="R16" i="6" s="1"/>
  <c r="L16" i="6"/>
  <c r="K16" i="6"/>
  <c r="K41" i="6" s="1"/>
  <c r="J16" i="6"/>
  <c r="J41" i="6" s="1"/>
  <c r="S15" i="6"/>
  <c r="Q15" i="6"/>
  <c r="P15" i="6"/>
  <c r="O15" i="6"/>
  <c r="N15" i="6"/>
  <c r="M15" i="6"/>
  <c r="R15" i="6" s="1"/>
  <c r="L15" i="6"/>
  <c r="K15" i="6"/>
  <c r="J15" i="6"/>
  <c r="Q14" i="6"/>
  <c r="P14" i="6"/>
  <c r="O14" i="6"/>
  <c r="M14" i="6"/>
  <c r="R14" i="6" s="1"/>
  <c r="L14" i="6"/>
  <c r="K14" i="6"/>
  <c r="J14" i="6"/>
  <c r="S14" i="6" s="1"/>
  <c r="Q13" i="6"/>
  <c r="P13" i="6"/>
  <c r="O13" i="6"/>
  <c r="N13" i="6"/>
  <c r="L13" i="6"/>
  <c r="K13" i="6"/>
  <c r="J13" i="6"/>
  <c r="S12" i="6"/>
  <c r="Q12" i="6"/>
  <c r="P12" i="6"/>
  <c r="O12" i="6"/>
  <c r="L12" i="6"/>
  <c r="K12" i="6"/>
  <c r="J12" i="6"/>
  <c r="Q11" i="6"/>
  <c r="P11" i="6"/>
  <c r="O11" i="6"/>
  <c r="L11" i="6"/>
  <c r="K11" i="6"/>
  <c r="N11" i="6" s="1"/>
  <c r="J11" i="6"/>
  <c r="S11" i="6" s="1"/>
  <c r="S10" i="6"/>
  <c r="R10" i="6"/>
  <c r="Q10" i="6"/>
  <c r="P10" i="6"/>
  <c r="O10" i="6"/>
  <c r="N10" i="6"/>
  <c r="M10" i="6"/>
  <c r="L10" i="6"/>
  <c r="K10" i="6"/>
  <c r="J10" i="6"/>
  <c r="Q9" i="6"/>
  <c r="P9" i="6"/>
  <c r="O9" i="6"/>
  <c r="M51" i="6" s="1" a="1"/>
  <c r="M51" i="6" s="1"/>
  <c r="L9" i="6"/>
  <c r="N9" i="6" s="1"/>
  <c r="K9" i="6"/>
  <c r="J9" i="6"/>
  <c r="S9" i="6" s="1"/>
  <c r="S8" i="6"/>
  <c r="Q8" i="6"/>
  <c r="P8" i="6"/>
  <c r="O8" i="6"/>
  <c r="L8" i="6"/>
  <c r="N8" i="6" s="1"/>
  <c r="K8" i="6"/>
  <c r="J8" i="6"/>
  <c r="Q7" i="6"/>
  <c r="P7" i="6"/>
  <c r="O7" i="6"/>
  <c r="N7" i="6"/>
  <c r="M7" i="6"/>
  <c r="R7" i="6" s="1"/>
  <c r="L7" i="6"/>
  <c r="K7" i="6"/>
  <c r="J7" i="6"/>
  <c r="S7" i="6" s="1"/>
  <c r="Q6" i="6"/>
  <c r="P6" i="6"/>
  <c r="O6" i="6"/>
  <c r="L6" i="6"/>
  <c r="K6" i="6"/>
  <c r="N6" i="6" s="1"/>
  <c r="J6" i="6"/>
  <c r="S6" i="6" s="1"/>
  <c r="Q5" i="6"/>
  <c r="P5" i="6"/>
  <c r="O5" i="6"/>
  <c r="N5" i="6"/>
  <c r="L5" i="6"/>
  <c r="K5" i="6"/>
  <c r="M5" i="6" s="1"/>
  <c r="R5" i="6" s="1"/>
  <c r="J5" i="6"/>
  <c r="J40" i="6" s="1"/>
  <c r="S4" i="6"/>
  <c r="Q4" i="6"/>
  <c r="P4" i="6"/>
  <c r="O4" i="6"/>
  <c r="N4" i="6"/>
  <c r="L4" i="6"/>
  <c r="M4" i="6" s="1"/>
  <c r="R4" i="6" s="1"/>
  <c r="K4" i="6"/>
  <c r="J4" i="6"/>
  <c r="Q3" i="6"/>
  <c r="P3" i="6"/>
  <c r="O3" i="6"/>
  <c r="N3" i="6"/>
  <c r="M3" i="6"/>
  <c r="R3" i="6" s="1"/>
  <c r="L3" i="6"/>
  <c r="S3" i="6" s="1"/>
  <c r="K3" i="6"/>
  <c r="J3" i="6"/>
  <c r="Q2" i="6"/>
  <c r="P2" i="6"/>
  <c r="O2" i="6"/>
  <c r="L2" i="6"/>
  <c r="M2" i="6" s="1"/>
  <c r="K2" i="6"/>
  <c r="O51" i="6" s="1" a="1"/>
  <c r="O51" i="6" s="1"/>
  <c r="J2" i="6"/>
  <c r="C27" i="3"/>
  <c r="D26" i="3"/>
  <c r="C26" i="3"/>
  <c r="C25" i="3"/>
  <c r="C21" i="3"/>
  <c r="K20" i="3"/>
  <c r="C20" i="3"/>
  <c r="F19" i="3"/>
  <c r="C19" i="3"/>
  <c r="C18" i="3"/>
  <c r="C13" i="3"/>
  <c r="D11" i="3"/>
  <c r="H10" i="3"/>
  <c r="E10" i="3"/>
  <c r="C10" i="3"/>
  <c r="C8" i="3"/>
  <c r="C7" i="3"/>
  <c r="L20" i="2"/>
  <c r="K20" i="2"/>
  <c r="K11" i="3" s="1"/>
  <c r="C20" i="2"/>
  <c r="B20" i="2"/>
  <c r="C11" i="3" s="1"/>
  <c r="L19" i="2"/>
  <c r="K19" i="2"/>
  <c r="K10" i="3" s="1"/>
  <c r="D19" i="2"/>
  <c r="B19" i="2"/>
  <c r="E18" i="2" a="1"/>
  <c r="E18" i="2" s="1"/>
  <c r="F13" i="3" s="1"/>
  <c r="D18" i="2"/>
  <c r="E13" i="3" s="1"/>
  <c r="C18" i="2"/>
  <c r="D13" i="3" s="1"/>
  <c r="B18" i="2"/>
  <c r="H17" i="2"/>
  <c r="H12" i="3" s="1"/>
  <c r="B17" i="2"/>
  <c r="C12" i="3" s="1"/>
  <c r="B16" i="2"/>
  <c r="C9" i="3" s="1"/>
  <c r="E15" i="2" a="1"/>
  <c r="E15" i="2" s="1"/>
  <c r="F8" i="3" s="1"/>
  <c r="B15" i="2"/>
  <c r="B14" i="2"/>
  <c r="C9" i="2"/>
  <c r="B9" i="2"/>
  <c r="B8" i="2"/>
  <c r="C7" i="2"/>
  <c r="B7" i="2"/>
  <c r="B6" i="2"/>
  <c r="B5" i="2"/>
  <c r="K55" i="1"/>
  <c r="L45" i="1"/>
  <c r="L44" i="1"/>
  <c r="L43" i="1"/>
  <c r="L42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P21" i="1"/>
  <c r="O21" i="1"/>
  <c r="L21" i="1"/>
  <c r="P20" i="1"/>
  <c r="O20" i="1" s="1"/>
  <c r="L20" i="1"/>
  <c r="P19" i="1"/>
  <c r="O19" i="1"/>
  <c r="L19" i="1"/>
  <c r="P18" i="1"/>
  <c r="O18" i="1" s="1"/>
  <c r="L18" i="1"/>
  <c r="J13" i="1"/>
  <c r="F13" i="1"/>
  <c r="P22" i="1" s="1"/>
  <c r="O22" i="1" s="1"/>
  <c r="Q44" i="5" a="1"/>
  <c r="Q44" i="5" s="1"/>
  <c r="J44" i="5"/>
  <c r="O43" i="5" a="1"/>
  <c r="O43" i="5" s="1"/>
  <c r="M43" i="5" a="1"/>
  <c r="M43" i="5" s="1"/>
  <c r="J43" i="5"/>
  <c r="J42" i="5"/>
  <c r="J41" i="5"/>
  <c r="J32" i="5"/>
  <c r="B28" i="5"/>
  <c r="B27" i="5"/>
  <c r="B26" i="5"/>
  <c r="K25" i="5"/>
  <c r="B25" i="5"/>
  <c r="B24" i="5"/>
  <c r="L23" i="5"/>
  <c r="B23" i="5"/>
  <c r="Q20" i="5"/>
  <c r="P20" i="5"/>
  <c r="O20" i="5"/>
  <c r="L20" i="5"/>
  <c r="S20" i="5" s="1"/>
  <c r="K20" i="5"/>
  <c r="K9" i="2" s="1"/>
  <c r="J20" i="5"/>
  <c r="Q19" i="5"/>
  <c r="P19" i="5"/>
  <c r="O19" i="5"/>
  <c r="L19" i="5"/>
  <c r="K19" i="5"/>
  <c r="J19" i="5"/>
  <c r="S18" i="5"/>
  <c r="Q18" i="5"/>
  <c r="P18" i="5"/>
  <c r="O18" i="5"/>
  <c r="L18" i="5"/>
  <c r="N18" i="5" s="1"/>
  <c r="K18" i="5"/>
  <c r="J18" i="5"/>
  <c r="Q17" i="5"/>
  <c r="P17" i="5"/>
  <c r="O17" i="5"/>
  <c r="N17" i="5"/>
  <c r="L17" i="5"/>
  <c r="S17" i="5" s="1"/>
  <c r="K17" i="5"/>
  <c r="J17" i="5"/>
  <c r="R16" i="5"/>
  <c r="Q16" i="5"/>
  <c r="P16" i="5"/>
  <c r="O16" i="5"/>
  <c r="H9" i="2" s="1"/>
  <c r="N16" i="5"/>
  <c r="L16" i="5"/>
  <c r="M16" i="5" s="1"/>
  <c r="K16" i="5"/>
  <c r="K21" i="3" s="1"/>
  <c r="J16" i="5"/>
  <c r="S15" i="5"/>
  <c r="R15" i="5"/>
  <c r="Q15" i="5"/>
  <c r="P15" i="5"/>
  <c r="O15" i="5"/>
  <c r="N15" i="5"/>
  <c r="M15" i="5"/>
  <c r="L15" i="5"/>
  <c r="K15" i="5"/>
  <c r="J15" i="5"/>
  <c r="J27" i="5" s="1"/>
  <c r="S14" i="5"/>
  <c r="Q14" i="5"/>
  <c r="P14" i="5"/>
  <c r="O14" i="5"/>
  <c r="M14" i="5"/>
  <c r="R14" i="5" s="1"/>
  <c r="L14" i="5"/>
  <c r="K14" i="5"/>
  <c r="N14" i="5" s="1"/>
  <c r="J14" i="5"/>
  <c r="J25" i="5" s="1"/>
  <c r="Q13" i="5"/>
  <c r="P13" i="5"/>
  <c r="O13" i="5"/>
  <c r="N13" i="5"/>
  <c r="L13" i="5"/>
  <c r="M13" i="5" s="1"/>
  <c r="R13" i="5" s="1"/>
  <c r="K13" i="5"/>
  <c r="J13" i="5"/>
  <c r="Q12" i="5"/>
  <c r="P12" i="5"/>
  <c r="O12" i="5"/>
  <c r="N12" i="5"/>
  <c r="M12" i="5"/>
  <c r="R12" i="5" s="1"/>
  <c r="L12" i="5"/>
  <c r="K12" i="5"/>
  <c r="J12" i="5"/>
  <c r="S12" i="5" s="1"/>
  <c r="S11" i="5"/>
  <c r="Q11" i="5"/>
  <c r="P11" i="5"/>
  <c r="O11" i="5"/>
  <c r="N11" i="5"/>
  <c r="M11" i="5"/>
  <c r="R11" i="5" s="1"/>
  <c r="L11" i="5"/>
  <c r="K11" i="5"/>
  <c r="J11" i="5"/>
  <c r="S10" i="5"/>
  <c r="Q10" i="5"/>
  <c r="P10" i="5"/>
  <c r="O10" i="5"/>
  <c r="L10" i="5"/>
  <c r="K10" i="5"/>
  <c r="J10" i="5"/>
  <c r="Q9" i="5"/>
  <c r="P9" i="5"/>
  <c r="O9" i="5"/>
  <c r="L9" i="5"/>
  <c r="N9" i="5" s="1"/>
  <c r="K9" i="5"/>
  <c r="J9" i="5"/>
  <c r="S9" i="5" s="1"/>
  <c r="Q8" i="5"/>
  <c r="P8" i="5"/>
  <c r="O8" i="5"/>
  <c r="N8" i="5"/>
  <c r="M8" i="5"/>
  <c r="R8" i="5" s="1"/>
  <c r="L8" i="5"/>
  <c r="S8" i="5" s="1"/>
  <c r="K8" i="5"/>
  <c r="E7" i="2" s="1"/>
  <c r="J8" i="5"/>
  <c r="Q7" i="5"/>
  <c r="P7" i="5"/>
  <c r="O7" i="5"/>
  <c r="L7" i="5"/>
  <c r="K7" i="5"/>
  <c r="J7" i="5"/>
  <c r="S6" i="5"/>
  <c r="Q6" i="5"/>
  <c r="P6" i="5"/>
  <c r="O6" i="5"/>
  <c r="L6" i="5"/>
  <c r="K6" i="5"/>
  <c r="J6" i="5"/>
  <c r="Q5" i="5"/>
  <c r="P5" i="5"/>
  <c r="O5" i="5"/>
  <c r="L5" i="5"/>
  <c r="L24" i="5" s="1"/>
  <c r="K5" i="5"/>
  <c r="J5" i="5"/>
  <c r="Q4" i="5"/>
  <c r="P4" i="5"/>
  <c r="O4" i="5"/>
  <c r="L4" i="5"/>
  <c r="L32" i="5" s="1"/>
  <c r="K4" i="5"/>
  <c r="Q41" i="5" s="1"/>
  <c r="J4" i="5"/>
  <c r="S3" i="5"/>
  <c r="Q3" i="5"/>
  <c r="P3" i="5"/>
  <c r="O3" i="5"/>
  <c r="N3" i="5"/>
  <c r="M3" i="5"/>
  <c r="R3" i="5" s="1"/>
  <c r="L3" i="5"/>
  <c r="K3" i="5"/>
  <c r="J3" i="5"/>
  <c r="Q2" i="5"/>
  <c r="P2" i="5"/>
  <c r="O2" i="5"/>
  <c r="H5" i="2" s="1"/>
  <c r="L2" i="5"/>
  <c r="K2" i="5"/>
  <c r="D27" i="3" s="1"/>
  <c r="J2" i="5"/>
  <c r="R2" i="6" l="1"/>
  <c r="N73" i="9"/>
  <c r="M73" i="9"/>
  <c r="R73" i="9" s="1"/>
  <c r="Q50" i="6" a="1"/>
  <c r="Q50" i="6" s="1"/>
  <c r="K82" i="7"/>
  <c r="R103" i="7"/>
  <c r="K40" i="8"/>
  <c r="P43" i="5" a="1"/>
  <c r="P43" i="5" s="1"/>
  <c r="S16" i="5"/>
  <c r="D7" i="2" a="1"/>
  <c r="D7" i="2" s="1"/>
  <c r="G26" i="3"/>
  <c r="P48" i="6"/>
  <c r="R50" i="6"/>
  <c r="M70" i="7"/>
  <c r="R70" i="7" s="1"/>
  <c r="K44" i="8"/>
  <c r="K53" i="8"/>
  <c r="N19" i="5"/>
  <c r="G9" i="2" s="1"/>
  <c r="S19" i="5"/>
  <c r="D14" i="2"/>
  <c r="E7" i="3" s="1"/>
  <c r="R43" i="5"/>
  <c r="S13" i="6"/>
  <c r="Q48" i="6"/>
  <c r="L92" i="7"/>
  <c r="L83" i="7"/>
  <c r="N67" i="7"/>
  <c r="S4" i="8"/>
  <c r="N134" i="9" a="1"/>
  <c r="N134" i="9" s="1"/>
  <c r="O136" i="9" a="1"/>
  <c r="O136" i="9" s="1"/>
  <c r="K125" i="9"/>
  <c r="O137" i="9" a="1"/>
  <c r="O137" i="9" s="1"/>
  <c r="O133" i="9"/>
  <c r="R134" i="9"/>
  <c r="O134" i="9" a="1"/>
  <c r="O134" i="9" s="1"/>
  <c r="K116" i="9"/>
  <c r="N137" i="9" a="1"/>
  <c r="N137" i="9" s="1"/>
  <c r="Q135" i="9" a="1"/>
  <c r="Q135" i="9" s="1"/>
  <c r="P135" i="9" a="1"/>
  <c r="P135" i="9" s="1"/>
  <c r="O135" i="9" a="1"/>
  <c r="O135" i="9" s="1"/>
  <c r="R133" i="9"/>
  <c r="Q133" i="9"/>
  <c r="Q136" i="9" a="1"/>
  <c r="Q136" i="9" s="1"/>
  <c r="N135" i="9" a="1"/>
  <c r="N135" i="9" s="1"/>
  <c r="Q134" i="9" a="1"/>
  <c r="Q134" i="9" s="1"/>
  <c r="Q137" i="9" a="1"/>
  <c r="Q137" i="9" s="1"/>
  <c r="P134" i="9" a="1"/>
  <c r="P134" i="9" s="1"/>
  <c r="P137" i="9" a="1"/>
  <c r="P137" i="9" s="1"/>
  <c r="K18" i="2"/>
  <c r="K13" i="3" s="1"/>
  <c r="N2" i="9"/>
  <c r="P136" i="9" a="1"/>
  <c r="P136" i="9" s="1"/>
  <c r="P133" i="9"/>
  <c r="N133" i="9" a="1"/>
  <c r="N133" i="9" s="1"/>
  <c r="N136" i="9" a="1"/>
  <c r="N136" i="9" s="1"/>
  <c r="K115" i="9"/>
  <c r="N27" i="9"/>
  <c r="S43" i="9"/>
  <c r="N43" i="9"/>
  <c r="M43" i="9"/>
  <c r="R43" i="9" s="1"/>
  <c r="K124" i="9"/>
  <c r="N4" i="10"/>
  <c r="M4" i="10"/>
  <c r="R4" i="10" s="1"/>
  <c r="S5" i="5"/>
  <c r="R41" i="5"/>
  <c r="N54" i="7"/>
  <c r="M54" i="7"/>
  <c r="R54" i="7" s="1"/>
  <c r="L25" i="5"/>
  <c r="N6" i="5"/>
  <c r="M6" i="5"/>
  <c r="R6" i="5" s="1"/>
  <c r="K27" i="5"/>
  <c r="L14" i="2"/>
  <c r="H19" i="3" a="1"/>
  <c r="H19" i="3" s="1"/>
  <c r="S27" i="6"/>
  <c r="R48" i="6"/>
  <c r="Q100" i="7" a="1"/>
  <c r="Q100" i="7" s="1"/>
  <c r="N28" i="8"/>
  <c r="M30" i="9"/>
  <c r="R30" i="9" s="1"/>
  <c r="S60" i="9"/>
  <c r="N59" i="10"/>
  <c r="M59" i="10"/>
  <c r="R59" i="10" s="1"/>
  <c r="N43" i="7"/>
  <c r="M43" i="7"/>
  <c r="R43" i="7" s="1"/>
  <c r="S54" i="7"/>
  <c r="S61" i="7"/>
  <c r="R2" i="9"/>
  <c r="L85" i="7"/>
  <c r="N48" i="7"/>
  <c r="N60" i="7"/>
  <c r="M60" i="7"/>
  <c r="R60" i="7" s="1"/>
  <c r="Q103" i="7" a="1"/>
  <c r="Q103" i="7" s="1"/>
  <c r="N34" i="8"/>
  <c r="M34" i="8"/>
  <c r="R34" i="8" s="1"/>
  <c r="M19" i="5"/>
  <c r="R19" i="5" s="1"/>
  <c r="L27" i="5"/>
  <c r="L32" i="6"/>
  <c r="L41" i="6"/>
  <c r="K30" i="6"/>
  <c r="M9" i="5"/>
  <c r="R9" i="5" s="1"/>
  <c r="M17" i="5"/>
  <c r="R17" i="5" s="1"/>
  <c r="G27" i="3"/>
  <c r="M13" i="6"/>
  <c r="R13" i="6" s="1"/>
  <c r="L30" i="6"/>
  <c r="M6" i="7"/>
  <c r="R6" i="7" s="1"/>
  <c r="S48" i="7"/>
  <c r="M60" i="9"/>
  <c r="R60" i="9" s="1"/>
  <c r="N60" i="9"/>
  <c r="N56" i="10"/>
  <c r="E19" i="2" a="1"/>
  <c r="E19" i="2" s="1"/>
  <c r="F10" i="3" s="1"/>
  <c r="M56" i="10"/>
  <c r="R56" i="10" s="1"/>
  <c r="R108" i="10"/>
  <c r="S52" i="7"/>
  <c r="M52" i="7"/>
  <c r="R52" i="7" s="1"/>
  <c r="N61" i="7"/>
  <c r="M61" i="7"/>
  <c r="R61" i="7" s="1"/>
  <c r="L51" i="8"/>
  <c r="L49" i="8"/>
  <c r="M2" i="8"/>
  <c r="N2" i="8"/>
  <c r="L42" i="8"/>
  <c r="L40" i="8"/>
  <c r="S17" i="8"/>
  <c r="O48" i="6"/>
  <c r="N48" i="6" a="1"/>
  <c r="N48" i="6" s="1"/>
  <c r="Q49" i="6" a="1"/>
  <c r="Q49" i="6" s="1"/>
  <c r="D15" i="2"/>
  <c r="E8" i="3" s="1"/>
  <c r="N51" i="6" a="1"/>
  <c r="N51" i="6" s="1"/>
  <c r="P49" i="6" a="1"/>
  <c r="P49" i="6" s="1"/>
  <c r="C15" i="2"/>
  <c r="D8" i="3" s="1"/>
  <c r="N49" i="6" a="1"/>
  <c r="N49" i="6" s="1"/>
  <c r="K40" i="6"/>
  <c r="Q51" i="6" a="1"/>
  <c r="Q51" i="6" s="1"/>
  <c r="K31" i="6"/>
  <c r="N25" i="6"/>
  <c r="M25" i="6"/>
  <c r="R25" i="6" s="1"/>
  <c r="S25" i="6"/>
  <c r="J31" i="6"/>
  <c r="L44" i="8"/>
  <c r="S15" i="9"/>
  <c r="N57" i="9"/>
  <c r="M57" i="9"/>
  <c r="R57" i="9" s="1"/>
  <c r="J23" i="5"/>
  <c r="H20" i="3" a="1"/>
  <c r="H20" i="3" s="1"/>
  <c r="J32" i="6"/>
  <c r="J90" i="7"/>
  <c r="M17" i="8"/>
  <c r="R17" i="8" s="1"/>
  <c r="N15" i="9"/>
  <c r="M15" i="9"/>
  <c r="R15" i="9" s="1"/>
  <c r="D21" i="3"/>
  <c r="M20" i="5"/>
  <c r="R20" i="5" s="1"/>
  <c r="M44" i="5" a="1"/>
  <c r="M44" i="5" s="1"/>
  <c r="F18" i="3"/>
  <c r="E20" i="3" a="1"/>
  <c r="E20" i="3" s="1"/>
  <c r="E18" i="3" a="1"/>
  <c r="E18" i="3" s="1"/>
  <c r="E25" i="3"/>
  <c r="D8" i="2" a="1"/>
  <c r="D8" i="2" s="1"/>
  <c r="C6" i="2"/>
  <c r="D25" i="3"/>
  <c r="D18" i="3"/>
  <c r="E6" i="2"/>
  <c r="H27" i="3"/>
  <c r="E27" i="3"/>
  <c r="K14" i="2"/>
  <c r="K7" i="3" s="1"/>
  <c r="Q43" i="5" a="1"/>
  <c r="Q43" i="5" s="1"/>
  <c r="E14" i="2" a="1"/>
  <c r="E14" i="2" s="1"/>
  <c r="F7" i="3" s="1"/>
  <c r="C14" i="2"/>
  <c r="D7" i="3" s="1"/>
  <c r="D5" i="2"/>
  <c r="N43" i="5" a="1"/>
  <c r="N43" i="5" s="1"/>
  <c r="K33" i="5"/>
  <c r="E19" i="3" a="1"/>
  <c r="E19" i="3" s="1"/>
  <c r="K6" i="2"/>
  <c r="O41" i="5"/>
  <c r="D9" i="2" a="1"/>
  <c r="D9" i="2" s="1"/>
  <c r="N41" i="5" a="1"/>
  <c r="N41" i="5" s="1"/>
  <c r="P42" i="5" a="1"/>
  <c r="P42" i="5" s="1"/>
  <c r="C5" i="2"/>
  <c r="K15" i="2"/>
  <c r="K8" i="3" s="1"/>
  <c r="Q42" i="5" a="1"/>
  <c r="Q42" i="5" s="1"/>
  <c r="M8" i="6"/>
  <c r="R8" i="6" s="1"/>
  <c r="S16" i="6"/>
  <c r="O49" i="6" a="1"/>
  <c r="O49" i="6" s="1"/>
  <c r="M65" i="7"/>
  <c r="R65" i="7" s="1"/>
  <c r="N61" i="8" a="1"/>
  <c r="N61" i="8" s="1"/>
  <c r="L115" i="9"/>
  <c r="M12" i="9"/>
  <c r="R12" i="9" s="1"/>
  <c r="N12" i="9"/>
  <c r="M25" i="9"/>
  <c r="R25" i="9" s="1"/>
  <c r="M4" i="5"/>
  <c r="R4" i="5" s="1"/>
  <c r="N42" i="5" a="1"/>
  <c r="N42" i="5" s="1"/>
  <c r="C8" i="2"/>
  <c r="P51" i="6" a="1"/>
  <c r="P51" i="6" s="1"/>
  <c r="L33" i="5"/>
  <c r="K32" i="6"/>
  <c r="S6" i="7"/>
  <c r="S41" i="7"/>
  <c r="J83" i="7"/>
  <c r="N7" i="5"/>
  <c r="S7" i="5"/>
  <c r="J34" i="5"/>
  <c r="N44" i="5" a="1"/>
  <c r="N44" i="5" s="1"/>
  <c r="E5" i="2"/>
  <c r="L15" i="2"/>
  <c r="M2" i="5"/>
  <c r="M7" i="5"/>
  <c r="R7" i="5" s="1"/>
  <c r="N10" i="5"/>
  <c r="M10" i="5"/>
  <c r="R10" i="5" s="1"/>
  <c r="S13" i="5"/>
  <c r="L34" i="5"/>
  <c r="R42" i="5"/>
  <c r="K8" i="2"/>
  <c r="M11" i="6"/>
  <c r="R11" i="6" s="1"/>
  <c r="J34" i="6"/>
  <c r="J43" i="6"/>
  <c r="S20" i="6"/>
  <c r="J21" i="3" s="1"/>
  <c r="M12" i="7"/>
  <c r="R12" i="7" s="1"/>
  <c r="S36" i="7"/>
  <c r="S62" i="7"/>
  <c r="N62" i="7"/>
  <c r="M62" i="7"/>
  <c r="R62" i="7" s="1"/>
  <c r="S12" i="8"/>
  <c r="R61" i="8"/>
  <c r="M58" i="8" a="1"/>
  <c r="M58" i="8" s="1"/>
  <c r="K32" i="5"/>
  <c r="N4" i="5"/>
  <c r="O42" i="5" a="1"/>
  <c r="O42" i="5" s="1"/>
  <c r="N2" i="6"/>
  <c r="L40" i="6"/>
  <c r="L39" i="6"/>
  <c r="L31" i="6"/>
  <c r="N20" i="5"/>
  <c r="J33" i="5"/>
  <c r="K7" i="2"/>
  <c r="K34" i="5"/>
  <c r="K19" i="3"/>
  <c r="M48" i="6" a="1"/>
  <c r="M48" i="6" s="1"/>
  <c r="M49" i="6" a="1"/>
  <c r="M49" i="6" s="1"/>
  <c r="H15" i="2"/>
  <c r="H8" i="3" s="1"/>
  <c r="K90" i="7"/>
  <c r="N2" i="5"/>
  <c r="S4" i="5"/>
  <c r="H7" i="2"/>
  <c r="J36" i="5"/>
  <c r="O44" i="5" a="1"/>
  <c r="O44" i="5" s="1"/>
  <c r="R51" i="6"/>
  <c r="K34" i="6"/>
  <c r="R49" i="6"/>
  <c r="N21" i="7"/>
  <c r="M21" i="7"/>
  <c r="R21" i="7" s="1"/>
  <c r="J92" i="7"/>
  <c r="J52" i="8"/>
  <c r="E21" i="3" a="1"/>
  <c r="E21" i="3" s="1"/>
  <c r="L34" i="6"/>
  <c r="J82" i="7"/>
  <c r="S2" i="7"/>
  <c r="N30" i="7"/>
  <c r="M30" i="7"/>
  <c r="R30" i="7" s="1"/>
  <c r="S78" i="7"/>
  <c r="M61" i="8" a="1"/>
  <c r="M61" i="8" s="1"/>
  <c r="K52" i="8"/>
  <c r="K43" i="8"/>
  <c r="R60" i="8"/>
  <c r="M12" i="8"/>
  <c r="R12" i="8" s="1"/>
  <c r="N12" i="8"/>
  <c r="O58" i="8"/>
  <c r="M134" i="9" a="1"/>
  <c r="M134" i="9" s="1"/>
  <c r="G25" i="3"/>
  <c r="H14" i="2"/>
  <c r="H7" i="3" s="1"/>
  <c r="H18" i="3" a="1"/>
  <c r="H18" i="3" s="1"/>
  <c r="M42" i="5" a="1"/>
  <c r="M42" i="5" s="1"/>
  <c r="L36" i="5"/>
  <c r="M18" i="5"/>
  <c r="R18" i="5" s="1"/>
  <c r="K23" i="5"/>
  <c r="P44" i="5" a="1"/>
  <c r="P44" i="5" s="1"/>
  <c r="K5" i="2"/>
  <c r="F21" i="3"/>
  <c r="S5" i="6"/>
  <c r="N23" i="6"/>
  <c r="M23" i="6"/>
  <c r="R23" i="6" s="1"/>
  <c r="M26" i="6"/>
  <c r="R26" i="6" s="1"/>
  <c r="N103" i="7" a="1"/>
  <c r="N103" i="7" s="1"/>
  <c r="P100" i="7" a="1"/>
  <c r="P100" i="7" s="1"/>
  <c r="N100" i="7" a="1"/>
  <c r="N100" i="7" s="1"/>
  <c r="Q101" i="7" a="1"/>
  <c r="Q101" i="7" s="1"/>
  <c r="P101" i="7" a="1"/>
  <c r="P101" i="7" s="1"/>
  <c r="K81" i="7"/>
  <c r="K91" i="7"/>
  <c r="O101" i="7" a="1"/>
  <c r="O101" i="7" s="1"/>
  <c r="N101" i="7" a="1"/>
  <c r="N101" i="7" s="1"/>
  <c r="P99" i="7"/>
  <c r="O99" i="7"/>
  <c r="K16" i="2"/>
  <c r="K9" i="3" s="1"/>
  <c r="P102" i="7" a="1"/>
  <c r="P102" i="7" s="1"/>
  <c r="O102" i="7" a="1"/>
  <c r="O102" i="7" s="1"/>
  <c r="E16" i="2" a="1"/>
  <c r="E16" i="2" s="1"/>
  <c r="F9" i="3" s="1"/>
  <c r="R100" i="7"/>
  <c r="O100" i="7" a="1"/>
  <c r="O100" i="7" s="1"/>
  <c r="P103" i="7" a="1"/>
  <c r="P103" i="7" s="1"/>
  <c r="R99" i="7"/>
  <c r="N50" i="7"/>
  <c r="M50" i="7"/>
  <c r="R50" i="7" s="1"/>
  <c r="S50" i="7"/>
  <c r="S75" i="7"/>
  <c r="L94" i="7"/>
  <c r="L43" i="8"/>
  <c r="N6" i="8"/>
  <c r="M6" i="8"/>
  <c r="R6" i="8" s="1"/>
  <c r="L52" i="8"/>
  <c r="J39" i="6"/>
  <c r="L81" i="7"/>
  <c r="M2" i="7"/>
  <c r="L82" i="7"/>
  <c r="N2" i="7"/>
  <c r="L90" i="7"/>
  <c r="N102" i="7" a="1"/>
  <c r="N102" i="7" s="1"/>
  <c r="L124" i="9"/>
  <c r="D6" i="2" a="1"/>
  <c r="D6" i="2" s="1"/>
  <c r="H21" i="3" a="1"/>
  <c r="H21" i="3" s="1"/>
  <c r="K39" i="6"/>
  <c r="M50" i="6" a="1"/>
  <c r="M50" i="6" s="1"/>
  <c r="H16" i="2"/>
  <c r="H9" i="3" s="1"/>
  <c r="M100" i="7" a="1"/>
  <c r="M100" i="7" s="1"/>
  <c r="M103" i="7" a="1"/>
  <c r="M103" i="7" s="1"/>
  <c r="M99" i="7" a="1"/>
  <c r="M99" i="7" s="1"/>
  <c r="M69" i="7"/>
  <c r="R69" i="7" s="1"/>
  <c r="N72" i="7"/>
  <c r="M72" i="7"/>
  <c r="R72" i="7" s="1"/>
  <c r="M78" i="7"/>
  <c r="R78" i="7" s="1"/>
  <c r="N32" i="9"/>
  <c r="M32" i="9"/>
  <c r="R32" i="9" s="1"/>
  <c r="M62" i="9"/>
  <c r="R62" i="9" s="1"/>
  <c r="N62" i="9"/>
  <c r="M5" i="5"/>
  <c r="R5" i="5" s="1"/>
  <c r="R44" i="5"/>
  <c r="S2" i="5"/>
  <c r="N5" i="5"/>
  <c r="J24" i="5"/>
  <c r="M6" i="6"/>
  <c r="R6" i="6" s="1"/>
  <c r="M75" i="7"/>
  <c r="R75" i="7" s="1"/>
  <c r="N99" i="7" a="1"/>
  <c r="N99" i="7" s="1"/>
  <c r="Q102" i="7" a="1"/>
  <c r="Q102" i="7" s="1"/>
  <c r="K24" i="5"/>
  <c r="M41" i="5" a="1"/>
  <c r="M41" i="5" s="1"/>
  <c r="S21" i="6"/>
  <c r="J9" i="2" s="1"/>
  <c r="N50" i="6" a="1"/>
  <c r="N50" i="6" s="1"/>
  <c r="N22" i="7"/>
  <c r="N25" i="7"/>
  <c r="M25" i="7"/>
  <c r="R25" i="7" s="1"/>
  <c r="S30" i="7"/>
  <c r="N39" i="7"/>
  <c r="M39" i="7"/>
  <c r="R39" i="7" s="1"/>
  <c r="N63" i="7"/>
  <c r="M63" i="7"/>
  <c r="R63" i="7" s="1"/>
  <c r="Q99" i="7"/>
  <c r="H6" i="2"/>
  <c r="K18" i="3"/>
  <c r="M9" i="6"/>
  <c r="R9" i="6" s="1"/>
  <c r="S23" i="6"/>
  <c r="E17" i="2" a="1"/>
  <c r="E17" i="2" s="1"/>
  <c r="F12" i="3" s="1"/>
  <c r="O59" i="8" a="1"/>
  <c r="O59" i="8" s="1"/>
  <c r="C17" i="2"/>
  <c r="D12" i="3" s="1"/>
  <c r="R58" i="8"/>
  <c r="P58" i="8"/>
  <c r="K17" i="2"/>
  <c r="K12" i="3" s="1"/>
  <c r="R59" i="8"/>
  <c r="N13" i="8"/>
  <c r="S7" i="9"/>
  <c r="N7" i="9"/>
  <c r="J127" i="9"/>
  <c r="S20" i="9"/>
  <c r="J118" i="9"/>
  <c r="P41" i="5"/>
  <c r="H25" i="3"/>
  <c r="O50" i="6" a="1"/>
  <c r="O50" i="6" s="1"/>
  <c r="J94" i="7"/>
  <c r="S69" i="7"/>
  <c r="S7" i="8"/>
  <c r="J43" i="8"/>
  <c r="N60" i="8" a="1"/>
  <c r="N60" i="8" s="1"/>
  <c r="K118" i="9"/>
  <c r="S32" i="9"/>
  <c r="N100" i="9"/>
  <c r="M100" i="9"/>
  <c r="R100" i="9" s="1"/>
  <c r="D19" i="3"/>
  <c r="N18" i="6"/>
  <c r="M18" i="6"/>
  <c r="R18" i="6" s="1"/>
  <c r="M21" i="6"/>
  <c r="R21" i="6" s="1"/>
  <c r="M27" i="6"/>
  <c r="R27" i="6" s="1"/>
  <c r="M19" i="7"/>
  <c r="R19" i="7" s="1"/>
  <c r="M28" i="7"/>
  <c r="R28" i="7" s="1"/>
  <c r="M31" i="7"/>
  <c r="R31" i="7" s="1"/>
  <c r="K85" i="7"/>
  <c r="S70" i="7"/>
  <c r="S72" i="7"/>
  <c r="J81" i="7"/>
  <c r="N4" i="8"/>
  <c r="L118" i="9"/>
  <c r="N20" i="9"/>
  <c r="M20" i="9"/>
  <c r="R20" i="9" s="1"/>
  <c r="L127" i="9"/>
  <c r="N22" i="10"/>
  <c r="M22" i="10"/>
  <c r="R22" i="10" s="1"/>
  <c r="S45" i="10"/>
  <c r="N81" i="10"/>
  <c r="M81" i="10"/>
  <c r="R81" i="10" s="1"/>
  <c r="N58" i="10"/>
  <c r="M58" i="10"/>
  <c r="R58" i="10" s="1"/>
  <c r="N33" i="11"/>
  <c r="M33" i="11"/>
  <c r="R33" i="11" s="1"/>
  <c r="N45" i="10"/>
  <c r="M45" i="10"/>
  <c r="R45" i="10" s="1"/>
  <c r="M32" i="8"/>
  <c r="R32" i="8" s="1"/>
  <c r="S37" i="8"/>
  <c r="L53" i="8"/>
  <c r="P61" i="8" a="1"/>
  <c r="P61" i="8" s="1"/>
  <c r="M27" i="9"/>
  <c r="R27" i="9" s="1"/>
  <c r="M40" i="9"/>
  <c r="R40" i="9" s="1"/>
  <c r="S42" i="9"/>
  <c r="M89" i="9"/>
  <c r="R89" i="9" s="1"/>
  <c r="R137" i="9"/>
  <c r="S105" i="9"/>
  <c r="S112" i="9"/>
  <c r="E9" i="2"/>
  <c r="L17" i="2"/>
  <c r="D20" i="2"/>
  <c r="E11" i="3" s="1"/>
  <c r="S26" i="6"/>
  <c r="K93" i="7"/>
  <c r="F20" i="3"/>
  <c r="E8" i="2"/>
  <c r="D20" i="3"/>
  <c r="S51" i="7"/>
  <c r="N56" i="7"/>
  <c r="S8" i="8"/>
  <c r="S37" i="9"/>
  <c r="N51" i="9"/>
  <c r="M51" i="9"/>
  <c r="R51" i="9" s="1"/>
  <c r="N65" i="9"/>
  <c r="M84" i="9"/>
  <c r="R84" i="9" s="1"/>
  <c r="L128" i="9"/>
  <c r="J40" i="8"/>
  <c r="M133" i="9" a="1"/>
  <c r="M133" i="9" s="1"/>
  <c r="N110" i="10" a="1"/>
  <c r="N110" i="10" s="1"/>
  <c r="E20" i="2" a="1"/>
  <c r="E20" i="2" s="1"/>
  <c r="F11" i="3" s="1"/>
  <c r="N22" i="8"/>
  <c r="M22" i="8"/>
  <c r="R22" i="8" s="1"/>
  <c r="J116" i="9"/>
  <c r="N46" i="9"/>
  <c r="M46" i="9"/>
  <c r="R46" i="9" s="1"/>
  <c r="S57" i="9"/>
  <c r="S100" i="9"/>
  <c r="B115" i="9"/>
  <c r="R109" i="10"/>
  <c r="M36" i="10"/>
  <c r="R36" i="10" s="1"/>
  <c r="N36" i="10"/>
  <c r="S50" i="11"/>
  <c r="N50" i="11"/>
  <c r="M50" i="11"/>
  <c r="R50" i="11" s="1"/>
  <c r="K117" i="9"/>
  <c r="N63" i="9"/>
  <c r="M108" i="10" a="1"/>
  <c r="M108" i="10" s="1"/>
  <c r="J92" i="10"/>
  <c r="N69" i="10"/>
  <c r="N76" i="10"/>
  <c r="M76" i="10"/>
  <c r="R76" i="10" s="1"/>
  <c r="N33" i="10"/>
  <c r="K92" i="10"/>
  <c r="S65" i="7"/>
  <c r="S2" i="8"/>
  <c r="J51" i="8"/>
  <c r="N33" i="9"/>
  <c r="M63" i="9"/>
  <c r="R63" i="9" s="1"/>
  <c r="M82" i="9"/>
  <c r="R82" i="9" s="1"/>
  <c r="E26" i="3"/>
  <c r="N24" i="6"/>
  <c r="M24" i="6"/>
  <c r="R24" i="6" s="1"/>
  <c r="S46" i="7"/>
  <c r="M49" i="7"/>
  <c r="R49" i="7" s="1"/>
  <c r="P59" i="8" a="1"/>
  <c r="P59" i="8" s="1"/>
  <c r="K42" i="8"/>
  <c r="P60" i="8" a="1"/>
  <c r="P60" i="8" s="1"/>
  <c r="K51" i="8"/>
  <c r="O60" i="8" a="1"/>
  <c r="O60" i="8" s="1"/>
  <c r="Q61" i="8" a="1"/>
  <c r="Q61" i="8" s="1"/>
  <c r="S22" i="8"/>
  <c r="Q58" i="8"/>
  <c r="Q60" i="8" a="1"/>
  <c r="Q60" i="8" s="1"/>
  <c r="M136" i="9" a="1"/>
  <c r="M136" i="9" s="1"/>
  <c r="H18" i="2"/>
  <c r="H13" i="3" s="1"/>
  <c r="M135" i="9" a="1"/>
  <c r="M135" i="9" s="1"/>
  <c r="M33" i="9"/>
  <c r="R33" i="9" s="1"/>
  <c r="N41" i="9"/>
  <c r="M41" i="9"/>
  <c r="R41" i="9" s="1"/>
  <c r="S46" i="9"/>
  <c r="M52" i="9"/>
  <c r="R52" i="9" s="1"/>
  <c r="N40" i="10"/>
  <c r="M40" i="10"/>
  <c r="R40" i="10" s="1"/>
  <c r="L92" i="10"/>
  <c r="M28" i="9"/>
  <c r="R28" i="9" s="1"/>
  <c r="S27" i="10"/>
  <c r="N36" i="8"/>
  <c r="N103" i="9"/>
  <c r="M103" i="9"/>
  <c r="R103" i="9" s="1"/>
  <c r="C19" i="2"/>
  <c r="D10" i="3" s="1"/>
  <c r="H26" i="3"/>
  <c r="N14" i="6"/>
  <c r="N18" i="7"/>
  <c r="M34" i="7"/>
  <c r="R34" i="7" s="1"/>
  <c r="S76" i="7"/>
  <c r="M76" i="7"/>
  <c r="R76" i="7" s="1"/>
  <c r="M59" i="8" a="1"/>
  <c r="M59" i="8" s="1"/>
  <c r="M28" i="8"/>
  <c r="R28" i="8" s="1"/>
  <c r="M5" i="9"/>
  <c r="R5" i="9" s="1"/>
  <c r="N44" i="9"/>
  <c r="M55" i="9"/>
  <c r="R55" i="9" s="1"/>
  <c r="S58" i="9"/>
  <c r="S80" i="9"/>
  <c r="K119" i="9"/>
  <c r="S8" i="10"/>
  <c r="S108" i="10" s="1" a="1"/>
  <c r="S108" i="10" s="1"/>
  <c r="J90" i="10"/>
  <c r="N63" i="10"/>
  <c r="M63" i="10"/>
  <c r="R63" i="10" s="1"/>
  <c r="N5" i="9"/>
  <c r="M13" i="9"/>
  <c r="R13" i="9" s="1"/>
  <c r="M18" i="9"/>
  <c r="R18" i="9" s="1"/>
  <c r="M47" i="9"/>
  <c r="R47" i="9" s="1"/>
  <c r="N55" i="9"/>
  <c r="M109" i="9"/>
  <c r="R109" i="9" s="1"/>
  <c r="L119" i="9"/>
  <c r="N27" i="10"/>
  <c r="M27" i="10"/>
  <c r="R27" i="10" s="1"/>
  <c r="N70" i="10"/>
  <c r="M70" i="10"/>
  <c r="R70" i="10" s="1"/>
  <c r="N31" i="9"/>
  <c r="M31" i="9"/>
  <c r="R31" i="9" s="1"/>
  <c r="N58" i="9"/>
  <c r="M69" i="9"/>
  <c r="R69" i="9" s="1"/>
  <c r="N93" i="9"/>
  <c r="M93" i="9"/>
  <c r="R93" i="9" s="1"/>
  <c r="N34" i="10"/>
  <c r="M34" i="10"/>
  <c r="R34" i="10" s="1"/>
  <c r="M54" i="10"/>
  <c r="R54" i="10" s="1"/>
  <c r="L101" i="10"/>
  <c r="N54" i="10"/>
  <c r="J89" i="10"/>
  <c r="P93" i="11" a="1"/>
  <c r="P93" i="11" s="1"/>
  <c r="K36" i="5"/>
  <c r="M55" i="7"/>
  <c r="R55" i="7" s="1"/>
  <c r="S63" i="7"/>
  <c r="M13" i="8"/>
  <c r="R13" i="8" s="1"/>
  <c r="S34" i="8"/>
  <c r="N59" i="8" a="1"/>
  <c r="N59" i="8" s="1"/>
  <c r="J117" i="9"/>
  <c r="M26" i="9"/>
  <c r="R26" i="9" s="1"/>
  <c r="M58" i="9"/>
  <c r="R58" i="9" s="1"/>
  <c r="N61" i="9"/>
  <c r="M61" i="9"/>
  <c r="R61" i="9" s="1"/>
  <c r="M64" i="9"/>
  <c r="R64" i="9" s="1"/>
  <c r="M75" i="9"/>
  <c r="R75" i="9" s="1"/>
  <c r="M80" i="9"/>
  <c r="R80" i="9" s="1"/>
  <c r="M88" i="9"/>
  <c r="R88" i="9" s="1"/>
  <c r="S103" i="9"/>
  <c r="Q110" i="10" a="1"/>
  <c r="Q110" i="10" s="1"/>
  <c r="N109" i="10" a="1"/>
  <c r="N109" i="10" s="1"/>
  <c r="P110" i="10" a="1"/>
  <c r="P110" i="10" s="1"/>
  <c r="O110" i="10" a="1"/>
  <c r="O110" i="10" s="1"/>
  <c r="Q107" i="10"/>
  <c r="P108" i="10" a="1"/>
  <c r="P108" i="10" s="1"/>
  <c r="O108" i="10" a="1"/>
  <c r="O108" i="10" s="1"/>
  <c r="N108" i="10" a="1"/>
  <c r="N108" i="10" s="1"/>
  <c r="Q109" i="10" a="1"/>
  <c r="Q109" i="10" s="1"/>
  <c r="P109" i="10" a="1"/>
  <c r="P109" i="10" s="1"/>
  <c r="O109" i="10" a="1"/>
  <c r="O109" i="10" s="1"/>
  <c r="R107" i="10"/>
  <c r="P107" i="10"/>
  <c r="O107" i="10"/>
  <c r="N107" i="10" a="1"/>
  <c r="N107" i="10" s="1"/>
  <c r="K89" i="10"/>
  <c r="Q108" i="10" a="1"/>
  <c r="Q108" i="10" s="1"/>
  <c r="L73" i="11"/>
  <c r="L116" i="9"/>
  <c r="L125" i="9"/>
  <c r="M50" i="9"/>
  <c r="R50" i="9" s="1"/>
  <c r="S53" i="9"/>
  <c r="N75" i="9"/>
  <c r="S104" i="9"/>
  <c r="M2" i="10"/>
  <c r="L89" i="10"/>
  <c r="N2" i="10"/>
  <c r="S18" i="10"/>
  <c r="J102" i="10"/>
  <c r="J93" i="10"/>
  <c r="S74" i="10"/>
  <c r="N21" i="9"/>
  <c r="M21" i="9"/>
  <c r="R21" i="9" s="1"/>
  <c r="S55" i="9"/>
  <c r="N31" i="10"/>
  <c r="M31" i="10"/>
  <c r="R31" i="10" s="1"/>
  <c r="S38" i="10"/>
  <c r="S70" i="10"/>
  <c r="K93" i="10"/>
  <c r="R110" i="10"/>
  <c r="K102" i="10"/>
  <c r="K49" i="8"/>
  <c r="M42" i="9"/>
  <c r="R42" i="9" s="1"/>
  <c r="M104" i="9"/>
  <c r="R104" i="9" s="1"/>
  <c r="M112" i="9"/>
  <c r="R112" i="9" s="1"/>
  <c r="J99" i="10"/>
  <c r="S34" i="10"/>
  <c r="J101" i="10"/>
  <c r="S54" i="10"/>
  <c r="M74" i="10"/>
  <c r="R74" i="10" s="1"/>
  <c r="N74" i="10"/>
  <c r="L98" i="10"/>
  <c r="N12" i="6"/>
  <c r="M12" i="6"/>
  <c r="R12" i="6" s="1"/>
  <c r="S2" i="6"/>
  <c r="J30" i="6"/>
  <c r="S19" i="7"/>
  <c r="R101" i="7"/>
  <c r="K92" i="7"/>
  <c r="S53" i="7"/>
  <c r="N66" i="7"/>
  <c r="N3" i="8"/>
  <c r="S29" i="8"/>
  <c r="M37" i="8"/>
  <c r="R37" i="8" s="1"/>
  <c r="N16" i="9"/>
  <c r="S31" i="9"/>
  <c r="S48" i="9"/>
  <c r="M53" i="9"/>
  <c r="R53" i="9" s="1"/>
  <c r="M67" i="9"/>
  <c r="R67" i="9" s="1"/>
  <c r="J126" i="9"/>
  <c r="K90" i="10"/>
  <c r="M38" i="10"/>
  <c r="R38" i="10" s="1"/>
  <c r="N38" i="10"/>
  <c r="K101" i="10"/>
  <c r="N64" i="10"/>
  <c r="S81" i="10"/>
  <c r="K99" i="10"/>
  <c r="Q59" i="8" a="1"/>
  <c r="Q59" i="8" s="1"/>
  <c r="K127" i="9"/>
  <c r="S73" i="9"/>
  <c r="N9" i="10"/>
  <c r="M9" i="10"/>
  <c r="R9" i="10" s="1"/>
  <c r="L90" i="10"/>
  <c r="L102" i="10"/>
  <c r="J84" i="11"/>
  <c r="L85" i="11"/>
  <c r="N15" i="10"/>
  <c r="N51" i="10"/>
  <c r="N27" i="11"/>
  <c r="M27" i="11"/>
  <c r="R27" i="11" s="1"/>
  <c r="R136" i="9"/>
  <c r="M110" i="10" a="1"/>
  <c r="M110" i="10" s="1"/>
  <c r="M107" i="10" a="1"/>
  <c r="M107" i="10" s="1"/>
  <c r="M15" i="10"/>
  <c r="R15" i="10" s="1"/>
  <c r="S23" i="10"/>
  <c r="M28" i="10"/>
  <c r="R28" i="10" s="1"/>
  <c r="M33" i="10"/>
  <c r="R33" i="10" s="1"/>
  <c r="M51" i="10"/>
  <c r="R51" i="10" s="1"/>
  <c r="S59" i="10"/>
  <c r="M64" i="10"/>
  <c r="R64" i="10" s="1"/>
  <c r="M69" i="10"/>
  <c r="R69" i="10" s="1"/>
  <c r="S16" i="11"/>
  <c r="M59" i="11"/>
  <c r="R59" i="11" s="1"/>
  <c r="S48" i="10"/>
  <c r="S36" i="11"/>
  <c r="N59" i="11"/>
  <c r="S62" i="11"/>
  <c r="N62" i="11"/>
  <c r="J73" i="11"/>
  <c r="N39" i="11"/>
  <c r="M39" i="11"/>
  <c r="R39" i="11" s="1"/>
  <c r="K73" i="11"/>
  <c r="M72" i="10"/>
  <c r="R72" i="10" s="1"/>
  <c r="S27" i="11"/>
  <c r="M67" i="10"/>
  <c r="R67" i="10" s="1"/>
  <c r="N72" i="10"/>
  <c r="J83" i="11"/>
  <c r="N5" i="11"/>
  <c r="M36" i="11"/>
  <c r="R36" i="11" s="1"/>
  <c r="M109" i="10" a="1"/>
  <c r="M109" i="10" s="1"/>
  <c r="Q94" i="11" a="1"/>
  <c r="Q94" i="11" s="1"/>
  <c r="N93" i="11" a="1"/>
  <c r="N93" i="11" s="1"/>
  <c r="P94" i="11" a="1"/>
  <c r="P94" i="11" s="1"/>
  <c r="O94" i="11" a="1"/>
  <c r="O94" i="11" s="1"/>
  <c r="K83" i="11"/>
  <c r="Q95" i="11" a="1"/>
  <c r="Q95" i="11" s="1"/>
  <c r="N94" i="11" a="1"/>
  <c r="N94" i="11" s="1"/>
  <c r="R91" i="11"/>
  <c r="P95" i="11" a="1"/>
  <c r="P95" i="11" s="1"/>
  <c r="P91" i="11"/>
  <c r="O95" i="11" a="1"/>
  <c r="O95" i="11" s="1"/>
  <c r="O91" i="11"/>
  <c r="N91" i="11" a="1"/>
  <c r="N91" i="11" s="1"/>
  <c r="N95" i="11" a="1"/>
  <c r="N95" i="11" s="1"/>
  <c r="R92" i="11"/>
  <c r="Q92" i="11" a="1"/>
  <c r="Q92" i="11" s="1"/>
  <c r="P92" i="11" a="1"/>
  <c r="P92" i="11" s="1"/>
  <c r="O92" i="11" a="1"/>
  <c r="O92" i="11" s="1"/>
  <c r="N92" i="11" a="1"/>
  <c r="N92" i="11" s="1"/>
  <c r="K74" i="11"/>
  <c r="M31" i="11"/>
  <c r="R31" i="11" s="1"/>
  <c r="N51" i="11"/>
  <c r="M51" i="11"/>
  <c r="R51" i="11" s="1"/>
  <c r="S21" i="9"/>
  <c r="T133" i="9" s="1"/>
  <c r="S93" i="9"/>
  <c r="M8" i="10"/>
  <c r="R8" i="10" s="1"/>
  <c r="N13" i="10"/>
  <c r="K98" i="10"/>
  <c r="M26" i="10"/>
  <c r="R26" i="10" s="1"/>
  <c r="M44" i="10"/>
  <c r="R44" i="10" s="1"/>
  <c r="N49" i="10"/>
  <c r="M62" i="10"/>
  <c r="R62" i="10" s="1"/>
  <c r="M80" i="10"/>
  <c r="R80" i="10" s="1"/>
  <c r="N85" i="10"/>
  <c r="L82" i="11"/>
  <c r="N2" i="11"/>
  <c r="N28" i="11"/>
  <c r="S39" i="11"/>
  <c r="M57" i="11"/>
  <c r="R57" i="11" s="1"/>
  <c r="L74" i="11"/>
  <c r="L99" i="10"/>
  <c r="R2" i="11"/>
  <c r="S60" i="11"/>
  <c r="M94" i="11" a="1"/>
  <c r="M94" i="11" s="1"/>
  <c r="R93" i="11"/>
  <c r="K75" i="11"/>
  <c r="K76" i="11"/>
  <c r="R95" i="11"/>
  <c r="N63" i="11"/>
  <c r="M63" i="11"/>
  <c r="R63" i="11" s="1"/>
  <c r="J75" i="11"/>
  <c r="N16" i="10"/>
  <c r="N17" i="11"/>
  <c r="N40" i="11"/>
  <c r="L77" i="11"/>
  <c r="N60" i="11"/>
  <c r="L86" i="11"/>
  <c r="M17" i="7"/>
  <c r="R17" i="7" s="1"/>
  <c r="M22" i="7"/>
  <c r="R22" i="7" s="1"/>
  <c r="M64" i="7"/>
  <c r="R64" i="7" s="1"/>
  <c r="M74" i="7"/>
  <c r="R74" i="7" s="1"/>
  <c r="S9" i="9"/>
  <c r="S81" i="9"/>
  <c r="M17" i="11"/>
  <c r="R17" i="11" s="1"/>
  <c r="M40" i="11"/>
  <c r="R40" i="11" s="1"/>
  <c r="S52" i="11"/>
  <c r="M60" i="11"/>
  <c r="R60" i="11" s="1"/>
  <c r="J76" i="11"/>
  <c r="N6" i="10"/>
  <c r="M24" i="10"/>
  <c r="R24" i="10" s="1"/>
  <c r="N42" i="10"/>
  <c r="M60" i="10"/>
  <c r="R60" i="10" s="1"/>
  <c r="N78" i="10"/>
  <c r="L93" i="10"/>
  <c r="T95" i="11" a="1"/>
  <c r="T95" i="11" s="1"/>
  <c r="S95" i="11" a="1"/>
  <c r="S95" i="11" s="1"/>
  <c r="J115" i="9"/>
  <c r="J98" i="10"/>
  <c r="M14" i="11"/>
  <c r="R14" i="11" s="1"/>
  <c r="N52" i="11"/>
  <c r="S63" i="11"/>
  <c r="J77" i="11"/>
  <c r="O93" i="11" a="1"/>
  <c r="O93" i="11" s="1"/>
  <c r="M14" i="10"/>
  <c r="R14" i="10" s="1"/>
  <c r="S16" i="10"/>
  <c r="S109" i="10" s="1" a="1"/>
  <c r="S109" i="10" s="1"/>
  <c r="M50" i="10"/>
  <c r="R50" i="10" s="1"/>
  <c r="M86" i="10"/>
  <c r="R86" i="10" s="1"/>
  <c r="N3" i="11"/>
  <c r="M3" i="11"/>
  <c r="R3" i="11" s="1"/>
  <c r="N49" i="11"/>
  <c r="M67" i="11"/>
  <c r="R67" i="11" s="1"/>
  <c r="K82" i="11"/>
  <c r="Q93" i="11" a="1"/>
  <c r="Q93" i="11" s="1"/>
  <c r="M93" i="11" a="1"/>
  <c r="M93" i="11" s="1"/>
  <c r="L83" i="11"/>
  <c r="S35" i="10"/>
  <c r="S71" i="10"/>
  <c r="M9" i="11"/>
  <c r="R9" i="11" s="1"/>
  <c r="N23" i="11"/>
  <c r="S26" i="11"/>
  <c r="N26" i="11"/>
  <c r="R94" i="11"/>
  <c r="N41" i="11"/>
  <c r="M64" i="11"/>
  <c r="R64" i="11" s="1"/>
  <c r="M26" i="11"/>
  <c r="R26" i="11" s="1"/>
  <c r="L76" i="11"/>
  <c r="K84" i="11"/>
  <c r="S3" i="11"/>
  <c r="S92" i="11" s="1" a="1"/>
  <c r="S92" i="11" s="1"/>
  <c r="M35" i="11"/>
  <c r="R35" i="11" s="1"/>
  <c r="M72" i="9"/>
  <c r="R72" i="9" s="1"/>
  <c r="M12" i="10"/>
  <c r="R12" i="10" s="1"/>
  <c r="N30" i="10"/>
  <c r="M48" i="10"/>
  <c r="R48" i="10" s="1"/>
  <c r="N66" i="10"/>
  <c r="M84" i="10"/>
  <c r="R84" i="10" s="1"/>
  <c r="J82" i="11"/>
  <c r="S4" i="11"/>
  <c r="N15" i="11"/>
  <c r="M15" i="11"/>
  <c r="R15" i="11" s="1"/>
  <c r="N35" i="11"/>
  <c r="S38" i="11"/>
  <c r="N38" i="11"/>
  <c r="N53" i="11"/>
  <c r="J85" i="11"/>
  <c r="K85" i="11"/>
  <c r="M92" i="11" a="1"/>
  <c r="M92" i="11" s="1"/>
  <c r="L75" i="11"/>
  <c r="M65" i="11"/>
  <c r="R65" i="11" s="1"/>
  <c r="M95" i="11" a="1"/>
  <c r="M95" i="11" s="1"/>
  <c r="M91" i="11" a="1"/>
  <c r="M91" i="11" s="1"/>
  <c r="M13" i="11"/>
  <c r="R13" i="11" s="1"/>
  <c r="M25" i="11"/>
  <c r="R25" i="11" s="1"/>
  <c r="M37" i="11"/>
  <c r="R37" i="11" s="1"/>
  <c r="M49" i="11"/>
  <c r="R49" i="11" s="1"/>
  <c r="M61" i="11"/>
  <c r="R61" i="11" s="1"/>
  <c r="R2" i="5" l="1"/>
  <c r="K43" i="5"/>
  <c r="K41" i="5"/>
  <c r="K44" i="5"/>
  <c r="K42" i="5"/>
  <c r="L51" i="6" a="1"/>
  <c r="L51" i="6" s="1"/>
  <c r="L50" i="6" a="1"/>
  <c r="L50" i="6" s="1"/>
  <c r="L48" i="6" a="1"/>
  <c r="L48" i="6" s="1"/>
  <c r="L49" i="6" a="1"/>
  <c r="L49" i="6" s="1"/>
  <c r="G15" i="2"/>
  <c r="K133" i="9"/>
  <c r="T49" i="6" a="1"/>
  <c r="T49" i="6" s="1"/>
  <c r="S49" i="6" a="1"/>
  <c r="S49" i="6" s="1"/>
  <c r="T50" i="6" a="1"/>
  <c r="T50" i="6" s="1"/>
  <c r="I15" i="2"/>
  <c r="I8" i="3" s="1"/>
  <c r="T51" i="6" a="1"/>
  <c r="T51" i="6" s="1"/>
  <c r="J15" i="2"/>
  <c r="J8" i="3" s="1"/>
  <c r="S51" i="6" a="1"/>
  <c r="S51" i="6" s="1"/>
  <c r="T48" i="6"/>
  <c r="S48" i="6"/>
  <c r="S50" i="6" a="1"/>
  <c r="S50" i="6" s="1"/>
  <c r="K136" i="9"/>
  <c r="J18" i="2"/>
  <c r="J13" i="3" s="1"/>
  <c r="I18" i="2"/>
  <c r="I13" i="3" s="1"/>
  <c r="K134" i="9"/>
  <c r="I9" i="2"/>
  <c r="F18" i="2"/>
  <c r="G13" i="3" s="1"/>
  <c r="L108" i="10" a="1"/>
  <c r="L108" i="10" s="1"/>
  <c r="L109" i="10" a="1"/>
  <c r="L109" i="10" s="1"/>
  <c r="L110" i="10" a="1"/>
  <c r="L110" i="10" s="1"/>
  <c r="L107" i="10" a="1"/>
  <c r="L107" i="10" s="1"/>
  <c r="G19" i="2"/>
  <c r="S136" i="9" a="1"/>
  <c r="S136" i="9" s="1"/>
  <c r="J7" i="2"/>
  <c r="J19" i="3"/>
  <c r="I7" i="2"/>
  <c r="I19" i="3"/>
  <c r="K135" i="9"/>
  <c r="G7" i="2"/>
  <c r="K137" i="9"/>
  <c r="S134" i="9" a="1"/>
  <c r="S134" i="9" s="1"/>
  <c r="S110" i="10" a="1"/>
  <c r="S110" i="10" s="1"/>
  <c r="S137" i="9" a="1"/>
  <c r="S137" i="9" s="1"/>
  <c r="I21" i="3"/>
  <c r="I19" i="2"/>
  <c r="I10" i="3" s="1"/>
  <c r="T108" i="10" a="1"/>
  <c r="T108" i="10" s="1"/>
  <c r="T137" i="9" a="1"/>
  <c r="T137" i="9" s="1"/>
  <c r="S107" i="10"/>
  <c r="T134" i="9" a="1"/>
  <c r="T134" i="9" s="1"/>
  <c r="L103" i="7" a="1"/>
  <c r="L103" i="7" s="1"/>
  <c r="G16" i="2"/>
  <c r="L101" i="7" a="1"/>
  <c r="L101" i="7" s="1"/>
  <c r="L99" i="7" a="1"/>
  <c r="L99" i="7" s="1"/>
  <c r="L102" i="7" a="1"/>
  <c r="L102" i="7" s="1"/>
  <c r="L100" i="7" a="1"/>
  <c r="L100" i="7" s="1"/>
  <c r="F9" i="2"/>
  <c r="G14" i="2"/>
  <c r="G5" i="2"/>
  <c r="L44" i="5" a="1"/>
  <c r="L44" i="5" s="1"/>
  <c r="G6" i="2"/>
  <c r="L41" i="5" a="1"/>
  <c r="L41" i="5" s="1"/>
  <c r="L43" i="5" a="1"/>
  <c r="L43" i="5" s="1"/>
  <c r="L42" i="5" a="1"/>
  <c r="L42" i="5" s="1"/>
  <c r="L18" i="2"/>
  <c r="T135" i="9" a="1"/>
  <c r="T135" i="9" s="1"/>
  <c r="K95" i="11"/>
  <c r="T109" i="10" a="1"/>
  <c r="T109" i="10" s="1"/>
  <c r="S135" i="9" a="1"/>
  <c r="S135" i="9" s="1"/>
  <c r="I18" i="3"/>
  <c r="J5" i="2"/>
  <c r="T44" i="5" a="1"/>
  <c r="T44" i="5" s="1"/>
  <c r="T42" i="5" a="1"/>
  <c r="T42" i="5" s="1"/>
  <c r="J6" i="2"/>
  <c r="I6" i="2"/>
  <c r="J18" i="3"/>
  <c r="S44" i="5" a="1"/>
  <c r="S44" i="5" s="1"/>
  <c r="I5" i="2"/>
  <c r="S42" i="5" a="1"/>
  <c r="S42" i="5" s="1"/>
  <c r="T43" i="5" a="1"/>
  <c r="T43" i="5" s="1"/>
  <c r="S43" i="5" a="1"/>
  <c r="S43" i="5" s="1"/>
  <c r="J14" i="2"/>
  <c r="J7" i="3" s="1"/>
  <c r="I14" i="2"/>
  <c r="I7" i="3" s="1"/>
  <c r="T41" i="5"/>
  <c r="S41" i="5"/>
  <c r="K103" i="7"/>
  <c r="R2" i="7"/>
  <c r="F16" i="2" s="1"/>
  <c r="G9" i="3" s="1"/>
  <c r="K100" i="7"/>
  <c r="K102" i="7"/>
  <c r="K101" i="7"/>
  <c r="K92" i="11"/>
  <c r="T107" i="10"/>
  <c r="T110" i="10" a="1"/>
  <c r="T110" i="10" s="1"/>
  <c r="K91" i="11"/>
  <c r="J8" i="2"/>
  <c r="I20" i="3"/>
  <c r="J20" i="3"/>
  <c r="I8" i="2"/>
  <c r="K94" i="11"/>
  <c r="F20" i="2"/>
  <c r="G11" i="3" s="1"/>
  <c r="K93" i="11"/>
  <c r="L59" i="8" a="1"/>
  <c r="L59" i="8" s="1"/>
  <c r="L61" i="8" a="1"/>
  <c r="L61" i="8" s="1"/>
  <c r="L60" i="8" a="1"/>
  <c r="L60" i="8" s="1"/>
  <c r="G17" i="2"/>
  <c r="L58" i="8" a="1"/>
  <c r="L58" i="8" s="1"/>
  <c r="R2" i="8"/>
  <c r="K58" i="8" s="1"/>
  <c r="K59" i="8"/>
  <c r="K60" i="8"/>
  <c r="G18" i="2"/>
  <c r="L137" i="9" a="1"/>
  <c r="L137" i="9" s="1"/>
  <c r="L134" i="9" a="1"/>
  <c r="L134" i="9" s="1"/>
  <c r="L135" i="9" a="1"/>
  <c r="L135" i="9" s="1"/>
  <c r="L136" i="9" a="1"/>
  <c r="L136" i="9" s="1"/>
  <c r="L133" i="9" a="1"/>
  <c r="L133" i="9" s="1"/>
  <c r="K48" i="6"/>
  <c r="J20" i="2"/>
  <c r="J11" i="3" s="1"/>
  <c r="I20" i="2"/>
  <c r="I11" i="3" s="1"/>
  <c r="S94" i="11" a="1"/>
  <c r="S94" i="11" s="1"/>
  <c r="J19" i="2"/>
  <c r="J10" i="3" s="1"/>
  <c r="G8" i="2"/>
  <c r="K49" i="6"/>
  <c r="K110" i="10"/>
  <c r="K108" i="10"/>
  <c r="K109" i="10" a="1"/>
  <c r="K109" i="10" s="1"/>
  <c r="K107" i="10"/>
  <c r="R2" i="10"/>
  <c r="F19" i="2" s="1"/>
  <c r="G10" i="3" s="1"/>
  <c r="T136" i="9" a="1"/>
  <c r="T136" i="9" s="1"/>
  <c r="K50" i="6"/>
  <c r="T93" i="11" a="1"/>
  <c r="T93" i="11" s="1"/>
  <c r="L92" i="11" a="1"/>
  <c r="L92" i="11" s="1"/>
  <c r="L93" i="11" a="1"/>
  <c r="L93" i="11" s="1"/>
  <c r="L94" i="11" a="1"/>
  <c r="L94" i="11" s="1"/>
  <c r="L91" i="11" a="1"/>
  <c r="L91" i="11" s="1"/>
  <c r="L95" i="11" a="1"/>
  <c r="L95" i="11" s="1"/>
  <c r="G20" i="2"/>
  <c r="S59" i="8" a="1"/>
  <c r="S59" i="8" s="1"/>
  <c r="S60" i="8" a="1"/>
  <c r="S60" i="8" s="1"/>
  <c r="T61" i="8" a="1"/>
  <c r="T61" i="8" s="1"/>
  <c r="S61" i="8" a="1"/>
  <c r="S61" i="8" s="1"/>
  <c r="T58" i="8"/>
  <c r="T60" i="8" a="1"/>
  <c r="T60" i="8" s="1"/>
  <c r="S58" i="8"/>
  <c r="T59" i="8" a="1"/>
  <c r="T59" i="8" s="1"/>
  <c r="J17" i="2"/>
  <c r="J12" i="3" s="1"/>
  <c r="I17" i="2"/>
  <c r="I12" i="3" s="1"/>
  <c r="K51" i="6"/>
  <c r="F15" i="2"/>
  <c r="G8" i="3" s="1"/>
  <c r="S100" i="7" a="1"/>
  <c r="S100" i="7" s="1"/>
  <c r="S101" i="7" a="1"/>
  <c r="S101" i="7" s="1"/>
  <c r="T102" i="7" a="1"/>
  <c r="T102" i="7" s="1"/>
  <c r="S102" i="7" a="1"/>
  <c r="S102" i="7" s="1"/>
  <c r="T101" i="7" a="1"/>
  <c r="T101" i="7" s="1"/>
  <c r="T99" i="7"/>
  <c r="S99" i="7"/>
  <c r="J16" i="2"/>
  <c r="J9" i="3" s="1"/>
  <c r="I16" i="2"/>
  <c r="I9" i="3" s="1"/>
  <c r="T100" i="7" a="1"/>
  <c r="T100" i="7" s="1"/>
  <c r="T103" i="7" a="1"/>
  <c r="T103" i="7" s="1"/>
  <c r="S103" i="7" a="1"/>
  <c r="S103" i="7" s="1"/>
  <c r="S91" i="11"/>
  <c r="T94" i="11" a="1"/>
  <c r="T94" i="11" s="1"/>
  <c r="S93" i="11" a="1"/>
  <c r="S93" i="11" s="1"/>
  <c r="T92" i="11" a="1"/>
  <c r="T92" i="11" s="1"/>
  <c r="T91" i="11"/>
  <c r="S133" i="9"/>
  <c r="K61" i="8" l="1"/>
  <c r="K99" i="7"/>
  <c r="F17" i="2"/>
  <c r="G12" i="3" s="1"/>
  <c r="F26" i="3"/>
  <c r="F25" i="3"/>
  <c r="F14" i="2"/>
  <c r="G7" i="3" s="1"/>
  <c r="G20" i="3" a="1"/>
  <c r="G20" i="3" s="1"/>
  <c r="G21" i="3" a="1"/>
  <c r="G21" i="3" s="1"/>
  <c r="F6" i="2"/>
  <c r="G18" i="3" a="1"/>
  <c r="G18" i="3" s="1"/>
  <c r="F5" i="2"/>
  <c r="F27" i="3"/>
  <c r="G19" i="3" a="1"/>
  <c r="G19" i="3" s="1"/>
  <c r="F7" i="2"/>
  <c r="F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1" authorId="0" shapeId="0" xr:uid="{00000000-0006-0000-0400-000001000000}">
      <text>
        <r>
          <rPr>
            <sz val="10"/>
            <rFont val="Arial"/>
            <family val="2"/>
          </rPr>
          <t>Dist_From_Optimal / Optimal_Dist_From_Centre. &lt;1 means solver landed closer to the human placement than the element centroid was. Blank when Input centroid is missing.</t>
        </r>
      </text>
    </comment>
    <comment ref="N1" authorId="0" shapeId="0" xr:uid="{00000000-0006-0000-0400-000002000000}">
      <text>
        <r>
          <rPr>
            <sz val="10"/>
            <rFont val="Arial"/>
            <family val="2"/>
          </rPr>
          <t>Fraction of the centroid-to-human gap that the solver closed. Positive = closer to human; negative = overshot or moved wrong way. Blank when Input centroid is missing.</t>
        </r>
      </text>
    </comment>
    <comment ref="O1" authorId="0" shapeId="0" xr:uid="{00000000-0006-0000-0400-000003000000}">
      <text>
        <r>
          <rPr>
            <sz val="10"/>
            <rFont val="Arial"/>
            <family val="2"/>
          </rPr>
          <t>Cosine of the angle between the solver move vector (Output-Input) and the human move vector (Optimal-Input). 1 = same direction, 0 = perpendicular, -1 = opposite. Blank when Input is missing or either move has zero length.</t>
        </r>
      </text>
    </comment>
    <comment ref="P1" authorId="0" shapeId="0" xr:uid="{00000000-0006-0000-0400-000004000000}">
      <text>
        <r>
          <rPr>
            <sz val="10"/>
            <rFont val="Arial"/>
            <family val="2"/>
          </rPr>
          <t>Signed X error: Output_X - Optimal_X. Mean across tags reveals systematic horizontal bias.</t>
        </r>
      </text>
    </comment>
    <comment ref="Q1" authorId="0" shapeId="0" xr:uid="{00000000-0006-0000-0400-000005000000}">
      <text>
        <r>
          <rPr>
            <sz val="10"/>
            <rFont val="Arial"/>
            <family val="2"/>
          </rPr>
          <t>Signed Y error: Output_Y - Optimal_Y. Mean across tags reveals systematic vertical bias.</t>
        </r>
      </text>
    </comment>
    <comment ref="R1" authorId="0" shapeId="0" xr:uid="{00000000-0006-0000-0400-000006000000}">
      <text>
        <r>
          <rPr>
            <sz val="10"/>
            <rFont val="Arial"/>
            <family val="2"/>
          </rPr>
          <t>1 if Improvement_Ratio &lt; 1 (solver beat the do-nothing baseline), else 0. Blank when Input centroid is missing.</t>
        </r>
      </text>
    </comment>
    <comment ref="S1" authorId="0" shapeId="0" xr:uid="{00000000-0006-0000-0400-000007000000}">
      <text>
        <r>
          <rPr>
            <sz val="10"/>
            <rFont val="Arial"/>
            <family val="2"/>
          </rPr>
          <t>Dist_From_Centre / Optimal_Dist_From_Centre.
&gt;1  = solver placed the tag FURTHER from the element centroid than the human drafter did.
&lt;1  = solver kept it closer to the centroid than the human.
=1  = same distance from the centroid (not necessarily the same point).
Blank when the Input centroid is missing or the human distance is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1" authorId="0" shapeId="0" xr:uid="{00000000-0006-0000-0500-000001000000}">
      <text>
        <r>
          <rPr>
            <sz val="10"/>
            <rFont val="Arial"/>
            <family val="2"/>
          </rPr>
          <t>Dist_From_Optimal / Optimal_Dist_From_Centre. &lt;1 means solver landed closer to the human placement than the element centroid was. Blank when Input centroid is missing.</t>
        </r>
      </text>
    </comment>
    <comment ref="N1" authorId="0" shapeId="0" xr:uid="{00000000-0006-0000-0500-000002000000}">
      <text>
        <r>
          <rPr>
            <sz val="10"/>
            <rFont val="Arial"/>
            <family val="2"/>
          </rPr>
          <t>Fraction of the centroid-to-human gap that the solver closed. Positive = closer to human; negative = overshot or moved wrong way. Blank when Input centroid is missing.</t>
        </r>
      </text>
    </comment>
    <comment ref="O1" authorId="0" shapeId="0" xr:uid="{00000000-0006-0000-0500-000003000000}">
      <text>
        <r>
          <rPr>
            <sz val="10"/>
            <rFont val="Arial"/>
            <family val="2"/>
          </rPr>
          <t>Cosine of the angle between the solver move vector (Output-Input) and the human move vector (Optimal-Input). 1 = same direction, 0 = perpendicular, -1 = opposite. Blank when Input is missing or either move has zero length.</t>
        </r>
      </text>
    </comment>
    <comment ref="P1" authorId="0" shapeId="0" xr:uid="{00000000-0006-0000-0500-000004000000}">
      <text>
        <r>
          <rPr>
            <sz val="10"/>
            <rFont val="Arial"/>
            <family val="2"/>
          </rPr>
          <t>Signed X error: Output_X - Optimal_X. Mean across tags reveals systematic horizontal bias.</t>
        </r>
      </text>
    </comment>
    <comment ref="Q1" authorId="0" shapeId="0" xr:uid="{00000000-0006-0000-0500-000005000000}">
      <text>
        <r>
          <rPr>
            <sz val="10"/>
            <rFont val="Arial"/>
            <family val="2"/>
          </rPr>
          <t>Signed Y error: Output_Y - Optimal_Y. Mean across tags reveals systematic vertical bias.</t>
        </r>
      </text>
    </comment>
    <comment ref="R1" authorId="0" shapeId="0" xr:uid="{00000000-0006-0000-0500-000006000000}">
      <text>
        <r>
          <rPr>
            <sz val="10"/>
            <rFont val="Arial"/>
            <family val="2"/>
          </rPr>
          <t>1 if Improvement_Ratio &lt; 1 (solver beat the do-nothing baseline), else 0. Blank when Input centroid is missing.</t>
        </r>
      </text>
    </comment>
    <comment ref="S1" authorId="0" shapeId="0" xr:uid="{00000000-0006-0000-0500-000007000000}">
      <text>
        <r>
          <rPr>
            <sz val="10"/>
            <rFont val="Arial"/>
            <family val="2"/>
          </rPr>
          <t>Dist_From_Centre / Optimal_Dist_From_Centre.
&gt;1  = solver placed the tag FURTHER from the element centroid than the human drafter did.
&lt;1  = solver kept it closer to the centroid than the human.
=1  = same distance from the centroid (not necessarily the same point).
Blank when the Input centroid is missing or the human distance is 0.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1" authorId="0" shapeId="0" xr:uid="{00000000-0006-0000-0600-000001000000}">
      <text>
        <r>
          <rPr>
            <sz val="10"/>
            <rFont val="Arial"/>
            <family val="2"/>
          </rPr>
          <t>Dist_From_Optimal / Optimal_Dist_From_Centre. &lt;1 means solver landed closer to the human placement than the element centroid was. Blank when Input centroid is missing.</t>
        </r>
      </text>
    </comment>
    <comment ref="N1" authorId="0" shapeId="0" xr:uid="{00000000-0006-0000-0600-000002000000}">
      <text>
        <r>
          <rPr>
            <sz val="10"/>
            <rFont val="Arial"/>
            <family val="2"/>
          </rPr>
          <t>Fraction of the centroid-to-human gap that the solver closed. Positive = closer to human; negative = overshot or moved wrong way. Blank when Input centroid is missing.</t>
        </r>
      </text>
    </comment>
    <comment ref="O1" authorId="0" shapeId="0" xr:uid="{00000000-0006-0000-0600-000003000000}">
      <text>
        <r>
          <rPr>
            <sz val="10"/>
            <rFont val="Arial"/>
            <family val="2"/>
          </rPr>
          <t>Cosine of the angle between the solver move vector (Output-Input) and the human move vector (Optimal-Input). 1 = same direction, 0 = perpendicular, -1 = opposite. Blank when Input is missing or either move has zero length.</t>
        </r>
      </text>
    </comment>
    <comment ref="P1" authorId="0" shapeId="0" xr:uid="{00000000-0006-0000-0600-000004000000}">
      <text>
        <r>
          <rPr>
            <sz val="10"/>
            <rFont val="Arial"/>
            <family val="2"/>
          </rPr>
          <t>Signed X error: Output_X - Optimal_X. Mean across tags reveals systematic horizontal bias.</t>
        </r>
      </text>
    </comment>
    <comment ref="Q1" authorId="0" shapeId="0" xr:uid="{00000000-0006-0000-0600-000005000000}">
      <text>
        <r>
          <rPr>
            <sz val="10"/>
            <rFont val="Arial"/>
            <family val="2"/>
          </rPr>
          <t>Signed Y error: Output_Y - Optimal_Y. Mean across tags reveals systematic vertical bias.</t>
        </r>
      </text>
    </comment>
    <comment ref="R1" authorId="0" shapeId="0" xr:uid="{00000000-0006-0000-0600-000006000000}">
      <text>
        <r>
          <rPr>
            <sz val="10"/>
            <rFont val="Arial"/>
            <family val="2"/>
          </rPr>
          <t>1 if Improvement_Ratio &lt; 1 (solver beat the do-nothing baseline), else 0. Blank when Input centroid is missing.</t>
        </r>
      </text>
    </comment>
    <comment ref="S1" authorId="0" shapeId="0" xr:uid="{00000000-0006-0000-0600-000007000000}">
      <text>
        <r>
          <rPr>
            <sz val="10"/>
            <rFont val="Arial"/>
            <family val="2"/>
          </rPr>
          <t>Dist_From_Centre / Optimal_Dist_From_Centre.
&gt;1  = solver placed the tag FURTHER from the element centroid than the human drafter did.
&lt;1  = solver kept it closer to the centroid than the human.
=1  = same distance from the centroid (not necessarily the same point).
Blank when the Input centroid is missing or the human distance is 0.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1" authorId="0" shapeId="0" xr:uid="{00000000-0006-0000-0700-000001000000}">
      <text>
        <r>
          <rPr>
            <sz val="10"/>
            <rFont val="Arial"/>
            <family val="2"/>
          </rPr>
          <t>Dist_From_Optimal / Optimal_Dist_From_Centre. &lt;1 means solver landed closer to the human placement than the element centroid was. Blank when Input centroid is missing.</t>
        </r>
      </text>
    </comment>
    <comment ref="N1" authorId="0" shapeId="0" xr:uid="{00000000-0006-0000-0700-000002000000}">
      <text>
        <r>
          <rPr>
            <sz val="10"/>
            <rFont val="Arial"/>
            <family val="2"/>
          </rPr>
          <t>Fraction of the centroid-to-human gap that the solver closed. Positive = closer to human; negative = overshot or moved wrong way. Blank when Input centroid is missing.</t>
        </r>
      </text>
    </comment>
    <comment ref="O1" authorId="0" shapeId="0" xr:uid="{00000000-0006-0000-0700-000003000000}">
      <text>
        <r>
          <rPr>
            <sz val="10"/>
            <rFont val="Arial"/>
            <family val="2"/>
          </rPr>
          <t>Cosine of the angle between the solver move vector (Output-Input) and the human move vector (Optimal-Input). 1 = same direction, 0 = perpendicular, -1 = opposite. Blank when Input is missing or either move has zero length.</t>
        </r>
      </text>
    </comment>
    <comment ref="P1" authorId="0" shapeId="0" xr:uid="{00000000-0006-0000-0700-000004000000}">
      <text>
        <r>
          <rPr>
            <sz val="10"/>
            <rFont val="Arial"/>
            <family val="2"/>
          </rPr>
          <t>Signed X error: Output_X - Optimal_X. Mean across tags reveals systematic horizontal bias.</t>
        </r>
      </text>
    </comment>
    <comment ref="Q1" authorId="0" shapeId="0" xr:uid="{00000000-0006-0000-0700-000005000000}">
      <text>
        <r>
          <rPr>
            <sz val="10"/>
            <rFont val="Arial"/>
            <family val="2"/>
          </rPr>
          <t>Signed Y error: Output_Y - Optimal_Y. Mean across tags reveals systematic vertical bias.</t>
        </r>
      </text>
    </comment>
    <comment ref="R1" authorId="0" shapeId="0" xr:uid="{00000000-0006-0000-0700-000006000000}">
      <text>
        <r>
          <rPr>
            <sz val="10"/>
            <rFont val="Arial"/>
            <family val="2"/>
          </rPr>
          <t>1 if Improvement_Ratio &lt; 1 (solver beat the do-nothing baseline), else 0. Blank when Input centroid is missing.</t>
        </r>
      </text>
    </comment>
    <comment ref="S1" authorId="0" shapeId="0" xr:uid="{00000000-0006-0000-0700-000007000000}">
      <text>
        <r>
          <rPr>
            <sz val="10"/>
            <rFont val="Arial"/>
            <family val="2"/>
          </rPr>
          <t>Dist_From_Centre / Optimal_Dist_From_Centre.
&gt;1  = solver placed the tag FURTHER from the element centroid than the human drafter did.
&lt;1  = solver kept it closer to the centroid than the human.
=1  = same distance from the centroid (not necessarily the same point).
Blank when the Input centroid is missing or the human distance is 0.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1" authorId="0" shapeId="0" xr:uid="{00000000-0006-0000-0800-000001000000}">
      <text>
        <r>
          <rPr>
            <sz val="10"/>
            <rFont val="Arial"/>
            <family val="2"/>
          </rPr>
          <t>Dist_From_Optimal / Optimal_Dist_From_Centre. &lt;1 means solver landed closer to the human placement than the element centroid was. Blank when Input centroid is missing.</t>
        </r>
      </text>
    </comment>
    <comment ref="N1" authorId="0" shapeId="0" xr:uid="{00000000-0006-0000-0800-000002000000}">
      <text>
        <r>
          <rPr>
            <sz val="10"/>
            <rFont val="Arial"/>
            <family val="2"/>
          </rPr>
          <t>Fraction of the centroid-to-human gap that the solver closed. Positive = closer to human; negative = overshot or moved wrong way. Blank when Input centroid is missing.</t>
        </r>
      </text>
    </comment>
    <comment ref="O1" authorId="0" shapeId="0" xr:uid="{00000000-0006-0000-0800-000003000000}">
      <text>
        <r>
          <rPr>
            <sz val="10"/>
            <rFont val="Arial"/>
            <family val="2"/>
          </rPr>
          <t>Cosine of the angle between the solver move vector (Output-Input) and the human move vector (Optimal-Input). 1 = same direction, 0 = perpendicular, -1 = opposite. Blank when Input is missing or either move has zero length.</t>
        </r>
      </text>
    </comment>
    <comment ref="P1" authorId="0" shapeId="0" xr:uid="{00000000-0006-0000-0800-000004000000}">
      <text>
        <r>
          <rPr>
            <sz val="10"/>
            <rFont val="Arial"/>
            <family val="2"/>
          </rPr>
          <t>Signed X error: Output_X - Optimal_X. Mean across tags reveals systematic horizontal bias.</t>
        </r>
      </text>
    </comment>
    <comment ref="Q1" authorId="0" shapeId="0" xr:uid="{00000000-0006-0000-0800-000005000000}">
      <text>
        <r>
          <rPr>
            <sz val="10"/>
            <rFont val="Arial"/>
            <family val="2"/>
          </rPr>
          <t>Signed Y error: Output_Y - Optimal_Y. Mean across tags reveals systematic vertical bias.</t>
        </r>
      </text>
    </comment>
    <comment ref="R1" authorId="0" shapeId="0" xr:uid="{00000000-0006-0000-0800-000006000000}">
      <text>
        <r>
          <rPr>
            <sz val="10"/>
            <rFont val="Arial"/>
            <family val="2"/>
          </rPr>
          <t>1 if Improvement_Ratio &lt; 1 (solver beat the do-nothing baseline), else 0. Blank when Input centroid is missing.</t>
        </r>
      </text>
    </comment>
    <comment ref="S1" authorId="0" shapeId="0" xr:uid="{00000000-0006-0000-0800-000007000000}">
      <text>
        <r>
          <rPr>
            <sz val="10"/>
            <rFont val="Arial"/>
            <family val="2"/>
          </rPr>
          <t>Dist_From_Centre / Optimal_Dist_From_Centre.
&gt;1  = solver placed the tag FURTHER from the element centroid than the human drafter did.
&lt;1  = solver kept it closer to the centroid than the human.
=1  = same distance from the centroid (not necessarily the same point).
Blank when the Input centroid is missing or the human distance is 0.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1" authorId="0" shapeId="0" xr:uid="{00000000-0006-0000-0900-000001000000}">
      <text>
        <r>
          <rPr>
            <sz val="10"/>
            <rFont val="Arial"/>
            <family val="2"/>
          </rPr>
          <t>Dist_From_Optimal / Optimal_Dist_From_Centre. &lt;1 means solver landed closer to the human placement than the element centroid was. Blank when Input centroid is missing.</t>
        </r>
      </text>
    </comment>
    <comment ref="N1" authorId="0" shapeId="0" xr:uid="{00000000-0006-0000-0900-000002000000}">
      <text>
        <r>
          <rPr>
            <sz val="10"/>
            <rFont val="Arial"/>
            <family val="2"/>
          </rPr>
          <t>Fraction of the centroid-to-human gap that the solver closed. Positive = closer to human; negative = overshot or moved wrong way. Blank when Input centroid is missing.</t>
        </r>
      </text>
    </comment>
    <comment ref="O1" authorId="0" shapeId="0" xr:uid="{00000000-0006-0000-0900-000003000000}">
      <text>
        <r>
          <rPr>
            <sz val="10"/>
            <rFont val="Arial"/>
            <family val="2"/>
          </rPr>
          <t>Cosine of the angle between the solver move vector (Output-Input) and the human move vector (Optimal-Input). 1 = same direction, 0 = perpendicular, -1 = opposite. Blank when Input is missing or either move has zero length.</t>
        </r>
      </text>
    </comment>
    <comment ref="P1" authorId="0" shapeId="0" xr:uid="{00000000-0006-0000-0900-000004000000}">
      <text>
        <r>
          <rPr>
            <sz val="10"/>
            <rFont val="Arial"/>
            <family val="2"/>
          </rPr>
          <t>Signed X error: Output_X - Optimal_X. Mean across tags reveals systematic horizontal bias.</t>
        </r>
      </text>
    </comment>
    <comment ref="Q1" authorId="0" shapeId="0" xr:uid="{00000000-0006-0000-0900-000005000000}">
      <text>
        <r>
          <rPr>
            <sz val="10"/>
            <rFont val="Arial"/>
            <family val="2"/>
          </rPr>
          <t>Signed Y error: Output_Y - Optimal_Y. Mean across tags reveals systematic vertical bias.</t>
        </r>
      </text>
    </comment>
    <comment ref="R1" authorId="0" shapeId="0" xr:uid="{00000000-0006-0000-0900-000006000000}">
      <text>
        <r>
          <rPr>
            <sz val="10"/>
            <rFont val="Arial"/>
            <family val="2"/>
          </rPr>
          <t>1 if Improvement_Ratio &lt; 1 (solver beat the do-nothing baseline), else 0. Blank when Input centroid is missing.</t>
        </r>
      </text>
    </comment>
    <comment ref="S1" authorId="0" shapeId="0" xr:uid="{00000000-0006-0000-0900-000007000000}">
      <text>
        <r>
          <rPr>
            <sz val="10"/>
            <rFont val="Arial"/>
            <family val="2"/>
          </rPr>
          <t>Dist_From_Centre / Optimal_Dist_From_Centre.
&gt;1  = solver placed the tag FURTHER from the element centroid than the human drafter did.
&lt;1  = solver kept it closer to the centroid than the human.
=1  = same distance from the centroid (not necessarily the same point).
Blank when the Input centroid is missing or the human distance is 0.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1" authorId="0" shapeId="0" xr:uid="{00000000-0006-0000-0A00-000001000000}">
      <text>
        <r>
          <rPr>
            <sz val="10"/>
            <rFont val="Arial"/>
            <family val="2"/>
          </rPr>
          <t>Dist_From_Optimal / Optimal_Dist_From_Centre. &lt;1 means solver landed closer to the human placement than the element centroid was. Blank when Input centroid is missing.</t>
        </r>
      </text>
    </comment>
    <comment ref="N1" authorId="0" shapeId="0" xr:uid="{00000000-0006-0000-0A00-000002000000}">
      <text>
        <r>
          <rPr>
            <sz val="10"/>
            <rFont val="Arial"/>
            <family val="2"/>
          </rPr>
          <t>Fraction of the centroid-to-human gap that the solver closed. Positive = closer to human; negative = overshot or moved wrong way. Blank when Input centroid is missing.</t>
        </r>
      </text>
    </comment>
    <comment ref="O1" authorId="0" shapeId="0" xr:uid="{00000000-0006-0000-0A00-000003000000}">
      <text>
        <r>
          <rPr>
            <sz val="10"/>
            <rFont val="Arial"/>
            <family val="2"/>
          </rPr>
          <t>Cosine of the angle between the solver move vector (Output-Input) and the human move vector (Optimal-Input). 1 = same direction, 0 = perpendicular, -1 = opposite. Blank when Input is missing or either move has zero length.</t>
        </r>
      </text>
    </comment>
    <comment ref="P1" authorId="0" shapeId="0" xr:uid="{00000000-0006-0000-0A00-000004000000}">
      <text>
        <r>
          <rPr>
            <sz val="10"/>
            <rFont val="Arial"/>
            <family val="2"/>
          </rPr>
          <t>Signed X error: Output_X - Optimal_X. Mean across tags reveals systematic horizontal bias.</t>
        </r>
      </text>
    </comment>
    <comment ref="Q1" authorId="0" shapeId="0" xr:uid="{00000000-0006-0000-0A00-000005000000}">
      <text>
        <r>
          <rPr>
            <sz val="10"/>
            <rFont val="Arial"/>
            <family val="2"/>
          </rPr>
          <t>Signed Y error: Output_Y - Optimal_Y. Mean across tags reveals systematic vertical bias.</t>
        </r>
      </text>
    </comment>
    <comment ref="R1" authorId="0" shapeId="0" xr:uid="{00000000-0006-0000-0A00-000006000000}">
      <text>
        <r>
          <rPr>
            <sz val="10"/>
            <rFont val="Arial"/>
            <family val="2"/>
          </rPr>
          <t>1 if Improvement_Ratio &lt; 1 (solver beat the do-nothing baseline), else 0. Blank when Input centroid is missing.</t>
        </r>
      </text>
    </comment>
    <comment ref="S1" authorId="0" shapeId="0" xr:uid="{00000000-0006-0000-0A00-000007000000}">
      <text>
        <r>
          <rPr>
            <sz val="10"/>
            <rFont val="Arial"/>
            <family val="2"/>
          </rPr>
          <t>Dist_From_Centre / Optimal_Dist_From_Centre.
&gt;1  = solver placed the tag FURTHER from the element centroid than the human drafter did.
&lt;1  = solver kept it closer to the centroid than the human.
=1  = same distance from the centroid (not necessarily the same point).
Blank when the Input centroid is missing or the human distance is 0.</t>
        </r>
      </text>
    </comment>
  </commentList>
</comments>
</file>

<file path=xl/sharedStrings.xml><?xml version="1.0" encoding="utf-8"?>
<sst xmlns="http://schemas.openxmlformats.org/spreadsheetml/2006/main" count="1307" uniqueCount="127">
  <si>
    <t>Test Number</t>
  </si>
  <si>
    <t>Method</t>
  </si>
  <si>
    <t>Cost</t>
  </si>
  <si>
    <t>Input Token</t>
  </si>
  <si>
    <t>Output Token</t>
  </si>
  <si>
    <t>Latency</t>
  </si>
  <si>
    <t>Building</t>
  </si>
  <si>
    <t>Floor</t>
  </si>
  <si>
    <t>API Calls</t>
  </si>
  <si>
    <t>Labels</t>
  </si>
  <si>
    <t>Type</t>
  </si>
  <si>
    <t>Notes</t>
  </si>
  <si>
    <t>Bitmap</t>
  </si>
  <si>
    <t>N/A</t>
  </si>
  <si>
    <t>Snowden Towers</t>
  </si>
  <si>
    <t>L2</t>
  </si>
  <si>
    <t>Commercial Office</t>
  </si>
  <si>
    <t>*Implementation is not good</t>
  </si>
  <si>
    <t>SA</t>
  </si>
  <si>
    <t>*150K iterations using a pre-computed summed-area table</t>
  </si>
  <si>
    <t>LLM-VBP</t>
  </si>
  <si>
    <t>LLM-VSP</t>
  </si>
  <si>
    <t>*Data is extrapolated from the average of 24 API calls, results were rate limited. Input 1411, Output 256</t>
  </si>
  <si>
    <t>LLM-DEP</t>
  </si>
  <si>
    <t>L1</t>
  </si>
  <si>
    <t>REVIT RAC Advanced Sample Project 2018</t>
  </si>
  <si>
    <t>REVIT RAC Basic Sample Project 2018</t>
  </si>
  <si>
    <t>Residential House (Small)</t>
  </si>
  <si>
    <t>https://bim-design.com/library/jp-contents/</t>
  </si>
  <si>
    <t>https://help.autodesk.com/view/RVT/2024/ENU/?guid=GUID-61EF2F22-3A1F-4317-B925-1E85F138BE88</t>
  </si>
  <si>
    <t>REVIT RAC Japan Sample Project 2020 (ver 1.7)</t>
  </si>
  <si>
    <t>L7</t>
  </si>
  <si>
    <t>*Poor placement due to unique tag types, need adjustment. Drafting conventions are broadly similar</t>
  </si>
  <si>
    <t>REVIT RAC Germany Sample Project 2019 (DACH Studio)</t>
  </si>
  <si>
    <t>L1 (EG)</t>
  </si>
  <si>
    <t>Studio Office</t>
  </si>
  <si>
    <t>*German/DACH Studio drafting standards have no border around tags, thus bounding boxes are not representative of tag area.</t>
  </si>
  <si>
    <t>LLM-DEP-TOT</t>
  </si>
  <si>
    <t>Version 1 Tests</t>
  </si>
  <si>
    <t>QTY</t>
  </si>
  <si>
    <t>Dist_From_Centre</t>
  </si>
  <si>
    <t>Dist_From_Optimal</t>
  </si>
  <si>
    <t>Optimal_Dist_From_Centre</t>
  </si>
  <si>
    <t>Mean</t>
  </si>
  <si>
    <t xml:space="preserve">Median </t>
  </si>
  <si>
    <t>Per label latency (ms)</t>
  </si>
  <si>
    <t>All Tags</t>
  </si>
  <si>
    <t>Door Tags</t>
  </si>
  <si>
    <t>Window Tags</t>
  </si>
  <si>
    <t>Wall Tags</t>
  </si>
  <si>
    <t>Room Tags</t>
  </si>
  <si>
    <t>Confidence</t>
  </si>
  <si>
    <t>38px = 1ft</t>
  </si>
  <si>
    <t>Area</t>
  </si>
  <si>
    <t>Total Tags</t>
  </si>
  <si>
    <t>Windows</t>
  </si>
  <si>
    <t>Stairs Tags</t>
  </si>
  <si>
    <t>COMBINED RESULTS — ALL FLOORPLANS</t>
  </si>
  <si>
    <t>Scope</t>
  </si>
  <si>
    <t>Quantity</t>
  </si>
  <si>
    <t>Mean
Dist_From_Optimal</t>
  </si>
  <si>
    <t>Median
Dist_From_Optimal</t>
  </si>
  <si>
    <t>RMSE
Dist_From_Optimal</t>
  </si>
  <si>
    <t>Win Rate</t>
  </si>
  <si>
    <t>Mean Error
Reduction</t>
  </si>
  <si>
    <t>Mean Cosine
Similarity</t>
  </si>
  <si>
    <t>Mean Solver-vs-
Human Ratio</t>
  </si>
  <si>
    <t>% Further
Than Human</t>
  </si>
  <si>
    <t>Gross
Failures</t>
  </si>
  <si>
    <t>95th Pct
Dist_From_Optimal</t>
  </si>
  <si>
    <t>ALL TAGS — ALL FLOORPLANS</t>
  </si>
  <si>
    <t>PER-FLOORPLAN BREAKDOWN</t>
  </si>
  <si>
    <t>Floorplan</t>
  </si>
  <si>
    <t>Basic L1</t>
  </si>
  <si>
    <t>Basic L2</t>
  </si>
  <si>
    <t>Advanced L1</t>
  </si>
  <si>
    <t>Germany L1</t>
  </si>
  <si>
    <t>Japan L7</t>
  </si>
  <si>
    <t>Snowden Tower L1</t>
  </si>
  <si>
    <t>Snowden Tower L2</t>
  </si>
  <si>
    <t>AUTOMATED LABEL PLACEMENT — RESULTS ANALYSIS</t>
  </si>
  <si>
    <t>1 · PER-FLOORPLAN PERFORMANCE</t>
  </si>
  <si>
    <t>Tags</t>
  </si>
  <si>
    <t>Mean DfO</t>
  </si>
  <si>
    <t>Median DfO</t>
  </si>
  <si>
    <t>RMSE DfO</t>
  </si>
  <si>
    <t>Cosine</t>
  </si>
  <si>
    <t>Solver-vs-Human</t>
  </si>
  <si>
    <t>% Further</t>
  </si>
  <si>
    <t>Gross Fail</t>
  </si>
  <si>
    <t>Italic rows = Germany &amp; Japan (alternative drafting conventions, evaluated separately).</t>
  </si>
  <si>
    <t>2 · PER TAG-TYPE PERFORMANCE  (core 5 floorplans — Germany &amp; Japan excluded)</t>
  </si>
  <si>
    <t>Tag Type</t>
  </si>
  <si>
    <t>Doors</t>
  </si>
  <si>
    <t>Walls</t>
  </si>
  <si>
    <t>Counts differ from the per-floorplan table totals because Germany L1 and Japan L7 are excluded here.</t>
  </si>
  <si>
    <t>3 · HEADLINE  —  core floorplans vs. convention tests</t>
  </si>
  <si>
    <t>Core floorplans (5)</t>
  </si>
  <si>
    <t>Convention tests (Germany+Japan)</t>
  </si>
  <si>
    <t>All floorplans (7)</t>
  </si>
  <si>
    <t>Improvement_Ratio</t>
  </si>
  <si>
    <t>Error_Reduction_Pct</t>
  </si>
  <si>
    <t>Beat_Baseline</t>
  </si>
  <si>
    <t>Solver_vs_Human_InputDist</t>
  </si>
  <si>
    <t>TAG MOVEMENT VECTORS BY FLOORPLAN</t>
  </si>
  <si>
    <t>Each arrow starts at a tag's input position (the element centroid). Blue = where the solver moved it; green = where the human drafter moved it. Where blue and green overlap, the solver agreed with the human; divergent arrows show disagreement in direction or distance.</t>
  </si>
  <si>
    <t>TagId</t>
  </si>
  <si>
    <t>TaggedCategory</t>
  </si>
  <si>
    <t>Optimal_X</t>
  </si>
  <si>
    <t>Optimal_Y</t>
  </si>
  <si>
    <t>Input_X</t>
  </si>
  <si>
    <t>Input_Y</t>
  </si>
  <si>
    <t>Output_X</t>
  </si>
  <si>
    <t>Output_Y</t>
  </si>
  <si>
    <t>Move_Cosine_Similarity</t>
  </si>
  <si>
    <t>Error_DX</t>
  </si>
  <si>
    <t>Error_DY</t>
  </si>
  <si>
    <t>Median</t>
  </si>
  <si>
    <t>PERFORMANCE METRICS</t>
  </si>
  <si>
    <t>Win rate = % of tags beating the do-nothing baseline. Gross failures: Dist_From_Optimal &gt; 15.0 ft.</t>
  </si>
  <si>
    <t>Category</t>
  </si>
  <si>
    <t>RMSE
(Dist_From_Optimal)</t>
  </si>
  <si>
    <t>Std Dev
(Dist_From_Optimal)</t>
  </si>
  <si>
    <t>90th pct
(Dist_From_Optimal)</t>
  </si>
  <si>
    <t>95th pct
(Dist_From_Optimal)</t>
  </si>
  <si>
    <t>Solver vs Human
(dist from input)</t>
  </si>
  <si>
    <t>% Tags Further
Than 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</si>
</sst>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000"/>
  </numFmts>
  <fonts count="20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4"/>
      <color rgb="FF1F3864"/>
      <name val="Arial"/>
      <family val="2"/>
      <charset val="1"/>
    </font>
    <font>
      <i/>
      <sz val="9"/>
      <color rgb="FF555555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FFFFFF"/>
      <name val="Arial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b/>
      <sz val="11"/>
      <color rgb="FFFFFFFF"/>
      <name val="Arial"/>
      <family val="2"/>
      <charset val="1"/>
    </font>
    <font>
      <sz val="10"/>
      <name val="Arial"/>
      <family val="2"/>
      <charset val="1"/>
    </font>
    <font>
      <b/>
      <sz val="15"/>
      <color rgb="FF1F3864"/>
      <name val="Arial"/>
      <family val="2"/>
      <charset val="1"/>
    </font>
    <font>
      <b/>
      <sz val="10"/>
      <name val="Arial"/>
      <charset val="1"/>
    </font>
    <font>
      <b/>
      <i/>
      <sz val="10"/>
      <color rgb="FFB7791F"/>
      <name val="Arial"/>
      <family val="2"/>
      <charset val="1"/>
    </font>
    <font>
      <b/>
      <i/>
      <sz val="10"/>
      <name val="Arial"/>
      <charset val="1"/>
    </font>
    <font>
      <b/>
      <sz val="10"/>
      <color rgb="FF1F3864"/>
      <name val="Arial"/>
      <family val="2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rgb="FFD6E0EC"/>
      </patternFill>
    </fill>
    <fill>
      <patternFill patternType="solid">
        <fgColor theme="4"/>
        <bgColor rgb="FF4BACC6"/>
      </patternFill>
    </fill>
    <fill>
      <patternFill patternType="solid">
        <fgColor rgb="FF00B050"/>
        <bgColor rgb="FF008080"/>
      </patternFill>
    </fill>
    <fill>
      <patternFill patternType="solid">
        <fgColor theme="5"/>
        <bgColor rgb="FFAB4744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2C3E50"/>
      </patternFill>
    </fill>
    <fill>
      <patternFill patternType="solid">
        <fgColor rgb="FF2C3E50"/>
        <bgColor rgb="FF1F3864"/>
      </patternFill>
    </fill>
    <fill>
      <patternFill patternType="solid">
        <fgColor rgb="FFEEF2F7"/>
        <bgColor rgb="FFFBF3E2"/>
      </patternFill>
    </fill>
    <fill>
      <patternFill patternType="solid">
        <fgColor rgb="FF17202A"/>
        <bgColor rgb="FF1F3864"/>
      </patternFill>
    </fill>
    <fill>
      <patternFill patternType="solid">
        <fgColor rgb="FF2E5496"/>
        <bgColor rgb="FF1F3864"/>
      </patternFill>
    </fill>
    <fill>
      <patternFill patternType="solid">
        <fgColor rgb="FFFFFFFF"/>
        <bgColor rgb="FFFEF9E7"/>
      </patternFill>
    </fill>
    <fill>
      <patternFill patternType="solid">
        <fgColor rgb="FFFBF3E2"/>
        <bgColor rgb="FFFEF9E7"/>
      </patternFill>
    </fill>
    <fill>
      <patternFill patternType="solid">
        <fgColor rgb="FFD6E0EC"/>
        <bgColor rgb="FFD6E4F0"/>
      </patternFill>
    </fill>
    <fill>
      <patternFill patternType="solid">
        <fgColor rgb="FFD6E4F0"/>
        <bgColor rgb="FFD6E0EC"/>
      </patternFill>
    </fill>
    <fill>
      <patternFill patternType="solid">
        <fgColor rgb="FFD5F5E3"/>
        <bgColor rgb="FFD6E4F0"/>
      </patternFill>
    </fill>
    <fill>
      <patternFill patternType="solid">
        <fgColor rgb="FFFEF9E7"/>
        <bgColor rgb="FFFBF3E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3E0"/>
      </bottom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80">
    <xf numFmtId="0" fontId="0" fillId="0" borderId="0" xfId="0"/>
    <xf numFmtId="0" fontId="12" fillId="0" borderId="1" xfId="0" applyFont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9" fillId="0" borderId="0" xfId="0" applyFont="1"/>
    <xf numFmtId="0" fontId="13" fillId="0" borderId="0" xfId="0" applyFont="1"/>
    <xf numFmtId="0" fontId="6" fillId="0" borderId="0" xfId="0" applyFont="1"/>
    <xf numFmtId="0" fontId="5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6" fontId="2" fillId="0" borderId="0" xfId="0" applyNumberFormat="1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0" fontId="1" fillId="0" borderId="0" xfId="0" applyFont="1"/>
    <xf numFmtId="0" fontId="3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" fillId="6" borderId="0" xfId="0" applyFont="1" applyFill="1"/>
    <xf numFmtId="0" fontId="4" fillId="0" borderId="0" xfId="0" applyFont="1"/>
    <xf numFmtId="0" fontId="6" fillId="0" borderId="0" xfId="0" applyFont="1"/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/>
    </xf>
    <xf numFmtId="1" fontId="7" fillId="8" borderId="1" xfId="0" applyNumberFormat="1" applyFont="1" applyFill="1" applyBorder="1" applyAlignment="1">
      <alignment horizontal="center"/>
    </xf>
    <xf numFmtId="164" fontId="7" fillId="8" borderId="1" xfId="0" applyNumberFormat="1" applyFont="1" applyFill="1" applyBorder="1" applyAlignment="1">
      <alignment horizontal="center"/>
    </xf>
    <xf numFmtId="165" fontId="7" fillId="8" borderId="1" xfId="0" applyNumberFormat="1" applyFont="1" applyFill="1" applyBorder="1" applyAlignment="1">
      <alignment horizontal="center"/>
    </xf>
    <xf numFmtId="164" fontId="8" fillId="8" borderId="1" xfId="0" applyNumberFormat="1" applyFont="1" applyFill="1" applyBorder="1" applyAlignment="1">
      <alignment horizontal="center"/>
    </xf>
    <xf numFmtId="0" fontId="9" fillId="9" borderId="1" xfId="0" applyFont="1" applyFill="1" applyBorder="1" applyAlignment="1">
      <alignment horizontal="left"/>
    </xf>
    <xf numFmtId="1" fontId="9" fillId="9" borderId="1" xfId="0" applyNumberFormat="1" applyFont="1" applyFill="1" applyBorder="1" applyAlignment="1">
      <alignment horizontal="center"/>
    </xf>
    <xf numFmtId="164" fontId="9" fillId="9" borderId="1" xfId="0" applyNumberFormat="1" applyFont="1" applyFill="1" applyBorder="1" applyAlignment="1">
      <alignment horizontal="center"/>
    </xf>
    <xf numFmtId="165" fontId="9" fillId="9" borderId="1" xfId="0" applyNumberFormat="1" applyFont="1" applyFill="1" applyBorder="1" applyAlignment="1">
      <alignment horizontal="center"/>
    </xf>
    <xf numFmtId="164" fontId="10" fillId="9" borderId="1" xfId="0" applyNumberFormat="1" applyFont="1" applyFill="1" applyBorder="1" applyAlignment="1">
      <alignment horizontal="center"/>
    </xf>
    <xf numFmtId="0" fontId="11" fillId="10" borderId="0" xfId="0" applyFont="1" applyFill="1"/>
    <xf numFmtId="0" fontId="0" fillId="10" borderId="0" xfId="0" applyFill="1"/>
    <xf numFmtId="0" fontId="7" fillId="11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/>
    </xf>
    <xf numFmtId="1" fontId="12" fillId="9" borderId="1" xfId="0" applyNumberFormat="1" applyFont="1" applyFill="1" applyBorder="1" applyAlignment="1">
      <alignment horizontal="center"/>
    </xf>
    <xf numFmtId="164" fontId="12" fillId="9" borderId="1" xfId="0" applyNumberFormat="1" applyFont="1" applyFill="1" applyBorder="1" applyAlignment="1">
      <alignment horizontal="center"/>
    </xf>
    <xf numFmtId="165" fontId="12" fillId="9" borderId="1" xfId="0" applyNumberFormat="1" applyFont="1" applyFill="1" applyBorder="1" applyAlignment="1">
      <alignment horizontal="center"/>
    </xf>
    <xf numFmtId="0" fontId="12" fillId="12" borderId="1" xfId="0" applyFont="1" applyFill="1" applyBorder="1" applyAlignment="1">
      <alignment horizontal="left"/>
    </xf>
    <xf numFmtId="1" fontId="12" fillId="12" borderId="1" xfId="0" applyNumberFormat="1" applyFont="1" applyFill="1" applyBorder="1" applyAlignment="1">
      <alignment horizontal="center"/>
    </xf>
    <xf numFmtId="164" fontId="12" fillId="12" borderId="1" xfId="0" applyNumberFormat="1" applyFont="1" applyFill="1" applyBorder="1" applyAlignment="1">
      <alignment horizontal="center"/>
    </xf>
    <xf numFmtId="165" fontId="12" fillId="12" borderId="1" xfId="0" applyNumberFormat="1" applyFont="1" applyFill="1" applyBorder="1" applyAlignment="1">
      <alignment horizontal="center"/>
    </xf>
    <xf numFmtId="164" fontId="10" fillId="12" borderId="1" xfId="0" applyNumberFormat="1" applyFont="1" applyFill="1" applyBorder="1" applyAlignment="1">
      <alignment horizontal="center"/>
    </xf>
    <xf numFmtId="0" fontId="13" fillId="0" borderId="0" xfId="0" applyFont="1"/>
    <xf numFmtId="0" fontId="9" fillId="0" borderId="1" xfId="0" applyFont="1" applyBorder="1" applyAlignment="1">
      <alignment horizontal="left"/>
    </xf>
    <xf numFmtId="1" fontId="12" fillId="0" borderId="1" xfId="0" applyNumberFormat="1" applyFont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2" fontId="12" fillId="9" borderId="1" xfId="0" applyNumberFormat="1" applyFont="1" applyFill="1" applyBorder="1" applyAlignment="1">
      <alignment horizontal="center"/>
    </xf>
    <xf numFmtId="164" fontId="14" fillId="9" borderId="1" xfId="0" applyNumberFormat="1" applyFont="1" applyFill="1" applyBorder="1" applyAlignment="1">
      <alignment horizontal="center"/>
    </xf>
    <xf numFmtId="0" fontId="15" fillId="13" borderId="1" xfId="0" applyFont="1" applyFill="1" applyBorder="1" applyAlignment="1">
      <alignment horizontal="left"/>
    </xf>
    <xf numFmtId="1" fontId="12" fillId="13" borderId="1" xfId="0" applyNumberFormat="1" applyFont="1" applyFill="1" applyBorder="1" applyAlignment="1">
      <alignment horizontal="center"/>
    </xf>
    <xf numFmtId="2" fontId="12" fillId="13" borderId="1" xfId="0" applyNumberFormat="1" applyFont="1" applyFill="1" applyBorder="1" applyAlignment="1">
      <alignment horizontal="center"/>
    </xf>
    <xf numFmtId="165" fontId="12" fillId="13" borderId="1" xfId="0" applyNumberFormat="1" applyFont="1" applyFill="1" applyBorder="1" applyAlignment="1">
      <alignment horizontal="center"/>
    </xf>
    <xf numFmtId="164" fontId="12" fillId="13" borderId="1" xfId="0" applyNumberFormat="1" applyFont="1" applyFill="1" applyBorder="1" applyAlignment="1">
      <alignment horizontal="center"/>
    </xf>
    <xf numFmtId="164" fontId="16" fillId="13" borderId="1" xfId="0" applyNumberFormat="1" applyFont="1" applyFill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9" fillId="13" borderId="1" xfId="0" applyFont="1" applyFill="1" applyBorder="1" applyAlignment="1">
      <alignment horizontal="left"/>
    </xf>
    <xf numFmtId="164" fontId="14" fillId="13" borderId="1" xfId="0" applyNumberFormat="1" applyFont="1" applyFill="1" applyBorder="1" applyAlignment="1">
      <alignment horizontal="center"/>
    </xf>
    <xf numFmtId="0" fontId="9" fillId="14" borderId="1" xfId="0" applyFont="1" applyFill="1" applyBorder="1" applyAlignment="1">
      <alignment horizontal="left"/>
    </xf>
    <xf numFmtId="1" fontId="9" fillId="14" borderId="1" xfId="0" applyNumberFormat="1" applyFont="1" applyFill="1" applyBorder="1" applyAlignment="1">
      <alignment horizontal="center"/>
    </xf>
    <xf numFmtId="2" fontId="9" fillId="14" borderId="1" xfId="0" applyNumberFormat="1" applyFont="1" applyFill="1" applyBorder="1" applyAlignment="1">
      <alignment horizontal="center"/>
    </xf>
    <xf numFmtId="165" fontId="9" fillId="14" borderId="1" xfId="0" applyNumberFormat="1" applyFont="1" applyFill="1" applyBorder="1" applyAlignment="1">
      <alignment horizontal="center"/>
    </xf>
    <xf numFmtId="164" fontId="9" fillId="14" borderId="1" xfId="0" applyNumberFormat="1" applyFont="1" applyFill="1" applyBorder="1" applyAlignment="1">
      <alignment horizontal="center"/>
    </xf>
    <xf numFmtId="0" fontId="12" fillId="15" borderId="1" xfId="0" applyFont="1" applyFill="1" applyBorder="1" applyAlignment="1">
      <alignment horizontal="right"/>
    </xf>
    <xf numFmtId="0" fontId="12" fillId="15" borderId="1" xfId="0" applyFont="1" applyFill="1" applyBorder="1" applyAlignment="1">
      <alignment horizontal="left"/>
    </xf>
    <xf numFmtId="166" fontId="0" fillId="0" borderId="0" xfId="0" applyNumberFormat="1"/>
    <xf numFmtId="0" fontId="12" fillId="16" borderId="1" xfId="0" applyFont="1" applyFill="1" applyBorder="1" applyAlignment="1">
      <alignment horizontal="right"/>
    </xf>
    <xf numFmtId="0" fontId="12" fillId="16" borderId="1" xfId="0" applyFont="1" applyFill="1" applyBorder="1" applyAlignment="1">
      <alignment horizontal="left"/>
    </xf>
    <xf numFmtId="0" fontId="7" fillId="7" borderId="0" xfId="0" applyFont="1" applyFill="1" applyAlignment="1">
      <alignment horizontal="center" vertical="center" wrapText="1"/>
    </xf>
    <xf numFmtId="0" fontId="11" fillId="0" borderId="0" xfId="0" applyFont="1"/>
    <xf numFmtId="166" fontId="7" fillId="11" borderId="1" xfId="0" applyNumberFormat="1" applyFont="1" applyFill="1" applyBorder="1" applyAlignment="1">
      <alignment horizontal="center" vertical="center" wrapText="1"/>
    </xf>
    <xf numFmtId="166" fontId="12" fillId="15" borderId="1" xfId="0" applyNumberFormat="1" applyFont="1" applyFill="1" applyBorder="1" applyAlignment="1">
      <alignment horizontal="right"/>
    </xf>
    <xf numFmtId="0" fontId="12" fillId="17" borderId="1" xfId="0" applyFont="1" applyFill="1" applyBorder="1" applyAlignment="1">
      <alignment horizontal="right"/>
    </xf>
    <xf numFmtId="0" fontId="12" fillId="17" borderId="1" xfId="0" applyFont="1" applyFill="1" applyBorder="1" applyAlignment="1">
      <alignment horizontal="left"/>
    </xf>
    <xf numFmtId="166" fontId="12" fillId="16" borderId="1" xfId="0" applyNumberFormat="1" applyFont="1" applyFill="1" applyBorder="1" applyAlignment="1">
      <alignment horizontal="right"/>
    </xf>
    <xf numFmtId="166" fontId="12" fillId="17" borderId="1" xfId="0" applyNumberFormat="1" applyFont="1" applyFill="1" applyBorder="1" applyAlignment="1">
      <alignment horizontal="right"/>
    </xf>
  </cellXfs>
  <cellStyles count="3">
    <cellStyle name="Hyperlink 2" xfId="1" xr:uid="{00000000-0005-0000-0000-000006000000}"/>
    <cellStyle name="Normal" xfId="0" builtinId="0"/>
    <cellStyle name="Normal 2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B3B3B3"/>
      <rgbColor rgb="FF4F81BD"/>
      <rgbColor rgb="FF9999FF"/>
      <rgbColor rgb="FFAB4744"/>
      <rgbColor rgb="FFFEF9E7"/>
      <rgbColor rgb="FFEEF2F7"/>
      <rgbColor rgb="FF660066"/>
      <rgbColor rgb="FFD09493"/>
      <rgbColor rgb="FF0066CC"/>
      <rgbColor rgb="FFC9D3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5F5E3"/>
      <rgbColor rgb="FFFBF3E2"/>
      <rgbColor rgb="FFD6E0EC"/>
      <rgbColor rgb="FFFF99CC"/>
      <rgbColor rgb="FFCC99FF"/>
      <rgbColor rgb="FFD9D9D9"/>
      <rgbColor rgb="FF3366FF"/>
      <rgbColor rgb="FF4BACC6"/>
      <rgbColor rgb="FF9BBB59"/>
      <rgbColor rgb="FFFFCC00"/>
      <rgbColor rgb="FFFF9900"/>
      <rgbColor rgb="FFFF6600"/>
      <rgbColor rgb="FF8064A2"/>
      <rgbColor rgb="FF969696"/>
      <rgbColor rgb="FF1F3864"/>
      <rgbColor rgb="FF00B050"/>
      <rgbColor rgb="FF17202A"/>
      <rgbColor rgb="FF555555"/>
      <rgbColor rgb="FF595959"/>
      <rgbColor rgb="FFC0504D"/>
      <rgbColor rgb="FF2E5496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GB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GB" sz="1400" b="0" strike="noStrike" spc="-1">
                <a:solidFill>
                  <a:srgbClr val="595959"/>
                </a:solidFill>
                <a:latin typeface="Calibri"/>
              </a:rPr>
              <a:t>Distance from Optimal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'Perf Overview + Raster Summary'!$B$58:$D$58</c:f>
              <c:strCache>
                <c:ptCount val="3"/>
                <c:pt idx="0">
                  <c:v>All Tags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'Perf Overview + Raster Summary'!$E$57:$I$57</c:f>
              <c:strCache>
                <c:ptCount val="5"/>
                <c:pt idx="0">
                  <c:v>LLM-DEP</c:v>
                </c:pt>
                <c:pt idx="1">
                  <c:v>LLM-VBP</c:v>
                </c:pt>
                <c:pt idx="2">
                  <c:v>LLM-VSP</c:v>
                </c:pt>
                <c:pt idx="3">
                  <c:v>SA</c:v>
                </c:pt>
                <c:pt idx="4">
                  <c:v>Bitmap</c:v>
                </c:pt>
              </c:strCache>
            </c:strRef>
          </c:cat>
          <c:val>
            <c:numRef>
              <c:f>'Perf Overview + Raster Summary'!$E$58:$I$58</c:f>
              <c:numCache>
                <c:formatCode>General</c:formatCode>
                <c:ptCount val="5"/>
                <c:pt idx="0">
                  <c:v>2.5591816907483902</c:v>
                </c:pt>
                <c:pt idx="1">
                  <c:v>0.36379616633876799</c:v>
                </c:pt>
                <c:pt idx="2">
                  <c:v>0.46783625730994199</c:v>
                </c:pt>
                <c:pt idx="3">
                  <c:v>1.7285923346781</c:v>
                </c:pt>
                <c:pt idx="4">
                  <c:v>0.97338936364638595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FE-4918-B9E2-16C836AC5685}"/>
            </c:ext>
          </c:extLst>
        </c:ser>
        <c:ser>
          <c:idx val="1"/>
          <c:order val="1"/>
          <c:tx>
            <c:strRef>
              <c:f>'Perf Overview + Raster Summary'!$B$59:$D$59</c:f>
              <c:strCache>
                <c:ptCount val="3"/>
                <c:pt idx="0">
                  <c:v>Door Tags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'Perf Overview + Raster Summary'!$E$57:$I$57</c:f>
              <c:strCache>
                <c:ptCount val="5"/>
                <c:pt idx="0">
                  <c:v>LLM-DEP</c:v>
                </c:pt>
                <c:pt idx="1">
                  <c:v>LLM-VBP</c:v>
                </c:pt>
                <c:pt idx="2">
                  <c:v>LLM-VSP</c:v>
                </c:pt>
                <c:pt idx="3">
                  <c:v>SA</c:v>
                </c:pt>
                <c:pt idx="4">
                  <c:v>Bitmap</c:v>
                </c:pt>
              </c:strCache>
            </c:strRef>
          </c:cat>
          <c:val>
            <c:numRef>
              <c:f>'Perf Overview + Raster Summary'!$E$59:$I$59</c:f>
              <c:numCache>
                <c:formatCode>General</c:formatCode>
                <c:ptCount val="5"/>
                <c:pt idx="0">
                  <c:v>8.6866666666666707E-3</c:v>
                </c:pt>
                <c:pt idx="1">
                  <c:v>2.1478316994946099E-2</c:v>
                </c:pt>
                <c:pt idx="2">
                  <c:v>0</c:v>
                </c:pt>
                <c:pt idx="3">
                  <c:v>1.9100477000225</c:v>
                </c:pt>
                <c:pt idx="4">
                  <c:v>1.3918803425980599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FE-4918-B9E2-16C836AC5685}"/>
            </c:ext>
          </c:extLst>
        </c:ser>
        <c:ser>
          <c:idx val="2"/>
          <c:order val="2"/>
          <c:tx>
            <c:strRef>
              <c:f>'Perf Overview + Raster Summary'!$B$60:$D$60</c:f>
              <c:strCache>
                <c:ptCount val="3"/>
                <c:pt idx="0">
                  <c:v>Window Tags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'Perf Overview + Raster Summary'!$E$57:$I$57</c:f>
              <c:strCache>
                <c:ptCount val="5"/>
                <c:pt idx="0">
                  <c:v>LLM-DEP</c:v>
                </c:pt>
                <c:pt idx="1">
                  <c:v>LLM-VBP</c:v>
                </c:pt>
                <c:pt idx="2">
                  <c:v>LLM-VSP</c:v>
                </c:pt>
                <c:pt idx="3">
                  <c:v>SA</c:v>
                </c:pt>
                <c:pt idx="4">
                  <c:v>Bitmap</c:v>
                </c:pt>
              </c:strCache>
            </c:strRef>
          </c:cat>
          <c:val>
            <c:numRef>
              <c:f>'Perf Overview + Raster Summary'!$E$60:$I$60</c:f>
              <c:numCache>
                <c:formatCode>General</c:formatCode>
                <c:ptCount val="5"/>
                <c:pt idx="0">
                  <c:v>5.8570588235294103E-2</c:v>
                </c:pt>
                <c:pt idx="1">
                  <c:v>0.99384330792170905</c:v>
                </c:pt>
                <c:pt idx="2">
                  <c:v>0</c:v>
                </c:pt>
                <c:pt idx="3">
                  <c:v>1.0000614266647601</c:v>
                </c:pt>
                <c:pt idx="4">
                  <c:v>1.0448125440156899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FE-4918-B9E2-16C836AC5685}"/>
            </c:ext>
          </c:extLst>
        </c:ser>
        <c:ser>
          <c:idx val="3"/>
          <c:order val="3"/>
          <c:tx>
            <c:strRef>
              <c:f>'Perf Overview + Raster Summary'!$B$61:$D$61</c:f>
              <c:strCache>
                <c:ptCount val="3"/>
                <c:pt idx="0">
                  <c:v>Wall Tags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'Perf Overview + Raster Summary'!$E$57:$I$57</c:f>
              <c:strCache>
                <c:ptCount val="5"/>
                <c:pt idx="0">
                  <c:v>LLM-DEP</c:v>
                </c:pt>
                <c:pt idx="1">
                  <c:v>LLM-VBP</c:v>
                </c:pt>
                <c:pt idx="2">
                  <c:v>LLM-VSP</c:v>
                </c:pt>
                <c:pt idx="3">
                  <c:v>SA</c:v>
                </c:pt>
                <c:pt idx="4">
                  <c:v>Bitmap</c:v>
                </c:pt>
              </c:strCache>
            </c:strRef>
          </c:cat>
          <c:val>
            <c:numRef>
              <c:f>'Perf Overview + Raster Summary'!$E$61:$I$61</c:f>
              <c:numCache>
                <c:formatCode>General</c:formatCode>
                <c:ptCount val="5"/>
                <c:pt idx="0">
                  <c:v>3.9515464920269499</c:v>
                </c:pt>
                <c:pt idx="1">
                  <c:v>0.18498514938027799</c:v>
                </c:pt>
                <c:pt idx="2">
                  <c:v>1.57894736842105</c:v>
                </c:pt>
                <c:pt idx="3">
                  <c:v>1.93658518055866</c:v>
                </c:pt>
                <c:pt idx="4">
                  <c:v>0.81535366383296903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FE-4918-B9E2-16C836AC5685}"/>
            </c:ext>
          </c:extLst>
        </c:ser>
        <c:ser>
          <c:idx val="4"/>
          <c:order val="4"/>
          <c:tx>
            <c:strRef>
              <c:f>'Perf Overview + Raster Summary'!$B$62:$D$62</c:f>
              <c:strCache>
                <c:ptCount val="3"/>
                <c:pt idx="0">
                  <c:v>Room Tags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'Perf Overview + Raster Summary'!$E$57:$I$57</c:f>
              <c:strCache>
                <c:ptCount val="5"/>
                <c:pt idx="0">
                  <c:v>LLM-DEP</c:v>
                </c:pt>
                <c:pt idx="1">
                  <c:v>LLM-VBP</c:v>
                </c:pt>
                <c:pt idx="2">
                  <c:v>LLM-VSP</c:v>
                </c:pt>
                <c:pt idx="3">
                  <c:v>SA</c:v>
                </c:pt>
                <c:pt idx="4">
                  <c:v>Bitmap</c:v>
                </c:pt>
              </c:strCache>
            </c:strRef>
          </c:cat>
          <c:val>
            <c:numRef>
              <c:f>'Perf Overview + Raster Summary'!$E$62:$I$62</c:f>
              <c:numCache>
                <c:formatCode>General</c:formatCode>
                <c:ptCount val="5"/>
                <c:pt idx="0">
                  <c:v>6.6106661699034799</c:v>
                </c:pt>
                <c:pt idx="1">
                  <c:v>0.28655056418610497</c:v>
                </c:pt>
                <c:pt idx="2">
                  <c:v>0.150375939849624</c:v>
                </c:pt>
                <c:pt idx="3">
                  <c:v>2.08320741494193</c:v>
                </c:pt>
                <c:pt idx="4">
                  <c:v>0.66335638400654695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FE-4918-B9E2-16C836AC5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006033"/>
        <c:axId val="60663767"/>
      </c:barChart>
      <c:catAx>
        <c:axId val="300060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0663767"/>
        <c:crosses val="autoZero"/>
        <c:auto val="1"/>
        <c:lblAlgn val="ctr"/>
        <c:lblOffset val="100"/>
        <c:noMultiLvlLbl val="0"/>
      </c:catAx>
      <c:valAx>
        <c:axId val="6066376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00060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legendEntry>
        <c:idx val="0"/>
        <c:delete val="1"/>
      </c:legendEntry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Per label latency (ms)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8968538430904007E-2"/>
          <c:y val="0.17290152015862501"/>
          <c:w val="0.87741935483871003"/>
          <c:h val="0.718704560475876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'Perf Overview + Raster Summary'!$O$17</c:f>
              <c:strCache>
                <c:ptCount val="1"/>
                <c:pt idx="0">
                  <c:v>Per label latency (ms)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'Perf Overview + Raster Summary'!$N$18:$N$22</c:f>
              <c:strCache>
                <c:ptCount val="5"/>
                <c:pt idx="0">
                  <c:v>Bitmap</c:v>
                </c:pt>
                <c:pt idx="1">
                  <c:v>SA</c:v>
                </c:pt>
                <c:pt idx="2">
                  <c:v>LLM-VBP</c:v>
                </c:pt>
                <c:pt idx="3">
                  <c:v>LLM-VSP</c:v>
                </c:pt>
                <c:pt idx="4">
                  <c:v>LLM-DEP</c:v>
                </c:pt>
              </c:strCache>
            </c:strRef>
          </c:cat>
          <c:val>
            <c:numRef>
              <c:f>'Perf Overview + Raster Summary'!$O$18:$O$22</c:f>
              <c:numCache>
                <c:formatCode>General</c:formatCode>
                <c:ptCount val="5"/>
                <c:pt idx="0">
                  <c:v>1203.5483870967741</c:v>
                </c:pt>
                <c:pt idx="1">
                  <c:v>116.14285714285715</c:v>
                </c:pt>
                <c:pt idx="2">
                  <c:v>505.52857142857141</c:v>
                </c:pt>
                <c:pt idx="3">
                  <c:v>1100</c:v>
                </c:pt>
                <c:pt idx="4">
                  <c:v>145.60520094562648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5-4A34-B769-76AB0A33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688667"/>
        <c:axId val="55547329"/>
      </c:barChart>
      <c:catAx>
        <c:axId val="316886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5547329"/>
        <c:crosses val="autoZero"/>
        <c:auto val="1"/>
        <c:lblAlgn val="ctr"/>
        <c:lblOffset val="100"/>
        <c:noMultiLvlLbl val="0"/>
      </c:catAx>
      <c:valAx>
        <c:axId val="5554732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16886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GB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Win Rate by Floorplan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Summary'!$G$6</c:f>
              <c:strCache>
                <c:ptCount val="1"/>
                <c:pt idx="0">
                  <c:v>Win Rate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'Analysis Summary'!$B$7:$B$13</c:f>
              <c:strCache>
                <c:ptCount val="7"/>
                <c:pt idx="0">
                  <c:v>Basic L1</c:v>
                </c:pt>
                <c:pt idx="1">
                  <c:v>Basic L2</c:v>
                </c:pt>
                <c:pt idx="2">
                  <c:v>Advanced L1</c:v>
                </c:pt>
                <c:pt idx="3">
                  <c:v>Snowden Tower L1</c:v>
                </c:pt>
                <c:pt idx="4">
                  <c:v>Snowden Tower L2</c:v>
                </c:pt>
                <c:pt idx="5">
                  <c:v>Germany L1</c:v>
                </c:pt>
                <c:pt idx="6">
                  <c:v>Japan L7</c:v>
                </c:pt>
              </c:strCache>
            </c:strRef>
          </c:cat>
          <c:val>
            <c:numRef>
              <c:f>'Analysis Summary'!$G$7:$G$13</c:f>
              <c:numCache>
                <c:formatCode>0.0%</c:formatCode>
                <c:ptCount val="7"/>
                <c:pt idx="0">
                  <c:v>0.73684210526315785</c:v>
                </c:pt>
                <c:pt idx="1">
                  <c:v>0.61111111111111116</c:v>
                </c:pt>
                <c:pt idx="2">
                  <c:v>0.57894736842105265</c:v>
                </c:pt>
                <c:pt idx="3">
                  <c:v>0.88235294117647056</c:v>
                </c:pt>
                <c:pt idx="4">
                  <c:v>0.78125</c:v>
                </c:pt>
                <c:pt idx="5">
                  <c:v>0.77777777777777779</c:v>
                </c:pt>
                <c:pt idx="6">
                  <c:v>0.38181818181818183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0-4A05-908E-7B2F58F35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47151"/>
        <c:axId val="62801606"/>
      </c:barChart>
      <c:catAx>
        <c:axId val="140471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Floorplan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801606"/>
        <c:crosses val="autoZero"/>
        <c:auto val="1"/>
        <c:lblAlgn val="ctr"/>
        <c:lblOffset val="100"/>
        <c:noMultiLvlLbl val="0"/>
      </c:catAx>
      <c:valAx>
        <c:axId val="62801606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Win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471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GB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Mean vs Median Dist-From-Optimal by Floorplan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Summary'!$D$6</c:f>
              <c:strCache>
                <c:ptCount val="1"/>
                <c:pt idx="0">
                  <c:v>Mean DfO</c:v>
                </c:pt>
              </c:strCache>
            </c:strRef>
          </c:tx>
          <c:spPr>
            <a:solidFill>
              <a:srgbClr val="AB474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'Analysis Summary'!$B$7:$B$13</c:f>
              <c:strCache>
                <c:ptCount val="7"/>
                <c:pt idx="0">
                  <c:v>Basic L1</c:v>
                </c:pt>
                <c:pt idx="1">
                  <c:v>Basic L2</c:v>
                </c:pt>
                <c:pt idx="2">
                  <c:v>Advanced L1</c:v>
                </c:pt>
                <c:pt idx="3">
                  <c:v>Snowden Tower L1</c:v>
                </c:pt>
                <c:pt idx="4">
                  <c:v>Snowden Tower L2</c:v>
                </c:pt>
                <c:pt idx="5">
                  <c:v>Germany L1</c:v>
                </c:pt>
                <c:pt idx="6">
                  <c:v>Japan L7</c:v>
                </c:pt>
              </c:strCache>
            </c:strRef>
          </c:cat>
          <c:val>
            <c:numRef>
              <c:f>'Analysis Summary'!$D$7:$D$13</c:f>
              <c:numCache>
                <c:formatCode>0.00</c:formatCode>
                <c:ptCount val="7"/>
                <c:pt idx="0">
                  <c:v>2.1132810859002378</c:v>
                </c:pt>
                <c:pt idx="1">
                  <c:v>2.0503314067655207</c:v>
                </c:pt>
                <c:pt idx="2">
                  <c:v>3.3869184532890491</c:v>
                </c:pt>
                <c:pt idx="3">
                  <c:v>1.557124241663427</c:v>
                </c:pt>
                <c:pt idx="4">
                  <c:v>2.5591816907483889</c:v>
                </c:pt>
                <c:pt idx="5">
                  <c:v>2.0434719597801507</c:v>
                </c:pt>
                <c:pt idx="6">
                  <c:v>9.3406986988609582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66-4B17-A2C6-CB81141E139B}"/>
            </c:ext>
          </c:extLst>
        </c:ser>
        <c:ser>
          <c:idx val="1"/>
          <c:order val="1"/>
          <c:tx>
            <c:strRef>
              <c:f>'Analysis Summary'!$E$6</c:f>
              <c:strCache>
                <c:ptCount val="1"/>
                <c:pt idx="0">
                  <c:v>Median DfO</c:v>
                </c:pt>
              </c:strCache>
            </c:strRef>
          </c:tx>
          <c:spPr>
            <a:solidFill>
              <a:srgbClr val="D09493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'Analysis Summary'!$B$7:$B$13</c:f>
              <c:strCache>
                <c:ptCount val="7"/>
                <c:pt idx="0">
                  <c:v>Basic L1</c:v>
                </c:pt>
                <c:pt idx="1">
                  <c:v>Basic L2</c:v>
                </c:pt>
                <c:pt idx="2">
                  <c:v>Advanced L1</c:v>
                </c:pt>
                <c:pt idx="3">
                  <c:v>Snowden Tower L1</c:v>
                </c:pt>
                <c:pt idx="4">
                  <c:v>Snowden Tower L2</c:v>
                </c:pt>
                <c:pt idx="5">
                  <c:v>Germany L1</c:v>
                </c:pt>
                <c:pt idx="6">
                  <c:v>Japan L7</c:v>
                </c:pt>
              </c:strCache>
            </c:strRef>
          </c:cat>
          <c:val>
            <c:numRef>
              <c:f>'Analysis Summary'!$E$7:$E$13</c:f>
              <c:numCache>
                <c:formatCode>0.00</c:formatCode>
                <c:ptCount val="7"/>
                <c:pt idx="0">
                  <c:v>1.1813999999999965</c:v>
                </c:pt>
                <c:pt idx="1">
                  <c:v>1.8516596921200357</c:v>
                </c:pt>
                <c:pt idx="2">
                  <c:v>1.3159042556356453</c:v>
                </c:pt>
                <c:pt idx="3">
                  <c:v>1.1030000000000015</c:v>
                </c:pt>
                <c:pt idx="4">
                  <c:v>1.4319766094458406</c:v>
                </c:pt>
                <c:pt idx="5">
                  <c:v>1.440100000000001</c:v>
                </c:pt>
                <c:pt idx="6">
                  <c:v>1.9413785849236116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66-4B17-A2C6-CB81141E1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12805"/>
        <c:axId val="29016765"/>
      </c:barChart>
      <c:catAx>
        <c:axId val="121128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Floorplan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016765"/>
        <c:crosses val="autoZero"/>
        <c:auto val="1"/>
        <c:lblAlgn val="ctr"/>
        <c:lblOffset val="100"/>
        <c:noMultiLvlLbl val="0"/>
      </c:catAx>
      <c:valAx>
        <c:axId val="290167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Distance (ft)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1128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GB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Win Rate by Tag Type (core 5 floorplans)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Summary'!$G$17</c:f>
              <c:strCache>
                <c:ptCount val="1"/>
                <c:pt idx="0">
                  <c:v>Win Rate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'Analysis Summary'!$B$18:$B$21</c:f>
              <c:strCache>
                <c:ptCount val="4"/>
                <c:pt idx="0">
                  <c:v>Doors</c:v>
                </c:pt>
                <c:pt idx="1">
                  <c:v>Windows</c:v>
                </c:pt>
                <c:pt idx="2">
                  <c:v>Walls</c:v>
                </c:pt>
                <c:pt idx="3">
                  <c:v>Room Tags</c:v>
                </c:pt>
              </c:strCache>
            </c:strRef>
          </c:cat>
          <c:val>
            <c:numRef>
              <c:f>'Analysis Summary'!$G$18:$G$21</c:f>
              <c:numCache>
                <c:formatCode>0.0%</c:formatCode>
                <c:ptCount val="4"/>
                <c:pt idx="0">
                  <c:v>0.7010309278350515</c:v>
                </c:pt>
                <c:pt idx="1">
                  <c:v>0.97368421052631582</c:v>
                </c:pt>
                <c:pt idx="2">
                  <c:v>0.75757575757575757</c:v>
                </c:pt>
                <c:pt idx="3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9-41DD-BE34-A4A471E54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017738"/>
        <c:axId val="71037731"/>
      </c:barChart>
      <c:catAx>
        <c:axId val="870177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Tag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037731"/>
        <c:crosses val="autoZero"/>
        <c:auto val="1"/>
        <c:lblAlgn val="ctr"/>
        <c:lblOffset val="100"/>
        <c:noMultiLvlLbl val="0"/>
      </c:catAx>
      <c:valAx>
        <c:axId val="71037731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Win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0177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GB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Mean vs Median DfO by Tag Type (core 5 — gap = tail risk)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Summary'!$D$17</c:f>
              <c:strCache>
                <c:ptCount val="1"/>
                <c:pt idx="0">
                  <c:v>Mean DfO</c:v>
                </c:pt>
              </c:strCache>
            </c:strRef>
          </c:tx>
          <c:spPr>
            <a:solidFill>
              <a:srgbClr val="AB474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'Analysis Summary'!$B$18:$B$21</c:f>
              <c:strCache>
                <c:ptCount val="4"/>
                <c:pt idx="0">
                  <c:v>Doors</c:v>
                </c:pt>
                <c:pt idx="1">
                  <c:v>Windows</c:v>
                </c:pt>
                <c:pt idx="2">
                  <c:v>Walls</c:v>
                </c:pt>
                <c:pt idx="3">
                  <c:v>Room Tags</c:v>
                </c:pt>
              </c:strCache>
            </c:strRef>
          </c:cat>
          <c:val>
            <c:numRef>
              <c:f>'Analysis Summary'!$D$18:$D$21</c:f>
              <c:numCache>
                <c:formatCode>0.00</c:formatCode>
                <c:ptCount val="4"/>
                <c:pt idx="0">
                  <c:v>1.1374645705059094</c:v>
                </c:pt>
                <c:pt idx="1">
                  <c:v>0.5296172899684094</c:v>
                </c:pt>
                <c:pt idx="2">
                  <c:v>3.1957278667247788</c:v>
                </c:pt>
                <c:pt idx="3">
                  <c:v>4.5161127557151044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5-43F0-BF15-5C36AE6FC5B0}"/>
            </c:ext>
          </c:extLst>
        </c:ser>
        <c:ser>
          <c:idx val="1"/>
          <c:order val="1"/>
          <c:tx>
            <c:strRef>
              <c:f>'Analysis Summary'!$E$17</c:f>
              <c:strCache>
                <c:ptCount val="1"/>
                <c:pt idx="0">
                  <c:v>Median DfO</c:v>
                </c:pt>
              </c:strCache>
            </c:strRef>
          </c:tx>
          <c:spPr>
            <a:solidFill>
              <a:srgbClr val="D09493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'Analysis Summary'!$B$18:$B$21</c:f>
              <c:strCache>
                <c:ptCount val="4"/>
                <c:pt idx="0">
                  <c:v>Doors</c:v>
                </c:pt>
                <c:pt idx="1">
                  <c:v>Windows</c:v>
                </c:pt>
                <c:pt idx="2">
                  <c:v>Walls</c:v>
                </c:pt>
                <c:pt idx="3">
                  <c:v>Room Tags</c:v>
                </c:pt>
              </c:strCache>
            </c:strRef>
          </c:cat>
          <c:val>
            <c:numRef>
              <c:f>'Analysis Summary'!$E$18:$E$21</c:f>
              <c:numCache>
                <c:formatCode>0.00</c:formatCode>
                <c:ptCount val="4"/>
                <c:pt idx="0">
                  <c:v>1.2632999999999994</c:v>
                </c:pt>
                <c:pt idx="1">
                  <c:v>0.29540000000000077</c:v>
                </c:pt>
                <c:pt idx="2">
                  <c:v>2.3748173310454117</c:v>
                </c:pt>
                <c:pt idx="3">
                  <c:v>2.4590159003302734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D5-43F0-BF15-5C36AE6FC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97438"/>
        <c:axId val="57681242"/>
      </c:barChart>
      <c:catAx>
        <c:axId val="260974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Tag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681242"/>
        <c:crosses val="autoZero"/>
        <c:auto val="1"/>
        <c:lblAlgn val="ctr"/>
        <c:lblOffset val="100"/>
        <c:noMultiLvlLbl val="0"/>
      </c:catAx>
      <c:valAx>
        <c:axId val="5768124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Distance (ft)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0974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GB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Directional Agreement (Cosine) by Floorplan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Summary'!$H$6</c:f>
              <c:strCache>
                <c:ptCount val="1"/>
                <c:pt idx="0">
                  <c:v>Cosine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'Analysis Summary'!$B$7:$B$13</c:f>
              <c:strCache>
                <c:ptCount val="7"/>
                <c:pt idx="0">
                  <c:v>Basic L1</c:v>
                </c:pt>
                <c:pt idx="1">
                  <c:v>Basic L2</c:v>
                </c:pt>
                <c:pt idx="2">
                  <c:v>Advanced L1</c:v>
                </c:pt>
                <c:pt idx="3">
                  <c:v>Snowden Tower L1</c:v>
                </c:pt>
                <c:pt idx="4">
                  <c:v>Snowden Tower L2</c:v>
                </c:pt>
                <c:pt idx="5">
                  <c:v>Germany L1</c:v>
                </c:pt>
                <c:pt idx="6">
                  <c:v>Japan L7</c:v>
                </c:pt>
              </c:strCache>
            </c:strRef>
          </c:cat>
          <c:val>
            <c:numRef>
              <c:f>'Analysis Summary'!$H$7:$H$13</c:f>
              <c:numCache>
                <c:formatCode>0.000</c:formatCode>
                <c:ptCount val="7"/>
                <c:pt idx="0">
                  <c:v>0.62266301858667994</c:v>
                </c:pt>
                <c:pt idx="1">
                  <c:v>0.53357784463738822</c:v>
                </c:pt>
                <c:pt idx="2">
                  <c:v>0.58944561831976905</c:v>
                </c:pt>
                <c:pt idx="3">
                  <c:v>0.87869499373907944</c:v>
                </c:pt>
                <c:pt idx="4">
                  <c:v>0.74493381199876207</c:v>
                </c:pt>
                <c:pt idx="5">
                  <c:v>0.78160236254207749</c:v>
                </c:pt>
                <c:pt idx="6">
                  <c:v>0.21613928481855968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F-4842-B612-E12339A69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548306"/>
        <c:axId val="70547662"/>
      </c:barChart>
      <c:catAx>
        <c:axId val="395483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Floorplan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547662"/>
        <c:crosses val="autoZero"/>
        <c:auto val="1"/>
        <c:lblAlgn val="ctr"/>
        <c:lblOffset val="100"/>
        <c:noMultiLvlLbl val="0"/>
      </c:catAx>
      <c:valAx>
        <c:axId val="70547662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Mean cosine similarity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5483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GB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Headline Win Rate — Core vs Convention vs All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Summary'!$F$24</c:f>
              <c:strCache>
                <c:ptCount val="1"/>
                <c:pt idx="0">
                  <c:v>Win Rate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'Analysis Summary'!$B$25:$B$27</c:f>
              <c:strCache>
                <c:ptCount val="3"/>
                <c:pt idx="0">
                  <c:v>Core floorplans (5)</c:v>
                </c:pt>
                <c:pt idx="1">
                  <c:v>Convention tests (Germany+Japan)</c:v>
                </c:pt>
                <c:pt idx="2">
                  <c:v>All floorplans (7)</c:v>
                </c:pt>
              </c:strCache>
            </c:strRef>
          </c:cat>
          <c:val>
            <c:numRef>
              <c:f>'Analysis Summary'!$F$25:$F$27</c:f>
              <c:numCache>
                <c:formatCode>0.0%</c:formatCode>
                <c:ptCount val="3"/>
                <c:pt idx="0">
                  <c:v>0.75308641975308643</c:v>
                </c:pt>
                <c:pt idx="1">
                  <c:v>0.47945205479452052</c:v>
                </c:pt>
                <c:pt idx="2">
                  <c:v>0.65038560411311053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1-40D9-8DA1-4D4B1EBAB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889510"/>
        <c:axId val="40293108"/>
      </c:barChart>
      <c:catAx>
        <c:axId val="2488951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Win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293108"/>
        <c:crosses val="autoZero"/>
        <c:auto val="1"/>
        <c:lblAlgn val="ctr"/>
        <c:lblOffset val="100"/>
        <c:noMultiLvlLbl val="0"/>
      </c:catAx>
      <c:valAx>
        <c:axId val="40293108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8895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GB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Directional Agreement (Cosine) by Tag Type — core 5 floorplans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Summary'!$H$17</c:f>
              <c:strCache>
                <c:ptCount val="1"/>
                <c:pt idx="0">
                  <c:v>Cosine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'Analysis Summary'!$B$18:$B$21</c:f>
              <c:strCache>
                <c:ptCount val="4"/>
                <c:pt idx="0">
                  <c:v>Doors</c:v>
                </c:pt>
                <c:pt idx="1">
                  <c:v>Windows</c:v>
                </c:pt>
                <c:pt idx="2">
                  <c:v>Walls</c:v>
                </c:pt>
                <c:pt idx="3">
                  <c:v>Room Tags</c:v>
                </c:pt>
              </c:strCache>
            </c:strRef>
          </c:cat>
          <c:val>
            <c:numRef>
              <c:f>'Analysis Summary'!$H$18:$H$21</c:f>
              <c:numCache>
                <c:formatCode>0.000</c:formatCode>
                <c:ptCount val="4"/>
                <c:pt idx="0">
                  <c:v>0.70117862498389916</c:v>
                </c:pt>
                <c:pt idx="1">
                  <c:v>0.99918429375934681</c:v>
                </c:pt>
                <c:pt idx="2">
                  <c:v>0.66205305427929595</c:v>
                </c:pt>
                <c:pt idx="3">
                  <c:v>0.67461758749679424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B-4ED3-B3C2-7EC700678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47597"/>
        <c:axId val="89791972"/>
      </c:barChart>
      <c:catAx>
        <c:axId val="150475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Tag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791972"/>
        <c:crosses val="autoZero"/>
        <c:auto val="1"/>
        <c:lblAlgn val="ctr"/>
        <c:lblOffset val="100"/>
        <c:noMultiLvlLbl val="0"/>
      </c:catAx>
      <c:valAx>
        <c:axId val="89791972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Mean cosine similarity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0475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47520</xdr:colOff>
      <xdr:row>43</xdr:row>
      <xdr:rowOff>24120</xdr:rowOff>
    </xdr:from>
    <xdr:to>
      <xdr:col>21</xdr:col>
      <xdr:colOff>517320</xdr:colOff>
      <xdr:row>59</xdr:row>
      <xdr:rowOff>150840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130320</xdr:colOff>
      <xdr:row>24</xdr:row>
      <xdr:rowOff>168840</xdr:rowOff>
    </xdr:from>
    <xdr:to>
      <xdr:col>20</xdr:col>
      <xdr:colOff>178200</xdr:colOff>
      <xdr:row>39</xdr:row>
      <xdr:rowOff>177120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183600</xdr:rowOff>
    </xdr:from>
    <xdr:to>
      <xdr:col>6</xdr:col>
      <xdr:colOff>360720</xdr:colOff>
      <xdr:row>61</xdr:row>
      <xdr:rowOff>154440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45</xdr:row>
      <xdr:rowOff>183600</xdr:rowOff>
    </xdr:from>
    <xdr:to>
      <xdr:col>13</xdr:col>
      <xdr:colOff>149400</xdr:colOff>
      <xdr:row>61</xdr:row>
      <xdr:rowOff>154440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63</xdr:row>
      <xdr:rowOff>145440</xdr:rowOff>
    </xdr:from>
    <xdr:to>
      <xdr:col>6</xdr:col>
      <xdr:colOff>360720</xdr:colOff>
      <xdr:row>79</xdr:row>
      <xdr:rowOff>154440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63</xdr:row>
      <xdr:rowOff>145440</xdr:rowOff>
    </xdr:from>
    <xdr:to>
      <xdr:col>13</xdr:col>
      <xdr:colOff>149400</xdr:colOff>
      <xdr:row>79</xdr:row>
      <xdr:rowOff>154440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81</xdr:row>
      <xdr:rowOff>145440</xdr:rowOff>
    </xdr:from>
    <xdr:to>
      <xdr:col>6</xdr:col>
      <xdr:colOff>360720</xdr:colOff>
      <xdr:row>97</xdr:row>
      <xdr:rowOff>154440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81</xdr:row>
      <xdr:rowOff>145440</xdr:rowOff>
    </xdr:from>
    <xdr:to>
      <xdr:col>13</xdr:col>
      <xdr:colOff>149400</xdr:colOff>
      <xdr:row>97</xdr:row>
      <xdr:rowOff>154440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100</xdr:row>
      <xdr:rowOff>0</xdr:rowOff>
    </xdr:from>
    <xdr:to>
      <xdr:col>6</xdr:col>
      <xdr:colOff>361080</xdr:colOff>
      <xdr:row>116</xdr:row>
      <xdr:rowOff>9000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6480</xdr:colOff>
      <xdr:row>4</xdr:row>
      <xdr:rowOff>154800</xdr:rowOff>
    </xdr:from>
    <xdr:to>
      <xdr:col>17</xdr:col>
      <xdr:colOff>608400</xdr:colOff>
      <xdr:row>51</xdr:row>
      <xdr:rowOff>19080</xdr:rowOff>
    </xdr:to>
    <xdr:pic>
      <xdr:nvPicPr>
        <xdr:cNvPr id="9" name="Image 1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7800" y="1135800"/>
          <a:ext cx="10375920" cy="840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6480</xdr:colOff>
      <xdr:row>36</xdr:row>
      <xdr:rowOff>154800</xdr:rowOff>
    </xdr:from>
    <xdr:to>
      <xdr:col>17</xdr:col>
      <xdr:colOff>608400</xdr:colOff>
      <xdr:row>83</xdr:row>
      <xdr:rowOff>19080</xdr:rowOff>
    </xdr:to>
    <xdr:pic>
      <xdr:nvPicPr>
        <xdr:cNvPr id="10" name="Image 2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17800" y="6946200"/>
          <a:ext cx="10375920" cy="840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6480</xdr:colOff>
      <xdr:row>68</xdr:row>
      <xdr:rowOff>154800</xdr:rowOff>
    </xdr:from>
    <xdr:to>
      <xdr:col>17</xdr:col>
      <xdr:colOff>608400</xdr:colOff>
      <xdr:row>115</xdr:row>
      <xdr:rowOff>19440</xdr:rowOff>
    </xdr:to>
    <xdr:pic>
      <xdr:nvPicPr>
        <xdr:cNvPr id="11" name="Image 3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17800" y="12756240"/>
          <a:ext cx="10375920" cy="8408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6480</xdr:colOff>
      <xdr:row>100</xdr:row>
      <xdr:rowOff>155160</xdr:rowOff>
    </xdr:from>
    <xdr:to>
      <xdr:col>17</xdr:col>
      <xdr:colOff>608400</xdr:colOff>
      <xdr:row>147</xdr:row>
      <xdr:rowOff>19440</xdr:rowOff>
    </xdr:to>
    <xdr:pic>
      <xdr:nvPicPr>
        <xdr:cNvPr id="12" name="Image 4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217800" y="18567000"/>
          <a:ext cx="10375920" cy="840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6480</xdr:colOff>
      <xdr:row>132</xdr:row>
      <xdr:rowOff>140760</xdr:rowOff>
    </xdr:from>
    <xdr:to>
      <xdr:col>17</xdr:col>
      <xdr:colOff>608400</xdr:colOff>
      <xdr:row>179</xdr:row>
      <xdr:rowOff>360</xdr:rowOff>
    </xdr:to>
    <xdr:pic>
      <xdr:nvPicPr>
        <xdr:cNvPr id="13" name="Image 5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217800" y="24363000"/>
          <a:ext cx="10375920" cy="8403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6480</xdr:colOff>
      <xdr:row>164</xdr:row>
      <xdr:rowOff>154800</xdr:rowOff>
    </xdr:from>
    <xdr:to>
      <xdr:col>17</xdr:col>
      <xdr:colOff>608400</xdr:colOff>
      <xdr:row>211</xdr:row>
      <xdr:rowOff>19080</xdr:rowOff>
    </xdr:to>
    <xdr:pic>
      <xdr:nvPicPr>
        <xdr:cNvPr id="14" name="Image 6" descr="Picture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217800" y="30187080"/>
          <a:ext cx="10375920" cy="840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6480</xdr:colOff>
      <xdr:row>196</xdr:row>
      <xdr:rowOff>154800</xdr:rowOff>
    </xdr:from>
    <xdr:to>
      <xdr:col>17</xdr:col>
      <xdr:colOff>608400</xdr:colOff>
      <xdr:row>243</xdr:row>
      <xdr:rowOff>28800</xdr:rowOff>
    </xdr:to>
    <xdr:pic>
      <xdr:nvPicPr>
        <xdr:cNvPr id="15" name="Image 7" descr="Picture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217800" y="35997480"/>
          <a:ext cx="10375920" cy="8398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help.autodesk.com/view/RVT/2024/ENU/?guid=GUID-61EF2F22-3A1F-4317-B925-1E85F138BE88" TargetMode="External"/><Relationship Id="rId1" Type="http://schemas.openxmlformats.org/officeDocument/2006/relationships/hyperlink" Target="https://bim-design.com/library/jp-contents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6"/>
  <sheetViews>
    <sheetView zoomScaleNormal="100" workbookViewId="0">
      <selection activeCell="J50" sqref="J50"/>
    </sheetView>
  </sheetViews>
  <sheetFormatPr defaultColWidth="9.06640625" defaultRowHeight="14.25" x14ac:dyDescent="0.45"/>
  <cols>
    <col min="2" max="2" width="11.46484375" customWidth="1"/>
    <col min="3" max="3" width="5.46484375" customWidth="1"/>
    <col min="6" max="6" width="13.59765625" customWidth="1"/>
    <col min="7" max="7" width="13.19921875" customWidth="1"/>
    <col min="8" max="8" width="11.19921875" customWidth="1"/>
    <col min="9" max="9" width="12.1328125" customWidth="1"/>
    <col min="10" max="10" width="11.53125" customWidth="1"/>
    <col min="11" max="11" width="12.796875" customWidth="1"/>
  </cols>
  <sheetData>
    <row r="1" spans="1:12" ht="14.25" customHeight="1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</row>
    <row r="2" spans="1:12" ht="14.25" customHeight="1" x14ac:dyDescent="0.45">
      <c r="A2">
        <v>1.1000000000000001</v>
      </c>
      <c r="B2" t="s">
        <v>12</v>
      </c>
      <c r="C2" s="9" t="s">
        <v>13</v>
      </c>
      <c r="D2" s="9"/>
      <c r="E2" s="9"/>
      <c r="F2">
        <v>74.62</v>
      </c>
      <c r="G2" t="s">
        <v>14</v>
      </c>
      <c r="H2" t="s">
        <v>15</v>
      </c>
      <c r="I2" t="s">
        <v>13</v>
      </c>
      <c r="J2">
        <v>62</v>
      </c>
      <c r="K2" t="s">
        <v>16</v>
      </c>
      <c r="L2" t="s">
        <v>17</v>
      </c>
    </row>
    <row r="3" spans="1:12" ht="14.25" customHeight="1" x14ac:dyDescent="0.45">
      <c r="A3">
        <v>1.2</v>
      </c>
      <c r="B3" t="s">
        <v>18</v>
      </c>
      <c r="C3" s="9" t="s">
        <v>13</v>
      </c>
      <c r="D3" s="9"/>
      <c r="E3" s="9"/>
      <c r="F3">
        <v>8.1300000000000008</v>
      </c>
      <c r="G3" t="s">
        <v>14</v>
      </c>
      <c r="H3" t="s">
        <v>15</v>
      </c>
      <c r="I3" t="s">
        <v>13</v>
      </c>
      <c r="J3">
        <v>70</v>
      </c>
      <c r="K3" t="s">
        <v>16</v>
      </c>
      <c r="L3" t="s">
        <v>19</v>
      </c>
    </row>
    <row r="4" spans="1:12" ht="14.25" customHeight="1" x14ac:dyDescent="0.45">
      <c r="A4">
        <v>1.3</v>
      </c>
      <c r="B4" t="s">
        <v>20</v>
      </c>
      <c r="C4">
        <v>0.23</v>
      </c>
      <c r="D4">
        <v>25519</v>
      </c>
      <c r="E4">
        <v>4122</v>
      </c>
      <c r="F4">
        <v>35.387</v>
      </c>
      <c r="G4" t="s">
        <v>14</v>
      </c>
      <c r="H4" t="s">
        <v>15</v>
      </c>
      <c r="I4">
        <v>3</v>
      </c>
      <c r="J4">
        <v>70</v>
      </c>
      <c r="K4" t="s">
        <v>16</v>
      </c>
    </row>
    <row r="5" spans="1:12" ht="14.25" customHeight="1" x14ac:dyDescent="0.45">
      <c r="A5">
        <v>1.4</v>
      </c>
      <c r="B5" t="s">
        <v>21</v>
      </c>
      <c r="C5">
        <v>0.55000000000000004</v>
      </c>
      <c r="D5">
        <v>98770</v>
      </c>
      <c r="E5">
        <v>17920</v>
      </c>
      <c r="F5">
        <v>77</v>
      </c>
      <c r="G5" t="s">
        <v>14</v>
      </c>
      <c r="H5" t="s">
        <v>15</v>
      </c>
      <c r="I5">
        <v>70</v>
      </c>
      <c r="J5">
        <v>70</v>
      </c>
      <c r="K5" t="s">
        <v>16</v>
      </c>
      <c r="L5" t="s">
        <v>22</v>
      </c>
    </row>
    <row r="6" spans="1:12" ht="14.25" customHeight="1" x14ac:dyDescent="0.45">
      <c r="A6">
        <v>1.5</v>
      </c>
      <c r="B6" t="s">
        <v>23</v>
      </c>
      <c r="C6">
        <v>0.26</v>
      </c>
      <c r="D6">
        <v>47311</v>
      </c>
      <c r="E6">
        <v>947</v>
      </c>
      <c r="F6">
        <v>10.792</v>
      </c>
      <c r="G6" t="s">
        <v>14</v>
      </c>
      <c r="H6" t="s">
        <v>15</v>
      </c>
      <c r="I6">
        <v>1</v>
      </c>
      <c r="J6">
        <v>69</v>
      </c>
      <c r="K6" t="s">
        <v>16</v>
      </c>
    </row>
    <row r="7" spans="1:12" ht="14.25" customHeight="1" x14ac:dyDescent="0.45">
      <c r="A7">
        <v>2.1</v>
      </c>
      <c r="B7" t="s">
        <v>23</v>
      </c>
      <c r="C7">
        <v>0.26</v>
      </c>
      <c r="D7">
        <v>46611</v>
      </c>
      <c r="E7">
        <v>1132</v>
      </c>
      <c r="F7" s="12">
        <v>15.851000000000001</v>
      </c>
      <c r="G7" t="s">
        <v>14</v>
      </c>
      <c r="H7" t="s">
        <v>24</v>
      </c>
      <c r="I7">
        <v>1</v>
      </c>
      <c r="J7">
        <v>85</v>
      </c>
      <c r="K7" t="s">
        <v>16</v>
      </c>
    </row>
    <row r="8" spans="1:12" ht="14.25" customHeight="1" x14ac:dyDescent="0.45">
      <c r="A8">
        <v>2.2000000000000002</v>
      </c>
      <c r="B8" t="s">
        <v>23</v>
      </c>
      <c r="C8">
        <v>0.19</v>
      </c>
      <c r="D8">
        <v>34810</v>
      </c>
      <c r="E8">
        <v>649</v>
      </c>
      <c r="F8">
        <v>8.093</v>
      </c>
      <c r="G8" t="s">
        <v>25</v>
      </c>
      <c r="H8" t="s">
        <v>24</v>
      </c>
      <c r="I8">
        <v>1</v>
      </c>
      <c r="J8">
        <v>77</v>
      </c>
      <c r="K8" t="s">
        <v>16</v>
      </c>
    </row>
    <row r="9" spans="1:12" ht="14.25" customHeight="1" x14ac:dyDescent="0.45">
      <c r="A9">
        <v>2.2999999999999998</v>
      </c>
      <c r="B9" t="s">
        <v>23</v>
      </c>
      <c r="C9">
        <v>0.13</v>
      </c>
      <c r="D9">
        <v>26238</v>
      </c>
      <c r="E9">
        <v>201</v>
      </c>
      <c r="F9" s="12">
        <v>3.0840000000000001</v>
      </c>
      <c r="G9" t="s">
        <v>26</v>
      </c>
      <c r="H9" t="s">
        <v>24</v>
      </c>
      <c r="I9">
        <v>1</v>
      </c>
      <c r="J9">
        <v>19</v>
      </c>
      <c r="K9" t="s">
        <v>27</v>
      </c>
      <c r="L9" s="13" t="s">
        <v>28</v>
      </c>
    </row>
    <row r="10" spans="1:12" ht="14.25" customHeight="1" x14ac:dyDescent="0.45">
      <c r="A10">
        <v>2.4</v>
      </c>
      <c r="B10" t="s">
        <v>23</v>
      </c>
      <c r="C10">
        <v>0.15</v>
      </c>
      <c r="D10">
        <v>27172</v>
      </c>
      <c r="E10">
        <v>285</v>
      </c>
      <c r="F10">
        <v>3.629</v>
      </c>
      <c r="G10" t="s">
        <v>26</v>
      </c>
      <c r="H10" t="s">
        <v>15</v>
      </c>
      <c r="I10">
        <v>1</v>
      </c>
      <c r="J10">
        <v>26</v>
      </c>
      <c r="K10" t="s">
        <v>27</v>
      </c>
      <c r="L10" s="13" t="s">
        <v>29</v>
      </c>
    </row>
    <row r="11" spans="1:12" ht="14.25" customHeight="1" x14ac:dyDescent="0.45">
      <c r="A11">
        <v>2.5</v>
      </c>
      <c r="B11" t="s">
        <v>23</v>
      </c>
      <c r="C11">
        <v>0.23</v>
      </c>
      <c r="D11">
        <v>46611</v>
      </c>
      <c r="E11">
        <v>1132</v>
      </c>
      <c r="F11">
        <v>15.851000000000001</v>
      </c>
      <c r="G11" t="s">
        <v>30</v>
      </c>
      <c r="H11" t="s">
        <v>31</v>
      </c>
      <c r="I11">
        <v>1</v>
      </c>
      <c r="J11">
        <v>111</v>
      </c>
      <c r="K11" t="s">
        <v>16</v>
      </c>
      <c r="L11" t="s">
        <v>32</v>
      </c>
    </row>
    <row r="12" spans="1:12" ht="14.25" customHeight="1" x14ac:dyDescent="0.45">
      <c r="A12">
        <v>2.6</v>
      </c>
      <c r="B12" t="s">
        <v>23</v>
      </c>
      <c r="C12">
        <v>0.17</v>
      </c>
      <c r="D12">
        <v>32550</v>
      </c>
      <c r="E12">
        <v>330</v>
      </c>
      <c r="F12">
        <v>4.2910000000000004</v>
      </c>
      <c r="G12" t="s">
        <v>33</v>
      </c>
      <c r="H12" t="s">
        <v>34</v>
      </c>
      <c r="I12">
        <v>1</v>
      </c>
      <c r="J12">
        <v>36</v>
      </c>
      <c r="K12" t="s">
        <v>35</v>
      </c>
      <c r="L12" t="s">
        <v>36</v>
      </c>
    </row>
    <row r="13" spans="1:12" ht="14.25" customHeight="1" x14ac:dyDescent="0.45">
      <c r="A13">
        <v>3</v>
      </c>
      <c r="B13" t="s">
        <v>37</v>
      </c>
      <c r="F13">
        <f>SUM(F6:F12)</f>
        <v>61.591000000000008</v>
      </c>
      <c r="J13">
        <f>SUM(J6:J12)</f>
        <v>423</v>
      </c>
    </row>
    <row r="15" spans="1:12" ht="14.25" customHeight="1" x14ac:dyDescent="0.45">
      <c r="A15" s="8" t="s">
        <v>38</v>
      </c>
      <c r="B15" s="8"/>
      <c r="C15" s="8"/>
      <c r="D15" s="8"/>
      <c r="E15" s="8"/>
      <c r="F15" s="8"/>
      <c r="G15" s="8"/>
      <c r="H15" s="8"/>
      <c r="I15" s="8"/>
    </row>
    <row r="16" spans="1:12" ht="14.25" customHeight="1" x14ac:dyDescent="0.45">
      <c r="A16">
        <v>1.1000000000000001</v>
      </c>
      <c r="B16" t="s">
        <v>12</v>
      </c>
      <c r="C16" t="s">
        <v>39</v>
      </c>
      <c r="D16" s="9" t="s">
        <v>40</v>
      </c>
      <c r="E16" s="9"/>
      <c r="F16" s="9" t="s">
        <v>41</v>
      </c>
      <c r="G16" s="9"/>
      <c r="H16" s="9" t="s">
        <v>42</v>
      </c>
      <c r="I16" s="9"/>
    </row>
    <row r="17" spans="1:16" ht="14.25" customHeight="1" x14ac:dyDescent="0.45">
      <c r="D17" s="14" t="s">
        <v>43</v>
      </c>
      <c r="E17" s="15" t="s">
        <v>44</v>
      </c>
      <c r="F17" s="14" t="s">
        <v>43</v>
      </c>
      <c r="G17" s="15" t="s">
        <v>44</v>
      </c>
      <c r="H17" s="14" t="s">
        <v>43</v>
      </c>
      <c r="I17" s="15" t="s">
        <v>44</v>
      </c>
      <c r="O17" t="s">
        <v>45</v>
      </c>
    </row>
    <row r="18" spans="1:16" ht="14.25" customHeight="1" x14ac:dyDescent="0.45">
      <c r="B18" t="s">
        <v>46</v>
      </c>
      <c r="C18">
        <v>62</v>
      </c>
      <c r="D18" t="s">
        <v>13</v>
      </c>
      <c r="E18" t="s">
        <v>13</v>
      </c>
      <c r="F18">
        <v>36.9887958185627</v>
      </c>
      <c r="G18">
        <v>38.183766184073598</v>
      </c>
      <c r="H18" t="s">
        <v>13</v>
      </c>
      <c r="I18" t="s">
        <v>13</v>
      </c>
      <c r="L18">
        <f t="shared" ref="L18:L38" si="0">F18/38</f>
        <v>0.97338936364638684</v>
      </c>
      <c r="N18" t="s">
        <v>12</v>
      </c>
      <c r="O18">
        <f>P18*1000</f>
        <v>1203.5483870967741</v>
      </c>
      <c r="P18">
        <f>F2/J2</f>
        <v>1.2035483870967743</v>
      </c>
    </row>
    <row r="19" spans="1:16" ht="14.25" customHeight="1" x14ac:dyDescent="0.45">
      <c r="B19" t="s">
        <v>47</v>
      </c>
      <c r="C19">
        <v>13</v>
      </c>
      <c r="D19" t="s">
        <v>13</v>
      </c>
      <c r="E19" t="s">
        <v>13</v>
      </c>
      <c r="F19">
        <v>52.891453018726203</v>
      </c>
      <c r="G19">
        <v>33.941125496954299</v>
      </c>
      <c r="H19" t="s">
        <v>13</v>
      </c>
      <c r="I19" t="s">
        <v>13</v>
      </c>
      <c r="L19">
        <f t="shared" si="0"/>
        <v>1.3918803425980579</v>
      </c>
      <c r="N19" t="s">
        <v>18</v>
      </c>
      <c r="O19">
        <f>P19*1000</f>
        <v>116.14285714285715</v>
      </c>
      <c r="P19">
        <f>F3/J3</f>
        <v>0.11614285714285716</v>
      </c>
    </row>
    <row r="20" spans="1:16" ht="14.25" customHeight="1" x14ac:dyDescent="0.45">
      <c r="B20" t="s">
        <v>48</v>
      </c>
      <c r="C20">
        <v>16</v>
      </c>
      <c r="D20" t="s">
        <v>13</v>
      </c>
      <c r="E20" t="s">
        <v>13</v>
      </c>
      <c r="F20">
        <v>39.702876672596197</v>
      </c>
      <c r="G20">
        <v>38.183766184073598</v>
      </c>
      <c r="H20" t="s">
        <v>13</v>
      </c>
      <c r="I20" t="s">
        <v>13</v>
      </c>
      <c r="L20">
        <f t="shared" si="0"/>
        <v>1.0448125440156895</v>
      </c>
      <c r="N20" t="s">
        <v>20</v>
      </c>
      <c r="O20">
        <f>P20*1000</f>
        <v>505.52857142857141</v>
      </c>
      <c r="P20">
        <f>F4/J4</f>
        <v>0.50552857142857144</v>
      </c>
    </row>
    <row r="21" spans="1:16" ht="14.25" customHeight="1" x14ac:dyDescent="0.45">
      <c r="B21" t="s">
        <v>49</v>
      </c>
      <c r="C21">
        <v>24</v>
      </c>
      <c r="D21" t="s">
        <v>13</v>
      </c>
      <c r="E21" t="s">
        <v>13</v>
      </c>
      <c r="F21">
        <v>30.983439225652798</v>
      </c>
      <c r="G21">
        <v>16.2634559672906</v>
      </c>
      <c r="H21" t="s">
        <v>13</v>
      </c>
      <c r="I21" t="s">
        <v>13</v>
      </c>
      <c r="L21">
        <f t="shared" si="0"/>
        <v>0.81535366383296837</v>
      </c>
      <c r="N21" t="s">
        <v>21</v>
      </c>
      <c r="O21">
        <f>P21*1000</f>
        <v>1100</v>
      </c>
      <c r="P21">
        <f>F5/J5</f>
        <v>1.1000000000000001</v>
      </c>
    </row>
    <row r="22" spans="1:16" ht="14.25" customHeight="1" x14ac:dyDescent="0.45">
      <c r="B22" t="s">
        <v>50</v>
      </c>
      <c r="C22">
        <v>9</v>
      </c>
      <c r="D22" t="s">
        <v>13</v>
      </c>
      <c r="E22" t="s">
        <v>13</v>
      </c>
      <c r="F22">
        <v>25.207542592248799</v>
      </c>
      <c r="G22">
        <v>0</v>
      </c>
      <c r="H22" t="s">
        <v>13</v>
      </c>
      <c r="I22" t="s">
        <v>13</v>
      </c>
      <c r="L22">
        <f t="shared" si="0"/>
        <v>0.66335638400654739</v>
      </c>
      <c r="N22" t="s">
        <v>23</v>
      </c>
      <c r="O22">
        <f>P22*1000</f>
        <v>145.60520094562648</v>
      </c>
      <c r="P22">
        <f>F13/J13</f>
        <v>0.14560520094562648</v>
      </c>
    </row>
    <row r="23" spans="1:16" ht="14.25" customHeight="1" x14ac:dyDescent="0.45">
      <c r="L23">
        <f t="shared" si="0"/>
        <v>0</v>
      </c>
    </row>
    <row r="24" spans="1:16" ht="14.25" customHeight="1" x14ac:dyDescent="0.45">
      <c r="A24">
        <v>1.2</v>
      </c>
      <c r="B24" t="s">
        <v>18</v>
      </c>
      <c r="C24" t="s">
        <v>39</v>
      </c>
      <c r="D24" s="9" t="s">
        <v>40</v>
      </c>
      <c r="E24" s="9"/>
      <c r="F24" s="9" t="s">
        <v>41</v>
      </c>
      <c r="G24" s="9"/>
      <c r="H24" s="9" t="s">
        <v>42</v>
      </c>
      <c r="I24" s="9"/>
      <c r="L24" t="e">
        <f t="shared" si="0"/>
        <v>#VALUE!</v>
      </c>
    </row>
    <row r="25" spans="1:16" ht="14.25" customHeight="1" x14ac:dyDescent="0.45">
      <c r="D25" s="14" t="s">
        <v>43</v>
      </c>
      <c r="E25" s="15" t="s">
        <v>44</v>
      </c>
      <c r="F25" s="14" t="s">
        <v>43</v>
      </c>
      <c r="G25" s="15" t="s">
        <v>44</v>
      </c>
      <c r="H25" s="14" t="s">
        <v>43</v>
      </c>
      <c r="I25" s="15" t="s">
        <v>44</v>
      </c>
      <c r="L25" t="e">
        <f t="shared" si="0"/>
        <v>#VALUE!</v>
      </c>
    </row>
    <row r="26" spans="1:16" ht="14.25" customHeight="1" x14ac:dyDescent="0.45">
      <c r="B26" t="s">
        <v>46</v>
      </c>
      <c r="C26">
        <v>70</v>
      </c>
      <c r="D26" t="s">
        <v>13</v>
      </c>
      <c r="E26" t="s">
        <v>13</v>
      </c>
      <c r="F26">
        <v>65.686508717767694</v>
      </c>
      <c r="G26">
        <v>53.786608205578602</v>
      </c>
      <c r="H26" t="s">
        <v>13</v>
      </c>
      <c r="I26" t="s">
        <v>13</v>
      </c>
      <c r="L26">
        <f t="shared" si="0"/>
        <v>1.7285923346780971</v>
      </c>
    </row>
    <row r="27" spans="1:16" ht="14.25" customHeight="1" x14ac:dyDescent="0.45">
      <c r="B27" t="s">
        <v>47</v>
      </c>
      <c r="C27">
        <v>15</v>
      </c>
      <c r="D27" t="s">
        <v>13</v>
      </c>
      <c r="E27" t="s">
        <v>13</v>
      </c>
      <c r="F27">
        <v>72.581812600855102</v>
      </c>
      <c r="G27">
        <v>69.462219947248997</v>
      </c>
      <c r="H27" t="s">
        <v>13</v>
      </c>
      <c r="I27" t="s">
        <v>13</v>
      </c>
      <c r="L27">
        <f t="shared" si="0"/>
        <v>1.9100477000225027</v>
      </c>
    </row>
    <row r="28" spans="1:16" ht="14.25" customHeight="1" x14ac:dyDescent="0.45">
      <c r="B28" t="s">
        <v>48</v>
      </c>
      <c r="C28">
        <v>17</v>
      </c>
      <c r="D28" t="s">
        <v>13</v>
      </c>
      <c r="E28" t="s">
        <v>13</v>
      </c>
      <c r="F28">
        <v>38.002334213260902</v>
      </c>
      <c r="G28">
        <v>40.853396431630998</v>
      </c>
      <c r="H28" t="s">
        <v>13</v>
      </c>
      <c r="I28" t="s">
        <v>13</v>
      </c>
      <c r="L28">
        <f t="shared" si="0"/>
        <v>1.0000614266647605</v>
      </c>
    </row>
    <row r="29" spans="1:16" ht="14.25" customHeight="1" x14ac:dyDescent="0.45">
      <c r="B29" t="s">
        <v>49</v>
      </c>
      <c r="C29">
        <v>26</v>
      </c>
      <c r="D29" t="s">
        <v>13</v>
      </c>
      <c r="E29" t="s">
        <v>13</v>
      </c>
      <c r="F29">
        <v>73.590236861229101</v>
      </c>
      <c r="G29">
        <v>54.1795707240111</v>
      </c>
      <c r="H29" t="s">
        <v>13</v>
      </c>
      <c r="I29" t="s">
        <v>13</v>
      </c>
      <c r="L29">
        <f t="shared" si="0"/>
        <v>1.9365851805586605</v>
      </c>
    </row>
    <row r="30" spans="1:16" ht="14.25" customHeight="1" x14ac:dyDescent="0.45">
      <c r="B30" t="s">
        <v>50</v>
      </c>
      <c r="C30">
        <v>12</v>
      </c>
      <c r="D30" t="s">
        <v>13</v>
      </c>
      <c r="E30" t="s">
        <v>13</v>
      </c>
      <c r="F30">
        <v>79.161881767793503</v>
      </c>
      <c r="G30">
        <v>98.706069854710805</v>
      </c>
      <c r="H30" t="s">
        <v>13</v>
      </c>
      <c r="I30" t="s">
        <v>13</v>
      </c>
      <c r="L30">
        <f t="shared" si="0"/>
        <v>2.0832074149419344</v>
      </c>
    </row>
    <row r="31" spans="1:16" ht="14.25" customHeight="1" x14ac:dyDescent="0.45">
      <c r="L31">
        <f t="shared" si="0"/>
        <v>0</v>
      </c>
    </row>
    <row r="32" spans="1:16" ht="14.25" customHeight="1" x14ac:dyDescent="0.45">
      <c r="A32">
        <v>1.3</v>
      </c>
      <c r="B32" t="s">
        <v>20</v>
      </c>
      <c r="C32" t="s">
        <v>39</v>
      </c>
      <c r="D32" s="9" t="s">
        <v>40</v>
      </c>
      <c r="E32" s="9"/>
      <c r="F32" s="9" t="s">
        <v>41</v>
      </c>
      <c r="G32" s="9"/>
      <c r="H32" s="9" t="s">
        <v>42</v>
      </c>
      <c r="I32" s="9"/>
      <c r="L32" t="e">
        <f t="shared" si="0"/>
        <v>#VALUE!</v>
      </c>
    </row>
    <row r="33" spans="1:12" ht="14.25" customHeight="1" x14ac:dyDescent="0.45">
      <c r="D33" s="14" t="s">
        <v>43</v>
      </c>
      <c r="E33" s="15" t="s">
        <v>44</v>
      </c>
      <c r="F33" s="14" t="s">
        <v>43</v>
      </c>
      <c r="G33" s="15" t="s">
        <v>44</v>
      </c>
      <c r="H33" s="14" t="s">
        <v>43</v>
      </c>
      <c r="I33" s="15" t="s">
        <v>44</v>
      </c>
      <c r="J33" s="16" t="s">
        <v>51</v>
      </c>
      <c r="L33" t="e">
        <f t="shared" si="0"/>
        <v>#VALUE!</v>
      </c>
    </row>
    <row r="34" spans="1:12" ht="14.25" customHeight="1" x14ac:dyDescent="0.45">
      <c r="B34" t="s">
        <v>46</v>
      </c>
      <c r="C34">
        <v>70</v>
      </c>
      <c r="D34" t="s">
        <v>13</v>
      </c>
      <c r="E34" t="s">
        <v>13</v>
      </c>
      <c r="F34">
        <v>13.8242543208732</v>
      </c>
      <c r="G34">
        <v>2.2360679774997898</v>
      </c>
      <c r="H34" t="s">
        <v>13</v>
      </c>
      <c r="I34" t="s">
        <v>13</v>
      </c>
      <c r="J34">
        <v>0.83142857142857196</v>
      </c>
      <c r="L34">
        <f t="shared" si="0"/>
        <v>0.36379616633876843</v>
      </c>
    </row>
    <row r="35" spans="1:12" ht="14.25" customHeight="1" x14ac:dyDescent="0.45">
      <c r="B35" t="s">
        <v>47</v>
      </c>
      <c r="C35">
        <v>15</v>
      </c>
      <c r="D35" t="s">
        <v>13</v>
      </c>
      <c r="E35" t="s">
        <v>13</v>
      </c>
      <c r="F35">
        <v>0.816176045807952</v>
      </c>
      <c r="G35">
        <v>1</v>
      </c>
      <c r="H35" t="s">
        <v>13</v>
      </c>
      <c r="I35" t="s">
        <v>13</v>
      </c>
      <c r="J35">
        <v>0.80333333333333401</v>
      </c>
      <c r="L35">
        <f t="shared" si="0"/>
        <v>2.1478316994946105E-2</v>
      </c>
    </row>
    <row r="36" spans="1:12" ht="14.25" customHeight="1" x14ac:dyDescent="0.45">
      <c r="B36" t="s">
        <v>48</v>
      </c>
      <c r="C36">
        <v>17</v>
      </c>
      <c r="D36" t="s">
        <v>13</v>
      </c>
      <c r="E36" t="s">
        <v>13</v>
      </c>
      <c r="F36">
        <v>37.7660457010249</v>
      </c>
      <c r="G36">
        <v>2.8284271247461898</v>
      </c>
      <c r="H36" t="s">
        <v>13</v>
      </c>
      <c r="I36" t="s">
        <v>13</v>
      </c>
      <c r="J36">
        <v>0.870588235294118</v>
      </c>
      <c r="L36">
        <f t="shared" si="0"/>
        <v>0.99384330792170794</v>
      </c>
    </row>
    <row r="37" spans="1:12" ht="14.25" customHeight="1" x14ac:dyDescent="0.45">
      <c r="B37" t="s">
        <v>49</v>
      </c>
      <c r="C37">
        <v>26</v>
      </c>
      <c r="D37" t="s">
        <v>13</v>
      </c>
      <c r="E37" t="s">
        <v>13</v>
      </c>
      <c r="F37">
        <v>7.0294356764505599</v>
      </c>
      <c r="G37">
        <v>2.2360679774997898</v>
      </c>
      <c r="H37" t="s">
        <v>13</v>
      </c>
      <c r="I37" t="s">
        <v>13</v>
      </c>
      <c r="J37">
        <v>0.83076923076923104</v>
      </c>
      <c r="L37">
        <f t="shared" si="0"/>
        <v>0.18498514938027788</v>
      </c>
    </row>
    <row r="38" spans="1:12" ht="14.25" customHeight="1" x14ac:dyDescent="0.45">
      <c r="B38" t="s">
        <v>50</v>
      </c>
      <c r="C38">
        <v>12</v>
      </c>
      <c r="D38" t="s">
        <v>13</v>
      </c>
      <c r="E38" t="s">
        <v>13</v>
      </c>
      <c r="F38">
        <v>10.888921439072</v>
      </c>
      <c r="G38">
        <v>1.2071067811865499</v>
      </c>
      <c r="H38" t="s">
        <v>13</v>
      </c>
      <c r="I38" t="s">
        <v>13</v>
      </c>
      <c r="J38">
        <v>0.8125</v>
      </c>
      <c r="L38">
        <f t="shared" si="0"/>
        <v>0.28655056418610525</v>
      </c>
    </row>
    <row r="40" spans="1:12" ht="14.25" customHeight="1" x14ac:dyDescent="0.45">
      <c r="A40">
        <v>1.4</v>
      </c>
      <c r="B40" t="s">
        <v>21</v>
      </c>
      <c r="C40" t="s">
        <v>39</v>
      </c>
      <c r="D40" s="9" t="s">
        <v>40</v>
      </c>
      <c r="E40" s="9"/>
      <c r="F40" s="9" t="s">
        <v>41</v>
      </c>
      <c r="G40" s="9"/>
      <c r="H40" s="9" t="s">
        <v>42</v>
      </c>
      <c r="I40" s="9"/>
    </row>
    <row r="41" spans="1:12" ht="14.25" customHeight="1" x14ac:dyDescent="0.45">
      <c r="D41" s="14" t="s">
        <v>43</v>
      </c>
      <c r="E41" s="15" t="s">
        <v>44</v>
      </c>
      <c r="F41" s="14" t="s">
        <v>43</v>
      </c>
      <c r="G41" s="15" t="s">
        <v>44</v>
      </c>
      <c r="H41" s="14" t="s">
        <v>43</v>
      </c>
      <c r="I41" s="15" t="s">
        <v>44</v>
      </c>
      <c r="J41" s="16" t="s">
        <v>51</v>
      </c>
    </row>
    <row r="42" spans="1:12" ht="14.25" customHeight="1" x14ac:dyDescent="0.45">
      <c r="B42" t="s">
        <v>46</v>
      </c>
      <c r="C42">
        <v>70</v>
      </c>
      <c r="D42" t="s">
        <v>13</v>
      </c>
      <c r="E42" t="s">
        <v>13</v>
      </c>
      <c r="F42">
        <v>17.7777777777778</v>
      </c>
      <c r="G42">
        <v>0</v>
      </c>
      <c r="H42" t="s">
        <v>13</v>
      </c>
      <c r="I42" t="s">
        <v>13</v>
      </c>
      <c r="J42">
        <v>0.88111111111111096</v>
      </c>
      <c r="L42">
        <f>F42/38</f>
        <v>0.46783625730994211</v>
      </c>
    </row>
    <row r="43" spans="1:12" ht="14.25" customHeight="1" x14ac:dyDescent="0.45">
      <c r="B43" t="s">
        <v>47</v>
      </c>
      <c r="C43">
        <v>15</v>
      </c>
      <c r="D43" t="s">
        <v>13</v>
      </c>
      <c r="E43" t="s">
        <v>13</v>
      </c>
      <c r="F43" t="s">
        <v>13</v>
      </c>
      <c r="G43" t="s">
        <v>13</v>
      </c>
      <c r="H43" t="s">
        <v>13</v>
      </c>
      <c r="I43" t="s">
        <v>13</v>
      </c>
      <c r="J43" t="s">
        <v>13</v>
      </c>
      <c r="L43" t="e">
        <f>F43/38</f>
        <v>#VALUE!</v>
      </c>
    </row>
    <row r="44" spans="1:12" ht="14.25" customHeight="1" x14ac:dyDescent="0.45">
      <c r="B44" t="s">
        <v>48</v>
      </c>
      <c r="C44">
        <v>17</v>
      </c>
      <c r="D44" t="s">
        <v>13</v>
      </c>
      <c r="E44" t="s">
        <v>13</v>
      </c>
      <c r="F44" t="s">
        <v>13</v>
      </c>
      <c r="G44" t="s">
        <v>13</v>
      </c>
      <c r="H44" t="s">
        <v>13</v>
      </c>
      <c r="I44" t="s">
        <v>13</v>
      </c>
      <c r="J44" t="s">
        <v>13</v>
      </c>
      <c r="L44" t="e">
        <f>F44/38</f>
        <v>#VALUE!</v>
      </c>
    </row>
    <row r="45" spans="1:12" ht="14.25" customHeight="1" x14ac:dyDescent="0.45">
      <c r="B45" t="s">
        <v>49</v>
      </c>
      <c r="C45">
        <v>26</v>
      </c>
      <c r="D45" t="s">
        <v>13</v>
      </c>
      <c r="E45" t="s">
        <v>13</v>
      </c>
      <c r="F45">
        <v>60</v>
      </c>
      <c r="G45">
        <v>60</v>
      </c>
      <c r="H45" t="s">
        <v>13</v>
      </c>
      <c r="I45" t="s">
        <v>13</v>
      </c>
      <c r="J45">
        <v>0.8</v>
      </c>
      <c r="L45">
        <f>F45/38</f>
        <v>1.5789473684210527</v>
      </c>
    </row>
    <row r="46" spans="1:12" ht="14.25" customHeight="1" x14ac:dyDescent="0.45">
      <c r="B46" t="s">
        <v>50</v>
      </c>
      <c r="C46">
        <v>12</v>
      </c>
      <c r="D46" t="s">
        <v>13</v>
      </c>
      <c r="E46" t="s">
        <v>13</v>
      </c>
      <c r="F46">
        <v>5.71428571428571</v>
      </c>
      <c r="G46">
        <v>0</v>
      </c>
      <c r="H46" t="s">
        <v>13</v>
      </c>
      <c r="I46" t="s">
        <v>13</v>
      </c>
      <c r="J46">
        <v>0.90428571428571403</v>
      </c>
      <c r="L46">
        <f>F46/38</f>
        <v>0.15037593984962394</v>
      </c>
    </row>
    <row r="48" spans="1:12" ht="14.25" customHeight="1" x14ac:dyDescent="0.45">
      <c r="A48">
        <v>1.5</v>
      </c>
      <c r="B48" t="s">
        <v>23</v>
      </c>
      <c r="C48" t="s">
        <v>39</v>
      </c>
      <c r="D48" s="9" t="s">
        <v>40</v>
      </c>
      <c r="E48" s="9"/>
      <c r="F48" s="9" t="s">
        <v>41</v>
      </c>
      <c r="G48" s="9"/>
      <c r="H48" s="9" t="s">
        <v>42</v>
      </c>
      <c r="I48" s="9"/>
      <c r="L48" s="17" t="s">
        <v>52</v>
      </c>
    </row>
    <row r="49" spans="1:11" ht="14.25" customHeight="1" x14ac:dyDescent="0.45">
      <c r="D49" s="14" t="s">
        <v>43</v>
      </c>
      <c r="E49" s="15" t="s">
        <v>44</v>
      </c>
      <c r="F49" s="14" t="s">
        <v>43</v>
      </c>
      <c r="G49" s="15" t="s">
        <v>44</v>
      </c>
      <c r="H49" s="14" t="s">
        <v>43</v>
      </c>
      <c r="I49" s="15" t="s">
        <v>44</v>
      </c>
    </row>
    <row r="50" spans="1:11" ht="14.25" customHeight="1" x14ac:dyDescent="0.45">
      <c r="B50" t="s">
        <v>46</v>
      </c>
      <c r="C50">
        <v>69</v>
      </c>
      <c r="D50">
        <v>3.9067766454079398</v>
      </c>
      <c r="E50">
        <v>3.0255000000000001</v>
      </c>
      <c r="F50">
        <v>2.5591816907483902</v>
      </c>
      <c r="G50">
        <v>1.4319766094458399</v>
      </c>
      <c r="H50">
        <v>2.7791568833970999</v>
      </c>
      <c r="I50">
        <v>2.3542000000000001</v>
      </c>
    </row>
    <row r="51" spans="1:11" ht="14.25" customHeight="1" x14ac:dyDescent="0.45">
      <c r="B51" t="s">
        <v>47</v>
      </c>
      <c r="C51">
        <v>15</v>
      </c>
      <c r="D51">
        <v>2.0674800000000002</v>
      </c>
      <c r="E51">
        <v>2.2707999999999999</v>
      </c>
      <c r="F51">
        <v>8.6866666666666707E-3</v>
      </c>
      <c r="G51">
        <v>0</v>
      </c>
      <c r="H51">
        <v>2.0675429270604799</v>
      </c>
      <c r="I51">
        <v>2.2710143284444499</v>
      </c>
    </row>
    <row r="52" spans="1:11" ht="14.25" customHeight="1" x14ac:dyDescent="0.45">
      <c r="B52" t="s">
        <v>48</v>
      </c>
      <c r="C52">
        <v>17</v>
      </c>
      <c r="D52">
        <v>2.4411235294117599</v>
      </c>
      <c r="E52">
        <v>1.9802999999999999</v>
      </c>
      <c r="F52">
        <v>5.8570588235294103E-2</v>
      </c>
      <c r="G52">
        <v>0</v>
      </c>
      <c r="H52">
        <v>2.3825529411764701</v>
      </c>
      <c r="I52">
        <v>1.9802999999999999</v>
      </c>
    </row>
    <row r="53" spans="1:11" ht="14.25" customHeight="1" x14ac:dyDescent="0.45">
      <c r="B53" t="s">
        <v>49</v>
      </c>
      <c r="C53">
        <v>26</v>
      </c>
      <c r="D53">
        <v>4.6742909035506903</v>
      </c>
      <c r="E53">
        <v>4</v>
      </c>
      <c r="F53">
        <v>3.9515464920269499</v>
      </c>
      <c r="G53">
        <v>2.6230813204249799</v>
      </c>
      <c r="H53">
        <v>3.9078275045155899</v>
      </c>
      <c r="I53">
        <v>3.1972697105124599</v>
      </c>
    </row>
    <row r="54" spans="1:11" ht="14.25" customHeight="1" x14ac:dyDescent="0.45">
      <c r="B54" t="s">
        <v>50</v>
      </c>
      <c r="C54">
        <v>11</v>
      </c>
      <c r="D54">
        <v>6.8658840946208999</v>
      </c>
      <c r="E54">
        <v>3.1316941261879299</v>
      </c>
      <c r="F54">
        <v>6.6106661699034799</v>
      </c>
      <c r="G54">
        <v>3.1316941261879299</v>
      </c>
      <c r="H54">
        <v>1.69470599373519</v>
      </c>
      <c r="I54">
        <v>1.1667000000000001</v>
      </c>
    </row>
    <row r="55" spans="1:11" ht="14.25" customHeight="1" x14ac:dyDescent="0.45">
      <c r="A55" s="8"/>
      <c r="B55" s="8"/>
      <c r="C55" s="8"/>
      <c r="D55" s="8"/>
      <c r="E55" s="8"/>
      <c r="F55" s="8"/>
      <c r="G55" s="8"/>
      <c r="H55" s="8"/>
      <c r="I55" s="8"/>
      <c r="K55">
        <f>E62</f>
        <v>6.6106661699034799</v>
      </c>
    </row>
    <row r="56" spans="1:11" ht="14.25" customHeight="1" x14ac:dyDescent="0.45">
      <c r="D56" s="9"/>
      <c r="E56" s="9"/>
      <c r="F56" s="9"/>
      <c r="G56" s="9"/>
      <c r="H56" s="9"/>
      <c r="I56" s="9"/>
    </row>
    <row r="57" spans="1:11" ht="14.25" customHeight="1" x14ac:dyDescent="0.45">
      <c r="E57" t="s">
        <v>23</v>
      </c>
      <c r="F57" t="s">
        <v>20</v>
      </c>
      <c r="G57" t="s">
        <v>21</v>
      </c>
      <c r="H57" t="s">
        <v>18</v>
      </c>
      <c r="I57" t="s">
        <v>12</v>
      </c>
    </row>
    <row r="58" spans="1:11" ht="14.25" customHeight="1" x14ac:dyDescent="0.45">
      <c r="B58" t="s">
        <v>46</v>
      </c>
      <c r="E58">
        <v>2.5591816907483902</v>
      </c>
      <c r="F58">
        <v>0.36379616633876799</v>
      </c>
      <c r="G58">
        <v>0.46783625730994199</v>
      </c>
      <c r="H58">
        <v>1.7285923346781</v>
      </c>
      <c r="I58">
        <v>0.97338936364638595</v>
      </c>
    </row>
    <row r="59" spans="1:11" ht="14.25" customHeight="1" x14ac:dyDescent="0.45">
      <c r="B59" t="s">
        <v>47</v>
      </c>
      <c r="E59">
        <v>8.6866666666666707E-3</v>
      </c>
      <c r="F59">
        <v>2.1478316994946099E-2</v>
      </c>
      <c r="G59">
        <v>0</v>
      </c>
      <c r="H59">
        <v>1.9100477000225</v>
      </c>
      <c r="I59">
        <v>1.3918803425980599</v>
      </c>
    </row>
    <row r="60" spans="1:11" ht="14.25" customHeight="1" x14ac:dyDescent="0.45">
      <c r="B60" t="s">
        <v>48</v>
      </c>
      <c r="E60">
        <v>5.8570588235294103E-2</v>
      </c>
      <c r="F60">
        <v>0.99384330792170905</v>
      </c>
      <c r="G60">
        <v>0</v>
      </c>
      <c r="H60">
        <v>1.0000614266647601</v>
      </c>
      <c r="I60">
        <v>1.0448125440156899</v>
      </c>
    </row>
    <row r="61" spans="1:11" ht="14.25" customHeight="1" x14ac:dyDescent="0.45">
      <c r="B61" t="s">
        <v>49</v>
      </c>
      <c r="E61">
        <v>3.9515464920269499</v>
      </c>
      <c r="F61">
        <v>0.18498514938027799</v>
      </c>
      <c r="G61">
        <v>1.57894736842105</v>
      </c>
      <c r="H61">
        <v>1.93658518055866</v>
      </c>
      <c r="I61">
        <v>0.81535366383296903</v>
      </c>
    </row>
    <row r="62" spans="1:11" ht="14.25" customHeight="1" x14ac:dyDescent="0.45">
      <c r="B62" t="s">
        <v>50</v>
      </c>
      <c r="E62">
        <v>6.6106661699034799</v>
      </c>
      <c r="F62">
        <v>0.28655056418610497</v>
      </c>
      <c r="G62">
        <v>0.150375939849624</v>
      </c>
      <c r="H62">
        <v>2.08320741494193</v>
      </c>
      <c r="I62">
        <v>0.66335638400654695</v>
      </c>
    </row>
    <row r="64" spans="1:11" ht="14.25" customHeight="1" x14ac:dyDescent="0.45">
      <c r="D64" s="9"/>
      <c r="E64" s="9"/>
      <c r="F64" s="9"/>
      <c r="G64" s="9"/>
      <c r="H64" s="9"/>
      <c r="I64" s="9"/>
    </row>
    <row r="65" spans="3:19" ht="14.25" customHeight="1" x14ac:dyDescent="0.45">
      <c r="D65" s="14"/>
      <c r="E65" s="15"/>
      <c r="F65" s="14"/>
      <c r="G65" s="15"/>
      <c r="H65" s="14"/>
      <c r="I65" s="15"/>
    </row>
    <row r="69" spans="3:19" ht="14.25" customHeight="1" x14ac:dyDescent="0.45">
      <c r="K69" s="11" t="s">
        <v>6</v>
      </c>
      <c r="L69" s="11" t="s">
        <v>7</v>
      </c>
      <c r="M69" s="11" t="s">
        <v>10</v>
      </c>
      <c r="N69" s="11" t="s">
        <v>53</v>
      </c>
      <c r="O69" s="11" t="s">
        <v>47</v>
      </c>
      <c r="P69" s="11" t="s">
        <v>48</v>
      </c>
      <c r="Q69" s="11" t="s">
        <v>49</v>
      </c>
      <c r="R69" s="11" t="s">
        <v>50</v>
      </c>
      <c r="S69" s="11" t="s">
        <v>54</v>
      </c>
    </row>
    <row r="70" spans="3:19" ht="14.25" customHeight="1" x14ac:dyDescent="0.45">
      <c r="K70" t="s">
        <v>14</v>
      </c>
      <c r="L70" t="s">
        <v>15</v>
      </c>
      <c r="M70" t="s">
        <v>16</v>
      </c>
      <c r="N70">
        <v>15718</v>
      </c>
      <c r="O70">
        <v>15</v>
      </c>
      <c r="P70">
        <v>17</v>
      </c>
      <c r="Q70">
        <v>26</v>
      </c>
      <c r="R70">
        <v>11</v>
      </c>
      <c r="S70">
        <v>69</v>
      </c>
    </row>
    <row r="71" spans="3:19" ht="14.25" customHeight="1" x14ac:dyDescent="0.45">
      <c r="K71" t="s">
        <v>14</v>
      </c>
      <c r="L71" t="s">
        <v>24</v>
      </c>
      <c r="M71" t="s">
        <v>16</v>
      </c>
      <c r="N71">
        <v>13224</v>
      </c>
      <c r="O71">
        <v>33</v>
      </c>
      <c r="P71">
        <v>0</v>
      </c>
      <c r="Q71">
        <v>38</v>
      </c>
      <c r="R71">
        <v>14</v>
      </c>
      <c r="S71">
        <v>85</v>
      </c>
    </row>
    <row r="72" spans="3:19" ht="14.25" customHeight="1" x14ac:dyDescent="0.45">
      <c r="D72" s="9"/>
      <c r="E72" s="9"/>
      <c r="F72" s="9"/>
      <c r="G72" s="9"/>
      <c r="H72" s="9"/>
      <c r="I72" s="9"/>
      <c r="K72" t="s">
        <v>25</v>
      </c>
      <c r="L72" t="s">
        <v>24</v>
      </c>
      <c r="M72" t="s">
        <v>16</v>
      </c>
      <c r="N72">
        <v>17948</v>
      </c>
      <c r="O72">
        <v>38</v>
      </c>
      <c r="P72">
        <v>6</v>
      </c>
      <c r="Q72">
        <v>2</v>
      </c>
      <c r="R72">
        <v>31</v>
      </c>
      <c r="S72">
        <v>77</v>
      </c>
    </row>
    <row r="73" spans="3:19" ht="14.25" customHeight="1" x14ac:dyDescent="0.45">
      <c r="D73" s="14"/>
      <c r="E73" s="15"/>
      <c r="F73" s="14"/>
      <c r="G73" s="15"/>
      <c r="H73" s="14"/>
      <c r="I73" s="15"/>
      <c r="K73" t="s">
        <v>26</v>
      </c>
      <c r="L73" t="s">
        <v>24</v>
      </c>
      <c r="M73" t="s">
        <v>27</v>
      </c>
      <c r="N73">
        <v>1738</v>
      </c>
      <c r="O73">
        <v>5</v>
      </c>
      <c r="P73">
        <v>8</v>
      </c>
      <c r="Q73">
        <v>0</v>
      </c>
      <c r="R73">
        <v>6</v>
      </c>
      <c r="S73">
        <v>19</v>
      </c>
    </row>
    <row r="74" spans="3:19" ht="14.25" customHeight="1" x14ac:dyDescent="0.45">
      <c r="K74" t="s">
        <v>26</v>
      </c>
      <c r="L74" t="s">
        <v>15</v>
      </c>
      <c r="M74" t="s">
        <v>27</v>
      </c>
      <c r="N74">
        <v>1738</v>
      </c>
      <c r="O74">
        <v>11</v>
      </c>
      <c r="P74">
        <v>7</v>
      </c>
      <c r="Q74">
        <v>0</v>
      </c>
      <c r="R74">
        <v>8</v>
      </c>
      <c r="S74">
        <v>26</v>
      </c>
    </row>
    <row r="75" spans="3:19" ht="14.25" customHeight="1" x14ac:dyDescent="0.45">
      <c r="K75" t="s">
        <v>30</v>
      </c>
      <c r="L75" t="s">
        <v>31</v>
      </c>
      <c r="M75" t="s">
        <v>16</v>
      </c>
      <c r="N75">
        <v>10746</v>
      </c>
      <c r="O75">
        <v>14</v>
      </c>
      <c r="P75">
        <v>3</v>
      </c>
      <c r="Q75">
        <v>83</v>
      </c>
      <c r="R75">
        <v>11</v>
      </c>
      <c r="S75">
        <v>111</v>
      </c>
    </row>
    <row r="76" spans="3:19" ht="14.25" customHeight="1" x14ac:dyDescent="0.45">
      <c r="K76" t="s">
        <v>33</v>
      </c>
      <c r="L76" t="s">
        <v>34</v>
      </c>
      <c r="M76" t="s">
        <v>35</v>
      </c>
      <c r="N76">
        <v>2334</v>
      </c>
      <c r="O76">
        <v>0</v>
      </c>
      <c r="P76">
        <v>4</v>
      </c>
      <c r="Q76">
        <v>18</v>
      </c>
      <c r="R76">
        <v>14</v>
      </c>
      <c r="S76">
        <v>36</v>
      </c>
    </row>
    <row r="77" spans="3:19" ht="14.25" customHeight="1" x14ac:dyDescent="0.45">
      <c r="C77" s="18"/>
    </row>
    <row r="79" spans="3:19" ht="14.25" customHeight="1" x14ac:dyDescent="0.45">
      <c r="N79">
        <v>5</v>
      </c>
      <c r="P79" t="s">
        <v>47</v>
      </c>
    </row>
    <row r="80" spans="3:19" ht="14.25" customHeight="1" x14ac:dyDescent="0.45">
      <c r="D80" s="9"/>
      <c r="E80" s="9"/>
      <c r="F80" s="9"/>
      <c r="G80" s="9"/>
      <c r="H80" s="9"/>
      <c r="I80" s="9"/>
      <c r="P80" t="s">
        <v>55</v>
      </c>
      <c r="Q80">
        <v>7</v>
      </c>
    </row>
    <row r="81" spans="3:21" ht="14.25" customHeight="1" x14ac:dyDescent="0.45">
      <c r="D81" s="14"/>
      <c r="E81" s="15"/>
      <c r="F81" s="14"/>
      <c r="G81" s="15"/>
      <c r="H81" s="14"/>
      <c r="I81" s="15"/>
      <c r="P81" t="s">
        <v>49</v>
      </c>
      <c r="Q81">
        <v>0</v>
      </c>
      <c r="T81" t="s">
        <v>47</v>
      </c>
      <c r="U81">
        <v>33</v>
      </c>
    </row>
    <row r="82" spans="3:21" ht="14.25" customHeight="1" x14ac:dyDescent="0.45">
      <c r="P82" t="s">
        <v>50</v>
      </c>
      <c r="Q82">
        <v>8</v>
      </c>
    </row>
    <row r="83" spans="3:21" ht="14.25" customHeight="1" x14ac:dyDescent="0.45">
      <c r="N83">
        <v>0</v>
      </c>
      <c r="P83" t="s">
        <v>56</v>
      </c>
      <c r="Q83">
        <v>0</v>
      </c>
      <c r="T83" t="s">
        <v>49</v>
      </c>
      <c r="U83">
        <v>38</v>
      </c>
    </row>
    <row r="84" spans="3:21" ht="14.25" customHeight="1" x14ac:dyDescent="0.45">
      <c r="T84" t="s">
        <v>50</v>
      </c>
      <c r="U84">
        <v>14</v>
      </c>
    </row>
    <row r="85" spans="3:21" ht="14.25" customHeight="1" x14ac:dyDescent="0.45">
      <c r="C85" s="18"/>
      <c r="T85" t="s">
        <v>47</v>
      </c>
      <c r="U85">
        <v>14</v>
      </c>
    </row>
    <row r="86" spans="3:21" ht="14.25" customHeight="1" x14ac:dyDescent="0.45">
      <c r="O86" t="s">
        <v>47</v>
      </c>
      <c r="S86" t="s">
        <v>47</v>
      </c>
      <c r="T86" t="s">
        <v>55</v>
      </c>
      <c r="U86">
        <v>3</v>
      </c>
    </row>
    <row r="87" spans="3:21" ht="14.25" customHeight="1" x14ac:dyDescent="0.45">
      <c r="O87" t="s">
        <v>55</v>
      </c>
      <c r="S87" t="s">
        <v>55</v>
      </c>
      <c r="T87" t="s">
        <v>49</v>
      </c>
      <c r="U87">
        <v>83</v>
      </c>
    </row>
    <row r="88" spans="3:21" ht="14.25" customHeight="1" x14ac:dyDescent="0.45">
      <c r="D88" s="9"/>
      <c r="E88" s="9"/>
      <c r="F88" s="9"/>
      <c r="G88" s="9"/>
      <c r="H88" s="9"/>
      <c r="I88" s="9"/>
      <c r="O88" t="s">
        <v>49</v>
      </c>
      <c r="S88" t="s">
        <v>49</v>
      </c>
      <c r="T88" t="s">
        <v>50</v>
      </c>
      <c r="U88">
        <v>11</v>
      </c>
    </row>
    <row r="89" spans="3:21" ht="14.25" customHeight="1" x14ac:dyDescent="0.45">
      <c r="D89" s="14"/>
      <c r="E89" s="15"/>
      <c r="F89" s="14"/>
      <c r="G89" s="15"/>
      <c r="H89" s="14"/>
      <c r="I89" s="15"/>
      <c r="O89" t="s">
        <v>50</v>
      </c>
      <c r="S89" t="s">
        <v>50</v>
      </c>
    </row>
    <row r="94" spans="3:21" ht="14.25" customHeight="1" x14ac:dyDescent="0.45">
      <c r="P94" t="s">
        <v>46</v>
      </c>
      <c r="Q94">
        <v>69</v>
      </c>
    </row>
    <row r="95" spans="3:21" ht="14.25" customHeight="1" x14ac:dyDescent="0.45">
      <c r="P95" t="s">
        <v>47</v>
      </c>
      <c r="Q95">
        <v>15</v>
      </c>
    </row>
    <row r="96" spans="3:21" ht="14.25" customHeight="1" x14ac:dyDescent="0.45">
      <c r="D96" s="9"/>
      <c r="E96" s="9"/>
      <c r="F96" s="9"/>
      <c r="G96" s="9"/>
      <c r="H96" s="9"/>
      <c r="I96" s="9"/>
      <c r="P96" t="s">
        <v>48</v>
      </c>
      <c r="Q96">
        <v>17</v>
      </c>
    </row>
    <row r="97" spans="1:17" ht="14.25" customHeight="1" x14ac:dyDescent="0.45">
      <c r="D97" s="14"/>
      <c r="E97" s="15"/>
      <c r="F97" s="14"/>
      <c r="G97" s="15"/>
      <c r="H97" s="14"/>
      <c r="I97" s="15"/>
      <c r="P97" t="s">
        <v>49</v>
      </c>
      <c r="Q97">
        <v>26</v>
      </c>
    </row>
    <row r="98" spans="1:17" ht="14.25" customHeight="1" x14ac:dyDescent="0.45">
      <c r="P98" t="s">
        <v>50</v>
      </c>
      <c r="Q98">
        <v>11</v>
      </c>
    </row>
    <row r="99" spans="1:17" ht="14.25" customHeight="1" x14ac:dyDescent="0.45">
      <c r="C99" s="18"/>
    </row>
    <row r="103" spans="1:17" ht="14.25" customHeight="1" x14ac:dyDescent="0.45">
      <c r="A103" s="8"/>
      <c r="B103" s="8"/>
      <c r="C103" s="8"/>
      <c r="D103" s="8"/>
      <c r="E103" s="8"/>
      <c r="F103" s="8"/>
      <c r="G103" s="8"/>
      <c r="H103" s="8"/>
      <c r="I103" s="8"/>
    </row>
    <row r="104" spans="1:17" ht="14.25" customHeight="1" x14ac:dyDescent="0.45">
      <c r="D104" s="9"/>
      <c r="E104" s="9"/>
      <c r="F104" s="9"/>
      <c r="G104" s="9"/>
      <c r="H104" s="9"/>
      <c r="I104" s="9"/>
    </row>
    <row r="105" spans="1:17" ht="14.25" customHeight="1" x14ac:dyDescent="0.45">
      <c r="D105" s="14"/>
      <c r="E105" s="15"/>
      <c r="F105" s="14"/>
      <c r="G105" s="15"/>
      <c r="H105" s="14"/>
      <c r="I105" s="15"/>
    </row>
    <row r="119" spans="10:17" ht="14.25" customHeight="1" x14ac:dyDescent="0.45">
      <c r="J119" s="11" t="s">
        <v>6</v>
      </c>
      <c r="K119" s="11" t="s">
        <v>2</v>
      </c>
      <c r="L119" s="11" t="s">
        <v>3</v>
      </c>
      <c r="M119" s="11" t="s">
        <v>4</v>
      </c>
      <c r="N119" s="11" t="s">
        <v>5</v>
      </c>
      <c r="O119" s="11" t="s">
        <v>9</v>
      </c>
      <c r="P119" s="11"/>
      <c r="Q119" s="11"/>
    </row>
    <row r="120" spans="10:17" ht="14.25" customHeight="1" x14ac:dyDescent="0.45">
      <c r="J120" t="s">
        <v>14</v>
      </c>
      <c r="K120">
        <v>0.26</v>
      </c>
      <c r="L120">
        <v>47311</v>
      </c>
      <c r="M120">
        <v>947</v>
      </c>
      <c r="N120">
        <v>10.792</v>
      </c>
      <c r="O120">
        <v>69</v>
      </c>
    </row>
    <row r="121" spans="10:17" ht="14.25" customHeight="1" x14ac:dyDescent="0.45">
      <c r="J121" t="s">
        <v>14</v>
      </c>
      <c r="K121">
        <v>0.26</v>
      </c>
      <c r="L121">
        <v>46611</v>
      </c>
      <c r="M121">
        <v>1132</v>
      </c>
      <c r="N121" s="12">
        <v>15.851000000000001</v>
      </c>
      <c r="O121">
        <v>85</v>
      </c>
    </row>
    <row r="122" spans="10:17" ht="14.25" customHeight="1" x14ac:dyDescent="0.45">
      <c r="J122" t="s">
        <v>25</v>
      </c>
      <c r="K122">
        <v>0.19</v>
      </c>
      <c r="L122">
        <v>34810</v>
      </c>
      <c r="M122">
        <v>649</v>
      </c>
      <c r="N122">
        <v>8.093</v>
      </c>
      <c r="O122">
        <v>77</v>
      </c>
    </row>
    <row r="123" spans="10:17" ht="14.25" customHeight="1" x14ac:dyDescent="0.45">
      <c r="J123" t="s">
        <v>26</v>
      </c>
      <c r="K123">
        <v>0.13</v>
      </c>
      <c r="L123">
        <v>26238</v>
      </c>
      <c r="M123">
        <v>201</v>
      </c>
      <c r="N123" s="12">
        <v>3.0840000000000001</v>
      </c>
      <c r="O123">
        <v>19</v>
      </c>
    </row>
    <row r="124" spans="10:17" ht="14.25" customHeight="1" x14ac:dyDescent="0.45">
      <c r="J124" t="s">
        <v>26</v>
      </c>
      <c r="K124">
        <v>0.15</v>
      </c>
      <c r="L124">
        <v>27172</v>
      </c>
      <c r="M124">
        <v>285</v>
      </c>
      <c r="N124">
        <v>3.629</v>
      </c>
      <c r="O124">
        <v>26</v>
      </c>
    </row>
    <row r="125" spans="10:17" ht="14.25" customHeight="1" x14ac:dyDescent="0.45">
      <c r="J125" t="s">
        <v>30</v>
      </c>
      <c r="K125">
        <v>0.23</v>
      </c>
      <c r="L125">
        <v>46611</v>
      </c>
      <c r="M125">
        <v>1132</v>
      </c>
      <c r="N125">
        <v>15.851000000000001</v>
      </c>
      <c r="O125">
        <v>111</v>
      </c>
    </row>
    <row r="126" spans="10:17" ht="14.25" customHeight="1" x14ac:dyDescent="0.45">
      <c r="J126" t="s">
        <v>33</v>
      </c>
      <c r="K126">
        <v>0.17</v>
      </c>
      <c r="L126">
        <v>32550</v>
      </c>
      <c r="M126">
        <v>330</v>
      </c>
      <c r="N126">
        <v>4.2910000000000004</v>
      </c>
      <c r="O126">
        <v>36</v>
      </c>
    </row>
  </sheetData>
  <mergeCells count="41">
    <mergeCell ref="A103:I103"/>
    <mergeCell ref="D104:E104"/>
    <mergeCell ref="F104:G104"/>
    <mergeCell ref="H104:I104"/>
    <mergeCell ref="D88:E88"/>
    <mergeCell ref="F88:G88"/>
    <mergeCell ref="H88:I88"/>
    <mergeCell ref="D96:E96"/>
    <mergeCell ref="F96:G96"/>
    <mergeCell ref="H96:I96"/>
    <mergeCell ref="D72:E72"/>
    <mergeCell ref="F72:G72"/>
    <mergeCell ref="H72:I72"/>
    <mergeCell ref="D80:E80"/>
    <mergeCell ref="F80:G80"/>
    <mergeCell ref="H80:I80"/>
    <mergeCell ref="A55:I55"/>
    <mergeCell ref="D56:E56"/>
    <mergeCell ref="F56:G56"/>
    <mergeCell ref="H56:I56"/>
    <mergeCell ref="D64:E64"/>
    <mergeCell ref="F64:G64"/>
    <mergeCell ref="H64:I64"/>
    <mergeCell ref="D40:E40"/>
    <mergeCell ref="F40:G40"/>
    <mergeCell ref="H40:I40"/>
    <mergeCell ref="D48:E48"/>
    <mergeCell ref="F48:G48"/>
    <mergeCell ref="H48:I48"/>
    <mergeCell ref="D24:E24"/>
    <mergeCell ref="F24:G24"/>
    <mergeCell ref="H24:I24"/>
    <mergeCell ref="D32:E32"/>
    <mergeCell ref="F32:G32"/>
    <mergeCell ref="H32:I32"/>
    <mergeCell ref="C2:E2"/>
    <mergeCell ref="C3:E3"/>
    <mergeCell ref="A15:I15"/>
    <mergeCell ref="D16:E16"/>
    <mergeCell ref="F16:G16"/>
    <mergeCell ref="H16:I16"/>
  </mergeCells>
  <hyperlinks>
    <hyperlink ref="L9" r:id="rId1" xr:uid="{00000000-0004-0000-0000-000000000000}"/>
    <hyperlink ref="L10" r:id="rId2" xr:uid="{00000000-0004-0000-0000-000001000000}"/>
  </hyperlinks>
  <pageMargins left="0.7" right="0.7" top="0.75" bottom="0.75" header="0.511811023622047" footer="0.511811023622047"/>
  <pageSetup paperSize="9" orientation="portrait" horizontalDpi="300" verticalDpi="30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zoomScaleNormal="100" workbookViewId="0">
      <pane ySplit="4" topLeftCell="A5" activePane="bottomLeft" state="frozen"/>
      <selection pane="bottomLeft" activeCell="C29" sqref="C29"/>
    </sheetView>
  </sheetViews>
  <sheetFormatPr defaultColWidth="8.6640625" defaultRowHeight="14.25" x14ac:dyDescent="0.45"/>
  <cols>
    <col min="1" max="1" width="30" customWidth="1"/>
    <col min="2" max="2" width="11" customWidth="1"/>
    <col min="3" max="5" width="16" customWidth="1"/>
    <col min="6" max="6" width="11" customWidth="1"/>
    <col min="7" max="7" width="13" customWidth="1"/>
    <col min="8" max="8" width="14" customWidth="1"/>
    <col min="9" max="9" width="16" customWidth="1"/>
    <col min="10" max="10" width="13" customWidth="1"/>
    <col min="11" max="11" width="11" customWidth="1"/>
    <col min="12" max="12" width="16" customWidth="1"/>
  </cols>
  <sheetData>
    <row r="1" spans="1:12" ht="25.5" customHeight="1" x14ac:dyDescent="0.5">
      <c r="A1" s="7" t="s">
        <v>57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2" ht="27.75" customHeight="1" x14ac:dyDescent="0.4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4" spans="1:12" ht="42" customHeight="1" x14ac:dyDescent="0.45">
      <c r="A4" s="20" t="s">
        <v>58</v>
      </c>
      <c r="B4" s="20" t="s">
        <v>59</v>
      </c>
      <c r="C4" s="20" t="s">
        <v>60</v>
      </c>
      <c r="D4" s="20" t="s">
        <v>61</v>
      </c>
      <c r="E4" s="20" t="s">
        <v>62</v>
      </c>
      <c r="F4" s="20" t="s">
        <v>63</v>
      </c>
      <c r="G4" s="20" t="s">
        <v>64</v>
      </c>
      <c r="H4" s="20" t="s">
        <v>65</v>
      </c>
      <c r="I4" s="20" t="s">
        <v>66</v>
      </c>
      <c r="J4" s="20" t="s">
        <v>67</v>
      </c>
      <c r="K4" s="20" t="s">
        <v>68</v>
      </c>
      <c r="L4" s="21" t="s">
        <v>69</v>
      </c>
    </row>
    <row r="5" spans="1:12" ht="14.25" customHeight="1" x14ac:dyDescent="0.45">
      <c r="A5" s="22" t="s">
        <v>70</v>
      </c>
      <c r="B5" s="23">
        <f>COUNTA('Basic L1'!$B$2:$B$20)+COUNTA('Basic L2'!$B$2:$B$27)+COUNTA('Advanced L1'!$B$2:$B$78)+COUNTA('Germany L1'!$B$2:$B$37)+COUNTA('Japan L7'!$B$2:$B$112)+COUNTA('Snowden Tower L1'!$B$2:$B$86)+COUNTA('Snowden Tower L2'!$B$2:$B$70)</f>
        <v>423</v>
      </c>
      <c r="C5" s="24">
        <f>IF((COUNT('Basic L1'!$K$2:$K$20)+COUNT('Basic L2'!$K$2:$K$27)+COUNT('Advanced L1'!$K$2:$K$78)+COUNT('Germany L1'!$K$2:$K$37)+COUNT('Japan L7'!$K$2:$K$112)+COUNT('Snowden Tower L1'!$K$2:$K$86)+COUNT('Snowden Tower L2'!$K$2:$K$70))=0,"N/A",(SUM('Basic L1'!$K$2:$K$20)+SUM('Basic L2'!$K$2:$K$27)+SUM('Advanced L1'!$K$2:$K$78)+SUM('Germany L1'!$K$2:$K$37)+SUM('Japan L7'!$K$2:$K$112)+SUM('Snowden Tower L1'!$K$2:$K$86)+SUM('Snowden Tower L2'!$K$2:$K$70))/(COUNT('Basic L1'!$K$2:$K$20)+COUNT('Basic L2'!$K$2:$K$27)+COUNT('Advanced L1'!$K$2:$K$78)+COUNT('Germany L1'!$K$2:$K$37)+COUNT('Japan L7'!$K$2:$K$112)+COUNT('Snowden Tower L1'!$K$2:$K$86)+COUNT('Snowden Tower L2'!$K$2:$K$70)))</f>
        <v>4.1928494596689045</v>
      </c>
      <c r="D5" s="24">
        <f>IFERROR(MEDIAN('Basic L1'!$K$2:$K$20,'Basic L2'!$K$2:$K$27,'Advanced L1'!$K$2:$K$78,'Germany L1'!$K$2:$K$37,'Japan L7'!$K$2:$K$112,'Snowden Tower L1'!$K$2:$K$86,'Snowden Tower L2'!$K$2:$K$70),"N/A")</f>
        <v>1.4886000000000001</v>
      </c>
      <c r="E5" s="24">
        <f>IF((COUNT('Basic L1'!$K$2:$K$20)+COUNT('Basic L2'!$K$2:$K$27)+COUNT('Advanced L1'!$K$2:$K$78)+COUNT('Germany L1'!$K$2:$K$37)+COUNT('Japan L7'!$K$2:$K$112)+COUNT('Snowden Tower L1'!$K$2:$K$86)+COUNT('Snowden Tower L2'!$K$2:$K$70))=0,"N/A",SQRT((SUMSQ('Basic L1'!$K$2:$K$20)+SUMSQ('Basic L2'!$K$2:$K$27)+SUMSQ('Advanced L1'!$K$2:$K$78)+SUMSQ('Germany L1'!$K$2:$K$37)+SUMSQ('Japan L7'!$K$2:$K$112)+SUMSQ('Snowden Tower L1'!$K$2:$K$86)+SUMSQ('Snowden Tower L2'!$K$2:$K$70))/(COUNT('Basic L1'!$K$2:$K$20)+COUNT('Basic L2'!$K$2:$K$27)+COUNT('Advanced L1'!$K$2:$K$78)+COUNT('Germany L1'!$K$2:$K$37)+COUNT('Japan L7'!$K$2:$K$112)+COUNT('Snowden Tower L1'!$K$2:$K$86)+COUNT('Snowden Tower L2'!$K$2:$K$70))))</f>
        <v>11.280783950595973</v>
      </c>
      <c r="F5" s="25">
        <f>IF((COUNT('Basic L1'!$R$2:$R$20)+COUNT('Basic L2'!$R$2:$R$27)+COUNT('Advanced L1'!$R$2:$R$78)+COUNT('Germany L1'!$R$2:$R$37)+COUNT('Japan L7'!$R$2:$R$112)+COUNT('Snowden Tower L1'!$R$2:$R$86)+COUNT('Snowden Tower L2'!$R$2:$R$70))=0,"N/A",(COUNTIF('Basic L1'!$R$2:$R$20,1)+COUNTIF('Basic L2'!$R$2:$R$27,1)+COUNTIF('Advanced L1'!$R$2:$R$78,1)+COUNTIF('Germany L1'!$R$2:$R$37,1)+COUNTIF('Japan L7'!$R$2:$R$112,1)+COUNTIF('Snowden Tower L1'!$R$2:$R$86,1)+COUNTIF('Snowden Tower L2'!$R$2:$R$70,1))/(COUNT('Basic L1'!$R$2:$R$20)+COUNT('Basic L2'!$R$2:$R$27)+COUNT('Advanced L1'!$R$2:$R$78)+COUNT('Germany L1'!$R$2:$R$37)+COUNT('Japan L7'!$R$2:$R$112)+COUNT('Snowden Tower L1'!$R$2:$R$86)+COUNT('Snowden Tower L2'!$R$2:$R$70)))</f>
        <v>0.65038560411311053</v>
      </c>
      <c r="G5" s="25">
        <f>IF((COUNT('Basic L1'!$N$2:$N$20)+COUNT('Basic L2'!$N$2:$N$27)+COUNT('Advanced L1'!$N$2:$N$78)+COUNT('Germany L1'!$N$2:$N$37)+COUNT('Japan L7'!$N$2:$N$112)+COUNT('Snowden Tower L1'!$N$2:$N$86)+COUNT('Snowden Tower L2'!$N$2:$N$70))=0,"N/A",(SUM('Basic L1'!$N$2:$N$20)+SUM('Basic L2'!$N$2:$N$27)+SUM('Advanced L1'!$N$2:$N$78)+SUM('Germany L1'!$N$2:$N$37)+SUM('Japan L7'!$N$2:$N$112)+SUM('Snowden Tower L1'!$N$2:$N$86)+SUM('Snowden Tower L2'!$N$2:$N$70))/(COUNT('Basic L1'!$N$2:$N$20)+COUNT('Basic L2'!$N$2:$N$27)+COUNT('Advanced L1'!$N$2:$N$78)+COUNT('Germany L1'!$N$2:$N$37)+COUNT('Japan L7'!$N$2:$N$112)+COUNT('Snowden Tower L1'!$N$2:$N$86)+COUNT('Snowden Tower L2'!$N$2:$N$70)))</f>
        <v>-2.3968968875501662</v>
      </c>
      <c r="H5" s="24">
        <f>IF((COUNT('Basic L1'!$O$2:$O$20)+COUNT('Basic L2'!$O$2:$O$27)+COUNT('Advanced L1'!$O$2:$O$78)+COUNT('Germany L1'!$O$2:$O$37)+COUNT('Japan L7'!$O$2:$O$112)+COUNT('Snowden Tower L1'!$O$2:$O$86)+COUNT('Snowden Tower L2'!$O$2:$O$70))=0,"N/A",(SUM('Basic L1'!$O$2:$O$20)+SUM('Basic L2'!$O$2:$O$27)+SUM('Advanced L1'!$O$2:$O$78)+SUM('Germany L1'!$O$2:$O$37)+SUM('Japan L7'!$O$2:$O$112)+SUM('Snowden Tower L1'!$O$2:$O$86)+SUM('Snowden Tower L2'!$O$2:$O$70))/(COUNT('Basic L1'!$O$2:$O$20)+COUNT('Basic L2'!$O$2:$O$27)+COUNT('Advanced L1'!$O$2:$O$78)+COUNT('Germany L1'!$O$2:$O$37)+COUNT('Japan L7'!$O$2:$O$112)+COUNT('Snowden Tower L1'!$O$2:$O$86)+COUNT('Snowden Tower L2'!$O$2:$O$70)))</f>
        <v>0.58963511276101344</v>
      </c>
      <c r="I5" s="24">
        <f>IF((COUNT('Basic L1'!$S$2:$S$20)+COUNT('Basic L2'!$S$2:$S$27)+COUNT('Advanced L1'!$S$2:$S$78)+COUNT('Germany L1'!$S$2:$S$37)+COUNT('Japan L7'!$S$2:$S$112)+COUNT('Snowden Tower L1'!$S$2:$S$86)+COUNT('Snowden Tower L2'!$S$2:$S$70))=0,"N/A",(SUM('Basic L1'!$S$2:$S$20)+SUM('Basic L2'!$S$2:$S$27)+SUM('Advanced L1'!$S$2:$S$78)+SUM('Germany L1'!$S$2:$S$37)+SUM('Japan L7'!$S$2:$S$112)+SUM('Snowden Tower L1'!$S$2:$S$86)+SUM('Snowden Tower L2'!$S$2:$S$70))/(COUNT('Basic L1'!$S$2:$S$20)+COUNT('Basic L2'!$S$2:$S$27)+COUNT('Advanced L1'!$S$2:$S$78)+COUNT('Germany L1'!$S$2:$S$37)+COUNT('Japan L7'!$S$2:$S$112)+COUNT('Snowden Tower L1'!$S$2:$S$86)+COUNT('Snowden Tower L2'!$S$2:$S$70)))</f>
        <v>3.7541516419069887</v>
      </c>
      <c r="J5" s="25">
        <f>IF((COUNT('Basic L1'!$S$2:$S$20)+COUNT('Basic L2'!$S$2:$S$27)+COUNT('Advanced L1'!$S$2:$S$78)+COUNT('Germany L1'!$S$2:$S$37)+COUNT('Japan L7'!$S$2:$S$112)+COUNT('Snowden Tower L1'!$S$2:$S$86)+COUNT('Snowden Tower L2'!$S$2:$S$70))=0,"N/A",(COUNTIF('Basic L1'!$S$2:$S$20,"&gt;1")+COUNTIF('Basic L2'!$S$2:$S$27,"&gt;1")+COUNTIF('Advanced L1'!$S$2:$S$78,"&gt;1")+COUNTIF('Germany L1'!$S$2:$S$37,"&gt;1")+COUNTIF('Japan L7'!$S$2:$S$112,"&gt;1")+COUNTIF('Snowden Tower L1'!$S$2:$S$86,"&gt;1")+COUNTIF('Snowden Tower L2'!$S$2:$S$70,"&gt;1"))/(COUNT('Basic L1'!$S$2:$S$20)+COUNT('Basic L2'!$S$2:$S$27)+COUNT('Advanced L1'!$S$2:$S$78)+COUNT('Germany L1'!$S$2:$S$37)+COUNT('Japan L7'!$S$2:$S$112)+COUNT('Snowden Tower L1'!$S$2:$S$86)+COUNT('Snowden Tower L2'!$S$2:$S$70)))</f>
        <v>0.57069408740359895</v>
      </c>
      <c r="K5" s="23">
        <f>COUNTIF('Basic L1'!$K$2:$K$20,"&gt;15.0")+COUNTIF('Basic L2'!$K$2:$K$27,"&gt;15.0")+COUNTIF('Advanced L1'!$K$2:$K$78,"&gt;15.0")+COUNTIF('Germany L1'!$K$2:$K$37,"&gt;15.0")+COUNTIF('Japan L7'!$K$2:$K$112,"&gt;15.0")+COUNTIF('Snowden Tower L1'!$K$2:$K$86,"&gt;15.0")+COUNTIF('Snowden Tower L2'!$K$2:$K$70,"&gt;15.0")</f>
        <v>24</v>
      </c>
      <c r="L5" s="26">
        <v>19.488499999999998</v>
      </c>
    </row>
    <row r="6" spans="1:12" ht="14.25" customHeight="1" x14ac:dyDescent="0.45">
      <c r="A6" s="27" t="s">
        <v>47</v>
      </c>
      <c r="B6" s="28">
        <f>COUNTIF('Basic L1'!$B$2:$B$20,"Doors")+COUNTIF('Basic L2'!$B$2:$B$27,"Doors")+COUNTIF('Advanced L1'!$B$2:$B$78,"Doors")+COUNTIF('Germany L1'!$B$2:$B$37,"Doors")+COUNTIF('Japan L7'!$B$2:$B$112,"Doors")+COUNTIF('Snowden Tower L1'!$B$2:$B$86,"Doors")+COUNTIF('Snowden Tower L2'!$B$2:$B$70,"Doors")</f>
        <v>116</v>
      </c>
      <c r="C6" s="29">
        <f>IF((COUNTIFS('Basic L1'!$B$2:$B$20,"Doors",'Basic L1'!$K$2:$K$20,"&lt;&gt;")+COUNTIFS('Basic L2'!$B$2:$B$27,"Doors",'Basic L2'!$K$2:$K$27,"&lt;&gt;")+COUNTIFS('Advanced L1'!$B$2:$B$78,"Doors",'Advanced L1'!$K$2:$K$78,"&lt;&gt;")+COUNTIFS('Germany L1'!$B$2:$B$37,"Doors",'Germany L1'!$K$2:$K$37,"&lt;&gt;")+COUNTIFS('Japan L7'!$B$2:$B$112,"Doors",'Japan L7'!$K$2:$K$112,"&lt;&gt;")+COUNTIFS('Snowden Tower L1'!$B$2:$B$86,"Doors",'Snowden Tower L1'!$K$2:$K$86,"&lt;&gt;")+COUNTIFS('Snowden Tower L2'!$B$2:$B$70,"Doors",'Snowden Tower L2'!$K$2:$K$70,"&lt;&gt;"))=0,"N/A",(SUMIF('Basic L1'!$B$2:$B$20,"Doors",'Basic L1'!$K$2:$K$20)+SUMIF('Basic L2'!$B$2:$B$27,"Doors",'Basic L2'!$K$2:$K$27)+SUMIF('Advanced L1'!$B$2:$B$78,"Doors",'Advanced L1'!$K$2:$K$78)+SUMIF('Germany L1'!$B$2:$B$37,"Doors",'Germany L1'!$K$2:$K$37)+SUMIF('Japan L7'!$B$2:$B$112,"Doors",'Japan L7'!$K$2:$K$112)+SUMIF('Snowden Tower L1'!$B$2:$B$86,"Doors",'Snowden Tower L1'!$K$2:$K$86)+SUMIF('Snowden Tower L2'!$B$2:$B$70,"Doors",'Snowden Tower L2'!$K$2:$K$70))/(COUNTIFS('Basic L1'!$B$2:$B$20,"Doors",'Basic L1'!$K$2:$K$20,"&lt;&gt;")+COUNTIFS('Basic L2'!$B$2:$B$27,"Doors",'Basic L2'!$K$2:$K$27,"&lt;&gt;")+COUNTIFS('Advanced L1'!$B$2:$B$78,"Doors",'Advanced L1'!$K$2:$K$78,"&lt;&gt;")+COUNTIFS('Germany L1'!$B$2:$B$37,"Doors",'Germany L1'!$K$2:$K$37,"&lt;&gt;")+COUNTIFS('Japan L7'!$B$2:$B$112,"Doors",'Japan L7'!$K$2:$K$112,"&lt;&gt;")+COUNTIFS('Snowden Tower L1'!$B$2:$B$86,"Doors",'Snowden Tower L1'!$K$2:$K$86,"&lt;&gt;")+COUNTIFS('Snowden Tower L2'!$B$2:$B$70,"Doors",'Snowden Tower L2'!$K$2:$K$70,"&lt;&gt;")))</f>
        <v>6.6090860422537396</v>
      </c>
      <c r="D6" s="29">
        <f t="array" ref="D6">IFERROR(MEDIAN(IF('Basic L1'!$B$2:$B$20="Doors",'Basic L1'!$K$2:$K$20),IF('Basic L2'!$B$2:$B$27="Doors",'Basic L2'!$K$2:$K$27),IF('Advanced L1'!$B$2:$B$78="Doors",'Advanced L1'!$K$2:$K$78),IF('Germany L1'!$B$2:$B$37="Doors",'Germany L1'!$K$2:$K$37),IF('Japan L7'!$B$2:$B$112="Doors",'Japan L7'!$K$2:$K$112),IF('Snowden Tower L1'!$B$2:$B$86="Doors",'Snowden Tower L1'!$K$2:$K$86),IF('Snowden Tower L2'!$B$2:$B$70="Doors",'Snowden Tower L2'!$K$2:$K$70)),"N/A")</f>
        <v>1.3092000000000041</v>
      </c>
      <c r="E6" s="29">
        <f>IF((COUNTIFS('Basic L1'!$B$2:$B$20,"Doors",'Basic L1'!$K$2:$K$20,"&lt;&gt;")+COUNTIFS('Basic L2'!$B$2:$B$27,"Doors",'Basic L2'!$K$2:$K$27,"&lt;&gt;")+COUNTIFS('Advanced L1'!$B$2:$B$78,"Doors",'Advanced L1'!$K$2:$K$78,"&lt;&gt;")+COUNTIFS('Germany L1'!$B$2:$B$37,"Doors",'Germany L1'!$K$2:$K$37,"&lt;&gt;")+COUNTIFS('Japan L7'!$B$2:$B$112,"Doors",'Japan L7'!$K$2:$K$112,"&lt;&gt;")+COUNTIFS('Snowden Tower L1'!$B$2:$B$86,"Doors",'Snowden Tower L1'!$K$2:$K$86,"&lt;&gt;")+COUNTIFS('Snowden Tower L2'!$B$2:$B$70,"Doors",'Snowden Tower L2'!$K$2:$K$70,"&lt;&gt;"))=0,"N/A",SQRT((SUMPRODUCT(('Basic L1'!$B$2:$B$20="Doors")*('Basic L1'!$K$2:$K$20)*('Basic L1'!$K$2:$K$20))+SUMPRODUCT(('Basic L2'!$B$2:$B$27="Doors")*('Basic L2'!$K$2:$K$27)*('Basic L2'!$K$2:$K$27))+SUMPRODUCT(('Advanced L1'!$B$2:$B$78="Doors")*('Advanced L1'!$K$2:$K$78)*('Advanced L1'!$K$2:$K$78))+SUMPRODUCT(('Germany L1'!$B$2:$B$37="Doors")*('Germany L1'!$K$2:$K$37)*('Germany L1'!$K$2:$K$37))+SUMPRODUCT(('Japan L7'!$B$2:$B$112="Doors")*('Japan L7'!$K$2:$K$112)*('Japan L7'!$K$2:$K$112))+SUMPRODUCT(('Snowden Tower L1'!$B$2:$B$86="Doors")*('Snowden Tower L1'!$K$2:$K$86)*('Snowden Tower L1'!$K$2:$K$86))+SUMPRODUCT(('Snowden Tower L2'!$B$2:$B$70="Doors")*('Snowden Tower L2'!$K$2:$K$70)*('Snowden Tower L2'!$K$2:$K$70)))/(COUNTIFS('Basic L1'!$B$2:$B$20,"Doors",'Basic L1'!$K$2:$K$20,"&lt;&gt;")+COUNTIFS('Basic L2'!$B$2:$B$27,"Doors",'Basic L2'!$K$2:$K$27,"&lt;&gt;")+COUNTIFS('Advanced L1'!$B$2:$B$78,"Doors",'Advanced L1'!$K$2:$K$78,"&lt;&gt;")+COUNTIFS('Germany L1'!$B$2:$B$37,"Doors",'Germany L1'!$K$2:$K$37,"&lt;&gt;")+COUNTIFS('Japan L7'!$B$2:$B$112,"Doors",'Japan L7'!$K$2:$K$112,"&lt;&gt;")+COUNTIFS('Snowden Tower L1'!$B$2:$B$86,"Doors",'Snowden Tower L1'!$K$2:$K$86,"&lt;&gt;")+COUNTIFS('Snowden Tower L2'!$B$2:$B$70,"Doors",'Snowden Tower L2'!$K$2:$K$70,"&lt;&gt;"))))</f>
        <v>16.896493417417346</v>
      </c>
      <c r="F6" s="30">
        <f>IF((COUNTIFS('Basic L1'!$B$2:$B$20,"Doors",'Basic L1'!$R$2:$R$20,"&lt;&gt;")+COUNTIFS('Basic L2'!$B$2:$B$27,"Doors",'Basic L2'!$R$2:$R$27,"&lt;&gt;")+COUNTIFS('Advanced L1'!$B$2:$B$78,"Doors",'Advanced L1'!$R$2:$R$78,"&lt;&gt;")+COUNTIFS('Germany L1'!$B$2:$B$37,"Doors",'Germany L1'!$R$2:$R$37,"&lt;&gt;")+COUNTIFS('Japan L7'!$B$2:$B$112,"Doors",'Japan L7'!$R$2:$R$112,"&lt;&gt;")+COUNTIFS('Snowden Tower L1'!$B$2:$B$86,"Doors",'Snowden Tower L1'!$R$2:$R$86,"&lt;&gt;")+COUNTIFS('Snowden Tower L2'!$B$2:$B$70,"Doors",'Snowden Tower L2'!$R$2:$R$70,"&lt;&gt;"))=0,"N/A",(SUMIFS('Basic L1'!$R$2:$R$20,'Basic L1'!$B$2:$B$20,"Doors")+SUMIFS('Basic L2'!$R$2:$R$27,'Basic L2'!$B$2:$B$27,"Doors")+SUMIFS('Advanced L1'!$R$2:$R$78,'Advanced L1'!$B$2:$B$78,"Doors")+SUMIFS('Germany L1'!$R$2:$R$37,'Germany L1'!$B$2:$B$37,"Doors")+SUMIFS('Japan L7'!$R$2:$R$112,'Japan L7'!$B$2:$B$112,"Doors")+SUMIFS('Snowden Tower L1'!$R$2:$R$86,'Snowden Tower L1'!$B$2:$B$86,"Doors")+SUMIFS('Snowden Tower L2'!$R$2:$R$70,'Snowden Tower L2'!$B$2:$B$70,"Doors"))/(COUNTIFS('Basic L1'!$B$2:$B$20,"Doors",'Basic L1'!$R$2:$R$20,"&lt;&gt;")+COUNTIFS('Basic L2'!$B$2:$B$27,"Doors",'Basic L2'!$R$2:$R$27,"&lt;&gt;")+COUNTIFS('Advanced L1'!$B$2:$B$78,"Doors",'Advanced L1'!$R$2:$R$78,"&lt;&gt;")+COUNTIFS('Germany L1'!$B$2:$B$37,"Doors",'Germany L1'!$R$2:$R$37,"&lt;&gt;")+COUNTIFS('Japan L7'!$B$2:$B$112,"Doors",'Japan L7'!$R$2:$R$112,"&lt;&gt;")+COUNTIFS('Snowden Tower L1'!$B$2:$B$86,"Doors",'Snowden Tower L1'!$R$2:$R$86,"&lt;&gt;")+COUNTIFS('Snowden Tower L2'!$B$2:$B$70,"Doors",'Snowden Tower L2'!$R$2:$R$70,"&lt;&gt;")))</f>
        <v>0.58620689655172409</v>
      </c>
      <c r="G6" s="30">
        <f>IF((COUNTIFS('Basic L1'!$B$2:$B$20,"Doors",'Basic L1'!$N$2:$N$20,"&lt;&gt;")+COUNTIFS('Basic L2'!$B$2:$B$27,"Doors",'Basic L2'!$N$2:$N$27,"&lt;&gt;")+COUNTIFS('Advanced L1'!$B$2:$B$78,"Doors",'Advanced L1'!$N$2:$N$78,"&lt;&gt;")+COUNTIFS('Germany L1'!$B$2:$B$37,"Doors",'Germany L1'!$N$2:$N$37,"&lt;&gt;")+COUNTIFS('Japan L7'!$B$2:$B$112,"Doors",'Japan L7'!$N$2:$N$112,"&lt;&gt;")+COUNTIFS('Snowden Tower L1'!$B$2:$B$86,"Doors",'Snowden Tower L1'!$N$2:$N$86,"&lt;&gt;")+COUNTIFS('Snowden Tower L2'!$B$2:$B$70,"Doors",'Snowden Tower L2'!$N$2:$N$70,"&lt;&gt;"))=0,"N/A",(SUMIF('Basic L1'!$B$2:$B$20,"Doors",'Basic L1'!$N$2:$N$20)+SUMIF('Basic L2'!$B$2:$B$27,"Doors",'Basic L2'!$N$2:$N$27)+SUMIF('Advanced L1'!$B$2:$B$78,"Doors",'Advanced L1'!$N$2:$N$78)+SUMIF('Germany L1'!$B$2:$B$37,"Doors",'Germany L1'!$N$2:$N$37)+SUMIF('Japan L7'!$B$2:$B$112,"Doors",'Japan L7'!$N$2:$N$112)+SUMIF('Snowden Tower L1'!$B$2:$B$86,"Doors",'Snowden Tower L1'!$N$2:$N$86)+SUMIF('Snowden Tower L2'!$B$2:$B$70,"Doors",'Snowden Tower L2'!$N$2:$N$70))/(COUNTIFS('Basic L1'!$B$2:$B$20,"Doors",'Basic L1'!$N$2:$N$20,"&lt;&gt;")+COUNTIFS('Basic L2'!$B$2:$B$27,"Doors",'Basic L2'!$N$2:$N$27,"&lt;&gt;")+COUNTIFS('Advanced L1'!$B$2:$B$78,"Doors",'Advanced L1'!$N$2:$N$78,"&lt;&gt;")+COUNTIFS('Germany L1'!$B$2:$B$37,"Doors",'Germany L1'!$N$2:$N$37,"&lt;&gt;")+COUNTIFS('Japan L7'!$B$2:$B$112,"Doors",'Japan L7'!$N$2:$N$112,"&lt;&gt;")+COUNTIFS('Snowden Tower L1'!$B$2:$B$86,"Doors",'Snowden Tower L1'!$N$2:$N$86,"&lt;&gt;")+COUNTIFS('Snowden Tower L2'!$B$2:$B$70,"Doors",'Snowden Tower L2'!$N$2:$N$70,"&lt;&gt;")))</f>
        <v>-6.4180442433845588</v>
      </c>
      <c r="H6" s="29">
        <f>IF((COUNTIFS('Basic L1'!$B$2:$B$20,"Doors",'Basic L1'!$O$2:$O$20,"&lt;&gt;")+COUNTIFS('Basic L2'!$B$2:$B$27,"Doors",'Basic L2'!$O$2:$O$27,"&lt;&gt;")+COUNTIFS('Advanced L1'!$B$2:$B$78,"Doors",'Advanced L1'!$O$2:$O$78,"&lt;&gt;")+COUNTIFS('Germany L1'!$B$2:$B$37,"Doors",'Germany L1'!$O$2:$O$37,"&lt;&gt;")+COUNTIFS('Japan L7'!$B$2:$B$112,"Doors",'Japan L7'!$O$2:$O$112,"&lt;&gt;")+COUNTIFS('Snowden Tower L1'!$B$2:$B$86,"Doors",'Snowden Tower L1'!$O$2:$O$86,"&lt;&gt;")+COUNTIFS('Snowden Tower L2'!$B$2:$B$70,"Doors",'Snowden Tower L2'!$O$2:$O$70,"&lt;&gt;"))=0,"N/A",(SUMIF('Basic L1'!$B$2:$B$20,"Doors",'Basic L1'!$O$2:$O$20)+SUMIF('Basic L2'!$B$2:$B$27,"Doors",'Basic L2'!$O$2:$O$27)+SUMIF('Advanced L1'!$B$2:$B$78,"Doors",'Advanced L1'!$O$2:$O$78)+SUMIF('Germany L1'!$B$2:$B$37,"Doors",'Germany L1'!$O$2:$O$37)+SUMIF('Japan L7'!$B$2:$B$112,"Doors",'Japan L7'!$O$2:$O$112)+SUMIF('Snowden Tower L1'!$B$2:$B$86,"Doors",'Snowden Tower L1'!$O$2:$O$86)+SUMIF('Snowden Tower L2'!$B$2:$B$70,"Doors",'Snowden Tower L2'!$O$2:$O$70))/(COUNTIFS('Basic L1'!$B$2:$B$20,"Doors",'Basic L1'!$O$2:$O$20,"&lt;&gt;")+COUNTIFS('Basic L2'!$B$2:$B$27,"Doors",'Basic L2'!$O$2:$O$27,"&lt;&gt;")+COUNTIFS('Advanced L1'!$B$2:$B$78,"Doors",'Advanced L1'!$O$2:$O$78,"&lt;&gt;")+COUNTIFS('Germany L1'!$B$2:$B$37,"Doors",'Germany L1'!$O$2:$O$37,"&lt;&gt;")+COUNTIFS('Japan L7'!$B$2:$B$112,"Doors",'Japan L7'!$O$2:$O$112,"&lt;&gt;")+COUNTIFS('Snowden Tower L1'!$B$2:$B$86,"Doors",'Snowden Tower L1'!$O$2:$O$86,"&lt;&gt;")+COUNTIFS('Snowden Tower L2'!$B$2:$B$70,"Doors",'Snowden Tower L2'!$O$2:$O$70,"&lt;&gt;")))</f>
        <v>0.5476269597782697</v>
      </c>
      <c r="I6" s="29">
        <f>IF((COUNTIFS('Basic L1'!$B$2:$B$20,"Doors",'Basic L1'!$S$2:$S$20,"&lt;&gt;")+COUNTIFS('Basic L2'!$B$2:$B$27,"Doors",'Basic L2'!$S$2:$S$27,"&lt;&gt;")+COUNTIFS('Advanced L1'!$B$2:$B$78,"Doors",'Advanced L1'!$S$2:$S$78,"&lt;&gt;")+COUNTIFS('Germany L1'!$B$2:$B$37,"Doors",'Germany L1'!$S$2:$S$37,"&lt;&gt;")+COUNTIFS('Japan L7'!$B$2:$B$112,"Doors",'Japan L7'!$S$2:$S$112,"&lt;&gt;")+COUNTIFS('Snowden Tower L1'!$B$2:$B$86,"Doors",'Snowden Tower L1'!$S$2:$S$86,"&lt;&gt;")+COUNTIFS('Snowden Tower L2'!$B$2:$B$70,"Doors",'Snowden Tower L2'!$S$2:$S$70,"&lt;&gt;"))=0,"N/A",(SUMIF('Basic L1'!$B$2:$B$20,"Doors",'Basic L1'!$S$2:$S$20)+SUMIF('Basic L2'!$B$2:$B$27,"Doors",'Basic L2'!$S$2:$S$27)+SUMIF('Advanced L1'!$B$2:$B$78,"Doors",'Advanced L1'!$S$2:$S$78)+SUMIF('Germany L1'!$B$2:$B$37,"Doors",'Germany L1'!$S$2:$S$37)+SUMIF('Japan L7'!$B$2:$B$112,"Doors",'Japan L7'!$S$2:$S$112)+SUMIF('Snowden Tower L1'!$B$2:$B$86,"Doors",'Snowden Tower L1'!$S$2:$S$86)+SUMIF('Snowden Tower L2'!$B$2:$B$70,"Doors",'Snowden Tower L2'!$S$2:$S$70))/(COUNTIFS('Basic L1'!$B$2:$B$20,"Doors",'Basic L1'!$S$2:$S$20,"&lt;&gt;")+COUNTIFS('Basic L2'!$B$2:$B$27,"Doors",'Basic L2'!$S$2:$S$27,"&lt;&gt;")+COUNTIFS('Advanced L1'!$B$2:$B$78,"Doors",'Advanced L1'!$S$2:$S$78,"&lt;&gt;")+COUNTIFS('Germany L1'!$B$2:$B$37,"Doors",'Germany L1'!$S$2:$S$37,"&lt;&gt;")+COUNTIFS('Japan L7'!$B$2:$B$112,"Doors",'Japan L7'!$S$2:$S$112,"&lt;&gt;")+COUNTIFS('Snowden Tower L1'!$B$2:$B$86,"Doors",'Snowden Tower L1'!$S$2:$S$86,"&lt;&gt;")+COUNTIFS('Snowden Tower L2'!$B$2:$B$70,"Doors",'Snowden Tower L2'!$S$2:$S$70,"&lt;&gt;")))</f>
        <v>7.8153975951233186</v>
      </c>
      <c r="J6" s="30">
        <f>IF((COUNTIFS('Basic L1'!$B$2:$B$20,"Doors",'Basic L1'!$S$2:$S$20,"&lt;&gt;")+COUNTIFS('Basic L2'!$B$2:$B$27,"Doors",'Basic L2'!$S$2:$S$27,"&lt;&gt;")+COUNTIFS('Advanced L1'!$B$2:$B$78,"Doors",'Advanced L1'!$S$2:$S$78,"&lt;&gt;")+COUNTIFS('Germany L1'!$B$2:$B$37,"Doors",'Germany L1'!$S$2:$S$37,"&lt;&gt;")+COUNTIFS('Japan L7'!$B$2:$B$112,"Doors",'Japan L7'!$S$2:$S$112,"&lt;&gt;")+COUNTIFS('Snowden Tower L1'!$B$2:$B$86,"Doors",'Snowden Tower L1'!$S$2:$S$86,"&lt;&gt;")+COUNTIFS('Snowden Tower L2'!$B$2:$B$70,"Doors",'Snowden Tower L2'!$S$2:$S$70,"&lt;&gt;"))=0,"N/A",(COUNTIFS('Basic L1'!$B$2:$B$20,"Doors",'Basic L1'!$S$2:$S$20,"&gt;1")+COUNTIFS('Basic L2'!$B$2:$B$27,"Doors",'Basic L2'!$S$2:$S$27,"&gt;1")+COUNTIFS('Advanced L1'!$B$2:$B$78,"Doors",'Advanced L1'!$S$2:$S$78,"&gt;1")+COUNTIFS('Germany L1'!$B$2:$B$37,"Doors",'Germany L1'!$S$2:$S$37,"&gt;1")+COUNTIFS('Japan L7'!$B$2:$B$112,"Doors",'Japan L7'!$S$2:$S$112,"&gt;1")+COUNTIFS('Snowden Tower L1'!$B$2:$B$86,"Doors",'Snowden Tower L1'!$S$2:$S$86,"&gt;1")+COUNTIFS('Snowden Tower L2'!$B$2:$B$70,"Doors",'Snowden Tower L2'!$S$2:$S$70,"&gt;1"))/(COUNTIFS('Basic L1'!$B$2:$B$20,"Doors",'Basic L1'!$S$2:$S$20,"&lt;&gt;")+COUNTIFS('Basic L2'!$B$2:$B$27,"Doors",'Basic L2'!$S$2:$S$27,"&lt;&gt;")+COUNTIFS('Advanced L1'!$B$2:$B$78,"Doors",'Advanced L1'!$S$2:$S$78,"&lt;&gt;")+COUNTIFS('Germany L1'!$B$2:$B$37,"Doors",'Germany L1'!$S$2:$S$37,"&lt;&gt;")+COUNTIFS('Japan L7'!$B$2:$B$112,"Doors",'Japan L7'!$S$2:$S$112,"&lt;&gt;")+COUNTIFS('Snowden Tower L1'!$B$2:$B$86,"Doors",'Snowden Tower L1'!$S$2:$S$86,"&lt;&gt;")+COUNTIFS('Snowden Tower L2'!$B$2:$B$70,"Doors",'Snowden Tower L2'!$S$2:$S$70,"&lt;&gt;")))</f>
        <v>0.50862068965517238</v>
      </c>
      <c r="K6" s="28">
        <f>COUNTIFS('Basic L1'!$B$2:$B$20,"Doors",'Basic L1'!$K$2:$K$20,"&gt;15")+COUNTIFS('Basic L2'!$B$2:$B$27,"Doors",'Basic L2'!$K$2:$K$27,"&gt;15")+COUNTIFS('Advanced L1'!$B$2:$B$78,"Doors",'Advanced L1'!$K$2:$K$78,"&gt;15")+COUNTIFS('Germany L1'!$B$2:$B$37,"Doors",'Germany L1'!$K$2:$K$37,"&gt;15")+COUNTIFS('Japan L7'!$B$2:$B$112,"Doors",'Japan L7'!$K$2:$K$112,"&gt;15")+COUNTIFS('Snowden Tower L1'!$B$2:$B$86,"Doors",'Snowden Tower L1'!$K$2:$K$86,"&gt;15")+COUNTIFS('Snowden Tower L2'!$B$2:$B$70,"Doors",'Snowden Tower L2'!$K$2:$K$70,"&gt;15")</f>
        <v>14</v>
      </c>
      <c r="L6" s="31">
        <v>45.729300000000002</v>
      </c>
    </row>
    <row r="7" spans="1:12" ht="14.25" customHeight="1" x14ac:dyDescent="0.45">
      <c r="A7" s="27" t="s">
        <v>48</v>
      </c>
      <c r="B7" s="28">
        <f>COUNTIF('Basic L1'!$B$2:$B$20,"Windows")+COUNTIF('Basic L2'!$B$2:$B$27,"Windows")+COUNTIF('Advanced L1'!$B$2:$B$78,"Windows")+COUNTIF('Germany L1'!$B$2:$B$37,"Windows")+COUNTIF('Japan L7'!$B$2:$B$112,"Windows")+COUNTIF('Snowden Tower L1'!$B$2:$B$86,"Windows")+COUNTIF('Snowden Tower L2'!$B$2:$B$70,"Windows")</f>
        <v>45</v>
      </c>
      <c r="C7" s="29">
        <f>IF((COUNTIFS('Basic L1'!$B$2:$B$20,"Windows",'Basic L1'!$K$2:$K$20,"&lt;&gt;")+COUNTIFS('Basic L2'!$B$2:$B$27,"Windows",'Basic L2'!$K$2:$K$27,"&lt;&gt;")+COUNTIFS('Advanced L1'!$B$2:$B$78,"Windows",'Advanced L1'!$K$2:$K$78,"&lt;&gt;")+COUNTIFS('Germany L1'!$B$2:$B$37,"Windows",'Germany L1'!$K$2:$K$37,"&lt;&gt;")+COUNTIFS('Japan L7'!$B$2:$B$112,"Windows",'Japan L7'!$K$2:$K$112,"&lt;&gt;")+COUNTIFS('Snowden Tower L1'!$B$2:$B$86,"Windows",'Snowden Tower L1'!$K$2:$K$86,"&lt;&gt;")+COUNTIFS('Snowden Tower L2'!$B$2:$B$70,"Windows",'Snowden Tower L2'!$K$2:$K$70,"&lt;&gt;"))=0,"N/A",(SUMIF('Basic L1'!$B$2:$B$20,"Windows",'Basic L1'!$K$2:$K$20)+SUMIF('Basic L2'!$B$2:$B$27,"Windows",'Basic L2'!$K$2:$K$27)+SUMIF('Advanced L1'!$B$2:$B$78,"Windows",'Advanced L1'!$K$2:$K$78)+SUMIF('Germany L1'!$B$2:$B$37,"Windows",'Germany L1'!$K$2:$K$37)+SUMIF('Japan L7'!$B$2:$B$112,"Windows",'Japan L7'!$K$2:$K$112)+SUMIF('Snowden Tower L1'!$B$2:$B$86,"Windows",'Snowden Tower L1'!$K$2:$K$86)+SUMIF('Snowden Tower L2'!$B$2:$B$70,"Windows",'Snowden Tower L2'!$K$2:$K$70))/(COUNTIFS('Basic L1'!$B$2:$B$20,"Windows",'Basic L1'!$K$2:$K$20,"&lt;&gt;")+COUNTIFS('Basic L2'!$B$2:$B$27,"Windows",'Basic L2'!$K$2:$K$27,"&lt;&gt;")+COUNTIFS('Advanced L1'!$B$2:$B$78,"Windows",'Advanced L1'!$K$2:$K$78,"&lt;&gt;")+COUNTIFS('Germany L1'!$B$2:$B$37,"Windows",'Germany L1'!$K$2:$K$37,"&lt;&gt;")+COUNTIFS('Japan L7'!$B$2:$B$112,"Windows",'Japan L7'!$K$2:$K$112,"&lt;&gt;")+COUNTIFS('Snowden Tower L1'!$B$2:$B$86,"Windows",'Snowden Tower L1'!$K$2:$K$86,"&lt;&gt;")+COUNTIFS('Snowden Tower L2'!$B$2:$B$70,"Windows",'Snowden Tower L2'!$K$2:$K$70,"&lt;&gt;")))</f>
        <v>4.7687800740072523</v>
      </c>
      <c r="D7" s="29">
        <f t="array" ref="D7">IFERROR(MEDIAN(IF('Basic L1'!$B$2:$B$20="Windows",'Basic L1'!$K$2:$K$20),IF('Basic L2'!$B$2:$B$27="Windows",'Basic L2'!$K$2:$K$27),IF('Advanced L1'!$B$2:$B$78="Windows",'Advanced L1'!$K$2:$K$78),IF('Germany L1'!$B$2:$B$37="Windows",'Germany L1'!$K$2:$K$37),IF('Japan L7'!$B$2:$B$112="Windows",'Japan L7'!$K$2:$K$112),IF('Snowden Tower L1'!$B$2:$B$86="Windows",'Snowden Tower L1'!$K$2:$K$86),IF('Snowden Tower L2'!$B$2:$B$70="Windows",'Snowden Tower L2'!$K$2:$K$70)),"N/A")</f>
        <v>0.29830000000000112</v>
      </c>
      <c r="E7" s="29">
        <f>IF((COUNTIFS('Basic L1'!$B$2:$B$20,"Windows",'Basic L1'!$K$2:$K$20,"&lt;&gt;")+COUNTIFS('Basic L2'!$B$2:$B$27,"Windows",'Basic L2'!$K$2:$K$27,"&lt;&gt;")+COUNTIFS('Advanced L1'!$B$2:$B$78,"Windows",'Advanced L1'!$K$2:$K$78,"&lt;&gt;")+COUNTIFS('Germany L1'!$B$2:$B$37,"Windows",'Germany L1'!$K$2:$K$37,"&lt;&gt;")+COUNTIFS('Japan L7'!$B$2:$B$112,"Windows",'Japan L7'!$K$2:$K$112,"&lt;&gt;")+COUNTIFS('Snowden Tower L1'!$B$2:$B$86,"Windows",'Snowden Tower L1'!$K$2:$K$86,"&lt;&gt;")+COUNTIFS('Snowden Tower L2'!$B$2:$B$70,"Windows",'Snowden Tower L2'!$K$2:$K$70,"&lt;&gt;"))=0,"N/A",SQRT((SUMPRODUCT(('Basic L1'!$B$2:$B$20="Windows")*('Basic L1'!$K$2:$K$20)*('Basic L1'!$K$2:$K$20))+SUMPRODUCT(('Basic L2'!$B$2:$B$27="Windows")*('Basic L2'!$K$2:$K$27)*('Basic L2'!$K$2:$K$27))+SUMPRODUCT(('Advanced L1'!$B$2:$B$78="Windows")*('Advanced L1'!$K$2:$K$78)*('Advanced L1'!$K$2:$K$78))+SUMPRODUCT(('Germany L1'!$B$2:$B$37="Windows")*('Germany L1'!$K$2:$K$37)*('Germany L1'!$K$2:$K$37))+SUMPRODUCT(('Japan L7'!$B$2:$B$112="Windows")*('Japan L7'!$K$2:$K$112)*('Japan L7'!$K$2:$K$112))+SUMPRODUCT(('Snowden Tower L1'!$B$2:$B$86="Windows")*('Snowden Tower L1'!$K$2:$K$86)*('Snowden Tower L1'!$K$2:$K$86))+SUMPRODUCT(('Snowden Tower L2'!$B$2:$B$70="Windows")*('Snowden Tower L2'!$K$2:$K$70)*('Snowden Tower L2'!$K$2:$K$70)))/(COUNTIFS('Basic L1'!$B$2:$B$20,"Windows",'Basic L1'!$K$2:$K$20,"&lt;&gt;")+COUNTIFS('Basic L2'!$B$2:$B$27,"Windows",'Basic L2'!$K$2:$K$27,"&lt;&gt;")+COUNTIFS('Advanced L1'!$B$2:$B$78,"Windows",'Advanced L1'!$K$2:$K$78,"&lt;&gt;")+COUNTIFS('Germany L1'!$B$2:$B$37,"Windows",'Germany L1'!$K$2:$K$37,"&lt;&gt;")+COUNTIFS('Japan L7'!$B$2:$B$112,"Windows",'Japan L7'!$K$2:$K$112,"&lt;&gt;")+COUNTIFS('Snowden Tower L1'!$B$2:$B$86,"Windows",'Snowden Tower L1'!$K$2:$K$86,"&lt;&gt;")+COUNTIFS('Snowden Tower L2'!$B$2:$B$70,"Windows",'Snowden Tower L2'!$K$2:$K$70,"&lt;&gt;"))))</f>
        <v>17.634129986837078</v>
      </c>
      <c r="F7" s="30">
        <f>IF((COUNTIFS('Basic L1'!$B$2:$B$20,"Windows",'Basic L1'!$R$2:$R$20,"&lt;&gt;")+COUNTIFS('Basic L2'!$B$2:$B$27,"Windows",'Basic L2'!$R$2:$R$27,"&lt;&gt;")+COUNTIFS('Advanced L1'!$B$2:$B$78,"Windows",'Advanced L1'!$R$2:$R$78,"&lt;&gt;")+COUNTIFS('Germany L1'!$B$2:$B$37,"Windows",'Germany L1'!$R$2:$R$37,"&lt;&gt;")+COUNTIFS('Japan L7'!$B$2:$B$112,"Windows",'Japan L7'!$R$2:$R$112,"&lt;&gt;")+COUNTIFS('Snowden Tower L1'!$B$2:$B$86,"Windows",'Snowden Tower L1'!$R$2:$R$86,"&lt;&gt;")+COUNTIFS('Snowden Tower L2'!$B$2:$B$70,"Windows",'Snowden Tower L2'!$R$2:$R$70,"&lt;&gt;"))=0,"N/A",(SUMIFS('Basic L1'!$R$2:$R$20,'Basic L1'!$B$2:$B$20,"Windows")+SUMIFS('Basic L2'!$R$2:$R$27,'Basic L2'!$B$2:$B$27,"Windows")+SUMIFS('Advanced L1'!$R$2:$R$78,'Advanced L1'!$B$2:$B$78,"Windows")+SUMIFS('Germany L1'!$R$2:$R$37,'Germany L1'!$B$2:$B$37,"Windows")+SUMIFS('Japan L7'!$R$2:$R$112,'Japan L7'!$B$2:$B$112,"Windows")+SUMIFS('Snowden Tower L1'!$R$2:$R$86,'Snowden Tower L1'!$B$2:$B$86,"Windows")+SUMIFS('Snowden Tower L2'!$R$2:$R$70,'Snowden Tower L2'!$B$2:$B$70,"Windows"))/(COUNTIFS('Basic L1'!$B$2:$B$20,"Windows",'Basic L1'!$R$2:$R$20,"&lt;&gt;")+COUNTIFS('Basic L2'!$B$2:$B$27,"Windows",'Basic L2'!$R$2:$R$27,"&lt;&gt;")+COUNTIFS('Advanced L1'!$B$2:$B$78,"Windows",'Advanced L1'!$R$2:$R$78,"&lt;&gt;")+COUNTIFS('Germany L1'!$B$2:$B$37,"Windows",'Germany L1'!$R$2:$R$37,"&lt;&gt;")+COUNTIFS('Japan L7'!$B$2:$B$112,"Windows",'Japan L7'!$R$2:$R$112,"&lt;&gt;")+COUNTIFS('Snowden Tower L1'!$B$2:$B$86,"Windows",'Snowden Tower L1'!$R$2:$R$86,"&lt;&gt;")+COUNTIFS('Snowden Tower L2'!$B$2:$B$70,"Windows",'Snowden Tower L2'!$R$2:$R$70,"&lt;&gt;")))</f>
        <v>0.8666666666666667</v>
      </c>
      <c r="G7" s="30">
        <f>IF((COUNTIFS('Basic L1'!$B$2:$B$20,"Windows",'Basic L1'!$N$2:$N$20,"&lt;&gt;")+COUNTIFS('Basic L2'!$B$2:$B$27,"Windows",'Basic L2'!$N$2:$N$27,"&lt;&gt;")+COUNTIFS('Advanced L1'!$B$2:$B$78,"Windows",'Advanced L1'!$N$2:$N$78,"&lt;&gt;")+COUNTIFS('Germany L1'!$B$2:$B$37,"Windows",'Germany L1'!$N$2:$N$37,"&lt;&gt;")+COUNTIFS('Japan L7'!$B$2:$B$112,"Windows",'Japan L7'!$N$2:$N$112,"&lt;&gt;")+COUNTIFS('Snowden Tower L1'!$B$2:$B$86,"Windows",'Snowden Tower L1'!$N$2:$N$86,"&lt;&gt;")+COUNTIFS('Snowden Tower L2'!$B$2:$B$70,"Windows",'Snowden Tower L2'!$N$2:$N$70,"&lt;&gt;"))=0,"N/A",(SUMIF('Basic L1'!$B$2:$B$20,"Windows",'Basic L1'!$N$2:$N$20)+SUMIF('Basic L2'!$B$2:$B$27,"Windows",'Basic L2'!$N$2:$N$27)+SUMIF('Advanced L1'!$B$2:$B$78,"Windows",'Advanced L1'!$N$2:$N$78)+SUMIF('Germany L1'!$B$2:$B$37,"Windows",'Germany L1'!$N$2:$N$37)+SUMIF('Japan L7'!$B$2:$B$112,"Windows",'Japan L7'!$N$2:$N$112)+SUMIF('Snowden Tower L1'!$B$2:$B$86,"Windows",'Snowden Tower L1'!$N$2:$N$86)+SUMIF('Snowden Tower L2'!$B$2:$B$70,"Windows",'Snowden Tower L2'!$N$2:$N$70))/(COUNTIFS('Basic L1'!$B$2:$B$20,"Windows",'Basic L1'!$N$2:$N$20,"&lt;&gt;")+COUNTIFS('Basic L2'!$B$2:$B$27,"Windows",'Basic L2'!$N$2:$N$27,"&lt;&gt;")+COUNTIFS('Advanced L1'!$B$2:$B$78,"Windows",'Advanced L1'!$N$2:$N$78,"&lt;&gt;")+COUNTIFS('Germany L1'!$B$2:$B$37,"Windows",'Germany L1'!$N$2:$N$37,"&lt;&gt;")+COUNTIFS('Japan L7'!$B$2:$B$112,"Windows",'Japan L7'!$N$2:$N$112,"&lt;&gt;")+COUNTIFS('Snowden Tower L1'!$B$2:$B$86,"Windows",'Snowden Tower L1'!$N$2:$N$86,"&lt;&gt;")+COUNTIFS('Snowden Tower L2'!$B$2:$B$70,"Windows",'Snowden Tower L2'!$N$2:$N$70,"&lt;&gt;")))</f>
        <v>-2.914390861681047</v>
      </c>
      <c r="H7" s="29">
        <f>IF((COUNTIFS('Basic L1'!$B$2:$B$20,"Windows",'Basic L1'!$O$2:$O$20,"&lt;&gt;")+COUNTIFS('Basic L2'!$B$2:$B$27,"Windows",'Basic L2'!$O$2:$O$27,"&lt;&gt;")+COUNTIFS('Advanced L1'!$B$2:$B$78,"Windows",'Advanced L1'!$O$2:$O$78,"&lt;&gt;")+COUNTIFS('Germany L1'!$B$2:$B$37,"Windows",'Germany L1'!$O$2:$O$37,"&lt;&gt;")+COUNTIFS('Japan L7'!$B$2:$B$112,"Windows",'Japan L7'!$O$2:$O$112,"&lt;&gt;")+COUNTIFS('Snowden Tower L1'!$B$2:$B$86,"Windows",'Snowden Tower L1'!$O$2:$O$86,"&lt;&gt;")+COUNTIFS('Snowden Tower L2'!$B$2:$B$70,"Windows",'Snowden Tower L2'!$O$2:$O$70,"&lt;&gt;"))=0,"N/A",(SUMIF('Basic L1'!$B$2:$B$20,"Windows",'Basic L1'!$O$2:$O$20)+SUMIF('Basic L2'!$B$2:$B$27,"Windows",'Basic L2'!$O$2:$O$27)+SUMIF('Advanced L1'!$B$2:$B$78,"Windows",'Advanced L1'!$O$2:$O$78)+SUMIF('Germany L1'!$B$2:$B$37,"Windows",'Germany L1'!$O$2:$O$37)+SUMIF('Japan L7'!$B$2:$B$112,"Windows",'Japan L7'!$O$2:$O$112)+SUMIF('Snowden Tower L1'!$B$2:$B$86,"Windows",'Snowden Tower L1'!$O$2:$O$86)+SUMIF('Snowden Tower L2'!$B$2:$B$70,"Windows",'Snowden Tower L2'!$O$2:$O$70))/(COUNTIFS('Basic L1'!$B$2:$B$20,"Windows",'Basic L1'!$O$2:$O$20,"&lt;&gt;")+COUNTIFS('Basic L2'!$B$2:$B$27,"Windows",'Basic L2'!$O$2:$O$27,"&lt;&gt;")+COUNTIFS('Advanced L1'!$B$2:$B$78,"Windows",'Advanced L1'!$O$2:$O$78,"&lt;&gt;")+COUNTIFS('Germany L1'!$B$2:$B$37,"Windows",'Germany L1'!$O$2:$O$37,"&lt;&gt;")+COUNTIFS('Japan L7'!$B$2:$B$112,"Windows",'Japan L7'!$O$2:$O$112,"&lt;&gt;")+COUNTIFS('Snowden Tower L1'!$B$2:$B$86,"Windows",'Snowden Tower L1'!$O$2:$O$86,"&lt;&gt;")+COUNTIFS('Snowden Tower L2'!$B$2:$B$70,"Windows",'Snowden Tower L2'!$O$2:$O$70,"&lt;&gt;")))</f>
        <v>0.85727871093015695</v>
      </c>
      <c r="I7" s="29">
        <f>IF((COUNTIFS('Basic L1'!$B$2:$B$20,"Windows",'Basic L1'!$S$2:$S$20,"&lt;&gt;")+COUNTIFS('Basic L2'!$B$2:$B$27,"Windows",'Basic L2'!$S$2:$S$27,"&lt;&gt;")+COUNTIFS('Advanced L1'!$B$2:$B$78,"Windows",'Advanced L1'!$S$2:$S$78,"&lt;&gt;")+COUNTIFS('Germany L1'!$B$2:$B$37,"Windows",'Germany L1'!$S$2:$S$37,"&lt;&gt;")+COUNTIFS('Japan L7'!$B$2:$B$112,"Windows",'Japan L7'!$S$2:$S$112,"&lt;&gt;")+COUNTIFS('Snowden Tower L1'!$B$2:$B$86,"Windows",'Snowden Tower L1'!$S$2:$S$86,"&lt;&gt;")+COUNTIFS('Snowden Tower L2'!$B$2:$B$70,"Windows",'Snowden Tower L2'!$S$2:$S$70,"&lt;&gt;"))=0,"N/A",(SUMIF('Basic L1'!$B$2:$B$20,"Windows",'Basic L1'!$S$2:$S$20)+SUMIF('Basic L2'!$B$2:$B$27,"Windows",'Basic L2'!$S$2:$S$27)+SUMIF('Advanced L1'!$B$2:$B$78,"Windows",'Advanced L1'!$S$2:$S$78)+SUMIF('Germany L1'!$B$2:$B$37,"Windows",'Germany L1'!$S$2:$S$37)+SUMIF('Japan L7'!$B$2:$B$112,"Windows",'Japan L7'!$S$2:$S$112)+SUMIF('Snowden Tower L1'!$B$2:$B$86,"Windows",'Snowden Tower L1'!$S$2:$S$86)+SUMIF('Snowden Tower L2'!$B$2:$B$70,"Windows",'Snowden Tower L2'!$S$2:$S$70))/(COUNTIFS('Basic L1'!$B$2:$B$20,"Windows",'Basic L1'!$S$2:$S$20,"&lt;&gt;")+COUNTIFS('Basic L2'!$B$2:$B$27,"Windows",'Basic L2'!$S$2:$S$27,"&lt;&gt;")+COUNTIFS('Advanced L1'!$B$2:$B$78,"Windows",'Advanced L1'!$S$2:$S$78,"&lt;&gt;")+COUNTIFS('Germany L1'!$B$2:$B$37,"Windows",'Germany L1'!$S$2:$S$37,"&lt;&gt;")+COUNTIFS('Japan L7'!$B$2:$B$112,"Windows",'Japan L7'!$S$2:$S$112,"&lt;&gt;")+COUNTIFS('Snowden Tower L1'!$B$2:$B$86,"Windows",'Snowden Tower L1'!$S$2:$S$86,"&lt;&gt;")+COUNTIFS('Snowden Tower L2'!$B$2:$B$70,"Windows",'Snowden Tower L2'!$S$2:$S$70,"&lt;&gt;")))</f>
        <v>4.4299169881489782</v>
      </c>
      <c r="J7" s="30">
        <f>IF((COUNTIFS('Basic L1'!$B$2:$B$20,"Windows",'Basic L1'!$S$2:$S$20,"&lt;&gt;")+COUNTIFS('Basic L2'!$B$2:$B$27,"Windows",'Basic L2'!$S$2:$S$27,"&lt;&gt;")+COUNTIFS('Advanced L1'!$B$2:$B$78,"Windows",'Advanced L1'!$S$2:$S$78,"&lt;&gt;")+COUNTIFS('Germany L1'!$B$2:$B$37,"Windows",'Germany L1'!$S$2:$S$37,"&lt;&gt;")+COUNTIFS('Japan L7'!$B$2:$B$112,"Windows",'Japan L7'!$S$2:$S$112,"&lt;&gt;")+COUNTIFS('Snowden Tower L1'!$B$2:$B$86,"Windows",'Snowden Tower L1'!$S$2:$S$86,"&lt;&gt;")+COUNTIFS('Snowden Tower L2'!$B$2:$B$70,"Windows",'Snowden Tower L2'!$S$2:$S$70,"&lt;&gt;"))=0,"N/A",(COUNTIFS('Basic L1'!$B$2:$B$20,"Windows",'Basic L1'!$S$2:$S$20,"&gt;1")+COUNTIFS('Basic L2'!$B$2:$B$27,"Windows",'Basic L2'!$S$2:$S$27,"&gt;1")+COUNTIFS('Advanced L1'!$B$2:$B$78,"Windows",'Advanced L1'!$S$2:$S$78,"&gt;1")+COUNTIFS('Germany L1'!$B$2:$B$37,"Windows",'Germany L1'!$S$2:$S$37,"&gt;1")+COUNTIFS('Japan L7'!$B$2:$B$112,"Windows",'Japan L7'!$S$2:$S$112,"&gt;1")+COUNTIFS('Snowden Tower L1'!$B$2:$B$86,"Windows",'Snowden Tower L1'!$S$2:$S$86,"&gt;1")+COUNTIFS('Snowden Tower L2'!$B$2:$B$70,"Windows",'Snowden Tower L2'!$S$2:$S$70,"&gt;1"))/(COUNTIFS('Basic L1'!$B$2:$B$20,"Windows",'Basic L1'!$S$2:$S$20,"&lt;&gt;")+COUNTIFS('Basic L2'!$B$2:$B$27,"Windows",'Basic L2'!$S$2:$S$27,"&lt;&gt;")+COUNTIFS('Advanced L1'!$B$2:$B$78,"Windows",'Advanced L1'!$S$2:$S$78,"&lt;&gt;")+COUNTIFS('Germany L1'!$B$2:$B$37,"Windows",'Germany L1'!$S$2:$S$37,"&lt;&gt;")+COUNTIFS('Japan L7'!$B$2:$B$112,"Windows",'Japan L7'!$S$2:$S$112,"&lt;&gt;")+COUNTIFS('Snowden Tower L1'!$B$2:$B$86,"Windows",'Snowden Tower L1'!$S$2:$S$86,"&lt;&gt;")+COUNTIFS('Snowden Tower L2'!$B$2:$B$70,"Windows",'Snowden Tower L2'!$S$2:$S$70,"&lt;&gt;")))</f>
        <v>0.31111111111111112</v>
      </c>
      <c r="K7" s="28">
        <f>COUNTIFS('Basic L1'!$B$2:$B$20,"Windows",'Basic L1'!$K$2:$K$20,"&gt;15")+COUNTIFS('Basic L2'!$B$2:$B$27,"Windows",'Basic L2'!$K$2:$K$27,"&gt;15")+COUNTIFS('Advanced L1'!$B$2:$B$78,"Windows",'Advanced L1'!$K$2:$K$78,"&gt;15")+COUNTIFS('Germany L1'!$B$2:$B$37,"Windows",'Germany L1'!$K$2:$K$37,"&gt;15")+COUNTIFS('Japan L7'!$B$2:$B$112,"Windows",'Japan L7'!$K$2:$K$112,"&gt;15")+COUNTIFS('Snowden Tower L1'!$B$2:$B$86,"Windows",'Snowden Tower L1'!$K$2:$K$86,"&gt;15")+COUNTIFS('Snowden Tower L2'!$B$2:$B$70,"Windows",'Snowden Tower L2'!$K$2:$K$70,"&gt;15")</f>
        <v>3</v>
      </c>
      <c r="L7" s="31">
        <v>19.953499999999998</v>
      </c>
    </row>
    <row r="8" spans="1:12" ht="14.25" customHeight="1" x14ac:dyDescent="0.45">
      <c r="A8" s="27" t="s">
        <v>49</v>
      </c>
      <c r="B8" s="28">
        <f>COUNTIF('Basic L1'!$B$2:$B$20,"Walls")+COUNTIF('Basic L2'!$B$2:$B$27,"Walls")+COUNTIF('Advanced L1'!$B$2:$B$78,"Walls")+COUNTIF('Germany L1'!$B$2:$B$37,"Walls")+COUNTIF('Japan L7'!$B$2:$B$112,"Walls")+COUNTIF('Snowden Tower L1'!$B$2:$B$86,"Walls")+COUNTIF('Snowden Tower L2'!$B$2:$B$70,"Walls")</f>
        <v>167</v>
      </c>
      <c r="C8" s="29">
        <f>IF((COUNTIFS('Basic L1'!$B$2:$B$20,"Walls",'Basic L1'!$K$2:$K$20,"&lt;&gt;")+COUNTIFS('Basic L2'!$B$2:$B$27,"Walls",'Basic L2'!$K$2:$K$27,"&lt;&gt;")+COUNTIFS('Advanced L1'!$B$2:$B$78,"Walls",'Advanced L1'!$K$2:$K$78,"&lt;&gt;")+COUNTIFS('Germany L1'!$B$2:$B$37,"Walls",'Germany L1'!$K$2:$K$37,"&lt;&gt;")+COUNTIFS('Japan L7'!$B$2:$B$112,"Walls",'Japan L7'!$K$2:$K$112,"&lt;&gt;")+COUNTIFS('Snowden Tower L1'!$B$2:$B$86,"Walls",'Snowden Tower L1'!$K$2:$K$86,"&lt;&gt;")+COUNTIFS('Snowden Tower L2'!$B$2:$B$70,"Walls",'Snowden Tower L2'!$K$2:$K$70,"&lt;&gt;"))=0,"N/A",(SUMIF('Basic L1'!$B$2:$B$20,"Walls",'Basic L1'!$K$2:$K$20)+SUMIF('Basic L2'!$B$2:$B$27,"Walls",'Basic L2'!$K$2:$K$27)+SUMIF('Advanced L1'!$B$2:$B$78,"Walls",'Advanced L1'!$K$2:$K$78)+SUMIF('Germany L1'!$B$2:$B$37,"Walls",'Germany L1'!$K$2:$K$37)+SUMIF('Japan L7'!$B$2:$B$112,"Walls",'Japan L7'!$K$2:$K$112)+SUMIF('Snowden Tower L1'!$B$2:$B$86,"Walls",'Snowden Tower L1'!$K$2:$K$86)+SUMIF('Snowden Tower L2'!$B$2:$B$70,"Walls",'Snowden Tower L2'!$K$2:$K$70))/(COUNTIFS('Basic L1'!$B$2:$B$20,"Walls",'Basic L1'!$K$2:$K$20,"&lt;&gt;")+COUNTIFS('Basic L2'!$B$2:$B$27,"Walls",'Basic L2'!$K$2:$K$27,"&lt;&gt;")+COUNTIFS('Advanced L1'!$B$2:$B$78,"Walls",'Advanced L1'!$K$2:$K$78,"&lt;&gt;")+COUNTIFS('Germany L1'!$B$2:$B$37,"Walls",'Germany L1'!$K$2:$K$37,"&lt;&gt;")+COUNTIFS('Japan L7'!$B$2:$B$112,"Walls",'Japan L7'!$K$2:$K$112,"&lt;&gt;")+COUNTIFS('Snowden Tower L1'!$B$2:$B$86,"Walls",'Snowden Tower L1'!$K$2:$K$86,"&lt;&gt;")+COUNTIFS('Snowden Tower L2'!$B$2:$B$70,"Walls",'Snowden Tower L2'!$K$2:$K$70,"&lt;&gt;")))</f>
        <v>2.2265433244894703</v>
      </c>
      <c r="D8" s="29">
        <f t="array" ref="D8">IFERROR(MEDIAN(IF('Basic L1'!$B$2:$B$20="Walls",'Basic L1'!$K$2:$K$20),IF('Basic L2'!$B$2:$B$27="Walls",'Basic L2'!$K$2:$K$27),IF('Advanced L1'!$B$2:$B$78="Walls",'Advanced L1'!$K$2:$K$78),IF('Germany L1'!$B$2:$B$37="Walls",'Germany L1'!$K$2:$K$37),IF('Japan L7'!$B$2:$B$112="Walls",'Japan L7'!$K$2:$K$112),IF('Snowden Tower L1'!$B$2:$B$86="Walls",'Snowden Tower L1'!$K$2:$K$86),IF('Snowden Tower L2'!$B$2:$B$70="Walls",'Snowden Tower L2'!$K$2:$K$70)),"N/A")</f>
        <v>1.6480413405008965</v>
      </c>
      <c r="E8" s="29">
        <f>IF((COUNTIFS('Basic L1'!$B$2:$B$20,"Walls",'Basic L1'!$K$2:$K$20,"&lt;&gt;")+COUNTIFS('Basic L2'!$B$2:$B$27,"Walls",'Basic L2'!$K$2:$K$27,"&lt;&gt;")+COUNTIFS('Advanced L1'!$B$2:$B$78,"Walls",'Advanced L1'!$K$2:$K$78,"&lt;&gt;")+COUNTIFS('Germany L1'!$B$2:$B$37,"Walls",'Germany L1'!$K$2:$K$37,"&lt;&gt;")+COUNTIFS('Japan L7'!$B$2:$B$112,"Walls",'Japan L7'!$K$2:$K$112,"&lt;&gt;")+COUNTIFS('Snowden Tower L1'!$B$2:$B$86,"Walls",'Snowden Tower L1'!$K$2:$K$86,"&lt;&gt;")+COUNTIFS('Snowden Tower L2'!$B$2:$B$70,"Walls",'Snowden Tower L2'!$K$2:$K$70,"&lt;&gt;"))=0,"N/A",SQRT((SUMPRODUCT(('Basic L1'!$B$2:$B$20="Walls")*('Basic L1'!$K$2:$K$20)*('Basic L1'!$K$2:$K$20))+SUMPRODUCT(('Basic L2'!$B$2:$B$27="Walls")*('Basic L2'!$K$2:$K$27)*('Basic L2'!$K$2:$K$27))+SUMPRODUCT(('Advanced L1'!$B$2:$B$78="Walls")*('Advanced L1'!$K$2:$K$78)*('Advanced L1'!$K$2:$K$78))+SUMPRODUCT(('Germany L1'!$B$2:$B$37="Walls")*('Germany L1'!$K$2:$K$37)*('Germany L1'!$K$2:$K$37))+SUMPRODUCT(('Japan L7'!$B$2:$B$112="Walls")*('Japan L7'!$K$2:$K$112)*('Japan L7'!$K$2:$K$112))+SUMPRODUCT(('Snowden Tower L1'!$B$2:$B$86="Walls")*('Snowden Tower L1'!$K$2:$K$86)*('Snowden Tower L1'!$K$2:$K$86))+SUMPRODUCT(('Snowden Tower L2'!$B$2:$B$70="Walls")*('Snowden Tower L2'!$K$2:$K$70)*('Snowden Tower L2'!$K$2:$K$70)))/(COUNTIFS('Basic L1'!$B$2:$B$20,"Walls",'Basic L1'!$K$2:$K$20,"&lt;&gt;")+COUNTIFS('Basic L2'!$B$2:$B$27,"Walls",'Basic L2'!$K$2:$K$27,"&lt;&gt;")+COUNTIFS('Advanced L1'!$B$2:$B$78,"Walls",'Advanced L1'!$K$2:$K$78,"&lt;&gt;")+COUNTIFS('Germany L1'!$B$2:$B$37,"Walls",'Germany L1'!$K$2:$K$37,"&lt;&gt;")+COUNTIFS('Japan L7'!$B$2:$B$112,"Walls",'Japan L7'!$K$2:$K$112,"&lt;&gt;")+COUNTIFS('Snowden Tower L1'!$B$2:$B$86,"Walls",'Snowden Tower L1'!$K$2:$K$86,"&lt;&gt;")+COUNTIFS('Snowden Tower L2'!$B$2:$B$70,"Walls",'Snowden Tower L2'!$K$2:$K$70,"&lt;&gt;"))))</f>
        <v>3.0503648808343478</v>
      </c>
      <c r="F8" s="30">
        <f>IF((COUNTIFS('Basic L1'!$B$2:$B$20,"Walls",'Basic L1'!$R$2:$R$20,"&lt;&gt;")+COUNTIFS('Basic L2'!$B$2:$B$27,"Walls",'Basic L2'!$R$2:$R$27,"&lt;&gt;")+COUNTIFS('Advanced L1'!$B$2:$B$78,"Walls",'Advanced L1'!$R$2:$R$78,"&lt;&gt;")+COUNTIFS('Germany L1'!$B$2:$B$37,"Walls",'Germany L1'!$R$2:$R$37,"&lt;&gt;")+COUNTIFS('Japan L7'!$B$2:$B$112,"Walls",'Japan L7'!$R$2:$R$112,"&lt;&gt;")+COUNTIFS('Snowden Tower L1'!$B$2:$B$86,"Walls",'Snowden Tower L1'!$R$2:$R$86,"&lt;&gt;")+COUNTIFS('Snowden Tower L2'!$B$2:$B$70,"Walls",'Snowden Tower L2'!$R$2:$R$70,"&lt;&gt;"))=0,"N/A",(SUMIFS('Basic L1'!$R$2:$R$20,'Basic L1'!$B$2:$B$20,"Walls")+SUMIFS('Basic L2'!$R$2:$R$27,'Basic L2'!$B$2:$B$27,"Walls")+SUMIFS('Advanced L1'!$R$2:$R$78,'Advanced L1'!$B$2:$B$78,"Walls")+SUMIFS('Germany L1'!$R$2:$R$37,'Germany L1'!$B$2:$B$37,"Walls")+SUMIFS('Japan L7'!$R$2:$R$112,'Japan L7'!$B$2:$B$112,"Walls")+SUMIFS('Snowden Tower L1'!$R$2:$R$86,'Snowden Tower L1'!$B$2:$B$86,"Walls")+SUMIFS('Snowden Tower L2'!$R$2:$R$70,'Snowden Tower L2'!$B$2:$B$70,"Walls"))/(COUNTIFS('Basic L1'!$B$2:$B$20,"Walls",'Basic L1'!$R$2:$R$20,"&lt;&gt;")+COUNTIFS('Basic L2'!$B$2:$B$27,"Walls",'Basic L2'!$R$2:$R$27,"&lt;&gt;")+COUNTIFS('Advanced L1'!$B$2:$B$78,"Walls",'Advanced L1'!$R$2:$R$78,"&lt;&gt;")+COUNTIFS('Germany L1'!$B$2:$B$37,"Walls",'Germany L1'!$R$2:$R$37,"&lt;&gt;")+COUNTIFS('Japan L7'!$B$2:$B$112,"Walls",'Japan L7'!$R$2:$R$112,"&lt;&gt;")+COUNTIFS('Snowden Tower L1'!$B$2:$B$86,"Walls",'Snowden Tower L1'!$R$2:$R$86,"&lt;&gt;")+COUNTIFS('Snowden Tower L2'!$B$2:$B$70,"Walls",'Snowden Tower L2'!$R$2:$R$70,"&lt;&gt;")))</f>
        <v>0.62874251497005984</v>
      </c>
      <c r="G8" s="30">
        <f>IF((COUNTIFS('Basic L1'!$B$2:$B$20,"Walls",'Basic L1'!$N$2:$N$20,"&lt;&gt;")+COUNTIFS('Basic L2'!$B$2:$B$27,"Walls",'Basic L2'!$N$2:$N$27,"&lt;&gt;")+COUNTIFS('Advanced L1'!$B$2:$B$78,"Walls",'Advanced L1'!$N$2:$N$78,"&lt;&gt;")+COUNTIFS('Germany L1'!$B$2:$B$37,"Walls",'Germany L1'!$N$2:$N$37,"&lt;&gt;")+COUNTIFS('Japan L7'!$B$2:$B$112,"Walls",'Japan L7'!$N$2:$N$112,"&lt;&gt;")+COUNTIFS('Snowden Tower L1'!$B$2:$B$86,"Walls",'Snowden Tower L1'!$N$2:$N$86,"&lt;&gt;")+COUNTIFS('Snowden Tower L2'!$B$2:$B$70,"Walls",'Snowden Tower L2'!$N$2:$N$70,"&lt;&gt;"))=0,"N/A",(SUMIF('Basic L1'!$B$2:$B$20,"Walls",'Basic L1'!$N$2:$N$20)+SUMIF('Basic L2'!$B$2:$B$27,"Walls",'Basic L2'!$N$2:$N$27)+SUMIF('Advanced L1'!$B$2:$B$78,"Walls",'Advanced L1'!$N$2:$N$78)+SUMIF('Germany L1'!$B$2:$B$37,"Walls",'Germany L1'!$N$2:$N$37)+SUMIF('Japan L7'!$B$2:$B$112,"Walls",'Japan L7'!$N$2:$N$112)+SUMIF('Snowden Tower L1'!$B$2:$B$86,"Walls",'Snowden Tower L1'!$N$2:$N$86)+SUMIF('Snowden Tower L2'!$B$2:$B$70,"Walls",'Snowden Tower L2'!$N$2:$N$70))/(COUNTIFS('Basic L1'!$B$2:$B$20,"Walls",'Basic L1'!$N$2:$N$20,"&lt;&gt;")+COUNTIFS('Basic L2'!$B$2:$B$27,"Walls",'Basic L2'!$N$2:$N$27,"&lt;&gt;")+COUNTIFS('Advanced L1'!$B$2:$B$78,"Walls",'Advanced L1'!$N$2:$N$78,"&lt;&gt;")+COUNTIFS('Germany L1'!$B$2:$B$37,"Walls",'Germany L1'!$N$2:$N$37,"&lt;&gt;")+COUNTIFS('Japan L7'!$B$2:$B$112,"Walls",'Japan L7'!$N$2:$N$112,"&lt;&gt;")+COUNTIFS('Snowden Tower L1'!$B$2:$B$86,"Walls",'Snowden Tower L1'!$N$2:$N$86,"&lt;&gt;")+COUNTIFS('Snowden Tower L2'!$B$2:$B$70,"Walls",'Snowden Tower L2'!$N$2:$N$70,"&lt;&gt;")))</f>
        <v>-6.826014576408948E-2</v>
      </c>
      <c r="H8" s="29">
        <f>IF((COUNTIFS('Basic L1'!$B$2:$B$20,"Walls",'Basic L1'!$O$2:$O$20,"&lt;&gt;")+COUNTIFS('Basic L2'!$B$2:$B$27,"Walls",'Basic L2'!$O$2:$O$27,"&lt;&gt;")+COUNTIFS('Advanced L1'!$B$2:$B$78,"Walls",'Advanced L1'!$O$2:$O$78,"&lt;&gt;")+COUNTIFS('Germany L1'!$B$2:$B$37,"Walls",'Germany L1'!$O$2:$O$37,"&lt;&gt;")+COUNTIFS('Japan L7'!$B$2:$B$112,"Walls",'Japan L7'!$O$2:$O$112,"&lt;&gt;")+COUNTIFS('Snowden Tower L1'!$B$2:$B$86,"Walls",'Snowden Tower L1'!$O$2:$O$86,"&lt;&gt;")+COUNTIFS('Snowden Tower L2'!$B$2:$B$70,"Walls",'Snowden Tower L2'!$O$2:$O$70,"&lt;&gt;"))=0,"N/A",(SUMIF('Basic L1'!$B$2:$B$20,"Walls",'Basic L1'!$O$2:$O$20)+SUMIF('Basic L2'!$B$2:$B$27,"Walls",'Basic L2'!$O$2:$O$27)+SUMIF('Advanced L1'!$B$2:$B$78,"Walls",'Advanced L1'!$O$2:$O$78)+SUMIF('Germany L1'!$B$2:$B$37,"Walls",'Germany L1'!$O$2:$O$37)+SUMIF('Japan L7'!$B$2:$B$112,"Walls",'Japan L7'!$O$2:$O$112)+SUMIF('Snowden Tower L1'!$B$2:$B$86,"Walls",'Snowden Tower L1'!$O$2:$O$86)+SUMIF('Snowden Tower L2'!$B$2:$B$70,"Walls",'Snowden Tower L2'!$O$2:$O$70))/(COUNTIFS('Basic L1'!$B$2:$B$20,"Walls",'Basic L1'!$O$2:$O$20,"&lt;&gt;")+COUNTIFS('Basic L2'!$B$2:$B$27,"Walls",'Basic L2'!$O$2:$O$27,"&lt;&gt;")+COUNTIFS('Advanced L1'!$B$2:$B$78,"Walls",'Advanced L1'!$O$2:$O$78,"&lt;&gt;")+COUNTIFS('Germany L1'!$B$2:$B$37,"Walls",'Germany L1'!$O$2:$O$37,"&lt;&gt;")+COUNTIFS('Japan L7'!$B$2:$B$112,"Walls",'Japan L7'!$O$2:$O$112,"&lt;&gt;")+COUNTIFS('Snowden Tower L1'!$B$2:$B$86,"Walls",'Snowden Tower L1'!$O$2:$O$86,"&lt;&gt;")+COUNTIFS('Snowden Tower L2'!$B$2:$B$70,"Walls",'Snowden Tower L2'!$O$2:$O$70,"&lt;&gt;")))</f>
        <v>0.50999740455041953</v>
      </c>
      <c r="I8" s="29">
        <f>IF((COUNTIFS('Basic L1'!$B$2:$B$20,"Walls",'Basic L1'!$S$2:$S$20,"&lt;&gt;")+COUNTIFS('Basic L2'!$B$2:$B$27,"Walls",'Basic L2'!$S$2:$S$27,"&lt;&gt;")+COUNTIFS('Advanced L1'!$B$2:$B$78,"Walls",'Advanced L1'!$S$2:$S$78,"&lt;&gt;")+COUNTIFS('Germany L1'!$B$2:$B$37,"Walls",'Germany L1'!$S$2:$S$37,"&lt;&gt;")+COUNTIFS('Japan L7'!$B$2:$B$112,"Walls",'Japan L7'!$S$2:$S$112,"&lt;&gt;")+COUNTIFS('Snowden Tower L1'!$B$2:$B$86,"Walls",'Snowden Tower L1'!$S$2:$S$86,"&lt;&gt;")+COUNTIFS('Snowden Tower L2'!$B$2:$B$70,"Walls",'Snowden Tower L2'!$S$2:$S$70,"&lt;&gt;"))=0,"N/A",(SUMIF('Basic L1'!$B$2:$B$20,"Walls",'Basic L1'!$S$2:$S$20)+SUMIF('Basic L2'!$B$2:$B$27,"Walls",'Basic L2'!$S$2:$S$27)+SUMIF('Advanced L1'!$B$2:$B$78,"Walls",'Advanced L1'!$S$2:$S$78)+SUMIF('Germany L1'!$B$2:$B$37,"Walls",'Germany L1'!$S$2:$S$37)+SUMIF('Japan L7'!$B$2:$B$112,"Walls",'Japan L7'!$S$2:$S$112)+SUMIF('Snowden Tower L1'!$B$2:$B$86,"Walls",'Snowden Tower L1'!$S$2:$S$86)+SUMIF('Snowden Tower L2'!$B$2:$B$70,"Walls",'Snowden Tower L2'!$S$2:$S$70))/(COUNTIFS('Basic L1'!$B$2:$B$20,"Walls",'Basic L1'!$S$2:$S$20,"&lt;&gt;")+COUNTIFS('Basic L2'!$B$2:$B$27,"Walls",'Basic L2'!$S$2:$S$27,"&lt;&gt;")+COUNTIFS('Advanced L1'!$B$2:$B$78,"Walls",'Advanced L1'!$S$2:$S$78,"&lt;&gt;")+COUNTIFS('Germany L1'!$B$2:$B$37,"Walls",'Germany L1'!$S$2:$S$37,"&lt;&gt;")+COUNTIFS('Japan L7'!$B$2:$B$112,"Walls",'Japan L7'!$S$2:$S$112,"&lt;&gt;")+COUNTIFS('Snowden Tower L1'!$B$2:$B$86,"Walls",'Snowden Tower L1'!$S$2:$S$86,"&lt;&gt;")+COUNTIFS('Snowden Tower L2'!$B$2:$B$70,"Walls",'Snowden Tower L2'!$S$2:$S$70,"&lt;&gt;")))</f>
        <v>1.319613296636178</v>
      </c>
      <c r="J8" s="30">
        <f>IF((COUNTIFS('Basic L1'!$B$2:$B$20,"Walls",'Basic L1'!$S$2:$S$20,"&lt;&gt;")+COUNTIFS('Basic L2'!$B$2:$B$27,"Walls",'Basic L2'!$S$2:$S$27,"&lt;&gt;")+COUNTIFS('Advanced L1'!$B$2:$B$78,"Walls",'Advanced L1'!$S$2:$S$78,"&lt;&gt;")+COUNTIFS('Germany L1'!$B$2:$B$37,"Walls",'Germany L1'!$S$2:$S$37,"&lt;&gt;")+COUNTIFS('Japan L7'!$B$2:$B$112,"Walls",'Japan L7'!$S$2:$S$112,"&lt;&gt;")+COUNTIFS('Snowden Tower L1'!$B$2:$B$86,"Walls",'Snowden Tower L1'!$S$2:$S$86,"&lt;&gt;")+COUNTIFS('Snowden Tower L2'!$B$2:$B$70,"Walls",'Snowden Tower L2'!$S$2:$S$70,"&lt;&gt;"))=0,"N/A",(COUNTIFS('Basic L1'!$B$2:$B$20,"Walls",'Basic L1'!$S$2:$S$20,"&gt;1")+COUNTIFS('Basic L2'!$B$2:$B$27,"Walls",'Basic L2'!$S$2:$S$27,"&gt;1")+COUNTIFS('Advanced L1'!$B$2:$B$78,"Walls",'Advanced L1'!$S$2:$S$78,"&gt;1")+COUNTIFS('Germany L1'!$B$2:$B$37,"Walls",'Germany L1'!$S$2:$S$37,"&gt;1")+COUNTIFS('Japan L7'!$B$2:$B$112,"Walls",'Japan L7'!$S$2:$S$112,"&gt;1")+COUNTIFS('Snowden Tower L1'!$B$2:$B$86,"Walls",'Snowden Tower L1'!$S$2:$S$86,"&gt;1")+COUNTIFS('Snowden Tower L2'!$B$2:$B$70,"Walls",'Snowden Tower L2'!$S$2:$S$70,"&gt;1"))/(COUNTIFS('Basic L1'!$B$2:$B$20,"Walls",'Basic L1'!$S$2:$S$20,"&lt;&gt;")+COUNTIFS('Basic L2'!$B$2:$B$27,"Walls",'Basic L2'!$S$2:$S$27,"&lt;&gt;")+COUNTIFS('Advanced L1'!$B$2:$B$78,"Walls",'Advanced L1'!$S$2:$S$78,"&lt;&gt;")+COUNTIFS('Germany L1'!$B$2:$B$37,"Walls",'Germany L1'!$S$2:$S$37,"&lt;&gt;")+COUNTIFS('Japan L7'!$B$2:$B$112,"Walls",'Japan L7'!$S$2:$S$112,"&lt;&gt;")+COUNTIFS('Snowden Tower L1'!$B$2:$B$86,"Walls",'Snowden Tower L1'!$S$2:$S$86,"&lt;&gt;")+COUNTIFS('Snowden Tower L2'!$B$2:$B$70,"Walls",'Snowden Tower L2'!$S$2:$S$70,"&lt;&gt;")))</f>
        <v>0.6706586826347305</v>
      </c>
      <c r="K8" s="28">
        <f>COUNTIFS('Basic L1'!$B$2:$B$20,"Walls",'Basic L1'!$K$2:$K$20,"&gt;15")+COUNTIFS('Basic L2'!$B$2:$B$27,"Walls",'Basic L2'!$K$2:$K$27,"&gt;15")+COUNTIFS('Advanced L1'!$B$2:$B$78,"Walls",'Advanced L1'!$K$2:$K$78,"&gt;15")+COUNTIFS('Germany L1'!$B$2:$B$37,"Walls",'Germany L1'!$K$2:$K$37,"&gt;15")+COUNTIFS('Japan L7'!$B$2:$B$112,"Walls",'Japan L7'!$K$2:$K$112,"&gt;15")+COUNTIFS('Snowden Tower L1'!$B$2:$B$86,"Walls",'Snowden Tower L1'!$K$2:$K$86,"&gt;15")+COUNTIFS('Snowden Tower L2'!$B$2:$B$70,"Walls",'Snowden Tower L2'!$K$2:$K$70,"&gt;15")</f>
        <v>0</v>
      </c>
      <c r="L8" s="31">
        <v>7.0315000000000003</v>
      </c>
    </row>
    <row r="9" spans="1:12" ht="14.25" customHeight="1" x14ac:dyDescent="0.45">
      <c r="A9" s="27" t="s">
        <v>50</v>
      </c>
      <c r="B9" s="28">
        <f>COUNTIF('Basic L1'!$B$2:$B$20,"Room Tags")+COUNTIF('Basic L2'!$B$2:$B$27,"Room Tags")+COUNTIF('Advanced L1'!$B$2:$B$78,"Room Tags")+COUNTIF('Germany L1'!$B$2:$B$37,"Room Tags")+COUNTIF('Japan L7'!$B$2:$B$112,"Room Tags")+COUNTIF('Snowden Tower L1'!$B$2:$B$86,"Room Tags")+COUNTIF('Snowden Tower L2'!$B$2:$B$70,"Room Tags")</f>
        <v>95</v>
      </c>
      <c r="C9" s="29">
        <f>IF((COUNTIFS('Basic L1'!$B$2:$B$20,"Room Tags",'Basic L1'!$K$2:$K$20,"&lt;&gt;")+COUNTIFS('Basic L2'!$B$2:$B$27,"Room Tags",'Basic L2'!$K$2:$K$27,"&lt;&gt;")+COUNTIFS('Advanced L1'!$B$2:$B$78,"Room Tags",'Advanced L1'!$K$2:$K$78,"&lt;&gt;")+COUNTIFS('Germany L1'!$B$2:$B$37,"Room Tags",'Germany L1'!$K$2:$K$37,"&lt;&gt;")+COUNTIFS('Japan L7'!$B$2:$B$112,"Room Tags",'Japan L7'!$K$2:$K$112,"&lt;&gt;")+COUNTIFS('Snowden Tower L1'!$B$2:$B$86,"Room Tags",'Snowden Tower L1'!$K$2:$K$86,"&lt;&gt;")+COUNTIFS('Snowden Tower L2'!$B$2:$B$70,"Room Tags",'Snowden Tower L2'!$K$2:$K$70,"&lt;&gt;"))=0,"N/A",(SUMIF('Basic L1'!$B$2:$B$20,"Room Tags",'Basic L1'!$K$2:$K$20)+SUMIF('Basic L2'!$B$2:$B$27,"Room Tags",'Basic L2'!$K$2:$K$27)+SUMIF('Advanced L1'!$B$2:$B$78,"Room Tags",'Advanced L1'!$K$2:$K$78)+SUMIF('Germany L1'!$B$2:$B$37,"Room Tags",'Germany L1'!$K$2:$K$37)+SUMIF('Japan L7'!$B$2:$B$112,"Room Tags",'Japan L7'!$K$2:$K$112)+SUMIF('Snowden Tower L1'!$B$2:$B$86,"Room Tags",'Snowden Tower L1'!$K$2:$K$86)+SUMIF('Snowden Tower L2'!$B$2:$B$70,"Room Tags",'Snowden Tower L2'!$K$2:$K$70))/(COUNTIFS('Basic L1'!$B$2:$B$20,"Room Tags",'Basic L1'!$K$2:$K$20,"&lt;&gt;")+COUNTIFS('Basic L2'!$B$2:$B$27,"Room Tags",'Basic L2'!$K$2:$K$27,"&lt;&gt;")+COUNTIFS('Advanced L1'!$B$2:$B$78,"Room Tags",'Advanced L1'!$K$2:$K$78,"&lt;&gt;")+COUNTIFS('Germany L1'!$B$2:$B$37,"Room Tags",'Germany L1'!$K$2:$K$37,"&lt;&gt;")+COUNTIFS('Japan L7'!$B$2:$B$112,"Room Tags",'Japan L7'!$K$2:$K$112,"&lt;&gt;")+COUNTIFS('Snowden Tower L1'!$B$2:$B$86,"Room Tags",'Snowden Tower L1'!$K$2:$K$86,"&lt;&gt;")+COUNTIFS('Snowden Tower L2'!$B$2:$B$70,"Room Tags",'Snowden Tower L2'!$K$2:$K$70,"&lt;&gt;")))</f>
        <v>4.4262473896678411</v>
      </c>
      <c r="D9" s="29">
        <f t="array" ref="D9">IFERROR(MEDIAN(IF('Basic L1'!$B$2:$B$20="Room Tags",'Basic L1'!$K$2:$K$20),IF('Basic L2'!$B$2:$B$27="Room Tags",'Basic L2'!$K$2:$K$27),IF('Advanced L1'!$B$2:$B$78="Room Tags",'Advanced L1'!$K$2:$K$78),IF('Germany L1'!$B$2:$B$37="Room Tags",'Germany L1'!$K$2:$K$37),IF('Japan L7'!$B$2:$B$112="Room Tags",'Japan L7'!$K$2:$K$112),IF('Snowden Tower L1'!$B$2:$B$86="Room Tags",'Snowden Tower L1'!$K$2:$K$86),IF('Snowden Tower L2'!$B$2:$B$70="Room Tags",'Snowden Tower L2'!$K$2:$K$70)),"N/A")</f>
        <v>2.4313529566889316</v>
      </c>
      <c r="E9" s="29">
        <f>IF((COUNTIFS('Basic L1'!$B$2:$B$20,"Room Tags",'Basic L1'!$K$2:$K$20,"&lt;&gt;")+COUNTIFS('Basic L2'!$B$2:$B$27,"Room Tags",'Basic L2'!$K$2:$K$27,"&lt;&gt;")+COUNTIFS('Advanced L1'!$B$2:$B$78,"Room Tags",'Advanced L1'!$K$2:$K$78,"&lt;&gt;")+COUNTIFS('Germany L1'!$B$2:$B$37,"Room Tags",'Germany L1'!$K$2:$K$37,"&lt;&gt;")+COUNTIFS('Japan L7'!$B$2:$B$112,"Room Tags",'Japan L7'!$K$2:$K$112,"&lt;&gt;")+COUNTIFS('Snowden Tower L1'!$B$2:$B$86,"Room Tags",'Snowden Tower L1'!$K$2:$K$86,"&lt;&gt;")+COUNTIFS('Snowden Tower L2'!$B$2:$B$70,"Room Tags",'Snowden Tower L2'!$K$2:$K$70,"&lt;&gt;"))=0,"N/A",SQRT((SUMPRODUCT(('Basic L1'!$B$2:$B$20="Room Tags")*('Basic L1'!$K$2:$K$20)*('Basic L1'!$K$2:$K$20))+SUMPRODUCT(('Basic L2'!$B$2:$B$27="Room Tags")*('Basic L2'!$K$2:$K$27)*('Basic L2'!$K$2:$K$27))+SUMPRODUCT(('Advanced L1'!$B$2:$B$78="Room Tags")*('Advanced L1'!$K$2:$K$78)*('Advanced L1'!$K$2:$K$78))+SUMPRODUCT(('Germany L1'!$B$2:$B$37="Room Tags")*('Germany L1'!$K$2:$K$37)*('Germany L1'!$K$2:$K$37))+SUMPRODUCT(('Japan L7'!$B$2:$B$112="Room Tags")*('Japan L7'!$K$2:$K$112)*('Japan L7'!$K$2:$K$112))+SUMPRODUCT(('Snowden Tower L1'!$B$2:$B$86="Room Tags")*('Snowden Tower L1'!$K$2:$K$86)*('Snowden Tower L1'!$K$2:$K$86))+SUMPRODUCT(('Snowden Tower L2'!$B$2:$B$70="Room Tags")*('Snowden Tower L2'!$K$2:$K$70)*('Snowden Tower L2'!$K$2:$K$70)))/(COUNTIFS('Basic L1'!$B$2:$B$20,"Room Tags",'Basic L1'!$K$2:$K$20,"&lt;&gt;")+COUNTIFS('Basic L2'!$B$2:$B$27,"Room Tags",'Basic L2'!$K$2:$K$27,"&lt;&gt;")+COUNTIFS('Advanced L1'!$B$2:$B$78,"Room Tags",'Advanced L1'!$K$2:$K$78,"&lt;&gt;")+COUNTIFS('Germany L1'!$B$2:$B$37,"Room Tags",'Germany L1'!$K$2:$K$37,"&lt;&gt;")+COUNTIFS('Japan L7'!$B$2:$B$112,"Room Tags",'Japan L7'!$K$2:$K$112,"&lt;&gt;")+COUNTIFS('Snowden Tower L1'!$B$2:$B$86,"Room Tags",'Snowden Tower L1'!$K$2:$K$86,"&lt;&gt;")+COUNTIFS('Snowden Tower L2'!$B$2:$B$70,"Room Tags",'Snowden Tower L2'!$K$2:$K$70,"&lt;&gt;"))))</f>
        <v>7.3735717582672091</v>
      </c>
      <c r="F9" s="30">
        <f>IF((COUNTIFS('Basic L1'!$B$2:$B$20,"Room Tags",'Basic L1'!$R$2:$R$20,"&lt;&gt;")+COUNTIFS('Basic L2'!$B$2:$B$27,"Room Tags",'Basic L2'!$R$2:$R$27,"&lt;&gt;")+COUNTIFS('Advanced L1'!$B$2:$B$78,"Room Tags",'Advanced L1'!$R$2:$R$78,"&lt;&gt;")+COUNTIFS('Germany L1'!$B$2:$B$37,"Room Tags",'Germany L1'!$R$2:$R$37,"&lt;&gt;")+COUNTIFS('Japan L7'!$B$2:$B$112,"Room Tags",'Japan L7'!$R$2:$R$112,"&lt;&gt;")+COUNTIFS('Snowden Tower L1'!$B$2:$B$86,"Room Tags",'Snowden Tower L1'!$R$2:$R$86,"&lt;&gt;")+COUNTIFS('Snowden Tower L2'!$B$2:$B$70,"Room Tags",'Snowden Tower L2'!$R$2:$R$70,"&lt;&gt;"))=0,"N/A",(SUMIFS('Basic L1'!$R$2:$R$20,'Basic L1'!$B$2:$B$20,"Room Tags")+SUMIFS('Basic L2'!$R$2:$R$27,'Basic L2'!$B$2:$B$27,"Room Tags")+SUMIFS('Advanced L1'!$R$2:$R$78,'Advanced L1'!$B$2:$B$78,"Room Tags")+SUMIFS('Germany L1'!$R$2:$R$37,'Germany L1'!$B$2:$B$37,"Room Tags")+SUMIFS('Japan L7'!$R$2:$R$112,'Japan L7'!$B$2:$B$112,"Room Tags")+SUMIFS('Snowden Tower L1'!$R$2:$R$86,'Snowden Tower L1'!$B$2:$B$86,"Room Tags")+SUMIFS('Snowden Tower L2'!$R$2:$R$70,'Snowden Tower L2'!$B$2:$B$70,"Room Tags"))/(COUNTIFS('Basic L1'!$B$2:$B$20,"Room Tags",'Basic L1'!$R$2:$R$20,"&lt;&gt;")+COUNTIFS('Basic L2'!$B$2:$B$27,"Room Tags",'Basic L2'!$R$2:$R$27,"&lt;&gt;")+COUNTIFS('Advanced L1'!$B$2:$B$78,"Room Tags",'Advanced L1'!$R$2:$R$78,"&lt;&gt;")+COUNTIFS('Germany L1'!$B$2:$B$37,"Room Tags",'Germany L1'!$R$2:$R$37,"&lt;&gt;")+COUNTIFS('Japan L7'!$B$2:$B$112,"Room Tags",'Japan L7'!$R$2:$R$112,"&lt;&gt;")+COUNTIFS('Snowden Tower L1'!$B$2:$B$86,"Room Tags",'Snowden Tower L1'!$R$2:$R$86,"&lt;&gt;")+COUNTIFS('Snowden Tower L2'!$B$2:$B$70,"Room Tags",'Snowden Tower L2'!$R$2:$R$70,"&lt;&gt;")))</f>
        <v>0.43157894736842106</v>
      </c>
      <c r="G9" s="30">
        <f>IF((COUNTIFS('Basic L1'!$B$2:$B$20,"Room Tags",'Basic L1'!$N$2:$N$20,"&lt;&gt;")+COUNTIFS('Basic L2'!$B$2:$B$27,"Room Tags",'Basic L2'!$N$2:$N$27,"&lt;&gt;")+COUNTIFS('Advanced L1'!$B$2:$B$78,"Room Tags",'Advanced L1'!$N$2:$N$78,"&lt;&gt;")+COUNTIFS('Germany L1'!$B$2:$B$37,"Room Tags",'Germany L1'!$N$2:$N$37,"&lt;&gt;")+COUNTIFS('Japan L7'!$B$2:$B$112,"Room Tags",'Japan L7'!$N$2:$N$112,"&lt;&gt;")+COUNTIFS('Snowden Tower L1'!$B$2:$B$86,"Room Tags",'Snowden Tower L1'!$N$2:$N$86,"&lt;&gt;")+COUNTIFS('Snowden Tower L2'!$B$2:$B$70,"Room Tags",'Snowden Tower L2'!$N$2:$N$70,"&lt;&gt;"))=0,"N/A",(SUMIF('Basic L1'!$B$2:$B$20,"Room Tags",'Basic L1'!$N$2:$N$20)+SUMIF('Basic L2'!$B$2:$B$27,"Room Tags",'Basic L2'!$N$2:$N$27)+SUMIF('Advanced L1'!$B$2:$B$78,"Room Tags",'Advanced L1'!$N$2:$N$78)+SUMIF('Germany L1'!$B$2:$B$37,"Room Tags",'Germany L1'!$N$2:$N$37)+SUMIF('Japan L7'!$B$2:$B$112,"Room Tags",'Japan L7'!$N$2:$N$112)+SUMIF('Snowden Tower L1'!$B$2:$B$86,"Room Tags",'Snowden Tower L1'!$N$2:$N$86)+SUMIF('Snowden Tower L2'!$B$2:$B$70,"Room Tags",'Snowden Tower L2'!$N$2:$N$70))/(COUNTIFS('Basic L1'!$B$2:$B$20,"Room Tags",'Basic L1'!$N$2:$N$20,"&lt;&gt;")+COUNTIFS('Basic L2'!$B$2:$B$27,"Room Tags",'Basic L2'!$N$2:$N$27,"&lt;&gt;")+COUNTIFS('Advanced L1'!$B$2:$B$78,"Room Tags",'Advanced L1'!$N$2:$N$78,"&lt;&gt;")+COUNTIFS('Germany L1'!$B$2:$B$37,"Room Tags",'Germany L1'!$N$2:$N$37,"&lt;&gt;")+COUNTIFS('Japan L7'!$B$2:$B$112,"Room Tags",'Japan L7'!$N$2:$N$112,"&lt;&gt;")+COUNTIFS('Snowden Tower L1'!$B$2:$B$86,"Room Tags",'Snowden Tower L1'!$N$2:$N$86,"&lt;&gt;")+COUNTIFS('Snowden Tower L2'!$B$2:$B$70,"Room Tags",'Snowden Tower L2'!$N$2:$N$70,"&lt;&gt;")))</f>
        <v>-0.47739709374900857</v>
      </c>
      <c r="H9" s="29">
        <f>IF((COUNTIFS('Basic L1'!$B$2:$B$20,"Room Tags",'Basic L1'!$O$2:$O$20,"&lt;&gt;")+COUNTIFS('Basic L2'!$B$2:$B$27,"Room Tags",'Basic L2'!$O$2:$O$27,"&lt;&gt;")+COUNTIFS('Advanced L1'!$B$2:$B$78,"Room Tags",'Advanced L1'!$O$2:$O$78,"&lt;&gt;")+COUNTIFS('Germany L1'!$B$2:$B$37,"Room Tags",'Germany L1'!$O$2:$O$37,"&lt;&gt;")+COUNTIFS('Japan L7'!$B$2:$B$112,"Room Tags",'Japan L7'!$O$2:$O$112,"&lt;&gt;")+COUNTIFS('Snowden Tower L1'!$B$2:$B$86,"Room Tags",'Snowden Tower L1'!$O$2:$O$86,"&lt;&gt;")+COUNTIFS('Snowden Tower L2'!$B$2:$B$70,"Room Tags",'Snowden Tower L2'!$O$2:$O$70,"&lt;&gt;"))=0,"N/A",(SUMIF('Basic L1'!$B$2:$B$20,"Room Tags",'Basic L1'!$O$2:$O$20)+SUMIF('Basic L2'!$B$2:$B$27,"Room Tags",'Basic L2'!$O$2:$O$27)+SUMIF('Advanced L1'!$B$2:$B$78,"Room Tags",'Advanced L1'!$O$2:$O$78)+SUMIF('Germany L1'!$B$2:$B$37,"Room Tags",'Germany L1'!$O$2:$O$37)+SUMIF('Japan L7'!$B$2:$B$112,"Room Tags",'Japan L7'!$O$2:$O$112)+SUMIF('Snowden Tower L1'!$B$2:$B$86,"Room Tags",'Snowden Tower L1'!$O$2:$O$86)+SUMIF('Snowden Tower L2'!$B$2:$B$70,"Room Tags",'Snowden Tower L2'!$O$2:$O$70))/(COUNTIFS('Basic L1'!$B$2:$B$20,"Room Tags",'Basic L1'!$O$2:$O$20,"&lt;&gt;")+COUNTIFS('Basic L2'!$B$2:$B$27,"Room Tags",'Basic L2'!$O$2:$O$27,"&lt;&gt;")+COUNTIFS('Advanced L1'!$B$2:$B$78,"Room Tags",'Advanced L1'!$O$2:$O$78,"&lt;&gt;")+COUNTIFS('Germany L1'!$B$2:$B$37,"Room Tags",'Germany L1'!$O$2:$O$37,"&lt;&gt;")+COUNTIFS('Japan L7'!$B$2:$B$112,"Room Tags",'Japan L7'!$O$2:$O$112,"&lt;&gt;")+COUNTIFS('Snowden Tower L1'!$B$2:$B$86,"Room Tags",'Snowden Tower L1'!$O$2:$O$86,"&lt;&gt;")+COUNTIFS('Snowden Tower L2'!$B$2:$B$70,"Room Tags",'Snowden Tower L2'!$O$2:$O$70,"&lt;&gt;")))</f>
        <v>0.41208470962287086</v>
      </c>
      <c r="I9" s="29">
        <f>IF((COUNTIFS('Basic L1'!$B$2:$B$20,"Room Tags",'Basic L1'!$S$2:$S$20,"&lt;&gt;")+COUNTIFS('Basic L2'!$B$2:$B$27,"Room Tags",'Basic L2'!$S$2:$S$27,"&lt;&gt;")+COUNTIFS('Advanced L1'!$B$2:$B$78,"Room Tags",'Advanced L1'!$S$2:$S$78,"&lt;&gt;")+COUNTIFS('Germany L1'!$B$2:$B$37,"Room Tags",'Germany L1'!$S$2:$S$37,"&lt;&gt;")+COUNTIFS('Japan L7'!$B$2:$B$112,"Room Tags",'Japan L7'!$S$2:$S$112,"&lt;&gt;")+COUNTIFS('Snowden Tower L1'!$B$2:$B$86,"Room Tags",'Snowden Tower L1'!$S$2:$S$86,"&lt;&gt;")+COUNTIFS('Snowden Tower L2'!$B$2:$B$70,"Room Tags",'Snowden Tower L2'!$S$2:$S$70,"&lt;&gt;"))=0,"N/A",(SUMIF('Basic L1'!$B$2:$B$20,"Room Tags",'Basic L1'!$S$2:$S$20)+SUMIF('Basic L2'!$B$2:$B$27,"Room Tags",'Basic L2'!$S$2:$S$27)+SUMIF('Advanced L1'!$B$2:$B$78,"Room Tags",'Advanced L1'!$S$2:$S$78)+SUMIF('Germany L1'!$B$2:$B$37,"Room Tags",'Germany L1'!$S$2:$S$37)+SUMIF('Japan L7'!$B$2:$B$112,"Room Tags",'Japan L7'!$S$2:$S$112)+SUMIF('Snowden Tower L1'!$B$2:$B$86,"Room Tags",'Snowden Tower L1'!$S$2:$S$86)+SUMIF('Snowden Tower L2'!$B$2:$B$70,"Room Tags",'Snowden Tower L2'!$S$2:$S$70))/(COUNTIFS('Basic L1'!$B$2:$B$20,"Room Tags",'Basic L1'!$S$2:$S$20,"&lt;&gt;")+COUNTIFS('Basic L2'!$B$2:$B$27,"Room Tags",'Basic L2'!$S$2:$S$27,"&lt;&gt;")+COUNTIFS('Advanced L1'!$B$2:$B$78,"Room Tags",'Advanced L1'!$S$2:$S$78,"&lt;&gt;")+COUNTIFS('Germany L1'!$B$2:$B$37,"Room Tags",'Germany L1'!$S$2:$S$37,"&lt;&gt;")+COUNTIFS('Japan L7'!$B$2:$B$112,"Room Tags",'Japan L7'!$S$2:$S$112,"&lt;&gt;")+COUNTIFS('Snowden Tower L1'!$B$2:$B$86,"Room Tags",'Snowden Tower L1'!$S$2:$S$86,"&lt;&gt;")+COUNTIFS('Snowden Tower L2'!$B$2:$B$70,"Room Tags",'Snowden Tower L2'!$S$2:$S$70,"&lt;&gt;")))</f>
        <v>1.4111282385533475</v>
      </c>
      <c r="J9" s="30">
        <f>IF((COUNTIFS('Basic L1'!$B$2:$B$20,"Room Tags",'Basic L1'!$S$2:$S$20,"&lt;&gt;")+COUNTIFS('Basic L2'!$B$2:$B$27,"Room Tags",'Basic L2'!$S$2:$S$27,"&lt;&gt;")+COUNTIFS('Advanced L1'!$B$2:$B$78,"Room Tags",'Advanced L1'!$S$2:$S$78,"&lt;&gt;")+COUNTIFS('Germany L1'!$B$2:$B$37,"Room Tags",'Germany L1'!$S$2:$S$37,"&lt;&gt;")+COUNTIFS('Japan L7'!$B$2:$B$112,"Room Tags",'Japan L7'!$S$2:$S$112,"&lt;&gt;")+COUNTIFS('Snowden Tower L1'!$B$2:$B$86,"Room Tags",'Snowden Tower L1'!$S$2:$S$86,"&lt;&gt;")+COUNTIFS('Snowden Tower L2'!$B$2:$B$70,"Room Tags",'Snowden Tower L2'!$S$2:$S$70,"&lt;&gt;"))=0,"N/A",(COUNTIFS('Basic L1'!$B$2:$B$20,"Room Tags",'Basic L1'!$S$2:$S$20,"&gt;1")+COUNTIFS('Basic L2'!$B$2:$B$27,"Room Tags",'Basic L2'!$S$2:$S$27,"&gt;1")+COUNTIFS('Advanced L1'!$B$2:$B$78,"Room Tags",'Advanced L1'!$S$2:$S$78,"&gt;1")+COUNTIFS('Germany L1'!$B$2:$B$37,"Room Tags",'Germany L1'!$S$2:$S$37,"&gt;1")+COUNTIFS('Japan L7'!$B$2:$B$112,"Room Tags",'Japan L7'!$S$2:$S$112,"&gt;1")+COUNTIFS('Snowden Tower L1'!$B$2:$B$86,"Room Tags",'Snowden Tower L1'!$S$2:$S$86,"&gt;1")+COUNTIFS('Snowden Tower L2'!$B$2:$B$70,"Room Tags",'Snowden Tower L2'!$S$2:$S$70,"&gt;1"))/(COUNTIFS('Basic L1'!$B$2:$B$20,"Room Tags",'Basic L1'!$S$2:$S$20,"&lt;&gt;")+COUNTIFS('Basic L2'!$B$2:$B$27,"Room Tags",'Basic L2'!$S$2:$S$27,"&lt;&gt;")+COUNTIFS('Advanced L1'!$B$2:$B$78,"Room Tags",'Advanced L1'!$S$2:$S$78,"&lt;&gt;")+COUNTIFS('Germany L1'!$B$2:$B$37,"Room Tags",'Germany L1'!$S$2:$S$37,"&lt;&gt;")+COUNTIFS('Japan L7'!$B$2:$B$112,"Room Tags",'Japan L7'!$S$2:$S$112,"&lt;&gt;")+COUNTIFS('Snowden Tower L1'!$B$2:$B$86,"Room Tags",'Snowden Tower L1'!$S$2:$S$86,"&lt;&gt;")+COUNTIFS('Snowden Tower L2'!$B$2:$B$70,"Room Tags",'Snowden Tower L2'!$S$2:$S$70,"&lt;&gt;")))</f>
        <v>0.38947368421052631</v>
      </c>
      <c r="K9" s="28">
        <f>COUNTIFS('Basic L1'!$B$2:$B$20,"Room Tags",'Basic L1'!$K$2:$K$20,"&gt;15")+COUNTIFS('Basic L2'!$B$2:$B$27,"Room Tags",'Basic L2'!$K$2:$K$27,"&gt;15")+COUNTIFS('Advanced L1'!$B$2:$B$78,"Room Tags",'Advanced L1'!$K$2:$K$78,"&gt;15")+COUNTIFS('Germany L1'!$B$2:$B$37,"Room Tags",'Germany L1'!$K$2:$K$37,"&gt;15")+COUNTIFS('Japan L7'!$B$2:$B$112,"Room Tags",'Japan L7'!$K$2:$K$112,"&gt;15")+COUNTIFS('Snowden Tower L1'!$B$2:$B$86,"Room Tags",'Snowden Tower L1'!$K$2:$K$86,"&gt;15")+COUNTIFS('Snowden Tower L2'!$B$2:$B$70,"Room Tags",'Snowden Tower L2'!$K$2:$K$70,"&gt;15")</f>
        <v>7</v>
      </c>
      <c r="L9" s="31">
        <v>19.427800000000001</v>
      </c>
    </row>
    <row r="12" spans="1:12" ht="18" customHeight="1" x14ac:dyDescent="0.45">
      <c r="A12" s="32" t="s">
        <v>71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</row>
    <row r="13" spans="1:12" ht="42" customHeight="1" x14ac:dyDescent="0.45">
      <c r="A13" s="34" t="s">
        <v>72</v>
      </c>
      <c r="B13" s="34" t="s">
        <v>59</v>
      </c>
      <c r="C13" s="34" t="s">
        <v>60</v>
      </c>
      <c r="D13" s="34" t="s">
        <v>61</v>
      </c>
      <c r="E13" s="34" t="s">
        <v>62</v>
      </c>
      <c r="F13" s="34" t="s">
        <v>63</v>
      </c>
      <c r="G13" s="34" t="s">
        <v>64</v>
      </c>
      <c r="H13" s="34" t="s">
        <v>65</v>
      </c>
      <c r="I13" s="34" t="s">
        <v>66</v>
      </c>
      <c r="J13" s="34" t="s">
        <v>67</v>
      </c>
      <c r="K13" s="34" t="s">
        <v>68</v>
      </c>
      <c r="L13" s="21" t="s">
        <v>69</v>
      </c>
    </row>
    <row r="14" spans="1:12" ht="14.25" customHeight="1" x14ac:dyDescent="0.45">
      <c r="A14" s="35" t="s">
        <v>73</v>
      </c>
      <c r="B14" s="36">
        <f>COUNTA('Basic L1'!$B$2:$B$20)</f>
        <v>19</v>
      </c>
      <c r="C14" s="37">
        <f>IF(COUNT('Basic L1'!$K$2:$K$20)=0,"N/A",AVERAGE('Basic L1'!$K$2:$K$20))</f>
        <v>2.1132810859002378</v>
      </c>
      <c r="D14" s="37">
        <f>IFERROR(MEDIAN('Basic L1'!$K$2:$K$20),"N/A")</f>
        <v>1.1813999999999965</v>
      </c>
      <c r="E14" s="37">
        <f t="array" ref="E14">IF(COUNT('Basic L1'!$K$2:$K$20)=0,"N/A",SQRT(SUMPRODUCT(ISNUMBER('Basic L1'!$K$2:$K$20)*(IF(ISNUMBER('Basic L1'!$K$2:$K$20),'Basic L1'!$K$2:$K$20,0))^2)/COUNT('Basic L1'!$K$2:$K$20)))</f>
        <v>3.1628275780416879</v>
      </c>
      <c r="F14" s="38">
        <f>IF(COUNT('Basic L1'!$R$2:$R$20)=0,"N/A",COUNTIF('Basic L1'!$R$2:$R$20,1)/COUNT('Basic L1'!$R$2:$R$20))</f>
        <v>0.73684210526315785</v>
      </c>
      <c r="G14" s="38">
        <f>IF(COUNT('Basic L1'!$N$2:$N$20)=0,"N/A",AVERAGE('Basic L1'!$N$2:$N$20))</f>
        <v>0.22216082684670158</v>
      </c>
      <c r="H14" s="37">
        <f>IF(COUNT('Basic L1'!$O$2:$O$20)=0,"N/A",AVERAGE('Basic L1'!$O$2:$O$20))</f>
        <v>0.62266301858667994</v>
      </c>
      <c r="I14" s="37">
        <f>IF(COUNT('Basic L1'!$S$2:$S$20)=0,"N/A",AVERAGE('Basic L1'!$S$2:$S$20))</f>
        <v>0.85778936935970329</v>
      </c>
      <c r="J14" s="38">
        <f>IF(COUNT('Basic L1'!$S$2:$S$20)=0,"N/A",COUNTIF('Basic L1'!$S$2:$S$20,"&gt;1")/COUNT('Basic L1'!$S$2:$S$20))</f>
        <v>0.15789473684210525</v>
      </c>
      <c r="K14" s="36">
        <f>COUNTIF('Basic L1'!$K$2:$K$20,"&gt;15.0")</f>
        <v>0</v>
      </c>
      <c r="L14" s="31">
        <f>IFERROR(_xlfn.PERCENTILE.INC('Basic L1'!$K$2:$K$20,0.95),"N/A")</f>
        <v>5.8861740444997723</v>
      </c>
    </row>
    <row r="15" spans="1:12" ht="14.25" customHeight="1" x14ac:dyDescent="0.45">
      <c r="A15" s="39" t="s">
        <v>74</v>
      </c>
      <c r="B15" s="40">
        <f>COUNTA('Basic L2'!$B$2:$B$27)</f>
        <v>26</v>
      </c>
      <c r="C15" s="41">
        <f>IF(COUNT('Basic L2'!$K$2:$K$27)=0,"N/A",AVERAGE('Basic L2'!$K$2:$K$27))</f>
        <v>2.0503314067655207</v>
      </c>
      <c r="D15" s="41">
        <f>IFERROR(MEDIAN('Basic L2'!$K$2:$K$27),"N/A")</f>
        <v>1.8516596921200357</v>
      </c>
      <c r="E15" s="41">
        <f t="array" ref="E15">IF(COUNT('Basic L2'!$K$2:$K$27)=0,"N/A",SQRT(SUMPRODUCT(ISNUMBER('Basic L2'!$K$2:$K$27)*(IF(ISNUMBER('Basic L2'!$K$2:$K$27),'Basic L2'!$K$2:$K$27,0))^2)/COUNT('Basic L2'!$K$2:$K$27)))</f>
        <v>2.8081929946826336</v>
      </c>
      <c r="F15" s="42">
        <f>IF(COUNT('Basic L2'!$R$2:$R$27)=0,"N/A",COUNTIF('Basic L2'!$R$2:$R$27,1)/COUNT('Basic L2'!$R$2:$R$27))</f>
        <v>0.61111111111111116</v>
      </c>
      <c r="G15" s="42">
        <f>IF(COUNT('Basic L2'!$N$2:$N$27)=0,"N/A",AVERAGE('Basic L2'!$N$2:$N$27))</f>
        <v>-0.37353809552338391</v>
      </c>
      <c r="H15" s="41">
        <f>IF(COUNT('Basic L2'!$O$2:$O$27)=0,"N/A",AVERAGE('Basic L2'!$O$2:$O$27))</f>
        <v>0.53357784463738822</v>
      </c>
      <c r="I15" s="41">
        <f>IF(COUNT('Basic L2'!$S$2:$S$27)=0,"N/A",AVERAGE('Basic L2'!$S$2:$S$27))</f>
        <v>0.82356510537682359</v>
      </c>
      <c r="J15" s="42">
        <f>IF(COUNT('Basic L2'!$S$2:$S$27)=0,"N/A",COUNTIF('Basic L2'!$S$2:$S$27,"&gt;1")/COUNT('Basic L2'!$S$2:$S$27))</f>
        <v>0.16666666666666666</v>
      </c>
      <c r="K15" s="40">
        <f>COUNTIF('Basic L2'!$K$2:$K$27,"&gt;15.0")</f>
        <v>0</v>
      </c>
      <c r="L15" s="43">
        <f>IFERROR(_xlfn.PERCENTILE.INC('Basic L2'!$K$2:$K$27,0.95),"N/A")</f>
        <v>3.317092827587945</v>
      </c>
    </row>
    <row r="16" spans="1:12" ht="14.25" customHeight="1" x14ac:dyDescent="0.45">
      <c r="A16" s="35" t="s">
        <v>75</v>
      </c>
      <c r="B16" s="36">
        <f>COUNTA('Advanced L1'!$B$2:$B$78)</f>
        <v>77</v>
      </c>
      <c r="C16" s="37">
        <f>IF(COUNT('Advanced L1'!$K$2:$K$78)=0,"N/A",AVERAGE('Advanced L1'!$K$2:$K$78))</f>
        <v>3.3869184532890491</v>
      </c>
      <c r="D16" s="37">
        <f>IFERROR(MEDIAN('Advanced L1'!$K$2:$K$78),"N/A")</f>
        <v>1.3159042556356453</v>
      </c>
      <c r="E16" s="37">
        <f t="array" ref="E16">IF(COUNT('Advanced L1'!$K$2:$K$78)=0,"N/A",SQRT(SUMPRODUCT(ISNUMBER('Advanced L1'!$K$2:$K$78)*(IF(ISNUMBER('Advanced L1'!$K$2:$K$78),'Advanced L1'!$K$2:$K$78,0))^2)/COUNT('Advanced L1'!$K$2:$K$78)))</f>
        <v>6.0886005013947502</v>
      </c>
      <c r="F16" s="38">
        <f>IF(COUNT('Advanced L1'!$R$2:$R$78)=0,"N/A",COUNTIF('Advanced L1'!$R$2:$R$78,1)/COUNT('Advanced L1'!$R$2:$R$78))</f>
        <v>0.57894736842105265</v>
      </c>
      <c r="G16" s="38">
        <f>IF(COUNT('Advanced L1'!$N$2:$N$78)=0,"N/A",AVERAGE('Advanced L1'!$N$2:$N$78))</f>
        <v>-0.59345194958081848</v>
      </c>
      <c r="H16" s="37">
        <f>IF(COUNT('Advanced L1'!$O$2:$O$78)=0,"N/A",AVERAGE('Advanced L1'!$O$2:$O$78))</f>
        <v>0.58944561831976905</v>
      </c>
      <c r="I16" s="37">
        <f>IF(COUNT('Advanced L1'!$S$2:$S$78)=0,"N/A",AVERAGE('Advanced L1'!$S$2:$S$78))</f>
        <v>1.9666593983286846</v>
      </c>
      <c r="J16" s="38">
        <f>IF(COUNT('Advanced L1'!$S$2:$S$78)=0,"N/A",COUNTIF('Advanced L1'!$S$2:$S$78,"&gt;1")/COUNT('Advanced L1'!$S$2:$S$78))</f>
        <v>0.82456140350877194</v>
      </c>
      <c r="K16" s="36">
        <f>COUNTIF('Advanced L1'!$K$2:$K$78,"&gt;15.0")</f>
        <v>4</v>
      </c>
      <c r="L16" s="31">
        <f>IFERROR(_xlfn.PERCENTILE.INC('Advanced L1'!$K$2:$K$78,0.95),"N/A")</f>
        <v>13.378105248876748</v>
      </c>
    </row>
    <row r="17" spans="1:12" ht="14.25" customHeight="1" x14ac:dyDescent="0.45">
      <c r="A17" s="39" t="s">
        <v>76</v>
      </c>
      <c r="B17" s="40">
        <f>COUNTA('Germany L1'!$B$2:$B$37)</f>
        <v>36</v>
      </c>
      <c r="C17" s="41">
        <f>IF(COUNT('Germany L1'!$K$2:$K$37)=0,"N/A",AVERAGE('Germany L1'!$K$2:$K$37))</f>
        <v>2.0434719597801507</v>
      </c>
      <c r="D17" s="41">
        <f>IFERROR(MEDIAN('Germany L1'!$K$2:$K$37),"N/A")</f>
        <v>1.440100000000001</v>
      </c>
      <c r="E17" s="41">
        <f t="array" ref="E17">IF(COUNT('Germany L1'!$K$2:$K$37)=0,"N/A",SQRT(SUMPRODUCT(ISNUMBER('Germany L1'!$K$2:$K$37)*(IF(ISNUMBER('Germany L1'!$K$2:$K$37),'Germany L1'!$K$2:$K$37,0))^2)/COUNT('Germany L1'!$K$2:$K$37)))</f>
        <v>2.6880275961711728</v>
      </c>
      <c r="F17" s="42">
        <f>IF(COUNT('Germany L1'!$R$2:$R$37)=0,"N/A",COUNTIF('Germany L1'!$R$2:$R$37,1)/COUNT('Germany L1'!$R$2:$R$37))</f>
        <v>0.77777777777777779</v>
      </c>
      <c r="G17" s="42">
        <f>IF(COUNT('Germany L1'!$N$2:$N$37)=0,"N/A",AVERAGE('Germany L1'!$N$2:$N$37))</f>
        <v>-0.28045330650410205</v>
      </c>
      <c r="H17" s="41">
        <f>IF(COUNT('Germany L1'!$O$2:$O$37)=0,"N/A",AVERAGE('Germany L1'!$O$2:$O$37))</f>
        <v>0.78160236254207749</v>
      </c>
      <c r="I17" s="41">
        <f>IF(COUNT('Germany L1'!$S$2:$S$37)=0,"N/A",AVERAGE('Germany L1'!$S$2:$S$37))</f>
        <v>1.9394386145434366</v>
      </c>
      <c r="J17" s="42">
        <f>IF(COUNT('Germany L1'!$S$2:$S$37)=0,"N/A",COUNTIF('Germany L1'!$S$2:$S$37,"&gt;1")/COUNT('Germany L1'!$S$2:$S$37))</f>
        <v>0.83333333333333337</v>
      </c>
      <c r="K17" s="40">
        <f>COUNTIF('Germany L1'!$K$2:$K$37,"&gt;15.0")</f>
        <v>0</v>
      </c>
      <c r="L17" s="43">
        <f>IFERROR(_xlfn.PERCENTILE.INC('Germany L1'!$K$2:$K$37,0.95),"N/A")</f>
        <v>5.5225216042025504</v>
      </c>
    </row>
    <row r="18" spans="1:12" ht="14.25" customHeight="1" x14ac:dyDescent="0.45">
      <c r="A18" s="35" t="s">
        <v>77</v>
      </c>
      <c r="B18" s="36">
        <f>COUNTA('Japan L7'!$B$2:$B$112)</f>
        <v>111</v>
      </c>
      <c r="C18" s="37">
        <f>IF(COUNT('Japan L7'!$K$2:$K$112)=0,"N/A",AVERAGE('Japan L7'!$K$2:$K$112))</f>
        <v>9.3406986988609582</v>
      </c>
      <c r="D18" s="37">
        <f>IFERROR(MEDIAN('Japan L7'!$K$2:$K$112),"N/A")</f>
        <v>1.9413785849236116</v>
      </c>
      <c r="E18" s="37">
        <f t="array" ref="E18">IF(COUNT('Japan L7'!$K$2:$K$112)=0,"N/A",SQRT(SUMPRODUCT(ISNUMBER('Japan L7'!$K$2:$K$112)*(IF(ISNUMBER('Japan L7'!$K$2:$K$112),'Japan L7'!$K$2:$K$112,0))^2)/COUNT('Japan L7'!$K$2:$K$112)))</f>
        <v>20.845739431395131</v>
      </c>
      <c r="F18" s="38">
        <f>IF(COUNT('Japan L7'!$R$2:$R$112)=0,"N/A",COUNTIF('Japan L7'!$R$2:$R$112,1)/COUNT('Japan L7'!$R$2:$R$112))</f>
        <v>0.38181818181818183</v>
      </c>
      <c r="G18" s="38">
        <f>IF(COUNT('Japan L7'!$N$2:$N$112)=0,"N/A",AVERAGE('Japan L7'!$N$2:$N$112))</f>
        <v>-8.143829786939925</v>
      </c>
      <c r="H18" s="37">
        <f>IF(COUNT('Japan L7'!$O$2:$O$112)=0,"N/A",AVERAGE('Japan L7'!$O$2:$O$112))</f>
        <v>0.21613928481855968</v>
      </c>
      <c r="I18" s="37">
        <f>IF(COUNT('Japan L7'!$S$2:$S$112)=0,"N/A",AVERAGE('Japan L7'!$S$2:$S$112))</f>
        <v>9.19582503539824</v>
      </c>
      <c r="J18" s="38">
        <f>IF(COUNT('Japan L7'!$S$2:$S$112)=0,"N/A",COUNTIF('Japan L7'!$S$2:$S$112,"&gt;1")/COUNT('Japan L7'!$S$2:$S$112))</f>
        <v>0.8</v>
      </c>
      <c r="K18" s="36">
        <f>COUNTIF('Japan L7'!$K$2:$K$112,"&gt;15.0")</f>
        <v>18</v>
      </c>
      <c r="L18" s="31">
        <f>IFERROR(_xlfn.PERCENTILE.INC('Japan L7'!$K$2:$K$126,0.95),"N/A")</f>
        <v>60.151123032937498</v>
      </c>
    </row>
    <row r="19" spans="1:12" ht="14.25" customHeight="1" x14ac:dyDescent="0.45">
      <c r="A19" s="39" t="s">
        <v>78</v>
      </c>
      <c r="B19" s="40">
        <f>COUNTA('Snowden Tower L1'!$B$2:$B$86)</f>
        <v>85</v>
      </c>
      <c r="C19" s="41">
        <f>IF(COUNT('Snowden Tower L1'!$K$2:$K$86)=0,"N/A",AVERAGE('Snowden Tower L1'!$K$2:$K$86))</f>
        <v>1.557124241663427</v>
      </c>
      <c r="D19" s="41">
        <f>IFERROR(MEDIAN('Snowden Tower L1'!$K$2:$K$86),"N/A")</f>
        <v>1.1030000000000015</v>
      </c>
      <c r="E19" s="41">
        <f t="array" ref="E19">IF(COUNT('Snowden Tower L1'!$K$2:$K$86)=0,"N/A",SQRT(SUMPRODUCT(ISNUMBER('Snowden Tower L1'!$K$2:$K$86)*(IF(ISNUMBER('Snowden Tower L1'!$K$2:$K$86),'Snowden Tower L1'!$K$2:$K$86,0))^2)/COUNT('Snowden Tower L1'!$K$2:$K$86)))</f>
        <v>2.500840356289673</v>
      </c>
      <c r="F19" s="42">
        <f>IF(COUNT('Snowden Tower L1'!$R$2:$R$86)=0,"N/A",COUNTIF('Snowden Tower L1'!$R$2:$R$86,1)/COUNT('Snowden Tower L1'!$R$2:$R$86))</f>
        <v>0.88235294117647056</v>
      </c>
      <c r="G19" s="42">
        <f>IF(COUNT('Snowden Tower L1'!$N$2:$N$86)=0,"N/A",AVERAGE('Snowden Tower L1'!$N$2:$N$86))</f>
        <v>4.3770696230128789E-2</v>
      </c>
      <c r="H19" s="41">
        <f>IF(COUNT('Snowden Tower L1'!$O$2:$O$86)=0,"N/A",AVERAGE('Snowden Tower L1'!$O$2:$O$86))</f>
        <v>0.87869499373907944</v>
      </c>
      <c r="I19" s="41">
        <f>IF(COUNT('Snowden Tower L1'!$S$2:$S$86)=0,"N/A",AVERAGE('Snowden Tower L1'!$S$2:$S$86))</f>
        <v>1.6321501113423778</v>
      </c>
      <c r="J19" s="42">
        <f>IF(COUNT('Snowden Tower L1'!$S$2:$S$86)=0,"N/A",COUNTIF('Snowden Tower L1'!$S$2:$S$86,"&gt;1")/COUNT('Snowden Tower L1'!$S$2:$S$86))</f>
        <v>0.3411764705882353</v>
      </c>
      <c r="K19" s="40">
        <f>COUNTIF('Snowden Tower L1'!$K$2:$K$86,"&gt;15.0")</f>
        <v>0</v>
      </c>
      <c r="L19" s="43">
        <f>IFERROR(_xlfn.PERCENTILE.INC('Snowden Tower L1'!$K$2:$K$86,0.95),"N/A")</f>
        <v>4.4749771071487467</v>
      </c>
    </row>
    <row r="20" spans="1:12" ht="14.25" customHeight="1" x14ac:dyDescent="0.45">
      <c r="A20" s="35" t="s">
        <v>79</v>
      </c>
      <c r="B20" s="36">
        <f>COUNTA('Snowden Tower L2'!$B$2:$B$70)</f>
        <v>69</v>
      </c>
      <c r="C20" s="37">
        <f>IF(COUNT('Snowden Tower L2'!$K$2:$K$70)=0,"N/A",AVERAGE('Snowden Tower L2'!$K$2:$K$70))</f>
        <v>2.5591816907483889</v>
      </c>
      <c r="D20" s="37">
        <f>IFERROR(MEDIAN('Snowden Tower L2'!$K$2:$K$70),"N/A")</f>
        <v>1.4319766094458406</v>
      </c>
      <c r="E20" s="37">
        <f t="array" ref="E20">IF(COUNT('Snowden Tower L2'!$K$2:$K$70)=0,"N/A",SQRT(SUMPRODUCT(ISNUMBER('Snowden Tower L2'!$K$2:$K$70)*(IF(ISNUMBER('Snowden Tower L2'!$K$2:$K$70),'Snowden Tower L2'!$K$2:$K$70,0))^2)/COUNT('Snowden Tower L2'!$K$2:$K$70)))</f>
        <v>4.7450187447439038</v>
      </c>
      <c r="F20" s="38">
        <f>IF(COUNT('Snowden Tower L2'!$R$2:$R$70)=0,"N/A",COUNTIF('Snowden Tower L2'!$R$2:$R$70,1)/COUNT('Snowden Tower L2'!$R$2:$R$70))</f>
        <v>0.78125</v>
      </c>
      <c r="G20" s="38">
        <f>IF(COUNT('Snowden Tower L2'!$N$2:$N$70)=0,"N/A",AVERAGE('Snowden Tower L2'!$N$2:$N$70))</f>
        <v>9.58373171313123E-2</v>
      </c>
      <c r="H20" s="37">
        <f>IF(COUNT('Snowden Tower L2'!$O$2:$O$70)=0,"N/A",AVERAGE('Snowden Tower L2'!$O$2:$O$70))</f>
        <v>0.74493381199876207</v>
      </c>
      <c r="I20" s="37">
        <f>IF(COUNT('Snowden Tower L2'!$S$2:$S$70)=0,"N/A",AVERAGE('Snowden Tower L2'!$S$2:$S$70))</f>
        <v>1.5164051500155313</v>
      </c>
      <c r="J20" s="38">
        <f>IF(COUNT('Snowden Tower L2'!$S$2:$S$70)=0,"N/A",COUNTIF('Snowden Tower L2'!$S$2:$S$70,"&gt;1")/COUNT('Snowden Tower L2'!$S$2:$S$70))</f>
        <v>0.34375</v>
      </c>
      <c r="K20" s="36">
        <f>COUNTIF('Snowden Tower L2'!$K$2:$K$70,"&gt;15.0")</f>
        <v>2</v>
      </c>
      <c r="L20" s="31">
        <f>IFERROR(_xlfn.PERCENTILE.INC('Snowden Tower L2'!$K$2:$K$70,0.95),"N/A")</f>
        <v>9.6701165262950024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Y133"/>
  <sheetViews>
    <sheetView showGridLines="0" zoomScale="85" zoomScaleNormal="85" workbookViewId="0">
      <pane ySplit="4" topLeftCell="A29" activePane="bottomLeft" state="frozen"/>
      <selection pane="bottomLeft" activeCell="B33" sqref="B33:K33"/>
    </sheetView>
  </sheetViews>
  <sheetFormatPr defaultColWidth="8.6640625" defaultRowHeight="14.25" x14ac:dyDescent="0.45"/>
  <cols>
    <col min="1" max="1" width="3" customWidth="1"/>
    <col min="2" max="2" width="26" customWidth="1"/>
    <col min="3" max="11" width="12" customWidth="1"/>
    <col min="12" max="12" width="16" customWidth="1"/>
    <col min="13" max="13" width="14" customWidth="1"/>
  </cols>
  <sheetData>
    <row r="2" spans="2:25" ht="18" customHeight="1" x14ac:dyDescent="0.5">
      <c r="B2" s="5" t="s">
        <v>80</v>
      </c>
      <c r="C2" s="5"/>
      <c r="D2" s="5"/>
      <c r="E2" s="5"/>
      <c r="F2" s="5"/>
      <c r="G2" s="5"/>
      <c r="H2" s="5"/>
      <c r="I2" s="5"/>
      <c r="J2" s="5"/>
      <c r="K2" s="5"/>
    </row>
    <row r="3" spans="2:25" ht="15" customHeight="1" x14ac:dyDescent="0.45">
      <c r="B3" s="6"/>
      <c r="C3" s="6"/>
      <c r="D3" s="6"/>
      <c r="E3" s="6"/>
      <c r="F3" s="6"/>
      <c r="G3" s="6"/>
      <c r="H3" s="6"/>
      <c r="I3" s="6"/>
      <c r="J3" s="6"/>
      <c r="K3" s="6"/>
    </row>
    <row r="5" spans="2:25" ht="18" customHeight="1" x14ac:dyDescent="0.45">
      <c r="B5" s="32" t="s">
        <v>81</v>
      </c>
      <c r="C5" s="33"/>
      <c r="D5" s="33"/>
      <c r="E5" s="33"/>
      <c r="F5" s="33"/>
      <c r="G5" s="33"/>
      <c r="H5" s="33"/>
      <c r="I5" s="33"/>
      <c r="J5" s="33"/>
      <c r="K5" s="33"/>
    </row>
    <row r="6" spans="2:25" ht="27.75" customHeight="1" x14ac:dyDescent="0.45">
      <c r="B6" s="20" t="s">
        <v>72</v>
      </c>
      <c r="C6" s="20" t="s">
        <v>82</v>
      </c>
      <c r="D6" s="20" t="s">
        <v>83</v>
      </c>
      <c r="E6" s="20" t="s">
        <v>84</v>
      </c>
      <c r="F6" s="20" t="s">
        <v>85</v>
      </c>
      <c r="G6" s="20" t="s">
        <v>63</v>
      </c>
      <c r="H6" s="20" t="s">
        <v>86</v>
      </c>
      <c r="I6" s="20" t="s">
        <v>87</v>
      </c>
      <c r="J6" s="20" t="s">
        <v>88</v>
      </c>
      <c r="K6" s="20" t="s">
        <v>89</v>
      </c>
      <c r="L6" s="21" t="s">
        <v>69</v>
      </c>
    </row>
    <row r="7" spans="2:25" ht="15" customHeight="1" x14ac:dyDescent="0.45">
      <c r="B7" s="45" t="s">
        <v>73</v>
      </c>
      <c r="C7" s="46">
        <f>'Combined Summary'!B14</f>
        <v>19</v>
      </c>
      <c r="D7" s="47">
        <f>'Combined Summary'!C14</f>
        <v>2.1132810859002378</v>
      </c>
      <c r="E7" s="47">
        <f>'Combined Summary'!D14</f>
        <v>1.1813999999999965</v>
      </c>
      <c r="F7" s="47">
        <f>'Combined Summary'!E14</f>
        <v>3.1628275780416879</v>
      </c>
      <c r="G7" s="48">
        <f>'Combined Summary'!F14</f>
        <v>0.73684210526315785</v>
      </c>
      <c r="H7" s="49">
        <f>'Combined Summary'!H14</f>
        <v>0.62266301858667994</v>
      </c>
      <c r="I7" s="47">
        <f>'Combined Summary'!I14</f>
        <v>0.85778936935970329</v>
      </c>
      <c r="J7" s="48">
        <f>'Combined Summary'!J14</f>
        <v>0.15789473684210525</v>
      </c>
      <c r="K7" s="46">
        <f>'Combined Summary'!K14</f>
        <v>0</v>
      </c>
      <c r="L7" s="50">
        <v>5.8860000000000001</v>
      </c>
    </row>
    <row r="8" spans="2:25" ht="15" customHeight="1" x14ac:dyDescent="0.45">
      <c r="B8" s="27" t="s">
        <v>74</v>
      </c>
      <c r="C8" s="36">
        <f>'Combined Summary'!B15</f>
        <v>26</v>
      </c>
      <c r="D8" s="51">
        <f>'Combined Summary'!C15</f>
        <v>2.0503314067655207</v>
      </c>
      <c r="E8" s="51">
        <f>'Combined Summary'!D15</f>
        <v>1.8516596921200357</v>
      </c>
      <c r="F8" s="51">
        <f>'Combined Summary'!E15</f>
        <v>2.8081929946826336</v>
      </c>
      <c r="G8" s="38">
        <f>'Combined Summary'!F15</f>
        <v>0.61111111111111116</v>
      </c>
      <c r="H8" s="37">
        <f>'Combined Summary'!H15</f>
        <v>0.53357784463738822</v>
      </c>
      <c r="I8" s="51">
        <f>'Combined Summary'!I15</f>
        <v>0.82356510537682359</v>
      </c>
      <c r="J8" s="38">
        <f>'Combined Summary'!J15</f>
        <v>0.16666666666666666</v>
      </c>
      <c r="K8" s="36">
        <f>'Combined Summary'!K15</f>
        <v>0</v>
      </c>
      <c r="L8" s="52">
        <v>3.3170000000000002</v>
      </c>
    </row>
    <row r="9" spans="2:25" ht="15" customHeight="1" x14ac:dyDescent="0.45">
      <c r="B9" s="45" t="s">
        <v>75</v>
      </c>
      <c r="C9" s="46">
        <f>'Combined Summary'!B16</f>
        <v>77</v>
      </c>
      <c r="D9" s="47">
        <f>'Combined Summary'!C16</f>
        <v>3.3869184532890491</v>
      </c>
      <c r="E9" s="47">
        <f>'Combined Summary'!D16</f>
        <v>1.3159042556356453</v>
      </c>
      <c r="F9" s="47">
        <f>'Combined Summary'!E16</f>
        <v>6.0886005013947502</v>
      </c>
      <c r="G9" s="48">
        <f>'Combined Summary'!F16</f>
        <v>0.57894736842105265</v>
      </c>
      <c r="H9" s="49">
        <f>'Combined Summary'!H16</f>
        <v>0.58944561831976905</v>
      </c>
      <c r="I9" s="47">
        <f>'Combined Summary'!I16</f>
        <v>1.9666593983286846</v>
      </c>
      <c r="J9" s="48">
        <f>'Combined Summary'!J16</f>
        <v>0.82456140350877194</v>
      </c>
      <c r="K9" s="46">
        <f>'Combined Summary'!K16</f>
        <v>4</v>
      </c>
      <c r="L9" s="50">
        <v>13.378</v>
      </c>
    </row>
    <row r="10" spans="2:25" ht="15" customHeight="1" x14ac:dyDescent="0.45">
      <c r="B10" s="27" t="s">
        <v>78</v>
      </c>
      <c r="C10" s="36">
        <f>'Combined Summary'!B19</f>
        <v>85</v>
      </c>
      <c r="D10" s="51">
        <f>'Combined Summary'!C19</f>
        <v>1.557124241663427</v>
      </c>
      <c r="E10" s="51">
        <f>'Combined Summary'!D19</f>
        <v>1.1030000000000015</v>
      </c>
      <c r="F10" s="51">
        <f>'Combined Summary'!E19</f>
        <v>2.500840356289673</v>
      </c>
      <c r="G10" s="38">
        <f>'Combined Summary'!F19</f>
        <v>0.88235294117647056</v>
      </c>
      <c r="H10" s="37">
        <f>'Combined Summary'!H19</f>
        <v>0.87869499373907944</v>
      </c>
      <c r="I10" s="51">
        <f>'Combined Summary'!I19</f>
        <v>1.6321501113423778</v>
      </c>
      <c r="J10" s="38">
        <f>'Combined Summary'!J19</f>
        <v>0.3411764705882353</v>
      </c>
      <c r="K10" s="36">
        <f>'Combined Summary'!K19</f>
        <v>0</v>
      </c>
      <c r="L10" s="52">
        <v>4.4749999999999996</v>
      </c>
    </row>
    <row r="11" spans="2:25" ht="15" customHeight="1" x14ac:dyDescent="0.45">
      <c r="B11" s="45" t="s">
        <v>79</v>
      </c>
      <c r="C11" s="46">
        <f>'Combined Summary'!B20</f>
        <v>69</v>
      </c>
      <c r="D11" s="47">
        <f>'Combined Summary'!C20</f>
        <v>2.5591816907483889</v>
      </c>
      <c r="E11" s="47">
        <f>'Combined Summary'!D20</f>
        <v>1.4319766094458406</v>
      </c>
      <c r="F11" s="47">
        <f>'Combined Summary'!E20</f>
        <v>4.7450187447439038</v>
      </c>
      <c r="G11" s="48">
        <f>'Combined Summary'!F20</f>
        <v>0.78125</v>
      </c>
      <c r="H11" s="49">
        <f>'Combined Summary'!H20</f>
        <v>0.74493381199876207</v>
      </c>
      <c r="I11" s="47">
        <f>'Combined Summary'!I20</f>
        <v>1.5164051500155313</v>
      </c>
      <c r="J11" s="48">
        <f>'Combined Summary'!J20</f>
        <v>0.34375</v>
      </c>
      <c r="K11" s="46">
        <f>'Combined Summary'!K20</f>
        <v>2</v>
      </c>
      <c r="L11" s="50">
        <v>9.67</v>
      </c>
    </row>
    <row r="12" spans="2:25" ht="15" customHeight="1" x14ac:dyDescent="0.45">
      <c r="B12" s="53" t="s">
        <v>76</v>
      </c>
      <c r="C12" s="54">
        <f>'Combined Summary'!B17</f>
        <v>36</v>
      </c>
      <c r="D12" s="55">
        <f>'Combined Summary'!C17</f>
        <v>2.0434719597801507</v>
      </c>
      <c r="E12" s="55">
        <f>'Combined Summary'!D17</f>
        <v>1.440100000000001</v>
      </c>
      <c r="F12" s="55">
        <f>'Combined Summary'!E17</f>
        <v>2.6880275961711728</v>
      </c>
      <c r="G12" s="56">
        <f>'Combined Summary'!F17</f>
        <v>0.77777777777777779</v>
      </c>
      <c r="H12" s="57">
        <f>'Combined Summary'!H17</f>
        <v>0.78160236254207749</v>
      </c>
      <c r="I12" s="55">
        <f>'Combined Summary'!I17</f>
        <v>1.9394386145434366</v>
      </c>
      <c r="J12" s="56">
        <f>'Combined Summary'!J17</f>
        <v>0.83333333333333337</v>
      </c>
      <c r="K12" s="54">
        <f>'Combined Summary'!K17</f>
        <v>0</v>
      </c>
      <c r="L12" s="58">
        <v>5.5229999999999997</v>
      </c>
      <c r="Q12" t="s">
        <v>81</v>
      </c>
    </row>
    <row r="13" spans="2:25" ht="15" customHeight="1" x14ac:dyDescent="0.45">
      <c r="B13" s="53" t="s">
        <v>77</v>
      </c>
      <c r="C13" s="54">
        <f>'Combined Summary'!B18</f>
        <v>111</v>
      </c>
      <c r="D13" s="55">
        <f>'Combined Summary'!C18</f>
        <v>9.3406986988609582</v>
      </c>
      <c r="E13" s="55">
        <f>'Combined Summary'!D18</f>
        <v>1.9413785849236116</v>
      </c>
      <c r="F13" s="55">
        <f>'Combined Summary'!E18</f>
        <v>20.845739431395131</v>
      </c>
      <c r="G13" s="56">
        <f>'Combined Summary'!F18</f>
        <v>0.38181818181818183</v>
      </c>
      <c r="H13" s="57">
        <f>'Combined Summary'!H18</f>
        <v>0.21613928481855968</v>
      </c>
      <c r="I13" s="55">
        <f>'Combined Summary'!I18</f>
        <v>9.19582503539824</v>
      </c>
      <c r="J13" s="56">
        <f>'Combined Summary'!J18</f>
        <v>0.8</v>
      </c>
      <c r="K13" s="54">
        <f>'Combined Summary'!K18</f>
        <v>18</v>
      </c>
      <c r="L13" s="58">
        <v>56.484000000000002</v>
      </c>
      <c r="Q13" t="s">
        <v>72</v>
      </c>
      <c r="R13" t="s">
        <v>82</v>
      </c>
      <c r="S13" t="s">
        <v>84</v>
      </c>
      <c r="T13" t="s">
        <v>85</v>
      </c>
      <c r="U13" t="s">
        <v>69</v>
      </c>
      <c r="V13" t="s">
        <v>63</v>
      </c>
      <c r="W13" t="s">
        <v>86</v>
      </c>
      <c r="X13" t="s">
        <v>88</v>
      </c>
      <c r="Y13" t="s">
        <v>89</v>
      </c>
    </row>
    <row r="14" spans="2:25" ht="15" customHeight="1" x14ac:dyDescent="0.45">
      <c r="B14" s="6" t="s">
        <v>90</v>
      </c>
      <c r="C14" s="6"/>
      <c r="D14" s="6"/>
      <c r="E14" s="6"/>
      <c r="F14" s="6"/>
      <c r="G14" s="6"/>
      <c r="H14" s="6"/>
      <c r="I14" s="6"/>
      <c r="J14" s="6"/>
      <c r="K14" s="6"/>
      <c r="Q14" t="s">
        <v>73</v>
      </c>
      <c r="R14">
        <v>19</v>
      </c>
      <c r="S14">
        <v>1.1813999999999965</v>
      </c>
      <c r="T14">
        <v>3.1628275780416879</v>
      </c>
      <c r="U14">
        <v>5.8860000000000001</v>
      </c>
      <c r="V14">
        <v>0.73684210526315785</v>
      </c>
      <c r="W14">
        <v>0.62266301858667994</v>
      </c>
      <c r="X14">
        <v>0.15789473684210525</v>
      </c>
      <c r="Y14">
        <v>0</v>
      </c>
    </row>
    <row r="15" spans="2:25" x14ac:dyDescent="0.45">
      <c r="Q15" t="s">
        <v>74</v>
      </c>
      <c r="R15">
        <v>26</v>
      </c>
      <c r="S15">
        <v>1.8516596921200357</v>
      </c>
      <c r="T15">
        <v>2.8081929946826336</v>
      </c>
      <c r="U15">
        <v>3.3170000000000002</v>
      </c>
      <c r="V15">
        <v>0.61111111111111116</v>
      </c>
      <c r="W15">
        <v>0.53357784463738822</v>
      </c>
      <c r="X15">
        <v>0.16666666666666666</v>
      </c>
      <c r="Y15">
        <v>0</v>
      </c>
    </row>
    <row r="16" spans="2:25" ht="18" customHeight="1" x14ac:dyDescent="0.45">
      <c r="B16" s="32" t="s">
        <v>91</v>
      </c>
      <c r="C16" s="33"/>
      <c r="D16" s="33"/>
      <c r="E16" s="33"/>
      <c r="F16" s="33"/>
      <c r="G16" s="33"/>
      <c r="H16" s="33"/>
      <c r="I16" s="33"/>
      <c r="J16" s="33"/>
      <c r="K16" s="33"/>
      <c r="Q16" t="s">
        <v>75</v>
      </c>
      <c r="R16">
        <v>77</v>
      </c>
      <c r="S16">
        <v>1.3159042556356453</v>
      </c>
      <c r="T16">
        <v>6.0886005013947502</v>
      </c>
      <c r="U16">
        <v>13.378</v>
      </c>
      <c r="V16">
        <v>0.57894736842105265</v>
      </c>
      <c r="W16">
        <v>0.58944561831976905</v>
      </c>
      <c r="X16">
        <v>0.82456140350877194</v>
      </c>
      <c r="Y16">
        <v>4</v>
      </c>
    </row>
    <row r="17" spans="2:25" ht="27.75" customHeight="1" x14ac:dyDescent="0.45">
      <c r="B17" s="20" t="s">
        <v>92</v>
      </c>
      <c r="C17" s="20" t="s">
        <v>82</v>
      </c>
      <c r="D17" s="20" t="s">
        <v>83</v>
      </c>
      <c r="E17" s="20" t="s">
        <v>84</v>
      </c>
      <c r="F17" s="20" t="s">
        <v>85</v>
      </c>
      <c r="G17" s="20" t="s">
        <v>63</v>
      </c>
      <c r="H17" s="20" t="s">
        <v>86</v>
      </c>
      <c r="I17" s="20" t="s">
        <v>87</v>
      </c>
      <c r="J17" s="20" t="s">
        <v>88</v>
      </c>
      <c r="K17" s="20" t="s">
        <v>89</v>
      </c>
      <c r="L17" s="21" t="s">
        <v>69</v>
      </c>
      <c r="Q17" t="s">
        <v>78</v>
      </c>
      <c r="R17">
        <v>85</v>
      </c>
      <c r="S17">
        <v>1.1030000000000015</v>
      </c>
      <c r="T17">
        <v>2.500840356289673</v>
      </c>
      <c r="U17">
        <v>4.4749999999999996</v>
      </c>
      <c r="V17">
        <v>0.88235294117647056</v>
      </c>
      <c r="W17">
        <v>0.87869499373907944</v>
      </c>
      <c r="X17">
        <v>0.3411764705882353</v>
      </c>
      <c r="Y17">
        <v>0</v>
      </c>
    </row>
    <row r="18" spans="2:25" ht="15" customHeight="1" x14ac:dyDescent="0.45">
      <c r="B18" s="45" t="s">
        <v>93</v>
      </c>
      <c r="C18" s="46">
        <f>COUNTIF('Basic L1'!$B$2:$B$20,"Doors")+COUNTIF('Basic L2'!$B$2:$B$27,"Doors")+COUNTIF('Advanced L1'!$B$2:$B$78,"Doors")+COUNTIF('Snowden Tower L1'!$B$2:$B$86,"Doors")+COUNTIF('Snowden Tower L2'!$B$2:$B$70,"Doors")</f>
        <v>102</v>
      </c>
      <c r="D18" s="47">
        <f>IF((COUNTIFS('Basic L1'!$B$2:$B$20,"Doors",'Basic L1'!$K$2:$K$20,"&lt;&gt;")+COUNTIFS('Basic L2'!$B$2:$B$27,"Doors",'Basic L2'!$K$2:$K$27,"&lt;&gt;")+COUNTIFS('Advanced L1'!$B$2:$B$78,"Doors",'Advanced L1'!$K$2:$K$78,"&lt;&gt;")+COUNTIFS('Snowden Tower L1'!$B$2:$B$86,"Doors",'Snowden Tower L1'!$K$2:$K$86,"&lt;&gt;")+COUNTIFS('Snowden Tower L2'!$B$2:$B$70,"Doors",'Snowden Tower L2'!$K$2:$K$70,"&lt;&gt;"))=0,"N/A",(SUMIF('Basic L1'!$B$2:$B$20,"Doors",'Basic L1'!$K$2:$K$20)+SUMIF('Basic L2'!$B$2:$B$27,"Doors",'Basic L2'!$K$2:$K$27)+SUMIF('Advanced L1'!$B$2:$B$78,"Doors",'Advanced L1'!$K$2:$K$78)+SUMIF('Snowden Tower L1'!$B$2:$B$86,"Doors",'Snowden Tower L1'!$K$2:$K$86)+SUMIF('Snowden Tower L2'!$B$2:$B$70,"Doors",'Snowden Tower L2'!$K$2:$K$70))/(COUNTIFS('Basic L1'!$B$2:$B$20,"Doors",'Basic L1'!$K$2:$K$20,"&lt;&gt;")+COUNTIFS('Basic L2'!$B$2:$B$27,"Doors",'Basic L2'!$K$2:$K$27,"&lt;&gt;")+COUNTIFS('Advanced L1'!$B$2:$B$78,"Doors",'Advanced L1'!$K$2:$K$78,"&lt;&gt;")+COUNTIFS('Snowden Tower L1'!$B$2:$B$86,"Doors",'Snowden Tower L1'!$K$2:$K$86,"&lt;&gt;")+COUNTIFS('Snowden Tower L2'!$B$2:$B$70,"Doors",'Snowden Tower L2'!$K$2:$K$70,"&lt;&gt;")))</f>
        <v>1.1374645705059094</v>
      </c>
      <c r="E18" s="47">
        <f t="array" ref="E18">IFERROR(MEDIAN(IF('Basic L1'!$B$2:$B$20="Doors",'Basic L1'!$K$2:$K$20),IF('Basic L2'!$B$2:$B$27="Doors",'Basic L2'!$K$2:$K$27),IF('Advanced L1'!$B$2:$B$78="Doors",'Advanced L1'!$K$2:$K$78),IF('Snowden Tower L1'!$B$2:$B$86="Doors",'Snowden Tower L1'!$K$2:$K$86),IF('Snowden Tower L2'!$B$2:$B$70="Doors",'Snowden Tower L2'!$K$2:$K$70)),"N/A")</f>
        <v>1.2632999999999994</v>
      </c>
      <c r="F18" s="47">
        <f>IF((COUNTIFS('Basic L1'!$B$2:$B$20,"Doors",'Basic L1'!$K$2:$K$20,"&lt;&gt;")+COUNTIFS('Basic L2'!$B$2:$B$27,"Doors",'Basic L2'!$K$2:$K$27,"&lt;&gt;")+COUNTIFS('Advanced L1'!$B$2:$B$78,"Doors",'Advanced L1'!$K$2:$K$78,"&lt;&gt;")+COUNTIFS('Snowden Tower L1'!$B$2:$B$86,"Doors",'Snowden Tower L1'!$K$2:$K$86,"&lt;&gt;")+COUNTIFS('Snowden Tower L2'!$B$2:$B$70,"Doors",'Snowden Tower L2'!$K$2:$K$70,"&lt;&gt;"))=0,"N/A",SQRT((SUMPRODUCT(('Basic L1'!$B$2:$B$20="Doors")*('Basic L1'!$K$2:$K$20)*('Basic L1'!$K$2:$K$20))+SUMPRODUCT(('Basic L2'!$B$2:$B$27="Doors")*('Basic L2'!$K$2:$K$27)*('Basic L2'!$K$2:$K$27))+SUMPRODUCT(('Advanced L1'!$B$2:$B$78="Doors")*('Advanced L1'!$K$2:$K$78)*('Advanced L1'!$K$2:$K$78))+SUMPRODUCT(('Snowden Tower L1'!$B$2:$B$86="Doors")*('Snowden Tower L1'!$K$2:$K$86)*('Snowden Tower L1'!$K$2:$K$86))+SUMPRODUCT(('Snowden Tower L2'!$B$2:$B$70="Doors")*('Snowden Tower L2'!$K$2:$K$70)*('Snowden Tower L2'!$K$2:$K$70)))/(COUNTIFS('Basic L1'!$B$2:$B$20,"Doors",'Basic L1'!$K$2:$K$20,"&lt;&gt;")+COUNTIFS('Basic L2'!$B$2:$B$27,"Doors",'Basic L2'!$K$2:$K$27,"&lt;&gt;")+COUNTIFS('Advanced L1'!$B$2:$B$78,"Doors",'Advanced L1'!$K$2:$K$78,"&lt;&gt;")+COUNTIFS('Snowden Tower L1'!$B$2:$B$86,"Doors",'Snowden Tower L1'!$K$2:$K$86,"&lt;&gt;")+COUNTIFS('Snowden Tower L2'!$B$2:$B$70,"Doors",'Snowden Tower L2'!$K$2:$K$70,"&lt;&gt;"))))</f>
        <v>1.6677366481399336</v>
      </c>
      <c r="G18" s="48">
        <f t="array" ref="G18">IF((SUMPRODUCT(('Basic L1'!$B$2:$B$20="Doors")*ISNUMBER('Basic L1'!$R$2:$R$20))+SUMPRODUCT(('Basic L2'!$B$2:$B$27="Doors")*ISNUMBER('Basic L2'!$R$2:$R$27))+SUMPRODUCT(('Advanced L1'!$B$2:$B$78="Doors")*ISNUMBER('Advanced L1'!$R$2:$R$78))+SUMPRODUCT(('Snowden Tower L1'!$B$2:$B$86="Doors")*ISNUMBER('Snowden Tower L1'!$R$2:$R$86))+SUMPRODUCT(('Snowden Tower L2'!$B$2:$B$70="Doors")*ISNUMBER('Snowden Tower L2'!$R$2:$R$70)))=0,"N/A",(SUMPRODUCT(('Basic L1'!$B$2:$B$20="Doors")*ISNUMBER('Basic L1'!$R$2:$R$20)*IF(ISNUMBER('Basic L1'!$R$2:$R$20),'Basic L1'!$R$2:$R$20,0))+SUMPRODUCT(('Basic L2'!$B$2:$B$27="Doors")*ISNUMBER('Basic L2'!$R$2:$R$27)*IF(ISNUMBER('Basic L2'!$R$2:$R$27),'Basic L2'!$R$2:$R$27,0))+SUMPRODUCT(('Advanced L1'!$B$2:$B$78="Doors")*ISNUMBER('Advanced L1'!$R$2:$R$78)*IF(ISNUMBER('Advanced L1'!$R$2:$R$78),'Advanced L1'!$R$2:$R$78,0))+SUMPRODUCT(('Snowden Tower L1'!$B$2:$B$86="Doors")*ISNUMBER('Snowden Tower L1'!$R$2:$R$86)*IF(ISNUMBER('Snowden Tower L1'!$R$2:$R$86),'Snowden Tower L1'!$R$2:$R$86,0))+SUMPRODUCT(('Snowden Tower L2'!$B$2:$B$70="Doors")*ISNUMBER('Snowden Tower L2'!$R$2:$R$70)*IF(ISNUMBER('Snowden Tower L2'!$R$2:$R$70),'Snowden Tower L2'!$R$2:$R$70,0)))/(SUMPRODUCT(('Basic L1'!$B$2:$B$20="Doors")*ISNUMBER('Basic L1'!$R$2:$R$20))+SUMPRODUCT(('Basic L2'!$B$2:$B$27="Doors")*ISNUMBER('Basic L2'!$R$2:$R$27))+SUMPRODUCT(('Advanced L1'!$B$2:$B$78="Doors")*ISNUMBER('Advanced L1'!$R$2:$R$78))+SUMPRODUCT(('Snowden Tower L1'!$B$2:$B$86="Doors")*ISNUMBER('Snowden Tower L1'!$R$2:$R$86))+SUMPRODUCT(('Snowden Tower L2'!$B$2:$B$70="Doors")*ISNUMBER('Snowden Tower L2'!$R$2:$R$70))))</f>
        <v>0.7010309278350515</v>
      </c>
      <c r="H18" s="49">
        <f t="array" ref="H18">IF((SUMPRODUCT(('Basic L1'!$B$2:$B$20="Doors")*ISNUMBER('Basic L1'!$O$2:$O$20))+SUMPRODUCT(('Basic L2'!$B$2:$B$27="Doors")*ISNUMBER('Basic L2'!$O$2:$O$27))+SUMPRODUCT(('Advanced L1'!$B$2:$B$78="Doors")*ISNUMBER('Advanced L1'!$O$2:$O$78))+SUMPRODUCT(('Snowden Tower L1'!$B$2:$B$86="Doors")*ISNUMBER('Snowden Tower L1'!$O$2:$O$86))+SUMPRODUCT(('Snowden Tower L2'!$B$2:$B$70="Doors")*ISNUMBER('Snowden Tower L2'!$O$2:$O$70)))=0,"N/A",(SUMPRODUCT(('Basic L1'!$B$2:$B$20="Doors")*ISNUMBER('Basic L1'!$O$2:$O$20)*IF(ISNUMBER('Basic L1'!$O$2:$O$20),'Basic L1'!$O$2:$O$20,0))+SUMPRODUCT(('Basic L2'!$B$2:$B$27="Doors")*ISNUMBER('Basic L2'!$O$2:$O$27)*IF(ISNUMBER('Basic L2'!$O$2:$O$27),'Basic L2'!$O$2:$O$27,0))+SUMPRODUCT(('Advanced L1'!$B$2:$B$78="Doors")*ISNUMBER('Advanced L1'!$O$2:$O$78)*IF(ISNUMBER('Advanced L1'!$O$2:$O$78),'Advanced L1'!$O$2:$O$78,0))+SUMPRODUCT(('Snowden Tower L1'!$B$2:$B$86="Doors")*ISNUMBER('Snowden Tower L1'!$O$2:$O$86)*IF(ISNUMBER('Snowden Tower L1'!$O$2:$O$86),'Snowden Tower L1'!$O$2:$O$86,0))+SUMPRODUCT(('Snowden Tower L2'!$B$2:$B$70="Doors")*ISNUMBER('Snowden Tower L2'!$O$2:$O$70)*IF(ISNUMBER('Snowden Tower L2'!$O$2:$O$70),'Snowden Tower L2'!$O$2:$O$70,0)))/(SUMPRODUCT(('Basic L1'!$B$2:$B$20="Doors")*ISNUMBER('Basic L1'!$O$2:$O$20))+SUMPRODUCT(('Basic L2'!$B$2:$B$27="Doors")*ISNUMBER('Basic L2'!$O$2:$O$27))+SUMPRODUCT(('Advanced L1'!$B$2:$B$78="Doors")*ISNUMBER('Advanced L1'!$O$2:$O$78))+SUMPRODUCT(('Snowden Tower L1'!$B$2:$B$86="Doors")*ISNUMBER('Snowden Tower L1'!$O$2:$O$86))+SUMPRODUCT(('Snowden Tower L2'!$B$2:$B$70="Doors")*ISNUMBER('Snowden Tower L2'!$O$2:$O$70))))</f>
        <v>0.70117862498389916</v>
      </c>
      <c r="I18" s="47">
        <f>IF((COUNTIFS('Basic L1'!$B$2:$B$20,"Doors",'Basic L1'!$S$2:$S$20,"&lt;&gt;")+COUNTIFS('Basic L2'!$B$2:$B$27,"Doors",'Basic L2'!$S$2:$S$27,"&lt;&gt;")+COUNTIFS('Advanced L1'!$B$2:$B$78,"Doors",'Advanced L1'!$S$2:$S$78,"&lt;&gt;")+COUNTIFS('Snowden Tower L1'!$B$2:$B$86,"Doors",'Snowden Tower L1'!$S$2:$S$86,"&lt;&gt;")+COUNTIFS('Snowden Tower L2'!$B$2:$B$70,"Doors",'Snowden Tower L2'!$S$2:$S$70,"&lt;&gt;"))=0,"N/A",(SUMIF('Basic L1'!$B$2:$B$20,"Doors",'Basic L1'!$S$2:$S$20)+SUMIF('Basic L2'!$B$2:$B$27,"Doors",'Basic L2'!$S$2:$S$27)+SUMIF('Advanced L1'!$B$2:$B$78,"Doors",'Advanced L1'!$S$2:$S$78)+SUMIF('Snowden Tower L1'!$B$2:$B$86,"Doors",'Snowden Tower L1'!$S$2:$S$86)+SUMIF('Snowden Tower L2'!$B$2:$B$70,"Doors",'Snowden Tower L2'!$S$2:$S$70))/(COUNTIFS('Basic L1'!$B$2:$B$20,"Doors",'Basic L1'!$S$2:$S$20,"&lt;&gt;")+COUNTIFS('Basic L2'!$B$2:$B$27,"Doors",'Basic L2'!$S$2:$S$27,"&lt;&gt;")+COUNTIFS('Advanced L1'!$B$2:$B$78,"Doors",'Advanced L1'!$S$2:$S$78,"&lt;&gt;")+COUNTIFS('Snowden Tower L1'!$B$2:$B$86,"Doors",'Snowden Tower L1'!$S$2:$S$86,"&lt;&gt;")+COUNTIFS('Snowden Tower L2'!$B$2:$B$70,"Doors",'Snowden Tower L2'!$S$2:$S$70,"&lt;&gt;")))</f>
        <v>1.9601105174244755</v>
      </c>
      <c r="J18" s="48">
        <f>IF((COUNTIFS('Basic L1'!$B$2:$B$20,"Doors",'Basic L1'!$S$2:$S$20,"&lt;&gt;")+COUNTIFS('Basic L2'!$B$2:$B$27,"Doors",'Basic L2'!$S$2:$S$27,"&lt;&gt;")+COUNTIFS('Advanced L1'!$B$2:$B$78,"Doors",'Advanced L1'!$S$2:$S$78,"&lt;&gt;")+COUNTIFS('Snowden Tower L1'!$B$2:$B$86,"Doors",'Snowden Tower L1'!$S$2:$S$86,"&lt;&gt;")+COUNTIFS('Snowden Tower L2'!$B$2:$B$70,"Doors",'Snowden Tower L2'!$S$2:$S$70,"&lt;&gt;"))=0,"N/A",(COUNTIFS('Basic L1'!$B$2:$B$20,"Doors",'Basic L1'!$S$2:$S$20,"&gt;1")+COUNTIFS('Basic L2'!$B$2:$B$27,"Doors",'Basic L2'!$S$2:$S$27,"&gt;1")+COUNTIFS('Advanced L1'!$B$2:$B$78,"Doors",'Advanced L1'!$S$2:$S$78,"&gt;1")+COUNTIFS('Snowden Tower L1'!$B$2:$B$86,"Doors",'Snowden Tower L1'!$S$2:$S$86,"&gt;1")+COUNTIFS('Snowden Tower L2'!$B$2:$B$70,"Doors",'Snowden Tower L2'!$S$2:$S$70,"&gt;1"))/(COUNTIFS('Basic L1'!$B$2:$B$20,"Doors",'Basic L1'!$S$2:$S$20,"&lt;&gt;")+COUNTIFS('Basic L2'!$B$2:$B$27,"Doors",'Basic L2'!$S$2:$S$27,"&lt;&gt;")+COUNTIFS('Advanced L1'!$B$2:$B$78,"Doors",'Advanced L1'!$S$2:$S$78,"&lt;&gt;")+COUNTIFS('Snowden Tower L1'!$B$2:$B$86,"Doors",'Snowden Tower L1'!$S$2:$S$86,"&lt;&gt;")+COUNTIFS('Snowden Tower L2'!$B$2:$B$70,"Doors",'Snowden Tower L2'!$S$2:$S$70,"&lt;&gt;")))</f>
        <v>0.44117647058823528</v>
      </c>
      <c r="K18" s="46">
        <f>COUNTIFS('Basic L1'!$B$2:$B$20,"Doors",'Basic L1'!$K$2:$K$20,"&gt;15")+COUNTIFS('Basic L2'!$B$2:$B$27,"Doors",'Basic L2'!$K$2:$K$27,"&gt;15")+COUNTIFS('Advanced L1'!$B$2:$B$78,"Doors",'Advanced L1'!$K$2:$K$78,"&gt;15")+COUNTIFS('Snowden Tower L1'!$B$2:$B$86,"Doors",'Snowden Tower L1'!$K$2:$K$86,"&gt;15")+COUNTIFS('Snowden Tower L2'!$B$2:$B$70,"Doors",'Snowden Tower L2'!$K$2:$K$70,"&gt;15")</f>
        <v>0</v>
      </c>
      <c r="L18" s="31">
        <v>4.1239999999999997</v>
      </c>
      <c r="Q18" t="s">
        <v>79</v>
      </c>
      <c r="R18">
        <v>69</v>
      </c>
      <c r="S18">
        <v>1.4319766094458406</v>
      </c>
      <c r="T18">
        <v>4.7450187447439038</v>
      </c>
      <c r="U18">
        <v>9.67</v>
      </c>
      <c r="V18">
        <v>0.78125</v>
      </c>
      <c r="W18">
        <v>0.74493381199876207</v>
      </c>
      <c r="X18">
        <v>0.34375</v>
      </c>
      <c r="Y18">
        <v>2</v>
      </c>
    </row>
    <row r="19" spans="2:25" ht="15" customHeight="1" x14ac:dyDescent="0.45">
      <c r="B19" s="27" t="s">
        <v>55</v>
      </c>
      <c r="C19" s="36">
        <f>COUNTIF('Basic L1'!$B$2:$B$20,"Windows")+COUNTIF('Basic L2'!$B$2:$B$27,"Windows")+COUNTIF('Advanced L1'!$B$2:$B$78,"Windows")+COUNTIF('Snowden Tower L1'!$B$2:$B$86,"Windows")+COUNTIF('Snowden Tower L2'!$B$2:$B$70,"Windows")</f>
        <v>38</v>
      </c>
      <c r="D19" s="51">
        <f>IF((COUNTIFS('Basic L1'!$B$2:$B$20,"Windows",'Basic L1'!$K$2:$K$20,"&lt;&gt;")+COUNTIFS('Basic L2'!$B$2:$B$27,"Windows",'Basic L2'!$K$2:$K$27,"&lt;&gt;")+COUNTIFS('Advanced L1'!$B$2:$B$78,"Windows",'Advanced L1'!$K$2:$K$78,"&lt;&gt;")+COUNTIFS('Snowden Tower L1'!$B$2:$B$86,"Windows",'Snowden Tower L1'!$K$2:$K$86,"&lt;&gt;")+COUNTIFS('Snowden Tower L2'!$B$2:$B$70,"Windows",'Snowden Tower L2'!$K$2:$K$70,"&lt;&gt;"))=0,"N/A",(SUMIF('Basic L1'!$B$2:$B$20,"Windows",'Basic L1'!$K$2:$K$20)+SUMIF('Basic L2'!$B$2:$B$27,"Windows",'Basic L2'!$K$2:$K$27)+SUMIF('Advanced L1'!$B$2:$B$78,"Windows",'Advanced L1'!$K$2:$K$78)+SUMIF('Snowden Tower L1'!$B$2:$B$86,"Windows",'Snowden Tower L1'!$K$2:$K$86)+SUMIF('Snowden Tower L2'!$B$2:$B$70,"Windows",'Snowden Tower L2'!$K$2:$K$70))/(COUNTIFS('Basic L1'!$B$2:$B$20,"Windows",'Basic L1'!$K$2:$K$20,"&lt;&gt;")+COUNTIFS('Basic L2'!$B$2:$B$27,"Windows",'Basic L2'!$K$2:$K$27,"&lt;&gt;")+COUNTIFS('Advanced L1'!$B$2:$B$78,"Windows",'Advanced L1'!$K$2:$K$78,"&lt;&gt;")+COUNTIFS('Snowden Tower L1'!$B$2:$B$86,"Windows",'Snowden Tower L1'!$K$2:$K$86,"&lt;&gt;")+COUNTIFS('Snowden Tower L2'!$B$2:$B$70,"Windows",'Snowden Tower L2'!$K$2:$K$70,"&lt;&gt;")))</f>
        <v>0.5296172899684094</v>
      </c>
      <c r="E19" s="51">
        <f t="array" ref="E19">IFERROR(MEDIAN(IF('Basic L1'!$B$2:$B$20="Windows",'Basic L1'!$K$2:$K$20),IF('Basic L2'!$B$2:$B$27="Windows",'Basic L2'!$K$2:$K$27),IF('Advanced L1'!$B$2:$B$78="Windows",'Advanced L1'!$K$2:$K$78),IF('Snowden Tower L1'!$B$2:$B$86="Windows",'Snowden Tower L1'!$K$2:$K$86),IF('Snowden Tower L2'!$B$2:$B$70="Windows",'Snowden Tower L2'!$K$2:$K$70)),"N/A")</f>
        <v>0.29540000000000077</v>
      </c>
      <c r="F19" s="51">
        <f>IF((COUNTIFS('Basic L1'!$B$2:$B$20,"Windows",'Basic L1'!$K$2:$K$20,"&lt;&gt;")+COUNTIFS('Basic L2'!$B$2:$B$27,"Windows",'Basic L2'!$K$2:$K$27,"&lt;&gt;")+COUNTIFS('Advanced L1'!$B$2:$B$78,"Windows",'Advanced L1'!$K$2:$K$78,"&lt;&gt;")+COUNTIFS('Snowden Tower L1'!$B$2:$B$86,"Windows",'Snowden Tower L1'!$K$2:$K$86,"&lt;&gt;")+COUNTIFS('Snowden Tower L2'!$B$2:$B$70,"Windows",'Snowden Tower L2'!$K$2:$K$70,"&lt;&gt;"))=0,"N/A",SQRT((SUMPRODUCT(('Basic L1'!$B$2:$B$20="Windows")*('Basic L1'!$K$2:$K$20)*('Basic L1'!$K$2:$K$20))+SUMPRODUCT(('Basic L2'!$B$2:$B$27="Windows")*('Basic L2'!$K$2:$K$27)*('Basic L2'!$K$2:$K$27))+SUMPRODUCT(('Advanced L1'!$B$2:$B$78="Windows")*('Advanced L1'!$K$2:$K$78)*('Advanced L1'!$K$2:$K$78))+SUMPRODUCT(('Snowden Tower L1'!$B$2:$B$86="Windows")*('Snowden Tower L1'!$K$2:$K$86)*('Snowden Tower L1'!$K$2:$K$86))+SUMPRODUCT(('Snowden Tower L2'!$B$2:$B$70="Windows")*('Snowden Tower L2'!$K$2:$K$70)*('Snowden Tower L2'!$K$2:$K$70)))/(COUNTIFS('Basic L1'!$B$2:$B$20,"Windows",'Basic L1'!$K$2:$K$20,"&lt;&gt;")+COUNTIFS('Basic L2'!$B$2:$B$27,"Windows",'Basic L2'!$K$2:$K$27,"&lt;&gt;")+COUNTIFS('Advanced L1'!$B$2:$B$78,"Windows",'Advanced L1'!$K$2:$K$78,"&lt;&gt;")+COUNTIFS('Snowden Tower L1'!$B$2:$B$86,"Windows",'Snowden Tower L1'!$K$2:$K$86,"&lt;&gt;")+COUNTIFS('Snowden Tower L2'!$B$2:$B$70,"Windows",'Snowden Tower L2'!$K$2:$K$70,"&lt;&gt;"))))</f>
        <v>0.88467478904308205</v>
      </c>
      <c r="G19" s="38">
        <f t="array" ref="G19">IF((SUMPRODUCT(('Basic L1'!$B$2:$B$20="Windows")*ISNUMBER('Basic L1'!$R$2:$R$20))+SUMPRODUCT(('Basic L2'!$B$2:$B$27="Windows")*ISNUMBER('Basic L2'!$R$2:$R$27))+SUMPRODUCT(('Advanced L1'!$B$2:$B$78="Windows")*ISNUMBER('Advanced L1'!$R$2:$R$78))+SUMPRODUCT(('Snowden Tower L1'!$B$2:$B$86="Windows")*ISNUMBER('Snowden Tower L1'!$R$2:$R$86))+SUMPRODUCT(('Snowden Tower L2'!$B$2:$B$70="Windows")*ISNUMBER('Snowden Tower L2'!$R$2:$R$70)))=0,"N/A",(SUMPRODUCT(('Basic L1'!$B$2:$B$20="Windows")*ISNUMBER('Basic L1'!$R$2:$R$20)*IF(ISNUMBER('Basic L1'!$R$2:$R$20),'Basic L1'!$R$2:$R$20,0))+SUMPRODUCT(('Basic L2'!$B$2:$B$27="Windows")*ISNUMBER('Basic L2'!$R$2:$R$27)*IF(ISNUMBER('Basic L2'!$R$2:$R$27),'Basic L2'!$R$2:$R$27,0))+SUMPRODUCT(('Advanced L1'!$B$2:$B$78="Windows")*ISNUMBER('Advanced L1'!$R$2:$R$78)*IF(ISNUMBER('Advanced L1'!$R$2:$R$78),'Advanced L1'!$R$2:$R$78,0))+SUMPRODUCT(('Snowden Tower L1'!$B$2:$B$86="Windows")*ISNUMBER('Snowden Tower L1'!$R$2:$R$86)*IF(ISNUMBER('Snowden Tower L1'!$R$2:$R$86),'Snowden Tower L1'!$R$2:$R$86,0))+SUMPRODUCT(('Snowden Tower L2'!$B$2:$B$70="Windows")*ISNUMBER('Snowden Tower L2'!$R$2:$R$70)*IF(ISNUMBER('Snowden Tower L2'!$R$2:$R$70),'Snowden Tower L2'!$R$2:$R$70,0)))/(SUMPRODUCT(('Basic L1'!$B$2:$B$20="Windows")*ISNUMBER('Basic L1'!$R$2:$R$20))+SUMPRODUCT(('Basic L2'!$B$2:$B$27="Windows")*ISNUMBER('Basic L2'!$R$2:$R$27))+SUMPRODUCT(('Advanced L1'!$B$2:$B$78="Windows")*ISNUMBER('Advanced L1'!$R$2:$R$78))+SUMPRODUCT(('Snowden Tower L1'!$B$2:$B$86="Windows")*ISNUMBER('Snowden Tower L1'!$R$2:$R$86))+SUMPRODUCT(('Snowden Tower L2'!$B$2:$B$70="Windows")*ISNUMBER('Snowden Tower L2'!$R$2:$R$70))))</f>
        <v>0.97368421052631582</v>
      </c>
      <c r="H19" s="37">
        <f t="array" ref="H19">IF((SUMPRODUCT(('Basic L1'!$B$2:$B$20="Windows")*ISNUMBER('Basic L1'!$O$2:$O$20))+SUMPRODUCT(('Basic L2'!$B$2:$B$27="Windows")*ISNUMBER('Basic L2'!$O$2:$O$27))+SUMPRODUCT(('Advanced L1'!$B$2:$B$78="Windows")*ISNUMBER('Advanced L1'!$O$2:$O$78))+SUMPRODUCT(('Snowden Tower L1'!$B$2:$B$86="Windows")*ISNUMBER('Snowden Tower L1'!$O$2:$O$86))+SUMPRODUCT(('Snowden Tower L2'!$B$2:$B$70="Windows")*ISNUMBER('Snowden Tower L2'!$O$2:$O$70)))=0,"N/A",(SUMPRODUCT(('Basic L1'!$B$2:$B$20="Windows")*ISNUMBER('Basic L1'!$O$2:$O$20)*IF(ISNUMBER('Basic L1'!$O$2:$O$20),'Basic L1'!$O$2:$O$20,0))+SUMPRODUCT(('Basic L2'!$B$2:$B$27="Windows")*ISNUMBER('Basic L2'!$O$2:$O$27)*IF(ISNUMBER('Basic L2'!$O$2:$O$27),'Basic L2'!$O$2:$O$27,0))+SUMPRODUCT(('Advanced L1'!$B$2:$B$78="Windows")*ISNUMBER('Advanced L1'!$O$2:$O$78)*IF(ISNUMBER('Advanced L1'!$O$2:$O$78),'Advanced L1'!$O$2:$O$78,0))+SUMPRODUCT(('Snowden Tower L1'!$B$2:$B$86="Windows")*ISNUMBER('Snowden Tower L1'!$O$2:$O$86)*IF(ISNUMBER('Snowden Tower L1'!$O$2:$O$86),'Snowden Tower L1'!$O$2:$O$86,0))+SUMPRODUCT(('Snowden Tower L2'!$B$2:$B$70="Windows")*ISNUMBER('Snowden Tower L2'!$O$2:$O$70)*IF(ISNUMBER('Snowden Tower L2'!$O$2:$O$70),'Snowden Tower L2'!$O$2:$O$70,0)))/(SUMPRODUCT(('Basic L1'!$B$2:$B$20="Windows")*ISNUMBER('Basic L1'!$O$2:$O$20))+SUMPRODUCT(('Basic L2'!$B$2:$B$27="Windows")*ISNUMBER('Basic L2'!$O$2:$O$27))+SUMPRODUCT(('Advanced L1'!$B$2:$B$78="Windows")*ISNUMBER('Advanced L1'!$O$2:$O$78))+SUMPRODUCT(('Snowden Tower L1'!$B$2:$B$86="Windows")*ISNUMBER('Snowden Tower L1'!$O$2:$O$86))+SUMPRODUCT(('Snowden Tower L2'!$B$2:$B$70="Windows")*ISNUMBER('Snowden Tower L2'!$O$2:$O$70))))</f>
        <v>0.99918429375934681</v>
      </c>
      <c r="I19" s="51">
        <f>IF((COUNTIFS('Basic L1'!$B$2:$B$20,"Windows",'Basic L1'!$S$2:$S$20,"&lt;&gt;")+COUNTIFS('Basic L2'!$B$2:$B$27,"Windows",'Basic L2'!$S$2:$S$27,"&lt;&gt;")+COUNTIFS('Advanced L1'!$B$2:$B$78,"Windows",'Advanced L1'!$S$2:$S$78,"&lt;&gt;")+COUNTIFS('Snowden Tower L1'!$B$2:$B$86,"Windows",'Snowden Tower L1'!$S$2:$S$86,"&lt;&gt;")+COUNTIFS('Snowden Tower L2'!$B$2:$B$70,"Windows",'Snowden Tower L2'!$S$2:$S$70,"&lt;&gt;"))=0,"N/A",(SUMIF('Basic L1'!$B$2:$B$20,"Windows",'Basic L1'!$S$2:$S$20)+SUMIF('Basic L2'!$B$2:$B$27,"Windows",'Basic L2'!$S$2:$S$27)+SUMIF('Advanced L1'!$B$2:$B$78,"Windows",'Advanced L1'!$S$2:$S$78)+SUMIF('Snowden Tower L1'!$B$2:$B$86,"Windows",'Snowden Tower L1'!$S$2:$S$86)+SUMIF('Snowden Tower L2'!$B$2:$B$70,"Windows",'Snowden Tower L2'!$S$2:$S$70))/(COUNTIFS('Basic L1'!$B$2:$B$20,"Windows",'Basic L1'!$S$2:$S$20,"&lt;&gt;")+COUNTIFS('Basic L2'!$B$2:$B$27,"Windows",'Basic L2'!$S$2:$S$27,"&lt;&gt;")+COUNTIFS('Advanced L1'!$B$2:$B$78,"Windows",'Advanced L1'!$S$2:$S$78,"&lt;&gt;")+COUNTIFS('Snowden Tower L1'!$B$2:$B$86,"Windows",'Snowden Tower L1'!$S$2:$S$86,"&lt;&gt;")+COUNTIFS('Snowden Tower L2'!$B$2:$B$70,"Windows",'Snowden Tower L2'!$S$2:$S$70,"&lt;&gt;")))</f>
        <v>0.87415665514407037</v>
      </c>
      <c r="J19" s="38">
        <f>IF((COUNTIFS('Basic L1'!$B$2:$B$20,"Windows",'Basic L1'!$S$2:$S$20,"&lt;&gt;")+COUNTIFS('Basic L2'!$B$2:$B$27,"Windows",'Basic L2'!$S$2:$S$27,"&lt;&gt;")+COUNTIFS('Advanced L1'!$B$2:$B$78,"Windows",'Advanced L1'!$S$2:$S$78,"&lt;&gt;")+COUNTIFS('Snowden Tower L1'!$B$2:$B$86,"Windows",'Snowden Tower L1'!$S$2:$S$86,"&lt;&gt;")+COUNTIFS('Snowden Tower L2'!$B$2:$B$70,"Windows",'Snowden Tower L2'!$S$2:$S$70,"&lt;&gt;"))=0,"N/A",(COUNTIFS('Basic L1'!$B$2:$B$20,"Windows",'Basic L1'!$S$2:$S$20,"&gt;1")+COUNTIFS('Basic L2'!$B$2:$B$27,"Windows",'Basic L2'!$S$2:$S$27,"&gt;1")+COUNTIFS('Advanced L1'!$B$2:$B$78,"Windows",'Advanced L1'!$S$2:$S$78,"&gt;1")+COUNTIFS('Snowden Tower L1'!$B$2:$B$86,"Windows",'Snowden Tower L1'!$S$2:$S$86,"&gt;1")+COUNTIFS('Snowden Tower L2'!$B$2:$B$70,"Windows",'Snowden Tower L2'!$S$2:$S$70,"&gt;1"))/(COUNTIFS('Basic L1'!$B$2:$B$20,"Windows",'Basic L1'!$S$2:$S$20,"&lt;&gt;")+COUNTIFS('Basic L2'!$B$2:$B$27,"Windows",'Basic L2'!$S$2:$S$27,"&lt;&gt;")+COUNTIFS('Advanced L1'!$B$2:$B$78,"Windows",'Advanced L1'!$S$2:$S$78,"&lt;&gt;")+COUNTIFS('Snowden Tower L1'!$B$2:$B$86,"Windows",'Snowden Tower L1'!$S$2:$S$86,"&lt;&gt;")+COUNTIFS('Snowden Tower L2'!$B$2:$B$70,"Windows",'Snowden Tower L2'!$S$2:$S$70,"&lt;&gt;")))</f>
        <v>0.18421052631578946</v>
      </c>
      <c r="K19" s="36">
        <f>COUNTIFS('Basic L1'!$B$2:$B$20,"Windows",'Basic L1'!$K$2:$K$20,"&gt;15")+COUNTIFS('Basic L2'!$B$2:$B$27,"Windows",'Basic L2'!$K$2:$K$27,"&gt;15")+COUNTIFS('Advanced L1'!$B$2:$B$78,"Windows",'Advanced L1'!$K$2:$K$78,"&gt;15")+COUNTIFS('Snowden Tower L1'!$B$2:$B$86,"Windows",'Snowden Tower L1'!$K$2:$K$86,"&gt;15")+COUNTIFS('Snowden Tower L2'!$B$2:$B$70,"Windows",'Snowden Tower L2'!$K$2:$K$70,"&gt;15")</f>
        <v>0</v>
      </c>
      <c r="L19" s="59">
        <v>1.99</v>
      </c>
      <c r="Q19" t="s">
        <v>76</v>
      </c>
      <c r="R19">
        <v>36</v>
      </c>
      <c r="S19">
        <v>1.440100000000001</v>
      </c>
      <c r="T19">
        <v>2.6880275961711728</v>
      </c>
      <c r="U19">
        <v>5.5229999999999997</v>
      </c>
      <c r="V19">
        <v>0.77777777777777779</v>
      </c>
      <c r="W19">
        <v>0.78160236254207749</v>
      </c>
      <c r="X19">
        <v>0.83333333333333337</v>
      </c>
      <c r="Y19">
        <v>0</v>
      </c>
    </row>
    <row r="20" spans="2:25" ht="15" customHeight="1" x14ac:dyDescent="0.45">
      <c r="B20" s="45" t="s">
        <v>94</v>
      </c>
      <c r="C20" s="46">
        <f>COUNTIF('Basic L1'!$B$2:$B$20,"Walls")+COUNTIF('Basic L2'!$B$2:$B$27,"Walls")+COUNTIF('Advanced L1'!$B$2:$B$78,"Walls")+COUNTIF('Snowden Tower L1'!$B$2:$B$86,"Walls")+COUNTIF('Snowden Tower L2'!$B$2:$B$70,"Walls")</f>
        <v>66</v>
      </c>
      <c r="D20" s="47">
        <f>IF((COUNTIFS('Basic L1'!$B$2:$B$20,"Walls",'Basic L1'!$K$2:$K$20,"&lt;&gt;")+COUNTIFS('Basic L2'!$B$2:$B$27,"Walls",'Basic L2'!$K$2:$K$27,"&lt;&gt;")+COUNTIFS('Advanced L1'!$B$2:$B$78,"Walls",'Advanced L1'!$K$2:$K$78,"&lt;&gt;")+COUNTIFS('Snowden Tower L1'!$B$2:$B$86,"Walls",'Snowden Tower L1'!$K$2:$K$86,"&lt;&gt;")+COUNTIFS('Snowden Tower L2'!$B$2:$B$70,"Walls",'Snowden Tower L2'!$K$2:$K$70,"&lt;&gt;"))=0,"N/A",(SUMIF('Basic L1'!$B$2:$B$20,"Walls",'Basic L1'!$K$2:$K$20)+SUMIF('Basic L2'!$B$2:$B$27,"Walls",'Basic L2'!$K$2:$K$27)+SUMIF('Advanced L1'!$B$2:$B$78,"Walls",'Advanced L1'!$K$2:$K$78)+SUMIF('Snowden Tower L1'!$B$2:$B$86,"Walls",'Snowden Tower L1'!$K$2:$K$86)+SUMIF('Snowden Tower L2'!$B$2:$B$70,"Walls",'Snowden Tower L2'!$K$2:$K$70))/(COUNTIFS('Basic L1'!$B$2:$B$20,"Walls",'Basic L1'!$K$2:$K$20,"&lt;&gt;")+COUNTIFS('Basic L2'!$B$2:$B$27,"Walls",'Basic L2'!$K$2:$K$27,"&lt;&gt;")+COUNTIFS('Advanced L1'!$B$2:$B$78,"Walls",'Advanced L1'!$K$2:$K$78,"&lt;&gt;")+COUNTIFS('Snowden Tower L1'!$B$2:$B$86,"Walls",'Snowden Tower L1'!$K$2:$K$86,"&lt;&gt;")+COUNTIFS('Snowden Tower L2'!$B$2:$B$70,"Walls",'Snowden Tower L2'!$K$2:$K$70,"&lt;&gt;")))</f>
        <v>3.1957278667247788</v>
      </c>
      <c r="E20" s="47">
        <f t="array" ref="E20">IFERROR(MEDIAN(IF('Basic L1'!$B$2:$B$20="Walls",'Basic L1'!$K$2:$K$20),IF('Basic L2'!$B$2:$B$27="Walls",'Basic L2'!$K$2:$K$27),IF('Advanced L1'!$B$2:$B$78="Walls",'Advanced L1'!$K$2:$K$78),IF('Snowden Tower L1'!$B$2:$B$86="Walls",'Snowden Tower L1'!$K$2:$K$86),IF('Snowden Tower L2'!$B$2:$B$70="Walls",'Snowden Tower L2'!$K$2:$K$70)),"N/A")</f>
        <v>2.3748173310454117</v>
      </c>
      <c r="F20" s="47">
        <f>IF((COUNTIFS('Basic L1'!$B$2:$B$20,"Walls",'Basic L1'!$K$2:$K$20,"&lt;&gt;")+COUNTIFS('Basic L2'!$B$2:$B$27,"Walls",'Basic L2'!$K$2:$K$27,"&lt;&gt;")+COUNTIFS('Advanced L1'!$B$2:$B$78,"Walls",'Advanced L1'!$K$2:$K$78,"&lt;&gt;")+COUNTIFS('Snowden Tower L1'!$B$2:$B$86,"Walls",'Snowden Tower L1'!$K$2:$K$86,"&lt;&gt;")+COUNTIFS('Snowden Tower L2'!$B$2:$B$70,"Walls",'Snowden Tower L2'!$K$2:$K$70,"&lt;&gt;"))=0,"N/A",SQRT((SUMPRODUCT(('Basic L1'!$B$2:$B$20="Walls")*('Basic L1'!$K$2:$K$20)*('Basic L1'!$K$2:$K$20))+SUMPRODUCT(('Basic L2'!$B$2:$B$27="Walls")*('Basic L2'!$K$2:$K$27)*('Basic L2'!$K$2:$K$27))+SUMPRODUCT(('Advanced L1'!$B$2:$B$78="Walls")*('Advanced L1'!$K$2:$K$78)*('Advanced L1'!$K$2:$K$78))+SUMPRODUCT(('Snowden Tower L1'!$B$2:$B$86="Walls")*('Snowden Tower L1'!$K$2:$K$86)*('Snowden Tower L1'!$K$2:$K$86))+SUMPRODUCT(('Snowden Tower L2'!$B$2:$B$70="Walls")*('Snowden Tower L2'!$K$2:$K$70)*('Snowden Tower L2'!$K$2:$K$70)))/(COUNTIFS('Basic L1'!$B$2:$B$20,"Walls",'Basic L1'!$K$2:$K$20,"&lt;&gt;")+COUNTIFS('Basic L2'!$B$2:$B$27,"Walls",'Basic L2'!$K$2:$K$27,"&lt;&gt;")+COUNTIFS('Advanced L1'!$B$2:$B$78,"Walls",'Advanced L1'!$K$2:$K$78,"&lt;&gt;")+COUNTIFS('Snowden Tower L1'!$B$2:$B$86,"Walls",'Snowden Tower L1'!$K$2:$K$86,"&lt;&gt;")+COUNTIFS('Snowden Tower L2'!$B$2:$B$70,"Walls",'Snowden Tower L2'!$K$2:$K$70,"&lt;&gt;"))))</f>
        <v>4.1352976573090183</v>
      </c>
      <c r="G20" s="48">
        <f t="array" ref="G20">IF((SUMPRODUCT(('Basic L1'!$B$2:$B$20="Walls")*ISNUMBER('Basic L1'!$R$2:$R$20))+SUMPRODUCT(('Basic L2'!$B$2:$B$27="Walls")*ISNUMBER('Basic L2'!$R$2:$R$27))+SUMPRODUCT(('Advanced L1'!$B$2:$B$78="Walls")*ISNUMBER('Advanced L1'!$R$2:$R$78))+SUMPRODUCT(('Snowden Tower L1'!$B$2:$B$86="Walls")*ISNUMBER('Snowden Tower L1'!$R$2:$R$86))+SUMPRODUCT(('Snowden Tower L2'!$B$2:$B$70="Walls")*ISNUMBER('Snowden Tower L2'!$R$2:$R$70)))=0,"N/A",(SUMPRODUCT(('Basic L1'!$B$2:$B$20="Walls")*ISNUMBER('Basic L1'!$R$2:$R$20)*IF(ISNUMBER('Basic L1'!$R$2:$R$20),'Basic L1'!$R$2:$R$20,0))+SUMPRODUCT(('Basic L2'!$B$2:$B$27="Walls")*ISNUMBER('Basic L2'!$R$2:$R$27)*IF(ISNUMBER('Basic L2'!$R$2:$R$27),'Basic L2'!$R$2:$R$27,0))+SUMPRODUCT(('Advanced L1'!$B$2:$B$78="Walls")*ISNUMBER('Advanced L1'!$R$2:$R$78)*IF(ISNUMBER('Advanced L1'!$R$2:$R$78),'Advanced L1'!$R$2:$R$78,0))+SUMPRODUCT(('Snowden Tower L1'!$B$2:$B$86="Walls")*ISNUMBER('Snowden Tower L1'!$R$2:$R$86)*IF(ISNUMBER('Snowden Tower L1'!$R$2:$R$86),'Snowden Tower L1'!$R$2:$R$86,0))+SUMPRODUCT(('Snowden Tower L2'!$B$2:$B$70="Walls")*ISNUMBER('Snowden Tower L2'!$R$2:$R$70)*IF(ISNUMBER('Snowden Tower L2'!$R$2:$R$70),'Snowden Tower L2'!$R$2:$R$70,0)))/(SUMPRODUCT(('Basic L1'!$B$2:$B$20="Walls")*ISNUMBER('Basic L1'!$R$2:$R$20))+SUMPRODUCT(('Basic L2'!$B$2:$B$27="Walls")*ISNUMBER('Basic L2'!$R$2:$R$27))+SUMPRODUCT(('Advanced L1'!$B$2:$B$78="Walls")*ISNUMBER('Advanced L1'!$R$2:$R$78))+SUMPRODUCT(('Snowden Tower L1'!$B$2:$B$86="Walls")*ISNUMBER('Snowden Tower L1'!$R$2:$R$86))+SUMPRODUCT(('Snowden Tower L2'!$B$2:$B$70="Walls")*ISNUMBER('Snowden Tower L2'!$R$2:$R$70))))</f>
        <v>0.75757575757575757</v>
      </c>
      <c r="H20" s="49">
        <f t="array" ref="H20">IF((SUMPRODUCT(('Basic L1'!$B$2:$B$20="Walls")*ISNUMBER('Basic L1'!$O$2:$O$20))+SUMPRODUCT(('Basic L2'!$B$2:$B$27="Walls")*ISNUMBER('Basic L2'!$O$2:$O$27))+SUMPRODUCT(('Advanced L1'!$B$2:$B$78="Walls")*ISNUMBER('Advanced L1'!$O$2:$O$78))+SUMPRODUCT(('Snowden Tower L1'!$B$2:$B$86="Walls")*ISNUMBER('Snowden Tower L1'!$O$2:$O$86))+SUMPRODUCT(('Snowden Tower L2'!$B$2:$B$70="Walls")*ISNUMBER('Snowden Tower L2'!$O$2:$O$70)))=0,"N/A",(SUMPRODUCT(('Basic L1'!$B$2:$B$20="Walls")*ISNUMBER('Basic L1'!$O$2:$O$20)*IF(ISNUMBER('Basic L1'!$O$2:$O$20),'Basic L1'!$O$2:$O$20,0))+SUMPRODUCT(('Basic L2'!$B$2:$B$27="Walls")*ISNUMBER('Basic L2'!$O$2:$O$27)*IF(ISNUMBER('Basic L2'!$O$2:$O$27),'Basic L2'!$O$2:$O$27,0))+SUMPRODUCT(('Advanced L1'!$B$2:$B$78="Walls")*ISNUMBER('Advanced L1'!$O$2:$O$78)*IF(ISNUMBER('Advanced L1'!$O$2:$O$78),'Advanced L1'!$O$2:$O$78,0))+SUMPRODUCT(('Snowden Tower L1'!$B$2:$B$86="Walls")*ISNUMBER('Snowden Tower L1'!$O$2:$O$86)*IF(ISNUMBER('Snowden Tower L1'!$O$2:$O$86),'Snowden Tower L1'!$O$2:$O$86,0))+SUMPRODUCT(('Snowden Tower L2'!$B$2:$B$70="Walls")*ISNUMBER('Snowden Tower L2'!$O$2:$O$70)*IF(ISNUMBER('Snowden Tower L2'!$O$2:$O$70),'Snowden Tower L2'!$O$2:$O$70,0)))/(SUMPRODUCT(('Basic L1'!$B$2:$B$20="Walls")*ISNUMBER('Basic L1'!$O$2:$O$20))+SUMPRODUCT(('Basic L2'!$B$2:$B$27="Walls")*ISNUMBER('Basic L2'!$O$2:$O$27))+SUMPRODUCT(('Advanced L1'!$B$2:$B$78="Walls")*ISNUMBER('Advanced L1'!$O$2:$O$78))+SUMPRODUCT(('Snowden Tower L1'!$B$2:$B$86="Walls")*ISNUMBER('Snowden Tower L1'!$O$2:$O$86))+SUMPRODUCT(('Snowden Tower L2'!$B$2:$B$70="Walls")*ISNUMBER('Snowden Tower L2'!$O$2:$O$70))))</f>
        <v>0.66205305427929595</v>
      </c>
      <c r="I20" s="47">
        <f>IF((COUNTIFS('Basic L1'!$B$2:$B$20,"Walls",'Basic L1'!$S$2:$S$20,"&lt;&gt;")+COUNTIFS('Basic L2'!$B$2:$B$27,"Walls",'Basic L2'!$S$2:$S$27,"&lt;&gt;")+COUNTIFS('Advanced L1'!$B$2:$B$78,"Walls",'Advanced L1'!$S$2:$S$78,"&lt;&gt;")+COUNTIFS('Snowden Tower L1'!$B$2:$B$86,"Walls",'Snowden Tower L1'!$S$2:$S$86,"&lt;&gt;")+COUNTIFS('Snowden Tower L2'!$B$2:$B$70,"Walls",'Snowden Tower L2'!$S$2:$S$70,"&lt;&gt;"))=0,"N/A",(SUMIF('Basic L1'!$B$2:$B$20,"Walls",'Basic L1'!$S$2:$S$20)+SUMIF('Basic L2'!$B$2:$B$27,"Walls",'Basic L2'!$S$2:$S$27)+SUMIF('Advanced L1'!$B$2:$B$78,"Walls",'Advanced L1'!$S$2:$S$78)+SUMIF('Snowden Tower L1'!$B$2:$B$86,"Walls",'Snowden Tower L1'!$S$2:$S$86)+SUMIF('Snowden Tower L2'!$B$2:$B$70,"Walls",'Snowden Tower L2'!$S$2:$S$70))/(COUNTIFS('Basic L1'!$B$2:$B$20,"Walls",'Basic L1'!$S$2:$S$20,"&lt;&gt;")+COUNTIFS('Basic L2'!$B$2:$B$27,"Walls",'Basic L2'!$S$2:$S$27,"&lt;&gt;")+COUNTIFS('Advanced L1'!$B$2:$B$78,"Walls",'Advanced L1'!$S$2:$S$78,"&lt;&gt;")+COUNTIFS('Snowden Tower L1'!$B$2:$B$86,"Walls",'Snowden Tower L1'!$S$2:$S$86,"&lt;&gt;")+COUNTIFS('Snowden Tower L2'!$B$2:$B$70,"Walls",'Snowden Tower L2'!$S$2:$S$70,"&lt;&gt;")))</f>
        <v>1.1702843944180235</v>
      </c>
      <c r="J20" s="48">
        <f>IF((COUNTIFS('Basic L1'!$B$2:$B$20,"Walls",'Basic L1'!$S$2:$S$20,"&lt;&gt;")+COUNTIFS('Basic L2'!$B$2:$B$27,"Walls",'Basic L2'!$S$2:$S$27,"&lt;&gt;")+COUNTIFS('Advanced L1'!$B$2:$B$78,"Walls",'Advanced L1'!$S$2:$S$78,"&lt;&gt;")+COUNTIFS('Snowden Tower L1'!$B$2:$B$86,"Walls",'Snowden Tower L1'!$S$2:$S$86,"&lt;&gt;")+COUNTIFS('Snowden Tower L2'!$B$2:$B$70,"Walls",'Snowden Tower L2'!$S$2:$S$70,"&lt;&gt;"))=0,"N/A",(COUNTIFS('Basic L1'!$B$2:$B$20,"Walls",'Basic L1'!$S$2:$S$20,"&gt;1")+COUNTIFS('Basic L2'!$B$2:$B$27,"Walls",'Basic L2'!$S$2:$S$27,"&gt;1")+COUNTIFS('Advanced L1'!$B$2:$B$78,"Walls",'Advanced L1'!$S$2:$S$78,"&gt;1")+COUNTIFS('Snowden Tower L1'!$B$2:$B$86,"Walls",'Snowden Tower L1'!$S$2:$S$86,"&gt;1")+COUNTIFS('Snowden Tower L2'!$B$2:$B$70,"Walls",'Snowden Tower L2'!$S$2:$S$70,"&gt;1"))/(COUNTIFS('Basic L1'!$B$2:$B$20,"Walls",'Basic L1'!$S$2:$S$20,"&lt;&gt;")+COUNTIFS('Basic L2'!$B$2:$B$27,"Walls",'Basic L2'!$S$2:$S$27,"&lt;&gt;")+COUNTIFS('Advanced L1'!$B$2:$B$78,"Walls",'Advanced L1'!$S$2:$S$78,"&lt;&gt;")+COUNTIFS('Snowden Tower L1'!$B$2:$B$86,"Walls",'Snowden Tower L1'!$S$2:$S$86,"&lt;&gt;")+COUNTIFS('Snowden Tower L2'!$B$2:$B$70,"Walls",'Snowden Tower L2'!$S$2:$S$70,"&lt;&gt;")))</f>
        <v>0.48484848484848486</v>
      </c>
      <c r="K20" s="46">
        <f>COUNTIFS('Basic L1'!$B$2:$B$20,"Walls",'Basic L1'!$K$2:$K$20,"&gt;15")+COUNTIFS('Basic L2'!$B$2:$B$27,"Walls",'Basic L2'!$K$2:$K$27,"&gt;15")+COUNTIFS('Advanced L1'!$B$2:$B$78,"Walls",'Advanced L1'!$K$2:$K$78,"&gt;15")+COUNTIFS('Snowden Tower L1'!$B$2:$B$86,"Walls",'Snowden Tower L1'!$K$2:$K$86,"&gt;15")+COUNTIFS('Snowden Tower L2'!$B$2:$B$70,"Walls",'Snowden Tower L2'!$K$2:$K$70,"&gt;15")</f>
        <v>0</v>
      </c>
      <c r="L20" s="31">
        <v>8.8629999999999995</v>
      </c>
      <c r="Q20" t="s">
        <v>77</v>
      </c>
      <c r="R20">
        <v>111</v>
      </c>
      <c r="S20">
        <v>1.9413785849236116</v>
      </c>
      <c r="T20">
        <v>20.845739431395131</v>
      </c>
      <c r="U20">
        <v>56.484000000000002</v>
      </c>
      <c r="V20">
        <v>0.38181818181818183</v>
      </c>
      <c r="W20">
        <v>0.21613928481855968</v>
      </c>
      <c r="X20">
        <v>0.8</v>
      </c>
      <c r="Y20">
        <v>18</v>
      </c>
    </row>
    <row r="21" spans="2:25" ht="15" customHeight="1" x14ac:dyDescent="0.45">
      <c r="B21" s="27" t="s">
        <v>50</v>
      </c>
      <c r="C21" s="36">
        <f>COUNTIF('Basic L1'!$B$2:$B$20,"Room Tags")+COUNTIF('Basic L2'!$B$2:$B$27,"Room Tags")+COUNTIF('Advanced L1'!$B$2:$B$78,"Room Tags")+COUNTIF('Snowden Tower L1'!$B$2:$B$86,"Room Tags")+COUNTIF('Snowden Tower L2'!$B$2:$B$70,"Room Tags")</f>
        <v>70</v>
      </c>
      <c r="D21" s="51">
        <f>IF((COUNTIFS('Basic L1'!$B$2:$B$20,"Room Tags",'Basic L1'!$K$2:$K$20,"&lt;&gt;")+COUNTIFS('Basic L2'!$B$2:$B$27,"Room Tags",'Basic L2'!$K$2:$K$27,"&lt;&gt;")+COUNTIFS('Advanced L1'!$B$2:$B$78,"Room Tags",'Advanced L1'!$K$2:$K$78,"&lt;&gt;")+COUNTIFS('Snowden Tower L1'!$B$2:$B$86,"Room Tags",'Snowden Tower L1'!$K$2:$K$86,"&lt;&gt;")+COUNTIFS('Snowden Tower L2'!$B$2:$B$70,"Room Tags",'Snowden Tower L2'!$K$2:$K$70,"&lt;&gt;"))=0,"N/A",(SUMIF('Basic L1'!$B$2:$B$20,"Room Tags",'Basic L1'!$K$2:$K$20)+SUMIF('Basic L2'!$B$2:$B$27,"Room Tags",'Basic L2'!$K$2:$K$27)+SUMIF('Advanced L1'!$B$2:$B$78,"Room Tags",'Advanced L1'!$K$2:$K$78)+SUMIF('Snowden Tower L1'!$B$2:$B$86,"Room Tags",'Snowden Tower L1'!$K$2:$K$86)+SUMIF('Snowden Tower L2'!$B$2:$B$70,"Room Tags",'Snowden Tower L2'!$K$2:$K$70))/(COUNTIFS('Basic L1'!$B$2:$B$20,"Room Tags",'Basic L1'!$K$2:$K$20,"&lt;&gt;")+COUNTIFS('Basic L2'!$B$2:$B$27,"Room Tags",'Basic L2'!$K$2:$K$27,"&lt;&gt;")+COUNTIFS('Advanced L1'!$B$2:$B$78,"Room Tags",'Advanced L1'!$K$2:$K$78,"&lt;&gt;")+COUNTIFS('Snowden Tower L1'!$B$2:$B$86,"Room Tags",'Snowden Tower L1'!$K$2:$K$86,"&lt;&gt;")+COUNTIFS('Snowden Tower L2'!$B$2:$B$70,"Room Tags",'Snowden Tower L2'!$K$2:$K$70,"&lt;&gt;")))</f>
        <v>4.5161127557151044</v>
      </c>
      <c r="E21" s="51">
        <f t="array" ref="E21">IFERROR(MEDIAN(IF('Basic L1'!$B$2:$B$20="Room Tags",'Basic L1'!$K$2:$K$20),IF('Basic L2'!$B$2:$B$27="Room Tags",'Basic L2'!$K$2:$K$27),IF('Advanced L1'!$B$2:$B$78="Room Tags",'Advanced L1'!$K$2:$K$78),IF('Snowden Tower L1'!$B$2:$B$86="Room Tags",'Snowden Tower L1'!$K$2:$K$86),IF('Snowden Tower L2'!$B$2:$B$70="Room Tags",'Snowden Tower L2'!$K$2:$K$70)),"N/A")</f>
        <v>2.4590159003302734</v>
      </c>
      <c r="F21" s="51">
        <f>IF((COUNTIFS('Basic L1'!$B$2:$B$20,"Room Tags",'Basic L1'!$K$2:$K$20,"&lt;&gt;")+COUNTIFS('Basic L2'!$B$2:$B$27,"Room Tags",'Basic L2'!$K$2:$K$27,"&lt;&gt;")+COUNTIFS('Advanced L1'!$B$2:$B$78,"Room Tags",'Advanced L1'!$K$2:$K$78,"&lt;&gt;")+COUNTIFS('Snowden Tower L1'!$B$2:$B$86,"Room Tags",'Snowden Tower L1'!$K$2:$K$86,"&lt;&gt;")+COUNTIFS('Snowden Tower L2'!$B$2:$B$70,"Room Tags",'Snowden Tower L2'!$K$2:$K$70,"&lt;&gt;"))=0,"N/A",SQRT((SUMPRODUCT(('Basic L1'!$B$2:$B$20="Room Tags")*('Basic L1'!$K$2:$K$20)*('Basic L1'!$K$2:$K$20))+SUMPRODUCT(('Basic L2'!$B$2:$B$27="Room Tags")*('Basic L2'!$K$2:$K$27)*('Basic L2'!$K$2:$K$27))+SUMPRODUCT(('Advanced L1'!$B$2:$B$78="Room Tags")*('Advanced L1'!$K$2:$K$78)*('Advanced L1'!$K$2:$K$78))+SUMPRODUCT(('Snowden Tower L1'!$B$2:$B$86="Room Tags")*('Snowden Tower L1'!$K$2:$K$86)*('Snowden Tower L1'!$K$2:$K$86))+SUMPRODUCT(('Snowden Tower L2'!$B$2:$B$70="Room Tags")*('Snowden Tower L2'!$K$2:$K$70)*('Snowden Tower L2'!$K$2:$K$70)))/(COUNTIFS('Basic L1'!$B$2:$B$20,"Room Tags",'Basic L1'!$K$2:$K$20,"&lt;&gt;")+COUNTIFS('Basic L2'!$B$2:$B$27,"Room Tags",'Basic L2'!$K$2:$K$27,"&lt;&gt;")+COUNTIFS('Advanced L1'!$B$2:$B$78,"Room Tags",'Advanced L1'!$K$2:$K$78,"&lt;&gt;")+COUNTIFS('Snowden Tower L1'!$B$2:$B$86,"Room Tags",'Snowden Tower L1'!$K$2:$K$86,"&lt;&gt;")+COUNTIFS('Snowden Tower L2'!$B$2:$B$70,"Room Tags",'Snowden Tower L2'!$K$2:$K$70,"&lt;&gt;"))))</f>
        <v>7.4571586059781696</v>
      </c>
      <c r="G21" s="38">
        <f t="array" ref="G21">IF((SUMPRODUCT(('Basic L1'!$B$2:$B$20="Room Tags")*ISNUMBER('Basic L1'!$R$2:$R$20))+SUMPRODUCT(('Basic L2'!$B$2:$B$27="Room Tags")*ISNUMBER('Basic L2'!$R$2:$R$27))+SUMPRODUCT(('Advanced L1'!$B$2:$B$78="Room Tags")*ISNUMBER('Advanced L1'!$R$2:$R$78))+SUMPRODUCT(('Snowden Tower L1'!$B$2:$B$86="Room Tags")*ISNUMBER('Snowden Tower L1'!$R$2:$R$86))+SUMPRODUCT(('Snowden Tower L2'!$B$2:$B$70="Room Tags")*ISNUMBER('Snowden Tower L2'!$R$2:$R$70)))=0,"N/A",(SUMPRODUCT(('Basic L1'!$B$2:$B$20="Room Tags")*ISNUMBER('Basic L1'!$R$2:$R$20)*IF(ISNUMBER('Basic L1'!$R$2:$R$20),'Basic L1'!$R$2:$R$20,0))+SUMPRODUCT(('Basic L2'!$B$2:$B$27="Room Tags")*ISNUMBER('Basic L2'!$R$2:$R$27)*IF(ISNUMBER('Basic L2'!$R$2:$R$27),'Basic L2'!$R$2:$R$27,0))+SUMPRODUCT(('Advanced L1'!$B$2:$B$78="Room Tags")*ISNUMBER('Advanced L1'!$R$2:$R$78)*IF(ISNUMBER('Advanced L1'!$R$2:$R$78),'Advanced L1'!$R$2:$R$78,0))+SUMPRODUCT(('Snowden Tower L1'!$B$2:$B$86="Room Tags")*ISNUMBER('Snowden Tower L1'!$R$2:$R$86)*IF(ISNUMBER('Snowden Tower L1'!$R$2:$R$86),'Snowden Tower L1'!$R$2:$R$86,0))+SUMPRODUCT(('Snowden Tower L2'!$B$2:$B$70="Room Tags")*ISNUMBER('Snowden Tower L2'!$R$2:$R$70)*IF(ISNUMBER('Snowden Tower L2'!$R$2:$R$70),'Snowden Tower L2'!$R$2:$R$70,0)))/(SUMPRODUCT(('Basic L1'!$B$2:$B$20="Room Tags")*ISNUMBER('Basic L1'!$R$2:$R$20))+SUMPRODUCT(('Basic L2'!$B$2:$B$27="Room Tags")*ISNUMBER('Basic L2'!$R$2:$R$27))+SUMPRODUCT(('Advanced L1'!$B$2:$B$78="Room Tags")*ISNUMBER('Advanced L1'!$R$2:$R$78))+SUMPRODUCT(('Snowden Tower L1'!$B$2:$B$86="Room Tags")*ISNUMBER('Snowden Tower L1'!$R$2:$R$86))+SUMPRODUCT(('Snowden Tower L2'!$B$2:$B$70="Room Tags")*ISNUMBER('Snowden Tower L2'!$R$2:$R$70))))</f>
        <v>0.66666666666666663</v>
      </c>
      <c r="H21" s="37">
        <f t="array" ref="H21">IF((SUMPRODUCT(('Basic L1'!$B$2:$B$20="Room Tags")*ISNUMBER('Basic L1'!$O$2:$O$20))+SUMPRODUCT(('Basic L2'!$B$2:$B$27="Room Tags")*ISNUMBER('Basic L2'!$O$2:$O$27))+SUMPRODUCT(('Advanced L1'!$B$2:$B$78="Room Tags")*ISNUMBER('Advanced L1'!$O$2:$O$78))+SUMPRODUCT(('Snowden Tower L1'!$B$2:$B$86="Room Tags")*ISNUMBER('Snowden Tower L1'!$O$2:$O$86))+SUMPRODUCT(('Snowden Tower L2'!$B$2:$B$70="Room Tags")*ISNUMBER('Snowden Tower L2'!$O$2:$O$70)))=0,"N/A",(SUMPRODUCT(('Basic L1'!$B$2:$B$20="Room Tags")*ISNUMBER('Basic L1'!$O$2:$O$20)*IF(ISNUMBER('Basic L1'!$O$2:$O$20),'Basic L1'!$O$2:$O$20,0))+SUMPRODUCT(('Basic L2'!$B$2:$B$27="Room Tags")*ISNUMBER('Basic L2'!$O$2:$O$27)*IF(ISNUMBER('Basic L2'!$O$2:$O$27),'Basic L2'!$O$2:$O$27,0))+SUMPRODUCT(('Advanced L1'!$B$2:$B$78="Room Tags")*ISNUMBER('Advanced L1'!$O$2:$O$78)*IF(ISNUMBER('Advanced L1'!$O$2:$O$78),'Advanced L1'!$O$2:$O$78,0))+SUMPRODUCT(('Snowden Tower L1'!$B$2:$B$86="Room Tags")*ISNUMBER('Snowden Tower L1'!$O$2:$O$86)*IF(ISNUMBER('Snowden Tower L1'!$O$2:$O$86),'Snowden Tower L1'!$O$2:$O$86,0))+SUMPRODUCT(('Snowden Tower L2'!$B$2:$B$70="Room Tags")*ISNUMBER('Snowden Tower L2'!$O$2:$O$70)*IF(ISNUMBER('Snowden Tower L2'!$O$2:$O$70),'Snowden Tower L2'!$O$2:$O$70,0)))/(SUMPRODUCT(('Basic L1'!$B$2:$B$20="Room Tags")*ISNUMBER('Basic L1'!$O$2:$O$20))+SUMPRODUCT(('Basic L2'!$B$2:$B$27="Room Tags")*ISNUMBER('Basic L2'!$O$2:$O$27))+SUMPRODUCT(('Advanced L1'!$B$2:$B$78="Room Tags")*ISNUMBER('Advanced L1'!$O$2:$O$78))+SUMPRODUCT(('Snowden Tower L1'!$B$2:$B$86="Room Tags")*ISNUMBER('Snowden Tower L1'!$O$2:$O$86))+SUMPRODUCT(('Snowden Tower L2'!$B$2:$B$70="Room Tags")*ISNUMBER('Snowden Tower L2'!$O$2:$O$70))))</f>
        <v>0.67461758749679424</v>
      </c>
      <c r="I21" s="51">
        <f>IF((COUNTIFS('Basic L1'!$B$2:$B$20,"Room Tags",'Basic L1'!$S$2:$S$20,"&lt;&gt;")+COUNTIFS('Basic L2'!$B$2:$B$27,"Room Tags",'Basic L2'!$S$2:$S$27,"&lt;&gt;")+COUNTIFS('Advanced L1'!$B$2:$B$78,"Room Tags",'Advanced L1'!$S$2:$S$78,"&lt;&gt;")+COUNTIFS('Snowden Tower L1'!$B$2:$B$86,"Room Tags",'Snowden Tower L1'!$S$2:$S$86,"&lt;&gt;")+COUNTIFS('Snowden Tower L2'!$B$2:$B$70,"Room Tags",'Snowden Tower L2'!$S$2:$S$70,"&lt;&gt;"))=0,"N/A",(SUMIF('Basic L1'!$B$2:$B$20,"Room Tags",'Basic L1'!$S$2:$S$20)+SUMIF('Basic L2'!$B$2:$B$27,"Room Tags",'Basic L2'!$S$2:$S$27)+SUMIF('Advanced L1'!$B$2:$B$78,"Room Tags",'Advanced L1'!$S$2:$S$78)+SUMIF('Snowden Tower L1'!$B$2:$B$86,"Room Tags",'Snowden Tower L1'!$S$2:$S$86)+SUMIF('Snowden Tower L2'!$B$2:$B$70,"Room Tags",'Snowden Tower L2'!$S$2:$S$70))/(COUNTIFS('Basic L1'!$B$2:$B$20,"Room Tags",'Basic L1'!$S$2:$S$20,"&lt;&gt;")+COUNTIFS('Basic L2'!$B$2:$B$27,"Room Tags",'Basic L2'!$S$2:$S$27,"&lt;&gt;")+COUNTIFS('Advanced L1'!$B$2:$B$78,"Room Tags",'Advanced L1'!$S$2:$S$78,"&lt;&gt;")+COUNTIFS('Snowden Tower L1'!$B$2:$B$86,"Room Tags",'Snowden Tower L1'!$S$2:$S$86,"&lt;&gt;")+COUNTIFS('Snowden Tower L2'!$B$2:$B$70,"Room Tags",'Snowden Tower L2'!$S$2:$S$70,"&lt;&gt;")))</f>
        <v>0.98023498542982257</v>
      </c>
      <c r="J21" s="38">
        <f>IF((COUNTIFS('Basic L1'!$B$2:$B$20,"Room Tags",'Basic L1'!$S$2:$S$20,"&lt;&gt;")+COUNTIFS('Basic L2'!$B$2:$B$27,"Room Tags",'Basic L2'!$S$2:$S$27,"&lt;&gt;")+COUNTIFS('Advanced L1'!$B$2:$B$78,"Room Tags",'Advanced L1'!$S$2:$S$78,"&lt;&gt;")+COUNTIFS('Snowden Tower L1'!$B$2:$B$86,"Room Tags",'Snowden Tower L1'!$S$2:$S$86,"&lt;&gt;")+COUNTIFS('Snowden Tower L2'!$B$2:$B$70,"Room Tags",'Snowden Tower L2'!$S$2:$S$70,"&lt;&gt;"))=0,"N/A",(COUNTIFS('Basic L1'!$B$2:$B$20,"Room Tags",'Basic L1'!$S$2:$S$20,"&gt;1")+COUNTIFS('Basic L2'!$B$2:$B$27,"Room Tags",'Basic L2'!$S$2:$S$27,"&gt;1")+COUNTIFS('Advanced L1'!$B$2:$B$78,"Room Tags",'Advanced L1'!$S$2:$S$78,"&gt;1")+COUNTIFS('Snowden Tower L1'!$B$2:$B$86,"Room Tags",'Snowden Tower L1'!$S$2:$S$86,"&gt;1")+COUNTIFS('Snowden Tower L2'!$B$2:$B$70,"Room Tags",'Snowden Tower L2'!$S$2:$S$70,"&gt;1"))/(COUNTIFS('Basic L1'!$B$2:$B$20,"Room Tags",'Basic L1'!$S$2:$S$20,"&lt;&gt;")+COUNTIFS('Basic L2'!$B$2:$B$27,"Room Tags",'Basic L2'!$S$2:$S$27,"&lt;&gt;")+COUNTIFS('Advanced L1'!$B$2:$B$78,"Room Tags",'Advanced L1'!$S$2:$S$78,"&lt;&gt;")+COUNTIFS('Snowden Tower L1'!$B$2:$B$86,"Room Tags",'Snowden Tower L1'!$S$2:$S$86,"&lt;&gt;")+COUNTIFS('Snowden Tower L2'!$B$2:$B$70,"Room Tags",'Snowden Tower L2'!$S$2:$S$70,"&lt;&gt;")))</f>
        <v>0.2857142857142857</v>
      </c>
      <c r="K21" s="36">
        <f>COUNTIFS('Basic L1'!$B$2:$B$20,"Room Tags",'Basic L1'!$K$2:$K$20,"&gt;15")+COUNTIFS('Basic L2'!$B$2:$B$27,"Room Tags",'Basic L2'!$K$2:$K$27,"&gt;15")+COUNTIFS('Advanced L1'!$B$2:$B$78,"Room Tags",'Advanced L1'!$K$2:$K$78,"&gt;15")+COUNTIFS('Snowden Tower L1'!$B$2:$B$86,"Room Tags",'Snowden Tower L1'!$K$2:$K$86,"&gt;15")+COUNTIFS('Snowden Tower L2'!$B$2:$B$70,"Room Tags",'Snowden Tower L2'!$K$2:$K$70,"&gt;15")</f>
        <v>6</v>
      </c>
      <c r="L21" s="59">
        <v>19.452999999999999</v>
      </c>
      <c r="Q21" t="s">
        <v>90</v>
      </c>
    </row>
    <row r="22" spans="2:25" ht="15" customHeight="1" x14ac:dyDescent="0.45">
      <c r="B22" s="19" t="s">
        <v>95</v>
      </c>
    </row>
    <row r="23" spans="2:25" ht="18" customHeight="1" x14ac:dyDescent="0.45">
      <c r="B23" s="32" t="s">
        <v>96</v>
      </c>
      <c r="C23" s="33"/>
      <c r="D23" s="33"/>
      <c r="E23" s="33"/>
      <c r="F23" s="33"/>
      <c r="G23" s="33"/>
      <c r="H23" s="33"/>
      <c r="I23" s="33"/>
      <c r="J23" s="33"/>
      <c r="K23" s="33"/>
    </row>
    <row r="24" spans="2:25" ht="27.75" customHeight="1" x14ac:dyDescent="0.45">
      <c r="B24" s="20" t="s">
        <v>58</v>
      </c>
      <c r="C24" s="20" t="s">
        <v>82</v>
      </c>
      <c r="D24" s="20" t="s">
        <v>83</v>
      </c>
      <c r="E24" s="20" t="s">
        <v>84</v>
      </c>
      <c r="F24" s="20" t="s">
        <v>63</v>
      </c>
      <c r="G24" s="20" t="s">
        <v>86</v>
      </c>
      <c r="H24" s="20" t="s">
        <v>89</v>
      </c>
      <c r="L24" s="21" t="s">
        <v>69</v>
      </c>
    </row>
    <row r="25" spans="2:25" ht="15" customHeight="1" x14ac:dyDescent="0.45">
      <c r="B25" s="45" t="s">
        <v>97</v>
      </c>
      <c r="C25" s="46">
        <f>COUNTA('Basic L1'!$B$2:$B$20)+COUNTA('Basic L2'!$B$2:$B$27)+COUNTA('Advanced L1'!$B$2:$B$78)+COUNTA('Snowden Tower L1'!$B$2:$B$86)+COUNTA('Snowden Tower L2'!$B$2:$B$70)</f>
        <v>276</v>
      </c>
      <c r="D25" s="47">
        <f>(SUM('Basic L1'!$K$2:$K$20)+SUM('Basic L2'!$K$2:$K$27)+SUM('Advanced L1'!$K$2:$K$78)+SUM('Snowden Tower L1'!$K$2:$K$86)+SUM('Snowden Tower L2'!$K$2:$K$70))/(COUNT('Basic L1'!$K$2:$K$20)+COUNT('Basic L2'!$K$2:$K$27)+COUNT('Advanced L1'!$K$2:$K$78)+COUNT('Snowden Tower L1'!$K$2:$K$86)+COUNT('Snowden Tower L2'!$K$2:$K$70))</f>
        <v>2.4028723743271558</v>
      </c>
      <c r="E25" s="47">
        <f>MEDIAN('Basic L1'!$K$2:$K$20,'Basic L2'!$K$2:$K$27,'Advanced L1'!$K$2:$K$78,'Snowden Tower L1'!$K$2:$K$86,'Snowden Tower L2'!$K$2:$K$70)</f>
        <v>1.364903033081474</v>
      </c>
      <c r="F25" s="48">
        <f>(SUM('Basic L1'!$R$2:$R$20)+SUM('Basic L2'!$R$2:$R$27)+SUM('Advanced L1'!$R$2:$R$78)+SUM('Snowden Tower L1'!$R$2:$R$86)+SUM('Snowden Tower L2'!$R$2:$R$70))/(COUNT('Basic L1'!$R$2:$R$20)+COUNT('Basic L2'!$R$2:$R$27)+COUNT('Advanced L1'!$R$2:$R$78)+COUNT('Snowden Tower L1'!$R$2:$R$86)+COUNT('Snowden Tower L2'!$R$2:$R$70))</f>
        <v>0.75308641975308643</v>
      </c>
      <c r="G25" s="49">
        <f>(SUM('Basic L1'!$O$2:$O$20)+SUM('Basic L2'!$O$2:$O$27)+SUM('Advanced L1'!$O$2:$O$78)+SUM('Snowden Tower L1'!$O$2:$O$86)+SUM('Snowden Tower L2'!$O$2:$O$70))/(COUNT('Basic L1'!$O$2:$O$20)+COUNT('Basic L2'!$O$2:$O$27)+COUNT('Advanced L1'!$O$2:$O$78)+COUNT('Snowden Tower L1'!$O$2:$O$86)+COUNT('Snowden Tower L2'!$O$2:$O$70))</f>
        <v>0.73322217192719663</v>
      </c>
      <c r="H25" s="46">
        <f>COUNTIF('Basic L1'!$K$2:$K$20,"&gt;15")+COUNTIF('Basic L2'!$K$2:$K$27,"&gt;15")+COUNTIF('Advanced L1'!$K$2:$K$78,"&gt;15")+COUNTIF('Snowden Tower L1'!$K$2:$K$86,"&gt;15")+COUNTIF('Snowden Tower L2'!$K$2:$K$70,"&gt;15")</f>
        <v>6</v>
      </c>
      <c r="L25" s="52">
        <v>9.9710000000000001</v>
      </c>
    </row>
    <row r="26" spans="2:25" ht="15" customHeight="1" x14ac:dyDescent="0.45">
      <c r="B26" s="60" t="s">
        <v>98</v>
      </c>
      <c r="C26" s="54">
        <f>COUNTA('Germany L1'!$B$2:$B$37)+COUNTA('Japan L7'!$B$2:$B$112)</f>
        <v>147</v>
      </c>
      <c r="D26" s="55">
        <f>(SUM('Germany L1'!$K$2:$K$37)+SUM('Japan L7'!$K$2:$K$112))/(COUNT('Germany L1'!$K$2:$K$37)+COUNT('Japan L7'!$K$2:$K$112))</f>
        <v>7.5536227627595354</v>
      </c>
      <c r="E26" s="55">
        <f>MEDIAN('Germany L1'!$K$2:$K$37,'Japan L7'!$K$2:$K$112)</f>
        <v>1.7409279738116685</v>
      </c>
      <c r="F26" s="56">
        <f>(SUM('Germany L1'!$R$2:$R$37)+SUM('Japan L7'!$R$2:$R$112))/(COUNT('Germany L1'!$R$2:$R$37)+COUNT('Japan L7'!$R$2:$R$112))</f>
        <v>0.47945205479452052</v>
      </c>
      <c r="G26" s="57">
        <f>(SUM('Germany L1'!$O$2:$O$37)+SUM('Japan L7'!$O$2:$O$112))/(COUNT('Germany L1'!$O$2:$O$37)+COUNT('Japan L7'!$O$2:$O$112))</f>
        <v>0.35556853685997503</v>
      </c>
      <c r="H26" s="54">
        <f>COUNTIF('Germany L1'!$K$2:$K$37,"&gt;15")+COUNTIF('Japan L7'!$K$2:$K$112,"&gt;15")</f>
        <v>18</v>
      </c>
      <c r="L26" s="61">
        <v>46.25</v>
      </c>
    </row>
    <row r="27" spans="2:25" ht="15" customHeight="1" x14ac:dyDescent="0.45">
      <c r="B27" s="62" t="s">
        <v>99</v>
      </c>
      <c r="C27" s="63">
        <f>COUNTA('Basic L1'!$B$2:$B$20)+COUNTA('Basic L2'!$B$2:$B$27)+COUNTA('Advanced L1'!$B$2:$B$78)+COUNTA('Germany L1'!$B$2:$B$37)+COUNTA('Japan L7'!$B$2:$B$112)+COUNTA('Snowden Tower L1'!$B$2:$B$86)+COUNTA('Snowden Tower L2'!$B$2:$B$70)</f>
        <v>423</v>
      </c>
      <c r="D27" s="64">
        <f>(SUM('Basic L1'!$K$2:$K$20)+SUM('Basic L2'!$K$2:$K$27)+SUM('Advanced L1'!$K$2:$K$78)+SUM('Germany L1'!$K$2:$K$37)+SUM('Japan L7'!$K$2:$K$112)+SUM('Snowden Tower L1'!$K$2:$K$86)+SUM('Snowden Tower L2'!$K$2:$K$70))/(COUNT('Basic L1'!$K$2:$K$20)+COUNT('Basic L2'!$K$2:$K$27)+COUNT('Advanced L1'!$K$2:$K$78)+COUNT('Germany L1'!$K$2:$K$37)+COUNT('Japan L7'!$K$2:$K$112)+COUNT('Snowden Tower L1'!$K$2:$K$86)+COUNT('Snowden Tower L2'!$K$2:$K$70))</f>
        <v>4.1928494596689045</v>
      </c>
      <c r="E27" s="64">
        <f>MEDIAN('Basic L1'!$K$2:$K$20,'Basic L2'!$K$2:$K$27,'Advanced L1'!$K$2:$K$78,'Germany L1'!$K$2:$K$37,'Japan L7'!$K$2:$K$112,'Snowden Tower L1'!$K$2:$K$86,'Snowden Tower L2'!$K$2:$K$70)</f>
        <v>1.4886000000000001</v>
      </c>
      <c r="F27" s="65">
        <f>(SUM('Basic L1'!$R$2:$R$20)+SUM('Basic L2'!$R$2:$R$27)+SUM('Advanced L1'!$R$2:$R$78)+SUM('Germany L1'!$R$2:$R$37)+SUM('Japan L7'!$R$2:$R$112)+SUM('Snowden Tower L1'!$R$2:$R$86)+SUM('Snowden Tower L2'!$R$2:$R$70))/(COUNT('Basic L1'!$R$2:$R$20)+COUNT('Basic L2'!$R$2:$R$27)+COUNT('Advanced L1'!$R$2:$R$78)+COUNT('Germany L1'!$R$2:$R$37)+COUNT('Japan L7'!$R$2:$R$112)+COUNT('Snowden Tower L1'!$R$2:$R$86)+COUNT('Snowden Tower L2'!$R$2:$R$70))</f>
        <v>0.65038560411311053</v>
      </c>
      <c r="G27" s="66">
        <f>(SUM('Basic L1'!$O$2:$O$20)+SUM('Basic L2'!$O$2:$O$27)+SUM('Advanced L1'!$O$2:$O$78)+SUM('Germany L1'!$O$2:$O$37)+SUM('Japan L7'!$O$2:$O$112)+SUM('Snowden Tower L1'!$O$2:$O$86)+SUM('Snowden Tower L2'!$O$2:$O$70))/(COUNT('Basic L1'!$O$2:$O$20)+COUNT('Basic L2'!$O$2:$O$27)+COUNT('Advanced L1'!$O$2:$O$78)+COUNT('Germany L1'!$O$2:$O$37)+COUNT('Japan L7'!$O$2:$O$112)+COUNT('Snowden Tower L1'!$O$2:$O$86)+COUNT('Snowden Tower L2'!$O$2:$O$70))</f>
        <v>0.58963511276101344</v>
      </c>
      <c r="H27" s="63">
        <f>COUNTIF('Basic L1'!$K$2:$K$20,"&gt;15")+COUNTIF('Basic L2'!$K$2:$K$27,"&gt;15")+COUNTIF('Advanced L1'!$K$2:$K$78,"&gt;15")+COUNTIF('Germany L1'!$K$2:$K$37,"&gt;15")+COUNTIF('Japan L7'!$K$2:$K$112,"&gt;15")+COUNTIF('Snowden Tower L1'!$K$2:$K$86,"&gt;15")+COUNTIF('Snowden Tower L2'!$K$2:$K$70,"&gt;15")</f>
        <v>24</v>
      </c>
      <c r="L27" s="26">
        <v>19.488</v>
      </c>
    </row>
    <row r="29" spans="2:25" ht="18" customHeight="1" x14ac:dyDescent="0.45">
      <c r="B29" s="32"/>
      <c r="C29" s="33"/>
      <c r="D29" s="33"/>
      <c r="E29" s="33"/>
      <c r="F29" s="33"/>
      <c r="G29" s="33"/>
      <c r="H29" s="33"/>
      <c r="I29" s="33"/>
      <c r="J29" s="33"/>
      <c r="K29" s="33"/>
    </row>
    <row r="30" spans="2:25" ht="15" customHeight="1" x14ac:dyDescent="0.45"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2:25" ht="45.75" customHeight="1" x14ac:dyDescent="0.45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2:25" ht="15" customHeight="1" x14ac:dyDescent="0.45"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2:11" ht="45.75" customHeight="1" x14ac:dyDescent="0.45"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2:11" ht="15" customHeight="1" x14ac:dyDescent="0.45"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2:11" ht="45.75" customHeight="1" x14ac:dyDescent="0.45"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2:11" ht="15" customHeight="1" x14ac:dyDescent="0.45"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2:11" ht="45.75" customHeight="1" x14ac:dyDescent="0.45"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2:11" ht="15" customHeight="1" x14ac:dyDescent="0.45"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2:11" ht="45.75" customHeight="1" x14ac:dyDescent="0.45"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2:11" ht="15" customHeight="1" x14ac:dyDescent="0.45"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2:11" ht="45.75" customHeight="1" x14ac:dyDescent="0.45">
      <c r="B41" s="3"/>
      <c r="C41" s="3"/>
      <c r="D41" s="3"/>
      <c r="E41" s="3"/>
      <c r="F41" s="3"/>
      <c r="G41" s="3"/>
      <c r="H41" s="3"/>
      <c r="I41" s="3"/>
      <c r="J41" s="3"/>
      <c r="K41" s="3"/>
    </row>
    <row r="43" spans="2:11" ht="18" customHeight="1" x14ac:dyDescent="0.45">
      <c r="B43" s="32"/>
      <c r="C43" s="33"/>
      <c r="D43" s="33"/>
      <c r="E43" s="33"/>
      <c r="F43" s="33"/>
      <c r="G43" s="33"/>
      <c r="H43" s="33"/>
      <c r="I43" s="33"/>
      <c r="J43" s="33"/>
      <c r="K43" s="33"/>
    </row>
    <row r="44" spans="2:11" ht="109.5" customHeight="1" x14ac:dyDescent="0.45">
      <c r="B44" s="3"/>
      <c r="C44" s="3"/>
      <c r="D44" s="3"/>
      <c r="E44" s="3"/>
      <c r="F44" s="3"/>
      <c r="G44" s="3"/>
      <c r="H44" s="3"/>
      <c r="I44" s="3"/>
      <c r="J44" s="3"/>
      <c r="K44" s="3"/>
    </row>
    <row r="46" spans="2:11" ht="18" customHeight="1" x14ac:dyDescent="0.45">
      <c r="B46" s="32"/>
      <c r="C46" s="33"/>
      <c r="D46" s="33"/>
      <c r="E46" s="33"/>
      <c r="F46" s="33"/>
      <c r="G46" s="33"/>
      <c r="H46" s="33"/>
      <c r="I46" s="33"/>
      <c r="J46" s="33"/>
      <c r="K46" s="33"/>
    </row>
    <row r="119" spans="2:11" ht="18" customHeight="1" x14ac:dyDescent="0.45">
      <c r="B119" s="32"/>
      <c r="C119" s="33"/>
      <c r="D119" s="33"/>
      <c r="E119" s="33"/>
      <c r="F119" s="33"/>
      <c r="G119" s="33"/>
      <c r="H119" s="33"/>
      <c r="I119" s="33"/>
      <c r="J119" s="33"/>
      <c r="K119" s="33"/>
    </row>
    <row r="120" spans="2:11" ht="39" customHeight="1" x14ac:dyDescent="0.45">
      <c r="B120" s="2"/>
      <c r="C120" s="2"/>
      <c r="D120" s="1"/>
      <c r="E120" s="1"/>
      <c r="F120" s="1"/>
      <c r="G120" s="1"/>
      <c r="H120" s="1"/>
      <c r="I120" s="1"/>
      <c r="J120" s="1"/>
      <c r="K120" s="1"/>
    </row>
    <row r="121" spans="2:11" ht="39" customHeight="1" x14ac:dyDescent="0.45">
      <c r="B121" s="2"/>
      <c r="C121" s="2"/>
      <c r="D121" s="1"/>
      <c r="E121" s="1"/>
      <c r="F121" s="1"/>
      <c r="G121" s="1"/>
      <c r="H121" s="1"/>
      <c r="I121" s="1"/>
      <c r="J121" s="1"/>
      <c r="K121" s="1"/>
    </row>
    <row r="122" spans="2:11" ht="30" customHeight="1" x14ac:dyDescent="0.45">
      <c r="B122" s="2"/>
      <c r="C122" s="2"/>
      <c r="D122" s="1"/>
      <c r="E122" s="1"/>
      <c r="F122" s="1"/>
      <c r="G122" s="1"/>
      <c r="H122" s="1"/>
      <c r="I122" s="1"/>
      <c r="J122" s="1"/>
      <c r="K122" s="1"/>
    </row>
    <row r="123" spans="2:11" ht="39" customHeight="1" x14ac:dyDescent="0.45">
      <c r="B123" s="2"/>
      <c r="C123" s="2"/>
      <c r="D123" s="1"/>
      <c r="E123" s="1"/>
      <c r="F123" s="1"/>
      <c r="G123" s="1"/>
      <c r="H123" s="1"/>
      <c r="I123" s="1"/>
      <c r="J123" s="1"/>
      <c r="K123" s="1"/>
    </row>
    <row r="124" spans="2:11" ht="39" customHeight="1" x14ac:dyDescent="0.45">
      <c r="B124" s="2"/>
      <c r="C124" s="2"/>
      <c r="D124" s="1"/>
      <c r="E124" s="1"/>
      <c r="F124" s="1"/>
      <c r="G124" s="1"/>
      <c r="H124" s="1"/>
      <c r="I124" s="1"/>
      <c r="J124" s="1"/>
      <c r="K124" s="1"/>
    </row>
    <row r="125" spans="2:11" ht="51.75" customHeight="1" x14ac:dyDescent="0.45">
      <c r="B125" s="2"/>
      <c r="C125" s="2"/>
      <c r="D125" s="1"/>
      <c r="E125" s="1"/>
      <c r="F125" s="1"/>
      <c r="G125" s="1"/>
      <c r="H125" s="1"/>
      <c r="I125" s="1"/>
      <c r="J125" s="1"/>
      <c r="K125" s="1"/>
    </row>
    <row r="126" spans="2:11" ht="39" customHeight="1" x14ac:dyDescent="0.45">
      <c r="B126" s="2"/>
      <c r="C126" s="2"/>
      <c r="D126" s="1"/>
      <c r="E126" s="1"/>
      <c r="F126" s="1"/>
      <c r="G126" s="1"/>
      <c r="H126" s="1"/>
      <c r="I126" s="1"/>
      <c r="J126" s="1"/>
      <c r="K126" s="1"/>
    </row>
    <row r="127" spans="2:11" ht="30" customHeight="1" x14ac:dyDescent="0.45">
      <c r="B127" s="2"/>
      <c r="C127" s="2"/>
      <c r="D127" s="1"/>
      <c r="E127" s="1"/>
      <c r="F127" s="1"/>
      <c r="G127" s="1"/>
      <c r="H127" s="1"/>
      <c r="I127" s="1"/>
      <c r="J127" s="1"/>
      <c r="K127" s="1"/>
    </row>
    <row r="128" spans="2:11" ht="30" customHeight="1" x14ac:dyDescent="0.45">
      <c r="B128" s="2"/>
      <c r="C128" s="2"/>
      <c r="D128" s="1"/>
      <c r="E128" s="1"/>
      <c r="F128" s="1"/>
      <c r="G128" s="1"/>
      <c r="H128" s="1"/>
      <c r="I128" s="1"/>
      <c r="J128" s="1"/>
      <c r="K128" s="1"/>
    </row>
    <row r="129" spans="2:11" ht="39" customHeight="1" x14ac:dyDescent="0.45">
      <c r="B129" s="2"/>
      <c r="C129" s="2"/>
      <c r="D129" s="1"/>
      <c r="E129" s="1"/>
      <c r="F129" s="1"/>
      <c r="G129" s="1"/>
      <c r="H129" s="1"/>
      <c r="I129" s="1"/>
      <c r="J129" s="1"/>
      <c r="K129" s="1"/>
    </row>
    <row r="130" spans="2:11" ht="30" customHeight="1" x14ac:dyDescent="0.45">
      <c r="B130" s="2"/>
      <c r="C130" s="2"/>
      <c r="D130" s="1"/>
      <c r="E130" s="1"/>
      <c r="F130" s="1"/>
      <c r="G130" s="1"/>
      <c r="H130" s="1"/>
      <c r="I130" s="1"/>
      <c r="J130" s="1"/>
      <c r="K130" s="1"/>
    </row>
    <row r="131" spans="2:11" ht="39" customHeight="1" x14ac:dyDescent="0.45">
      <c r="B131" s="2"/>
      <c r="C131" s="2"/>
      <c r="D131" s="1"/>
      <c r="E131" s="1"/>
      <c r="F131" s="1"/>
      <c r="G131" s="1"/>
      <c r="H131" s="1"/>
      <c r="I131" s="1"/>
      <c r="J131" s="1"/>
      <c r="K131" s="1"/>
    </row>
    <row r="132" spans="2:11" ht="39" customHeight="1" x14ac:dyDescent="0.45">
      <c r="B132" s="2"/>
      <c r="C132" s="2"/>
      <c r="D132" s="1"/>
      <c r="E132" s="1"/>
      <c r="F132" s="1"/>
      <c r="G132" s="1"/>
      <c r="H132" s="1"/>
      <c r="I132" s="1"/>
      <c r="J132" s="1"/>
      <c r="K132" s="1"/>
    </row>
    <row r="133" spans="2:11" ht="30" customHeight="1" x14ac:dyDescent="0.45">
      <c r="B133" s="2"/>
      <c r="C133" s="2"/>
      <c r="D133" s="1"/>
      <c r="E133" s="1"/>
      <c r="F133" s="1"/>
      <c r="G133" s="1"/>
      <c r="H133" s="1"/>
      <c r="I133" s="1"/>
      <c r="J133" s="1"/>
      <c r="K133" s="1"/>
    </row>
  </sheetData>
  <mergeCells count="44">
    <mergeCell ref="B131:C131"/>
    <mergeCell ref="D131:K131"/>
    <mergeCell ref="B132:C132"/>
    <mergeCell ref="D132:K132"/>
    <mergeCell ref="B133:C133"/>
    <mergeCell ref="D133:K133"/>
    <mergeCell ref="B128:C128"/>
    <mergeCell ref="D128:K128"/>
    <mergeCell ref="B129:C129"/>
    <mergeCell ref="D129:K129"/>
    <mergeCell ref="B130:C130"/>
    <mergeCell ref="D130:K130"/>
    <mergeCell ref="B125:C125"/>
    <mergeCell ref="D125:K125"/>
    <mergeCell ref="B126:C126"/>
    <mergeCell ref="D126:K126"/>
    <mergeCell ref="B127:C127"/>
    <mergeCell ref="D127:K127"/>
    <mergeCell ref="B122:C122"/>
    <mergeCell ref="D122:K122"/>
    <mergeCell ref="B123:C123"/>
    <mergeCell ref="D123:K123"/>
    <mergeCell ref="B124:C124"/>
    <mergeCell ref="D124:K124"/>
    <mergeCell ref="B44:K44"/>
    <mergeCell ref="B120:C120"/>
    <mergeCell ref="D120:K120"/>
    <mergeCell ref="B121:C121"/>
    <mergeCell ref="D121:K121"/>
    <mergeCell ref="B37:K37"/>
    <mergeCell ref="B38:K38"/>
    <mergeCell ref="B39:K39"/>
    <mergeCell ref="B40:K40"/>
    <mergeCell ref="B41:K41"/>
    <mergeCell ref="B32:K32"/>
    <mergeCell ref="B33:K33"/>
    <mergeCell ref="B34:K34"/>
    <mergeCell ref="B35:K35"/>
    <mergeCell ref="B36:K36"/>
    <mergeCell ref="B2:K2"/>
    <mergeCell ref="B3:K3"/>
    <mergeCell ref="B14:K14"/>
    <mergeCell ref="B30:K30"/>
    <mergeCell ref="B31:K31"/>
  </mergeCells>
  <printOptions horizontalCentered="1"/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197"/>
  <sheetViews>
    <sheetView showGridLines="0" topLeftCell="A57" zoomScale="55" zoomScaleNormal="55" workbookViewId="0">
      <selection activeCell="AU98" sqref="AU98"/>
    </sheetView>
  </sheetViews>
  <sheetFormatPr defaultColWidth="8.6640625" defaultRowHeight="14.25" x14ac:dyDescent="0.45"/>
  <cols>
    <col min="1" max="1" width="3" customWidth="1"/>
  </cols>
  <sheetData>
    <row r="2" spans="2:14" ht="18.75" customHeight="1" x14ac:dyDescent="0.5">
      <c r="B2" s="44" t="s">
        <v>104</v>
      </c>
    </row>
    <row r="3" spans="2:14" ht="30" customHeight="1" x14ac:dyDescent="0.45">
      <c r="B3" s="6" t="s">
        <v>105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2:14" ht="15.75" customHeight="1" x14ac:dyDescent="0.45">
      <c r="B5" s="32" t="s">
        <v>73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37" spans="2:13" ht="15.75" customHeight="1" x14ac:dyDescent="0.45">
      <c r="B37" s="32" t="s">
        <v>74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</row>
    <row r="69" spans="2:13" ht="15.75" customHeight="1" x14ac:dyDescent="0.45">
      <c r="B69" s="32" t="s">
        <v>75</v>
      </c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</row>
    <row r="101" spans="2:13" ht="15.75" customHeight="1" x14ac:dyDescent="0.45">
      <c r="B101" s="32" t="s">
        <v>76</v>
      </c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</row>
    <row r="133" spans="2:13" ht="15.75" customHeight="1" x14ac:dyDescent="0.45">
      <c r="B133" s="32" t="s">
        <v>77</v>
      </c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</row>
    <row r="165" spans="2:13" ht="15.75" customHeight="1" x14ac:dyDescent="0.45">
      <c r="B165" s="32" t="s">
        <v>78</v>
      </c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</row>
    <row r="197" spans="2:13" ht="15.75" customHeight="1" x14ac:dyDescent="0.45">
      <c r="B197" s="32" t="s">
        <v>79</v>
      </c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</row>
  </sheetData>
  <mergeCells count="1">
    <mergeCell ref="B3:N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39"/>
  <sheetViews>
    <sheetView tabSelected="1" topLeftCell="G1" zoomScaleNormal="100" workbookViewId="0">
      <pane ySplit="1" topLeftCell="A2" activePane="bottomLeft" state="frozen"/>
      <selection activeCell="E1" sqref="E1"/>
      <selection pane="bottomLeft" activeCell="I40" sqref="I40:T44"/>
    </sheetView>
  </sheetViews>
  <sheetFormatPr defaultColWidth="8.6640625" defaultRowHeight="14.25" x14ac:dyDescent="0.45"/>
  <cols>
    <col min="1" max="1" width="10" customWidth="1"/>
    <col min="2" max="2" width="17" customWidth="1"/>
    <col min="3" max="4" width="16" customWidth="1"/>
    <col min="5" max="6" width="15" customWidth="1"/>
    <col min="7" max="8" width="11" customWidth="1"/>
    <col min="10" max="10" width="16.59765625" customWidth="1"/>
    <col min="11" max="11" width="20.265625" customWidth="1"/>
    <col min="12" max="12" width="28.73046875" customWidth="1"/>
    <col min="13" max="13" width="16" customWidth="1"/>
    <col min="14" max="14" width="17" customWidth="1"/>
    <col min="15" max="15" width="19" customWidth="1"/>
    <col min="16" max="17" width="12" customWidth="1"/>
    <col min="18" max="18" width="14" customWidth="1"/>
    <col min="19" max="19" width="17" customWidth="1"/>
    <col min="20" max="20" width="16" customWidth="1"/>
  </cols>
  <sheetData>
    <row r="1" spans="1:19" ht="33.75" customHeight="1" x14ac:dyDescent="0.45">
      <c r="A1" s="20" t="s">
        <v>106</v>
      </c>
      <c r="B1" s="20" t="s">
        <v>107</v>
      </c>
      <c r="C1" s="20" t="s">
        <v>108</v>
      </c>
      <c r="D1" s="20" t="s">
        <v>109</v>
      </c>
      <c r="E1" s="20" t="s">
        <v>110</v>
      </c>
      <c r="F1" s="20" t="s">
        <v>111</v>
      </c>
      <c r="G1" s="20" t="s">
        <v>112</v>
      </c>
      <c r="H1" s="20" t="s">
        <v>113</v>
      </c>
      <c r="J1" s="20" t="s">
        <v>40</v>
      </c>
      <c r="K1" s="20" t="s">
        <v>41</v>
      </c>
      <c r="L1" s="20" t="s">
        <v>42</v>
      </c>
      <c r="M1" s="20" t="s">
        <v>100</v>
      </c>
      <c r="N1" s="20" t="s">
        <v>101</v>
      </c>
      <c r="O1" s="20" t="s">
        <v>114</v>
      </c>
      <c r="P1" s="20" t="s">
        <v>115</v>
      </c>
      <c r="Q1" s="20" t="s">
        <v>116</v>
      </c>
      <c r="R1" s="20" t="s">
        <v>102</v>
      </c>
      <c r="S1" s="20" t="s">
        <v>103</v>
      </c>
    </row>
    <row r="2" spans="1:19" ht="14.25" customHeight="1" x14ac:dyDescent="0.45">
      <c r="A2" s="67">
        <v>1098985</v>
      </c>
      <c r="B2" s="68" t="s">
        <v>93</v>
      </c>
      <c r="C2">
        <v>19.0825</v>
      </c>
      <c r="D2">
        <v>0.67610000000000003</v>
      </c>
      <c r="E2">
        <v>22.837700000000002</v>
      </c>
      <c r="F2">
        <v>0.79530000000000001</v>
      </c>
      <c r="G2">
        <v>21.459700000000002</v>
      </c>
      <c r="H2">
        <v>1.5</v>
      </c>
      <c r="J2" s="69">
        <f t="shared" ref="J2:J20" si="0">IFERROR(SQRT((F2-H2)^2+(E2-G2)^2),"")</f>
        <v>1.547735794636798</v>
      </c>
      <c r="K2" s="69">
        <f t="shared" ref="K2:K20" si="1">IFERROR(SQRT((D2-H2)^2+(C2-G2)^2),"")</f>
        <v>2.5159274731200041</v>
      </c>
      <c r="L2">
        <f t="shared" ref="L2:L20" si="2">IFERROR(SQRT((D2-F2)^2+(C2-E2)^2),"")</f>
        <v>3.7570913856333088</v>
      </c>
      <c r="M2" s="49">
        <f t="shared" ref="M2:M20" si="3">IF(AND(AND(ISNUMBER(E2),ISNUMBER(F2)),ISNUMBER(L2),L2&gt;0),K2/L2,"")</f>
        <v>0.66964766487731053</v>
      </c>
      <c r="N2" s="48">
        <f t="shared" ref="N2:N20" si="4">IF(AND(AND(ISNUMBER(E2),ISNUMBER(F2)),ISNUMBER(L2),L2&gt;0),(L2-K2)/L2,"")</f>
        <v>0.33035233512268952</v>
      </c>
      <c r="O2" s="49">
        <f t="shared" ref="O2:O20" si="5">IFERROR(IF(AND(AND(ISNUMBER(E2),ISNUMBER(F2)),SQRT((G2-E2)^2+(H2-F2)^2)&gt;0,SQRT((C2-E2)^2+(D2-F2)^2)&gt;0),((G2-E2)*(C2-E2)+(H2-F2)*(D2-F2))/(SQRT((G2-E2)^2+(H2-F2)^2)*SQRT((C2-E2)^2+(D2-F2)^2)),""),"")</f>
        <v>0.87543914841921966</v>
      </c>
      <c r="P2" s="49">
        <f t="shared" ref="P2:P20" si="6">IF(AND(ISNUMBER(G2),ISNUMBER(C2)),G2-C2,"")</f>
        <v>2.377200000000002</v>
      </c>
      <c r="Q2" s="49">
        <f t="shared" ref="Q2:Q20" si="7">IF(AND(ISNUMBER(H2),ISNUMBER(D2)),H2-D2,"")</f>
        <v>0.82389999999999997</v>
      </c>
      <c r="R2" s="46">
        <f t="shared" ref="R2:R20" si="8">IF(M2="","",IF(M2&lt;1,1,0))</f>
        <v>1</v>
      </c>
      <c r="S2" s="49">
        <f t="shared" ref="S2:S20" si="9">IF(AND(ISNUMBER(J2),ISNUMBER(L2),L2&gt;0),J2/L2,"")</f>
        <v>0.41195053188090236</v>
      </c>
    </row>
    <row r="3" spans="1:19" ht="14.25" customHeight="1" x14ac:dyDescent="0.45">
      <c r="A3" s="67">
        <v>1098986</v>
      </c>
      <c r="B3" s="68" t="s">
        <v>93</v>
      </c>
      <c r="C3">
        <v>30.977499999999999</v>
      </c>
      <c r="D3">
        <v>5.7461000000000002</v>
      </c>
      <c r="E3">
        <v>30.977499999999999</v>
      </c>
      <c r="F3">
        <v>4.0629999999999997</v>
      </c>
      <c r="G3">
        <v>30.977499999999999</v>
      </c>
      <c r="H3">
        <v>3.5</v>
      </c>
      <c r="J3" s="69">
        <f t="shared" si="0"/>
        <v>0.56299999999999972</v>
      </c>
      <c r="K3" s="69">
        <f t="shared" si="1"/>
        <v>2.2461000000000002</v>
      </c>
      <c r="L3">
        <f t="shared" si="2"/>
        <v>1.6831000000000005</v>
      </c>
      <c r="M3" s="49">
        <f t="shared" si="3"/>
        <v>1.3345018121323746</v>
      </c>
      <c r="N3" s="48">
        <f t="shared" si="4"/>
        <v>-0.33450181213237451</v>
      </c>
      <c r="O3" s="49">
        <f t="shared" si="5"/>
        <v>-1</v>
      </c>
      <c r="P3" s="49">
        <f t="shared" si="6"/>
        <v>0</v>
      </c>
      <c r="Q3" s="49">
        <f t="shared" si="7"/>
        <v>-2.2461000000000002</v>
      </c>
      <c r="R3" s="46">
        <f t="shared" si="8"/>
        <v>0</v>
      </c>
      <c r="S3" s="49">
        <f t="shared" si="9"/>
        <v>0.33450181213237451</v>
      </c>
    </row>
    <row r="4" spans="1:19" ht="14.25" customHeight="1" x14ac:dyDescent="0.45">
      <c r="A4" s="67">
        <v>1098987</v>
      </c>
      <c r="B4" s="68" t="s">
        <v>93</v>
      </c>
      <c r="C4">
        <v>31.398199999999999</v>
      </c>
      <c r="D4">
        <v>-1.2924</v>
      </c>
      <c r="E4">
        <v>30.977499999999999</v>
      </c>
      <c r="F4">
        <v>-2.4413999999999998</v>
      </c>
      <c r="G4">
        <v>30.977499999999999</v>
      </c>
      <c r="H4">
        <v>-4.5</v>
      </c>
      <c r="J4" s="69">
        <f t="shared" si="0"/>
        <v>2.0586000000000002</v>
      </c>
      <c r="K4" s="69">
        <f t="shared" si="1"/>
        <v>3.2350712897863629</v>
      </c>
      <c r="L4">
        <f t="shared" si="2"/>
        <v>1.2235969475280655</v>
      </c>
      <c r="M4" s="49">
        <f t="shared" si="3"/>
        <v>2.6439027134890436</v>
      </c>
      <c r="N4" s="48">
        <f t="shared" si="4"/>
        <v>-1.6439027134890434</v>
      </c>
      <c r="O4" s="49">
        <f t="shared" si="5"/>
        <v>-0.93903470609438189</v>
      </c>
      <c r="P4" s="49">
        <f t="shared" si="6"/>
        <v>-0.42070000000000007</v>
      </c>
      <c r="Q4" s="49">
        <f t="shared" si="7"/>
        <v>-3.2076000000000002</v>
      </c>
      <c r="R4" s="46">
        <f t="shared" si="8"/>
        <v>0</v>
      </c>
      <c r="S4" s="49">
        <f t="shared" si="9"/>
        <v>1.6824167501878984</v>
      </c>
    </row>
    <row r="5" spans="1:19" ht="14.25" customHeight="1" x14ac:dyDescent="0.45">
      <c r="A5" s="67">
        <v>1098988</v>
      </c>
      <c r="B5" s="68" t="s">
        <v>93</v>
      </c>
      <c r="C5">
        <v>25.662500000000001</v>
      </c>
      <c r="D5">
        <v>-53.181399999999996</v>
      </c>
      <c r="E5">
        <v>25.662500000000001</v>
      </c>
      <c r="F5">
        <v>-51.225000000000001</v>
      </c>
      <c r="G5">
        <v>25.662500000000001</v>
      </c>
      <c r="H5">
        <v>-52</v>
      </c>
      <c r="J5" s="69">
        <f t="shared" si="0"/>
        <v>0.77499999999999858</v>
      </c>
      <c r="K5" s="69">
        <f t="shared" si="1"/>
        <v>1.1813999999999965</v>
      </c>
      <c r="L5">
        <f t="shared" si="2"/>
        <v>1.956399999999995</v>
      </c>
      <c r="M5" s="49">
        <f t="shared" si="3"/>
        <v>0.60386424044162723</v>
      </c>
      <c r="N5" s="48">
        <f t="shared" si="4"/>
        <v>0.39613575955837282</v>
      </c>
      <c r="O5" s="49">
        <f t="shared" si="5"/>
        <v>1</v>
      </c>
      <c r="P5" s="49">
        <f t="shared" si="6"/>
        <v>0</v>
      </c>
      <c r="Q5" s="49">
        <f t="shared" si="7"/>
        <v>1.1813999999999965</v>
      </c>
      <c r="R5" s="46">
        <f t="shared" si="8"/>
        <v>1</v>
      </c>
      <c r="S5" s="49">
        <f t="shared" si="9"/>
        <v>0.39613575955837282</v>
      </c>
    </row>
    <row r="6" spans="1:19" ht="14.25" customHeight="1" x14ac:dyDescent="0.45">
      <c r="A6" s="67">
        <v>1098989</v>
      </c>
      <c r="B6" s="68" t="s">
        <v>93</v>
      </c>
      <c r="C6">
        <v>40.360700000000001</v>
      </c>
      <c r="D6">
        <v>-53.181399999999996</v>
      </c>
      <c r="E6">
        <v>40.360700000000001</v>
      </c>
      <c r="F6">
        <v>-51.225000000000001</v>
      </c>
      <c r="G6">
        <v>40.360700000000001</v>
      </c>
      <c r="H6">
        <v>-52</v>
      </c>
      <c r="J6" s="69">
        <f t="shared" si="0"/>
        <v>0.77499999999999858</v>
      </c>
      <c r="K6" s="69">
        <f t="shared" si="1"/>
        <v>1.1813999999999965</v>
      </c>
      <c r="L6">
        <f t="shared" si="2"/>
        <v>1.956399999999995</v>
      </c>
      <c r="M6" s="49">
        <f t="shared" si="3"/>
        <v>0.60386424044162723</v>
      </c>
      <c r="N6" s="48">
        <f t="shared" si="4"/>
        <v>0.39613575955837282</v>
      </c>
      <c r="O6" s="49">
        <f t="shared" si="5"/>
        <v>1</v>
      </c>
      <c r="P6" s="49">
        <f t="shared" si="6"/>
        <v>0</v>
      </c>
      <c r="Q6" s="49">
        <f t="shared" si="7"/>
        <v>1.1813999999999965</v>
      </c>
      <c r="R6" s="46">
        <f t="shared" si="8"/>
        <v>1</v>
      </c>
      <c r="S6" s="49">
        <f t="shared" si="9"/>
        <v>0.39613575955837282</v>
      </c>
    </row>
    <row r="7" spans="1:19" ht="14.25" customHeight="1" x14ac:dyDescent="0.45">
      <c r="A7" s="70">
        <v>1098990</v>
      </c>
      <c r="B7" s="71" t="s">
        <v>55</v>
      </c>
      <c r="C7">
        <v>20.201699999999999</v>
      </c>
      <c r="D7">
        <v>-22.807099999999998</v>
      </c>
      <c r="E7">
        <v>22.837700000000002</v>
      </c>
      <c r="F7">
        <v>-22.807099999999998</v>
      </c>
      <c r="G7">
        <v>20.5</v>
      </c>
      <c r="H7">
        <v>-22.807099999999998</v>
      </c>
      <c r="J7" s="69">
        <f t="shared" si="0"/>
        <v>2.3377000000000017</v>
      </c>
      <c r="K7" s="69">
        <f t="shared" si="1"/>
        <v>0.29830000000000112</v>
      </c>
      <c r="L7">
        <f t="shared" si="2"/>
        <v>2.6360000000000028</v>
      </c>
      <c r="M7" s="49">
        <f t="shared" si="3"/>
        <v>0.11316388467374841</v>
      </c>
      <c r="N7" s="48">
        <f t="shared" si="4"/>
        <v>0.88683611532625162</v>
      </c>
      <c r="O7" s="49">
        <f t="shared" si="5"/>
        <v>1</v>
      </c>
      <c r="P7" s="49">
        <f t="shared" si="6"/>
        <v>0.29830000000000112</v>
      </c>
      <c r="Q7" s="49">
        <f t="shared" si="7"/>
        <v>0</v>
      </c>
      <c r="R7" s="46">
        <f t="shared" si="8"/>
        <v>1</v>
      </c>
      <c r="S7" s="49">
        <f t="shared" si="9"/>
        <v>0.88683611532625162</v>
      </c>
    </row>
    <row r="8" spans="1:19" ht="14.25" customHeight="1" x14ac:dyDescent="0.45">
      <c r="A8" s="70">
        <v>1098991</v>
      </c>
      <c r="B8" s="71" t="s">
        <v>55</v>
      </c>
      <c r="C8">
        <v>20.201699999999999</v>
      </c>
      <c r="D8">
        <v>-27.728300000000001</v>
      </c>
      <c r="E8">
        <v>22.837700000000002</v>
      </c>
      <c r="F8">
        <v>-27.728300000000001</v>
      </c>
      <c r="G8">
        <v>20.5</v>
      </c>
      <c r="H8">
        <v>-27.728300000000001</v>
      </c>
      <c r="J8" s="69">
        <f t="shared" si="0"/>
        <v>2.3377000000000017</v>
      </c>
      <c r="K8" s="69">
        <f t="shared" si="1"/>
        <v>0.29830000000000112</v>
      </c>
      <c r="L8">
        <f t="shared" si="2"/>
        <v>2.6360000000000028</v>
      </c>
      <c r="M8" s="49">
        <f t="shared" si="3"/>
        <v>0.11316388467374841</v>
      </c>
      <c r="N8" s="48">
        <f t="shared" si="4"/>
        <v>0.88683611532625162</v>
      </c>
      <c r="O8" s="49">
        <f t="shared" si="5"/>
        <v>1</v>
      </c>
      <c r="P8" s="49">
        <f t="shared" si="6"/>
        <v>0.29830000000000112</v>
      </c>
      <c r="Q8" s="49">
        <f t="shared" si="7"/>
        <v>0</v>
      </c>
      <c r="R8" s="46">
        <f t="shared" si="8"/>
        <v>1</v>
      </c>
      <c r="S8" s="49">
        <f t="shared" si="9"/>
        <v>0.88683611532625162</v>
      </c>
    </row>
    <row r="9" spans="1:19" ht="14.25" customHeight="1" x14ac:dyDescent="0.45">
      <c r="A9" s="70">
        <v>1098992</v>
      </c>
      <c r="B9" s="71" t="s">
        <v>55</v>
      </c>
      <c r="C9">
        <v>20.201699999999999</v>
      </c>
      <c r="D9">
        <v>-32.6496</v>
      </c>
      <c r="E9">
        <v>22.837700000000002</v>
      </c>
      <c r="F9">
        <v>-32.6496</v>
      </c>
      <c r="G9">
        <v>20.5</v>
      </c>
      <c r="H9">
        <v>-32.6496</v>
      </c>
      <c r="J9" s="69">
        <f t="shared" si="0"/>
        <v>2.3377000000000017</v>
      </c>
      <c r="K9" s="69">
        <f t="shared" si="1"/>
        <v>0.29830000000000112</v>
      </c>
      <c r="L9">
        <f t="shared" si="2"/>
        <v>2.6360000000000028</v>
      </c>
      <c r="M9" s="49">
        <f t="shared" si="3"/>
        <v>0.11316388467374841</v>
      </c>
      <c r="N9" s="48">
        <f t="shared" si="4"/>
        <v>0.88683611532625162</v>
      </c>
      <c r="O9" s="49">
        <f t="shared" si="5"/>
        <v>1</v>
      </c>
      <c r="P9" s="49">
        <f t="shared" si="6"/>
        <v>0.29830000000000112</v>
      </c>
      <c r="Q9" s="49">
        <f t="shared" si="7"/>
        <v>0</v>
      </c>
      <c r="R9" s="46">
        <f t="shared" si="8"/>
        <v>1</v>
      </c>
      <c r="S9" s="49">
        <f t="shared" si="9"/>
        <v>0.88683611532625162</v>
      </c>
    </row>
    <row r="10" spans="1:19" ht="14.25" customHeight="1" x14ac:dyDescent="0.45">
      <c r="A10" s="70">
        <v>1098993</v>
      </c>
      <c r="B10" s="71" t="s">
        <v>55</v>
      </c>
      <c r="C10">
        <v>20.201699999999999</v>
      </c>
      <c r="D10">
        <v>-37.570799999999998</v>
      </c>
      <c r="E10">
        <v>22.837700000000002</v>
      </c>
      <c r="F10">
        <v>-37.570799999999998</v>
      </c>
      <c r="G10">
        <v>20.5</v>
      </c>
      <c r="H10">
        <v>-37.570799999999998</v>
      </c>
      <c r="J10" s="69">
        <f t="shared" si="0"/>
        <v>2.3377000000000017</v>
      </c>
      <c r="K10" s="69">
        <f t="shared" si="1"/>
        <v>0.29830000000000112</v>
      </c>
      <c r="L10">
        <f t="shared" si="2"/>
        <v>2.6360000000000028</v>
      </c>
      <c r="M10" s="49">
        <f t="shared" si="3"/>
        <v>0.11316388467374841</v>
      </c>
      <c r="N10" s="48">
        <f t="shared" si="4"/>
        <v>0.88683611532625162</v>
      </c>
      <c r="O10" s="49">
        <f t="shared" si="5"/>
        <v>1</v>
      </c>
      <c r="P10" s="49">
        <f t="shared" si="6"/>
        <v>0.29830000000000112</v>
      </c>
      <c r="Q10" s="49">
        <f t="shared" si="7"/>
        <v>0</v>
      </c>
      <c r="R10" s="46">
        <f t="shared" si="8"/>
        <v>1</v>
      </c>
      <c r="S10" s="49">
        <f t="shared" si="9"/>
        <v>0.88683611532625162</v>
      </c>
    </row>
    <row r="11" spans="1:19" ht="14.25" customHeight="1" x14ac:dyDescent="0.45">
      <c r="A11" s="70">
        <v>1098994</v>
      </c>
      <c r="B11" s="71" t="s">
        <v>55</v>
      </c>
      <c r="C11">
        <v>45.795400000000001</v>
      </c>
      <c r="D11">
        <v>-22.807099999999998</v>
      </c>
      <c r="E11">
        <v>43.185499999999998</v>
      </c>
      <c r="F11">
        <v>-22.807099999999998</v>
      </c>
      <c r="G11">
        <v>45.5</v>
      </c>
      <c r="H11">
        <v>-22.807099999999998</v>
      </c>
      <c r="J11" s="69">
        <f t="shared" si="0"/>
        <v>2.3145000000000024</v>
      </c>
      <c r="K11" s="69">
        <f t="shared" si="1"/>
        <v>0.29540000000000077</v>
      </c>
      <c r="L11">
        <f t="shared" si="2"/>
        <v>2.6099000000000032</v>
      </c>
      <c r="M11" s="49">
        <f t="shared" si="3"/>
        <v>0.11318441319590805</v>
      </c>
      <c r="N11" s="48">
        <f t="shared" si="4"/>
        <v>0.886815586804092</v>
      </c>
      <c r="O11" s="49">
        <f t="shared" si="5"/>
        <v>1</v>
      </c>
      <c r="P11" s="49">
        <f t="shared" si="6"/>
        <v>-0.29540000000000077</v>
      </c>
      <c r="Q11" s="49">
        <f t="shared" si="7"/>
        <v>0</v>
      </c>
      <c r="R11" s="46">
        <f t="shared" si="8"/>
        <v>1</v>
      </c>
      <c r="S11" s="49">
        <f t="shared" si="9"/>
        <v>0.886815586804092</v>
      </c>
    </row>
    <row r="12" spans="1:19" ht="14.25" customHeight="1" x14ac:dyDescent="0.45">
      <c r="A12" s="70">
        <v>1098995</v>
      </c>
      <c r="B12" s="71" t="s">
        <v>55</v>
      </c>
      <c r="C12">
        <v>45.795400000000001</v>
      </c>
      <c r="D12">
        <v>-27.728300000000001</v>
      </c>
      <c r="E12">
        <v>43.185499999999998</v>
      </c>
      <c r="F12">
        <v>-27.728300000000001</v>
      </c>
      <c r="G12">
        <v>45.5</v>
      </c>
      <c r="H12">
        <v>-27.728300000000001</v>
      </c>
      <c r="J12" s="69">
        <f t="shared" si="0"/>
        <v>2.3145000000000024</v>
      </c>
      <c r="K12" s="69">
        <f t="shared" si="1"/>
        <v>0.29540000000000077</v>
      </c>
      <c r="L12">
        <f t="shared" si="2"/>
        <v>2.6099000000000032</v>
      </c>
      <c r="M12" s="49">
        <f t="shared" si="3"/>
        <v>0.11318441319590805</v>
      </c>
      <c r="N12" s="48">
        <f t="shared" si="4"/>
        <v>0.886815586804092</v>
      </c>
      <c r="O12" s="49">
        <f t="shared" si="5"/>
        <v>1</v>
      </c>
      <c r="P12" s="49">
        <f t="shared" si="6"/>
        <v>-0.29540000000000077</v>
      </c>
      <c r="Q12" s="49">
        <f t="shared" si="7"/>
        <v>0</v>
      </c>
      <c r="R12" s="46">
        <f t="shared" si="8"/>
        <v>1</v>
      </c>
      <c r="S12" s="49">
        <f t="shared" si="9"/>
        <v>0.886815586804092</v>
      </c>
    </row>
    <row r="13" spans="1:19" ht="14.25" customHeight="1" x14ac:dyDescent="0.45">
      <c r="A13" s="70">
        <v>1098996</v>
      </c>
      <c r="B13" s="71" t="s">
        <v>55</v>
      </c>
      <c r="C13">
        <v>45.795400000000001</v>
      </c>
      <c r="D13">
        <v>-32.6496</v>
      </c>
      <c r="E13">
        <v>43.185499999999998</v>
      </c>
      <c r="F13">
        <v>-32.6496</v>
      </c>
      <c r="G13">
        <v>45.5</v>
      </c>
      <c r="H13">
        <v>-32.6496</v>
      </c>
      <c r="J13" s="69">
        <f t="shared" si="0"/>
        <v>2.3145000000000024</v>
      </c>
      <c r="K13" s="69">
        <f t="shared" si="1"/>
        <v>0.29540000000000077</v>
      </c>
      <c r="L13">
        <f t="shared" si="2"/>
        <v>2.6099000000000032</v>
      </c>
      <c r="M13" s="49">
        <f t="shared" si="3"/>
        <v>0.11318441319590805</v>
      </c>
      <c r="N13" s="48">
        <f t="shared" si="4"/>
        <v>0.886815586804092</v>
      </c>
      <c r="O13" s="49">
        <f t="shared" si="5"/>
        <v>1</v>
      </c>
      <c r="P13" s="49">
        <f t="shared" si="6"/>
        <v>-0.29540000000000077</v>
      </c>
      <c r="Q13" s="49">
        <f t="shared" si="7"/>
        <v>0</v>
      </c>
      <c r="R13" s="46">
        <f t="shared" si="8"/>
        <v>1</v>
      </c>
      <c r="S13" s="49">
        <f t="shared" si="9"/>
        <v>0.886815586804092</v>
      </c>
    </row>
    <row r="14" spans="1:19" ht="14.25" customHeight="1" x14ac:dyDescent="0.45">
      <c r="A14" s="70">
        <v>1098997</v>
      </c>
      <c r="B14" s="71" t="s">
        <v>55</v>
      </c>
      <c r="C14">
        <v>45.795400000000001</v>
      </c>
      <c r="D14">
        <v>-37.570799999999998</v>
      </c>
      <c r="E14">
        <v>43.185499999999998</v>
      </c>
      <c r="F14">
        <v>-37.570799999999998</v>
      </c>
      <c r="G14">
        <v>45.5</v>
      </c>
      <c r="H14">
        <v>-37.570799999999998</v>
      </c>
      <c r="J14" s="69">
        <f t="shared" si="0"/>
        <v>2.3145000000000024</v>
      </c>
      <c r="K14" s="69">
        <f t="shared" si="1"/>
        <v>0.29540000000000077</v>
      </c>
      <c r="L14">
        <f t="shared" si="2"/>
        <v>2.6099000000000032</v>
      </c>
      <c r="M14" s="49">
        <f t="shared" si="3"/>
        <v>0.11318441319590805</v>
      </c>
      <c r="N14" s="48">
        <f t="shared" si="4"/>
        <v>0.886815586804092</v>
      </c>
      <c r="O14" s="49">
        <f t="shared" si="5"/>
        <v>1</v>
      </c>
      <c r="P14" s="49">
        <f t="shared" si="6"/>
        <v>-0.29540000000000077</v>
      </c>
      <c r="Q14" s="49">
        <f t="shared" si="7"/>
        <v>0</v>
      </c>
      <c r="R14" s="46">
        <f t="shared" si="8"/>
        <v>1</v>
      </c>
      <c r="S14" s="49">
        <f t="shared" si="9"/>
        <v>0.886815586804092</v>
      </c>
    </row>
    <row r="15" spans="1:19" ht="14.25" customHeight="1" x14ac:dyDescent="0.45">
      <c r="A15">
        <v>1098969</v>
      </c>
      <c r="B15" t="s">
        <v>50</v>
      </c>
      <c r="C15">
        <v>30.196000000000002</v>
      </c>
      <c r="D15">
        <v>-10.115399999999999</v>
      </c>
      <c r="E15">
        <v>28.933700000000002</v>
      </c>
      <c r="F15">
        <v>-7.0499000000000001</v>
      </c>
      <c r="G15">
        <v>28.914000000000001</v>
      </c>
      <c r="H15">
        <v>-6.7298</v>
      </c>
      <c r="J15" s="69">
        <f t="shared" si="0"/>
        <v>0.32070562826367743</v>
      </c>
      <c r="K15" s="69">
        <f t="shared" si="1"/>
        <v>3.6201949339780026</v>
      </c>
      <c r="L15">
        <f t="shared" si="2"/>
        <v>3.3152211902073736</v>
      </c>
      <c r="M15" s="49">
        <f t="shared" si="3"/>
        <v>1.0919919746747131</v>
      </c>
      <c r="N15" s="48">
        <f t="shared" si="4"/>
        <v>-9.1991974674713123E-2</v>
      </c>
      <c r="O15" s="49">
        <f t="shared" si="5"/>
        <v>-0.94631706853957442</v>
      </c>
      <c r="P15" s="49">
        <f t="shared" si="6"/>
        <v>-1.282</v>
      </c>
      <c r="Q15" s="49">
        <f t="shared" si="7"/>
        <v>3.3855999999999993</v>
      </c>
      <c r="R15" s="46">
        <f t="shared" si="8"/>
        <v>0</v>
      </c>
      <c r="S15" s="49">
        <f t="shared" si="9"/>
        <v>9.6737324559516544E-2</v>
      </c>
    </row>
    <row r="16" spans="1:19" ht="14.25" customHeight="1" x14ac:dyDescent="0.45">
      <c r="A16">
        <v>1098970</v>
      </c>
      <c r="B16" t="s">
        <v>50</v>
      </c>
      <c r="C16">
        <v>29.783000000000001</v>
      </c>
      <c r="D16">
        <v>-1.9375</v>
      </c>
      <c r="E16">
        <v>29.9421</v>
      </c>
      <c r="F16">
        <v>0.94779999999999998</v>
      </c>
      <c r="G16">
        <v>29.976199999999999</v>
      </c>
      <c r="H16">
        <v>0.78049999999999997</v>
      </c>
      <c r="J16" s="69">
        <f t="shared" si="0"/>
        <v>0.17073986060671337</v>
      </c>
      <c r="K16" s="69">
        <f t="shared" si="1"/>
        <v>2.7248578384935973</v>
      </c>
      <c r="L16">
        <f t="shared" si="2"/>
        <v>2.8896831833265044</v>
      </c>
      <c r="M16" s="49">
        <f t="shared" si="3"/>
        <v>0.94296075577282978</v>
      </c>
      <c r="N16" s="48">
        <f t="shared" si="4"/>
        <v>5.7039244227170195E-2</v>
      </c>
      <c r="O16" s="49">
        <f t="shared" si="5"/>
        <v>0.96737080949534893</v>
      </c>
      <c r="P16" s="49">
        <f t="shared" si="6"/>
        <v>0.19319999999999737</v>
      </c>
      <c r="Q16" s="49">
        <f t="shared" si="7"/>
        <v>2.718</v>
      </c>
      <c r="R16" s="46">
        <f t="shared" si="8"/>
        <v>1</v>
      </c>
      <c r="S16" s="49">
        <f t="shared" si="9"/>
        <v>5.9086013855042571E-2</v>
      </c>
    </row>
    <row r="17" spans="1:19" ht="14.25" customHeight="1" x14ac:dyDescent="0.45">
      <c r="A17">
        <v>1098971</v>
      </c>
      <c r="B17" t="s">
        <v>50</v>
      </c>
      <c r="C17">
        <v>1.9746999999999999</v>
      </c>
      <c r="D17">
        <v>4.1879</v>
      </c>
      <c r="E17">
        <v>4.2000000000000003E-2</v>
      </c>
      <c r="F17">
        <v>0.752</v>
      </c>
      <c r="G17">
        <v>10.707800000000001</v>
      </c>
      <c r="H17">
        <v>-0.49569999999999997</v>
      </c>
      <c r="J17" s="69">
        <f t="shared" si="0"/>
        <v>10.738530855289286</v>
      </c>
      <c r="K17" s="69">
        <f t="shared" si="1"/>
        <v>9.909749975150735</v>
      </c>
      <c r="L17">
        <f t="shared" si="2"/>
        <v>3.9421742858478495</v>
      </c>
      <c r="M17" s="49">
        <f t="shared" si="3"/>
        <v>2.5137777420765226</v>
      </c>
      <c r="N17" s="48">
        <f t="shared" si="4"/>
        <v>-1.5137777420765224</v>
      </c>
      <c r="O17" s="49">
        <f t="shared" si="5"/>
        <v>0.3856744724641844</v>
      </c>
      <c r="P17" s="49">
        <f t="shared" si="6"/>
        <v>8.7331000000000003</v>
      </c>
      <c r="Q17" s="49">
        <f t="shared" si="7"/>
        <v>-4.6836000000000002</v>
      </c>
      <c r="R17" s="46">
        <f t="shared" si="8"/>
        <v>0</v>
      </c>
      <c r="S17" s="49">
        <f t="shared" si="9"/>
        <v>2.7240122015507828</v>
      </c>
    </row>
    <row r="18" spans="1:19" ht="14.25" customHeight="1" x14ac:dyDescent="0.45">
      <c r="A18">
        <v>1098972</v>
      </c>
      <c r="B18" t="s">
        <v>50</v>
      </c>
      <c r="C18">
        <v>36.0289</v>
      </c>
      <c r="D18">
        <v>2.1724999999999999</v>
      </c>
      <c r="E18">
        <v>36.7502</v>
      </c>
      <c r="F18">
        <v>0.85009999999999997</v>
      </c>
      <c r="G18">
        <v>37.927100000000003</v>
      </c>
      <c r="H18">
        <v>4.4776999999999996</v>
      </c>
      <c r="J18" s="69">
        <f t="shared" si="0"/>
        <v>3.8137350943661525</v>
      </c>
      <c r="K18" s="69">
        <f t="shared" si="1"/>
        <v>2.9861530905162934</v>
      </c>
      <c r="L18">
        <f t="shared" si="2"/>
        <v>1.5063251475030215</v>
      </c>
      <c r="M18" s="49">
        <f t="shared" si="3"/>
        <v>1.9824093725490324</v>
      </c>
      <c r="N18" s="48">
        <f t="shared" si="4"/>
        <v>-0.98240937254903238</v>
      </c>
      <c r="O18" s="49">
        <f t="shared" si="5"/>
        <v>0.68728097794206078</v>
      </c>
      <c r="P18" s="49">
        <f t="shared" si="6"/>
        <v>1.8982000000000028</v>
      </c>
      <c r="Q18" s="49">
        <f t="shared" si="7"/>
        <v>2.3051999999999997</v>
      </c>
      <c r="R18" s="46">
        <f t="shared" si="8"/>
        <v>0</v>
      </c>
      <c r="S18" s="49">
        <f t="shared" si="9"/>
        <v>2.5318139982513324</v>
      </c>
    </row>
    <row r="19" spans="1:19" ht="14.25" customHeight="1" x14ac:dyDescent="0.45">
      <c r="A19">
        <v>1098973</v>
      </c>
      <c r="B19" t="s">
        <v>50</v>
      </c>
      <c r="C19">
        <v>32.976999999999997</v>
      </c>
      <c r="D19">
        <v>-25.8245</v>
      </c>
      <c r="E19">
        <v>32.976999999999997</v>
      </c>
      <c r="F19">
        <v>-34.085599999999999</v>
      </c>
      <c r="G19">
        <v>33.011600000000001</v>
      </c>
      <c r="H19">
        <v>-31.263500000000001</v>
      </c>
      <c r="J19" s="69">
        <f t="shared" si="0"/>
        <v>2.822312096491101</v>
      </c>
      <c r="K19" s="69">
        <f t="shared" si="1"/>
        <v>5.4391100522052316</v>
      </c>
      <c r="L19">
        <f t="shared" si="2"/>
        <v>8.261099999999999</v>
      </c>
      <c r="M19" s="49">
        <f t="shared" si="3"/>
        <v>0.65840021936609316</v>
      </c>
      <c r="N19" s="48">
        <f t="shared" si="4"/>
        <v>0.34159978063390684</v>
      </c>
      <c r="O19" s="49">
        <f t="shared" si="5"/>
        <v>0.99992485009316812</v>
      </c>
      <c r="P19" s="49">
        <f t="shared" si="6"/>
        <v>3.4600000000004627E-2</v>
      </c>
      <c r="Q19" s="49">
        <f t="shared" si="7"/>
        <v>-5.4390000000000001</v>
      </c>
      <c r="R19" s="46">
        <f t="shared" si="8"/>
        <v>1</v>
      </c>
      <c r="S19" s="49">
        <f t="shared" si="9"/>
        <v>0.34163877649357849</v>
      </c>
    </row>
    <row r="20" spans="1:19" ht="14.25" customHeight="1" x14ac:dyDescent="0.45">
      <c r="A20">
        <v>1098974</v>
      </c>
      <c r="B20" t="s">
        <v>50</v>
      </c>
      <c r="C20">
        <v>25.375</v>
      </c>
      <c r="D20">
        <v>-1.9375</v>
      </c>
      <c r="E20">
        <v>25.529900000000001</v>
      </c>
      <c r="F20">
        <v>1.3642000000000001</v>
      </c>
      <c r="G20">
        <v>25.048200000000001</v>
      </c>
      <c r="H20">
        <v>0.78049999999999997</v>
      </c>
      <c r="J20" s="69">
        <f t="shared" si="0"/>
        <v>0.75679626056158611</v>
      </c>
      <c r="K20" s="69">
        <f t="shared" si="1"/>
        <v>2.7375759788542853</v>
      </c>
      <c r="L20">
        <f t="shared" si="2"/>
        <v>3.3053315869969842</v>
      </c>
      <c r="M20" s="49">
        <f t="shared" si="3"/>
        <v>0.82823036261286997</v>
      </c>
      <c r="N20" s="48">
        <f t="shared" si="4"/>
        <v>0.17176963738713</v>
      </c>
      <c r="O20" s="49">
        <f t="shared" si="5"/>
        <v>0.8002588693668925</v>
      </c>
      <c r="P20" s="49">
        <f t="shared" si="6"/>
        <v>-0.32679999999999865</v>
      </c>
      <c r="Q20" s="49">
        <f t="shared" si="7"/>
        <v>2.718</v>
      </c>
      <c r="R20" s="46">
        <f t="shared" si="8"/>
        <v>1</v>
      </c>
      <c r="S20" s="49">
        <f t="shared" si="9"/>
        <v>0.22896228128481461</v>
      </c>
    </row>
    <row r="21" spans="1:19" ht="14.25" customHeight="1" x14ac:dyDescent="0.45">
      <c r="J21" s="69"/>
      <c r="K21" s="69"/>
    </row>
    <row r="22" spans="1:19" ht="26.25" customHeight="1" x14ac:dyDescent="0.45">
      <c r="B22" s="20" t="s">
        <v>59</v>
      </c>
      <c r="J22" s="20" t="s">
        <v>40</v>
      </c>
      <c r="K22" s="20" t="s">
        <v>41</v>
      </c>
      <c r="L22" s="20" t="s">
        <v>42</v>
      </c>
    </row>
    <row r="23" spans="1:19" ht="14.25" customHeight="1" x14ac:dyDescent="0.45">
      <c r="A23" s="20" t="s">
        <v>46</v>
      </c>
      <c r="B23">
        <f>SUM(B24:B28)</f>
        <v>19</v>
      </c>
      <c r="I23" s="20" t="s">
        <v>46</v>
      </c>
      <c r="J23">
        <f>_xlfn.AGGREGATE(1,6,J2:J20)</f>
        <v>2.2605766100113329</v>
      </c>
      <c r="K23">
        <f>_xlfn.AGGREGATE(1,6,K2:K20)</f>
        <v>2.1132810859002378</v>
      </c>
      <c r="L23">
        <f>_xlfn.AGGREGATE(1,6,L2:L20)</f>
        <v>2.883159143528585</v>
      </c>
    </row>
    <row r="24" spans="1:19" ht="26.25" customHeight="1" x14ac:dyDescent="0.45">
      <c r="A24" s="20" t="s">
        <v>47</v>
      </c>
      <c r="B24">
        <f>COUNTIF(B2:B20,"Doors")</f>
        <v>5</v>
      </c>
      <c r="I24" s="20" t="s">
        <v>47</v>
      </c>
      <c r="J24">
        <f>_xlfn.AGGREGATE(1,6,J2:J6)</f>
        <v>1.143867158927359</v>
      </c>
      <c r="K24">
        <f>_xlfn.AGGREGATE(1,6,K2:K6)</f>
        <v>2.0719797525812718</v>
      </c>
      <c r="L24">
        <f>_xlfn.AGGREGATE(1,6,L2:L6)</f>
        <v>2.1153176666322731</v>
      </c>
    </row>
    <row r="25" spans="1:19" ht="26.25" customHeight="1" x14ac:dyDescent="0.45">
      <c r="A25" s="20" t="s">
        <v>55</v>
      </c>
      <c r="B25">
        <f>COUNTIF(B2:B20,"Windows")</f>
        <v>8</v>
      </c>
      <c r="I25" s="20" t="s">
        <v>48</v>
      </c>
      <c r="J25">
        <f>_xlfn.AGGREGATE(1,6,J7:J14)</f>
        <v>2.3261000000000021</v>
      </c>
      <c r="K25">
        <f>_xlfn.AGGREGATE(1,6,K7:K14)</f>
        <v>0.29685000000000095</v>
      </c>
      <c r="L25">
        <f>_xlfn.AGGREGATE(1,6,L7:L14)</f>
        <v>2.622950000000003</v>
      </c>
    </row>
    <row r="26" spans="1:19" ht="26.25" customHeight="1" x14ac:dyDescent="0.45">
      <c r="A26" s="20" t="s">
        <v>49</v>
      </c>
      <c r="B26">
        <f>COUNTIF(B2:B20,"Walls")</f>
        <v>0</v>
      </c>
      <c r="I26" s="20" t="s">
        <v>49</v>
      </c>
      <c r="J26" t="s">
        <v>13</v>
      </c>
      <c r="K26" t="s">
        <v>13</v>
      </c>
      <c r="L26" t="s">
        <v>13</v>
      </c>
    </row>
    <row r="27" spans="1:19" ht="26.25" customHeight="1" x14ac:dyDescent="0.45">
      <c r="A27" s="20" t="s">
        <v>50</v>
      </c>
      <c r="B27">
        <f>COUNTIF(B2:B20,"Room Tags")</f>
        <v>6</v>
      </c>
      <c r="I27" s="20" t="s">
        <v>50</v>
      </c>
      <c r="J27">
        <f>_xlfn.AGGREGATE(1,6,J15:J20)</f>
        <v>3.103803299263086</v>
      </c>
      <c r="K27">
        <f>_xlfn.AGGREGATE(1,6,K15:K20)</f>
        <v>4.5696069781996913</v>
      </c>
      <c r="L27">
        <f>_xlfn.AGGREGATE(1,6,L15:L20)</f>
        <v>3.8699725656469557</v>
      </c>
    </row>
    <row r="28" spans="1:19" ht="26.25" customHeight="1" x14ac:dyDescent="0.45">
      <c r="A28" s="72" t="s">
        <v>56</v>
      </c>
      <c r="B28">
        <f>COUNTIF(B2:B20,"Stairs")</f>
        <v>0</v>
      </c>
    </row>
    <row r="30" spans="1:19" ht="14.25" customHeight="1" x14ac:dyDescent="0.45">
      <c r="J30" s="10" t="s">
        <v>117</v>
      </c>
      <c r="K30" s="10"/>
      <c r="L30" s="10"/>
    </row>
    <row r="31" spans="1:19" ht="26.25" customHeight="1" x14ac:dyDescent="0.45">
      <c r="J31" s="20" t="s">
        <v>40</v>
      </c>
      <c r="K31" s="20" t="s">
        <v>41</v>
      </c>
      <c r="L31" s="20" t="s">
        <v>42</v>
      </c>
    </row>
    <row r="32" spans="1:19" ht="14.25" customHeight="1" x14ac:dyDescent="0.45">
      <c r="I32" s="20" t="s">
        <v>46</v>
      </c>
      <c r="J32">
        <f>_xlfn.AGGREGATE(12,6,J2:J20)</f>
        <v>2.3145000000000024</v>
      </c>
      <c r="K32">
        <f>_xlfn.AGGREGATE(12,6,K2:K20)</f>
        <v>1.1813999999999965</v>
      </c>
      <c r="L32">
        <f>_xlfn.AGGREGATE(12,6,L2:L20)</f>
        <v>2.6360000000000028</v>
      </c>
    </row>
    <row r="33" spans="9:20" ht="26.25" customHeight="1" x14ac:dyDescent="0.45">
      <c r="I33" s="20" t="s">
        <v>47</v>
      </c>
      <c r="J33">
        <f>_xlfn.AGGREGATE(12,6,J2:J6)</f>
        <v>0.77499999999999858</v>
      </c>
      <c r="K33">
        <f>_xlfn.AGGREGATE(12,6,K2:K6)</f>
        <v>2.2461000000000002</v>
      </c>
      <c r="L33">
        <f>_xlfn.AGGREGATE(12,6,L2:L6)</f>
        <v>1.956399999999995</v>
      </c>
    </row>
    <row r="34" spans="9:20" ht="26.25" customHeight="1" x14ac:dyDescent="0.45">
      <c r="I34" s="20" t="s">
        <v>48</v>
      </c>
      <c r="J34">
        <f>_xlfn.AGGREGATE(12,6,J7:J14)</f>
        <v>2.3261000000000021</v>
      </c>
      <c r="K34">
        <f>_xlfn.AGGREGATE(12,6,K7:K14)</f>
        <v>0.29685000000000095</v>
      </c>
      <c r="L34">
        <f>_xlfn.AGGREGATE(12,6,L7:L14)</f>
        <v>2.622950000000003</v>
      </c>
    </row>
    <row r="35" spans="9:20" ht="26.25" customHeight="1" x14ac:dyDescent="0.45">
      <c r="I35" s="20" t="s">
        <v>49</v>
      </c>
      <c r="J35" t="s">
        <v>13</v>
      </c>
      <c r="K35" t="s">
        <v>13</v>
      </c>
      <c r="L35" t="s">
        <v>13</v>
      </c>
    </row>
    <row r="36" spans="9:20" ht="26.25" customHeight="1" x14ac:dyDescent="0.45">
      <c r="I36" s="20" t="s">
        <v>50</v>
      </c>
      <c r="J36">
        <f>_xlfn.AGGREGATE(12,6,J15:J20)</f>
        <v>1.7895541785263436</v>
      </c>
      <c r="K36">
        <f>_xlfn.AGGREGATE(12,6,K15:K20)</f>
        <v>3.303174012247148</v>
      </c>
      <c r="L36">
        <f>_xlfn.AGGREGATE(12,6,L15:L20)</f>
        <v>3.3102763886021789</v>
      </c>
    </row>
    <row r="37" spans="9:20" ht="14.25" customHeight="1" x14ac:dyDescent="0.45">
      <c r="J37" s="69"/>
      <c r="K37" s="69"/>
    </row>
    <row r="38" spans="9:20" ht="14.25" customHeight="1" x14ac:dyDescent="0.45">
      <c r="J38" s="69"/>
      <c r="K38" s="69"/>
    </row>
    <row r="39" spans="9:20" ht="18" customHeight="1" x14ac:dyDescent="0.45">
      <c r="I39" s="73" t="s">
        <v>118</v>
      </c>
      <c r="J39" s="69"/>
      <c r="K39" s="69"/>
      <c r="M39" s="19" t="s">
        <v>119</v>
      </c>
    </row>
    <row r="40" spans="9:20" ht="42" customHeight="1" x14ac:dyDescent="0.45">
      <c r="I40" s="34" t="s">
        <v>120</v>
      </c>
      <c r="J40" s="74" t="s">
        <v>59</v>
      </c>
      <c r="K40" s="74" t="s">
        <v>63</v>
      </c>
      <c r="L40" s="34" t="s">
        <v>64</v>
      </c>
      <c r="M40" s="34" t="s">
        <v>65</v>
      </c>
      <c r="N40" s="34" t="s">
        <v>121</v>
      </c>
      <c r="O40" s="34" t="s">
        <v>122</v>
      </c>
      <c r="P40" s="34" t="s">
        <v>123</v>
      </c>
      <c r="Q40" s="34" t="s">
        <v>124</v>
      </c>
      <c r="R40" s="34" t="s">
        <v>68</v>
      </c>
      <c r="S40" s="34" t="s">
        <v>125</v>
      </c>
      <c r="T40" s="34" t="s">
        <v>126</v>
      </c>
    </row>
    <row r="41" spans="9:20" ht="14.25" customHeight="1" x14ac:dyDescent="0.45">
      <c r="I41" s="22" t="s">
        <v>46</v>
      </c>
      <c r="J41" s="23">
        <f>COUNTA($B$2:$B$20)</f>
        <v>19</v>
      </c>
      <c r="K41" s="25">
        <f>IF(COUNT($M$2:$M$20)=0,"N/A",COUNTIF($R$2:$R$20,1)/COUNT($M$2:$M$20))</f>
        <v>0.73684210526315785</v>
      </c>
      <c r="L41" s="25">
        <f t="array" ref="L41">IF(COUNT($N$2:$N$20)=0,"N/A",AVERAGE($N$2:$N$20))</f>
        <v>0.22216082684670158</v>
      </c>
      <c r="M41" s="24">
        <f t="array" ref="M41">IF(COUNT($O$2:$O$20)=0,"N/A",AVERAGE($O$2:$O$20))</f>
        <v>0.62266301858667994</v>
      </c>
      <c r="N41" s="24">
        <f t="array" ref="N41">IF(COUNT($K$2:$K$20)=0,"N/A",SQRT(SUMPRODUCT(ISNUMBER($K$2:$K$20)*(IF(ISNUMBER($K$2:$K$20),$K$2:$K$20,0))^2)/COUNT($K$2:$K$20)))</f>
        <v>3.1628275780416879</v>
      </c>
      <c r="O41" s="24">
        <f>IF(COUNT($K$2:$K$20)&lt;2,"N/A",_xlfn.STDEV.S($K$2:$K$20))</f>
        <v>2.4176768632023351</v>
      </c>
      <c r="P41" s="24">
        <f>IF(COUNT($K$2:$K$20)=0,"N/A",_xlfn.PERCENTILE.INC($K$2:$K$20,0.9))</f>
        <v>3.9839779576234471</v>
      </c>
      <c r="Q41" s="24">
        <f>IF(COUNT($K$2:$K$20)=0,"N/A",_xlfn.PERCENTILE.INC($K$2:$K$20,0.95))</f>
        <v>5.8861740444997723</v>
      </c>
      <c r="R41" s="23">
        <f>COUNTIF($K$2:$K$20,"&gt;15")</f>
        <v>0</v>
      </c>
      <c r="S41" s="24">
        <f>IF(COUNT($S$2:$S$20)=0,"N/A",AVERAGE($S$2:$S$20))</f>
        <v>0.85778936935970329</v>
      </c>
      <c r="T41" s="25">
        <f>IF(COUNT($S$2:$S$20)=0,"N/A",COUNTIF($S$2:$S$20,"&gt;1")/COUNT($S$2:$S$20))</f>
        <v>0.15789473684210525</v>
      </c>
    </row>
    <row r="42" spans="9:20" ht="14.25" customHeight="1" x14ac:dyDescent="0.45">
      <c r="I42" s="27" t="s">
        <v>47</v>
      </c>
      <c r="J42" s="28">
        <f>COUNTIF($B$2:$B$20,"Doors")</f>
        <v>5</v>
      </c>
      <c r="K42" s="30">
        <f>IF(SUMPRODUCT(($B$2:$B$20="Doors")*ISNUMBER($M$2:$M$20))=0,"N/A",SUMPRODUCT(($B$2:$B$20="Doors")*($R$2:$R$20=1))/SUMPRODUCT(($B$2:$B$20="Doors")*ISNUMBER($M$2:$M$20)))</f>
        <v>0.6</v>
      </c>
      <c r="L42" s="30">
        <f t="array" ref="L42">IF(SUMPRODUCT(($B$2:$B$20="Doors")*ISNUMBER($N$2:$N$20))=0,"N/A",SUMPRODUCT(($B$2:$B$20="Doors")*ISNUMBER($N$2:$N$20)*(IF(ISNUMBER($N$2:$N$20),$N$2:$N$20,0)))/SUMPRODUCT(($B$2:$B$20="Doors")*ISNUMBER($N$2:$N$20)))</f>
        <v>-0.17115613427639659</v>
      </c>
      <c r="M42" s="29">
        <f t="array" ref="M42">IF(SUMPRODUCT(($B$2:$B$20="Doors")*ISNUMBER($O$2:$O$20))=0,"N/A",SUMPRODUCT(($B$2:$B$20="Doors")*ISNUMBER($O$2:$O$20)*(IF(ISNUMBER($O$2:$O$20),$O$2:$O$20,0)))/SUMPRODUCT(($B$2:$B$20="Doors")*ISNUMBER($O$2:$O$20)))</f>
        <v>0.18728088846496754</v>
      </c>
      <c r="N42" s="29">
        <f t="array" ref="N42">IF(SUMPRODUCT(($B$2:$B$20="Doors")*ISNUMBER($K$2:$K$20))=0,"N/A",SQRT(SUMPRODUCT(($B$2:$B$20="Doors")*ISNUMBER($K$2:$K$20)*(IF(ISNUMBER($K$2:$K$20),$K$2:$K$20,0))^2)/SUMPRODUCT(($B$2:$B$20="Doors")*ISNUMBER($K$2:$K$20))))</f>
        <v>2.2195474507205288</v>
      </c>
      <c r="O42" s="29">
        <f t="array" ref="O42">IFERROR(IF(SUMPRODUCT(($B$2:$B$20="Doors")*ISNUMBER($K$2:$K$20))&lt;2,"N/A",_xlfn.STDEV.S(IF($B$2:$B$20="Doors",$K$2:$K$20))),"N/A")</f>
        <v>0.88972663701642729</v>
      </c>
      <c r="P42" s="29">
        <f t="array" ref="P42">IFERROR(_xlfn.PERCENTILE.INC(IF(($B$2:$B$20="Doors")*ISNUMBER($K$2:$K$20),$K$2:$K$20),0.9),"N/A")</f>
        <v>2.947413763119819</v>
      </c>
      <c r="Q42" s="29">
        <f t="array" ref="Q42">IFERROR(_xlfn.PERCENTILE.INC(IF(($B$2:$B$20="Doors")*ISNUMBER($K$2:$K$20),$K$2:$K$20),0.95),"N/A")</f>
        <v>3.0912425264530912</v>
      </c>
      <c r="R42" s="28">
        <f>COUNTIFS($B$2:$B$20,"Doors",$K$2:$K$20,"&gt;15")</f>
        <v>0</v>
      </c>
      <c r="S42" s="37">
        <f t="array" ref="S42">IF(SUMPRODUCT(($B$2:$B$20="Doors")*ISNUMBER($S$2:$S$20))=0,"N/A",SUMPRODUCT(($B$2:$B$20="Doors")*ISNUMBER($S$2:$S$20)*(IF(ISNUMBER($S$2:$S$20),$S$2:$S$20,0)))/SUMPRODUCT(($B$2:$B$20="Doors")*ISNUMBER($S$2:$S$20)))</f>
        <v>0.6442281226635842</v>
      </c>
      <c r="T42" s="38">
        <f t="array" ref="T42">IF(SUMPRODUCT(($B$2:$B$20="Doors")*ISNUMBER($S$2:$S$20))=0,"N/A",SUMPRODUCT(($B$2:$B$20="Doors")*ISNUMBER($S$2:$S$20)*(IF(ISNUMBER($S$2:$S$20),$S$2:$S$20,0)&gt;1))/SUMPRODUCT(($B$2:$B$20="Doors")*ISNUMBER($S$2:$S$20)))</f>
        <v>0.2</v>
      </c>
    </row>
    <row r="43" spans="9:20" ht="14.25" customHeight="1" x14ac:dyDescent="0.45">
      <c r="I43" s="27" t="s">
        <v>48</v>
      </c>
      <c r="J43" s="28">
        <f>COUNTIF($B$2:$B$20,"Windows")</f>
        <v>8</v>
      </c>
      <c r="K43" s="30">
        <f>IF(SUMPRODUCT(($B$2:$B$20="Windows")*ISNUMBER($M$2:$M$20))=0,"N/A",SUMPRODUCT(($B$2:$B$20="Windows")*($R$2:$R$20=1))/SUMPRODUCT(($B$2:$B$20="Windows")*ISNUMBER($M$2:$M$20)))</f>
        <v>1</v>
      </c>
      <c r="L43" s="30">
        <f t="array" ref="L43">IF(SUMPRODUCT(($B$2:$B$20="Windows")*ISNUMBER($N$2:$N$20))=0,"N/A",SUMPRODUCT(($B$2:$B$20="Windows")*ISNUMBER($N$2:$N$20)*(IF(ISNUMBER($N$2:$N$20),$N$2:$N$20,0)))/SUMPRODUCT(($B$2:$B$20="Windows")*ISNUMBER($N$2:$N$20)))</f>
        <v>0.88682585106517176</v>
      </c>
      <c r="M43" s="29">
        <f t="array" ref="M43">IF(SUMPRODUCT(($B$2:$B$20="Windows")*ISNUMBER($O$2:$O$20))=0,"N/A",SUMPRODUCT(($B$2:$B$20="Windows")*ISNUMBER($O$2:$O$20)*(IF(ISNUMBER($O$2:$O$20),$O$2:$O$20,0)))/SUMPRODUCT(($B$2:$B$20="Windows")*ISNUMBER($O$2:$O$20)))</f>
        <v>1</v>
      </c>
      <c r="N43" s="29">
        <f t="array" ref="N43">IF(SUMPRODUCT(($B$2:$B$20="Windows")*ISNUMBER($K$2:$K$20))=0,"N/A",SQRT(SUMPRODUCT(($B$2:$B$20="Windows")*ISNUMBER($K$2:$K$20)*(IF(ISNUMBER($K$2:$K$20),$K$2:$K$20,0))^2)/SUMPRODUCT(($B$2:$B$20="Windows")*ISNUMBER($K$2:$K$20))))</f>
        <v>0.29685354132972808</v>
      </c>
      <c r="O43" s="29">
        <f t="array" ref="O43">IFERROR(IF(SUMPRODUCT(($B$2:$B$20="Windows")*ISNUMBER($K$2:$K$20))&lt;2,"N/A",_xlfn.STDEV.S(IF($B$2:$B$20="Windows",$K$2:$K$20))),"N/A")</f>
        <v>1.5501152030922469E-3</v>
      </c>
      <c r="P43" s="29">
        <f t="array" ref="P43">IFERROR(_xlfn.PERCENTILE.INC(IF(($B$2:$B$20="Windows")*ISNUMBER($K$2:$K$20),$K$2:$K$20),0.9),"N/A")</f>
        <v>0.29830000000000112</v>
      </c>
      <c r="Q43" s="29">
        <f t="array" ref="Q43">IFERROR(_xlfn.PERCENTILE.INC(IF(($B$2:$B$20="Windows")*ISNUMBER($K$2:$K$20),$K$2:$K$20),0.95),"N/A")</f>
        <v>0.29830000000000112</v>
      </c>
      <c r="R43" s="28">
        <f>COUNTIFS($B$2:$B$20,"Windows",$K$2:$K$20,"&gt;15")</f>
        <v>0</v>
      </c>
      <c r="S43" s="37">
        <f t="array" ref="S43">IF(SUMPRODUCT(($B$2:$B$20="Windows")*ISNUMBER($S$2:$S$20))=0,"N/A",SUMPRODUCT(($B$2:$B$20="Windows")*ISNUMBER($S$2:$S$20)*(IF(ISNUMBER($S$2:$S$20),$S$2:$S$20,0)))/SUMPRODUCT(($B$2:$B$20="Windows")*ISNUMBER($S$2:$S$20)))</f>
        <v>0.88682585106517176</v>
      </c>
      <c r="T43" s="38">
        <f t="array" ref="T43">IF(SUMPRODUCT(($B$2:$B$20="Windows")*ISNUMBER($S$2:$S$20))=0,"N/A",SUMPRODUCT(($B$2:$B$20="Windows")*ISNUMBER($S$2:$S$20)*(IF(ISNUMBER($S$2:$S$20),$S$2:$S$20,0)&gt;1))/SUMPRODUCT(($B$2:$B$20="Windows")*ISNUMBER($S$2:$S$20)))</f>
        <v>0</v>
      </c>
    </row>
    <row r="44" spans="9:20" ht="14.25" customHeight="1" x14ac:dyDescent="0.45">
      <c r="I44" s="27" t="s">
        <v>50</v>
      </c>
      <c r="J44" s="28">
        <f>COUNTIF($B$2:$B$20,"Room Tags")</f>
        <v>6</v>
      </c>
      <c r="K44" s="30">
        <f>IF(SUMPRODUCT(($B$2:$B$20="Room Tags")*ISNUMBER($M$2:$M$20))=0,"N/A",SUMPRODUCT(($B$2:$B$20="Room Tags")*($R$2:$R$20=1))/SUMPRODUCT(($B$2:$B$20="Room Tags")*ISNUMBER($M$2:$M$20)))</f>
        <v>0.5</v>
      </c>
      <c r="L44" s="30">
        <f t="array" ref="L44">IF(SUMPRODUCT(($B$2:$B$20="Room Tags")*ISNUMBER($N$2:$N$20))=0,"N/A",SUMPRODUCT(($B$2:$B$20="Room Tags")*ISNUMBER($N$2:$N$20)*(IF(ISNUMBER($N$2:$N$20),$N$2:$N$20,0)))/SUMPRODUCT(($B$2:$B$20="Room Tags")*ISNUMBER($N$2:$N$20)))</f>
        <v>-0.33629507117534346</v>
      </c>
      <c r="M44" s="29">
        <f t="array" ref="M44">IF(SUMPRODUCT(($B$2:$B$20="Room Tags")*ISNUMBER($O$2:$O$20))=0,"N/A",SUMPRODUCT(($B$2:$B$20="Room Tags")*ISNUMBER($O$2:$O$20)*(IF(ISNUMBER($O$2:$O$20),$O$2:$O$20,0)))/SUMPRODUCT(($B$2:$B$20="Room Tags")*ISNUMBER($O$2:$O$20)))</f>
        <v>0.48236548513701338</v>
      </c>
      <c r="N44" s="29">
        <f t="array" ref="N44">IF(SUMPRODUCT(($B$2:$B$20="Room Tags")*ISNUMBER($K$2:$K$20))=0,"N/A",SQRT(SUMPRODUCT(($B$2:$B$20="Room Tags")*ISNUMBER($K$2:$K$20)*(IF(ISNUMBER($K$2:$K$20),$K$2:$K$20,0))^2)/SUMPRODUCT(($B$2:$B$20="Room Tags")*ISNUMBER($K$2:$K$20))))</f>
        <v>5.2397384929975273</v>
      </c>
      <c r="O44" s="29">
        <f t="array" ref="O44">IFERROR(IF(SUMPRODUCT(($B$2:$B$20="Room Tags")*ISNUMBER($K$2:$K$20))&lt;2,"N/A",_xlfn.STDEV.S(IF($B$2:$B$20="Room Tags",$K$2:$K$20))),"N/A")</f>
        <v>2.8086049647015905</v>
      </c>
      <c r="P44" s="29">
        <f t="array" ref="P44">IFERROR(_xlfn.PERCENTILE.INC(IF(($B$2:$B$20="Room Tags")*ISNUMBER($K$2:$K$20),$K$2:$K$20),0.9),"N/A")</f>
        <v>7.6744300136779833</v>
      </c>
      <c r="Q44" s="29">
        <f t="array" ref="Q44">IFERROR(_xlfn.PERCENTILE.INC(IF(($B$2:$B$20="Room Tags")*ISNUMBER($K$2:$K$20),$K$2:$K$20),0.95),"N/A")</f>
        <v>8.7920899944143596</v>
      </c>
      <c r="R44" s="28">
        <f>COUNTIFS($B$2:$B$20,"Room Tags",$K$2:$K$20,"&gt;15")</f>
        <v>0</v>
      </c>
      <c r="S44" s="37">
        <f t="array" ref="S44">IF(SUMPRODUCT(($B$2:$B$20="Room Tags")*ISNUMBER($S$2:$S$20))=0,"N/A",SUMPRODUCT(($B$2:$B$20="Room Tags")*ISNUMBER($S$2:$S$20)*(IF(ISNUMBER($S$2:$S$20),$S$2:$S$20,0)))/SUMPRODUCT(($B$2:$B$20="Room Tags")*ISNUMBER($S$2:$S$20)))</f>
        <v>0.99704176599917782</v>
      </c>
      <c r="T44" s="38">
        <f t="array" ref="T44">IF(SUMPRODUCT(($B$2:$B$20="Room Tags")*ISNUMBER($S$2:$S$20))=0,"N/A",SUMPRODUCT(($B$2:$B$20="Room Tags")*ISNUMBER($S$2:$S$20)*(IF(ISNUMBER($S$2:$S$20),$S$2:$S$20,0)&gt;1))/SUMPRODUCT(($B$2:$B$20="Room Tags")*ISNUMBER($S$2:$S$20)))</f>
        <v>0.33333333333333331</v>
      </c>
    </row>
    <row r="45" spans="9:20" ht="14.25" customHeight="1" x14ac:dyDescent="0.45">
      <c r="J45" s="69"/>
      <c r="K45" s="69"/>
    </row>
    <row r="46" spans="9:20" ht="14.25" customHeight="1" x14ac:dyDescent="0.45">
      <c r="J46" s="69"/>
      <c r="K46" s="69"/>
    </row>
    <row r="47" spans="9:20" ht="14.25" customHeight="1" x14ac:dyDescent="0.45">
      <c r="J47" s="69"/>
      <c r="K47" s="69"/>
    </row>
    <row r="48" spans="9:20" ht="14.25" customHeight="1" x14ac:dyDescent="0.45">
      <c r="J48" s="69"/>
      <c r="K48" s="69"/>
    </row>
    <row r="49" spans="10:11" ht="14.25" customHeight="1" x14ac:dyDescent="0.45">
      <c r="J49" s="69"/>
      <c r="K49" s="69"/>
    </row>
    <row r="50" spans="10:11" ht="14.25" customHeight="1" x14ac:dyDescent="0.45">
      <c r="J50" s="69"/>
      <c r="K50" s="69"/>
    </row>
    <row r="51" spans="10:11" ht="14.25" customHeight="1" x14ac:dyDescent="0.45">
      <c r="J51" s="69"/>
      <c r="K51" s="69"/>
    </row>
    <row r="52" spans="10:11" ht="14.25" customHeight="1" x14ac:dyDescent="0.45">
      <c r="J52" s="69"/>
      <c r="K52" s="69"/>
    </row>
    <row r="53" spans="10:11" ht="14.25" customHeight="1" x14ac:dyDescent="0.45">
      <c r="J53" s="69"/>
      <c r="K53" s="69"/>
    </row>
    <row r="54" spans="10:11" ht="14.25" customHeight="1" x14ac:dyDescent="0.45">
      <c r="J54" s="69"/>
      <c r="K54" s="69"/>
    </row>
    <row r="55" spans="10:11" ht="14.25" customHeight="1" x14ac:dyDescent="0.45">
      <c r="J55" s="69"/>
      <c r="K55" s="69"/>
    </row>
    <row r="56" spans="10:11" ht="14.25" customHeight="1" x14ac:dyDescent="0.45">
      <c r="J56" s="69"/>
      <c r="K56" s="69"/>
    </row>
    <row r="57" spans="10:11" ht="14.25" customHeight="1" x14ac:dyDescent="0.45">
      <c r="J57" s="69"/>
      <c r="K57" s="69"/>
    </row>
    <row r="58" spans="10:11" ht="14.25" customHeight="1" x14ac:dyDescent="0.45">
      <c r="J58" s="69"/>
      <c r="K58" s="69"/>
    </row>
    <row r="59" spans="10:11" ht="14.25" customHeight="1" x14ac:dyDescent="0.45">
      <c r="J59" s="69"/>
      <c r="K59" s="69"/>
    </row>
    <row r="60" spans="10:11" ht="14.25" customHeight="1" x14ac:dyDescent="0.45">
      <c r="J60" s="69"/>
      <c r="K60" s="69"/>
    </row>
    <row r="61" spans="10:11" ht="14.25" customHeight="1" x14ac:dyDescent="0.45">
      <c r="J61" s="69"/>
      <c r="K61" s="69"/>
    </row>
    <row r="62" spans="10:11" ht="14.25" customHeight="1" x14ac:dyDescent="0.45">
      <c r="J62" s="69"/>
      <c r="K62" s="69"/>
    </row>
    <row r="63" spans="10:11" ht="14.25" customHeight="1" x14ac:dyDescent="0.45">
      <c r="J63" s="69"/>
      <c r="K63" s="69"/>
    </row>
    <row r="64" spans="10:11" ht="14.25" customHeight="1" x14ac:dyDescent="0.45">
      <c r="J64" s="69"/>
      <c r="K64" s="69"/>
    </row>
    <row r="65" spans="10:11" ht="14.25" customHeight="1" x14ac:dyDescent="0.45">
      <c r="J65" s="69"/>
      <c r="K65" s="69"/>
    </row>
    <row r="66" spans="10:11" ht="14.25" customHeight="1" x14ac:dyDescent="0.45">
      <c r="J66" s="69"/>
      <c r="K66" s="69"/>
    </row>
    <row r="67" spans="10:11" ht="14.25" customHeight="1" x14ac:dyDescent="0.45">
      <c r="J67" s="69"/>
      <c r="K67" s="69"/>
    </row>
    <row r="68" spans="10:11" ht="14.25" customHeight="1" x14ac:dyDescent="0.45">
      <c r="J68" s="69"/>
      <c r="K68" s="69"/>
    </row>
    <row r="69" spans="10:11" ht="14.25" customHeight="1" x14ac:dyDescent="0.45">
      <c r="J69" s="69"/>
      <c r="K69" s="69"/>
    </row>
    <row r="70" spans="10:11" ht="14.25" customHeight="1" x14ac:dyDescent="0.45">
      <c r="J70" s="69"/>
      <c r="K70" s="69"/>
    </row>
    <row r="71" spans="10:11" ht="14.25" customHeight="1" x14ac:dyDescent="0.45">
      <c r="J71" s="69"/>
      <c r="K71" s="69"/>
    </row>
    <row r="72" spans="10:11" ht="14.25" customHeight="1" x14ac:dyDescent="0.45">
      <c r="J72" s="69"/>
      <c r="K72" s="69"/>
    </row>
    <row r="73" spans="10:11" ht="14.25" customHeight="1" x14ac:dyDescent="0.45">
      <c r="J73" s="69"/>
      <c r="K73" s="69"/>
    </row>
    <row r="74" spans="10:11" ht="14.25" customHeight="1" x14ac:dyDescent="0.45">
      <c r="J74" s="69"/>
      <c r="K74" s="69"/>
    </row>
    <row r="75" spans="10:11" ht="14.25" customHeight="1" x14ac:dyDescent="0.45">
      <c r="J75" s="69"/>
      <c r="K75" s="69"/>
    </row>
    <row r="76" spans="10:11" ht="14.25" customHeight="1" x14ac:dyDescent="0.45">
      <c r="J76" s="69"/>
      <c r="K76" s="69"/>
    </row>
    <row r="77" spans="10:11" ht="14.25" customHeight="1" x14ac:dyDescent="0.45">
      <c r="J77" s="69"/>
      <c r="K77" s="69"/>
    </row>
    <row r="78" spans="10:11" ht="14.25" customHeight="1" x14ac:dyDescent="0.45">
      <c r="J78" s="69"/>
      <c r="K78" s="69"/>
    </row>
    <row r="79" spans="10:11" ht="14.25" customHeight="1" x14ac:dyDescent="0.45">
      <c r="J79" s="69"/>
      <c r="K79" s="69"/>
    </row>
    <row r="80" spans="10:11" ht="14.25" customHeight="1" x14ac:dyDescent="0.45">
      <c r="J80" s="69"/>
      <c r="K80" s="69"/>
    </row>
    <row r="81" spans="10:11" ht="14.25" customHeight="1" x14ac:dyDescent="0.45">
      <c r="J81" s="69"/>
      <c r="K81" s="69"/>
    </row>
    <row r="82" spans="10:11" ht="14.25" customHeight="1" x14ac:dyDescent="0.45">
      <c r="J82" s="69"/>
      <c r="K82" s="69"/>
    </row>
    <row r="83" spans="10:11" ht="14.25" customHeight="1" x14ac:dyDescent="0.45">
      <c r="J83" s="69"/>
      <c r="K83" s="69"/>
    </row>
    <row r="84" spans="10:11" ht="14.25" customHeight="1" x14ac:dyDescent="0.45">
      <c r="J84" s="69"/>
      <c r="K84" s="69"/>
    </row>
    <row r="85" spans="10:11" ht="14.25" customHeight="1" x14ac:dyDescent="0.45">
      <c r="J85" s="69"/>
      <c r="K85" s="69"/>
    </row>
    <row r="86" spans="10:11" ht="14.25" customHeight="1" x14ac:dyDescent="0.45">
      <c r="J86" s="69"/>
      <c r="K86" s="69"/>
    </row>
    <row r="87" spans="10:11" ht="14.25" customHeight="1" x14ac:dyDescent="0.45">
      <c r="J87" s="69"/>
      <c r="K87" s="69"/>
    </row>
    <row r="88" spans="10:11" ht="14.25" customHeight="1" x14ac:dyDescent="0.45">
      <c r="J88" s="69"/>
      <c r="K88" s="69"/>
    </row>
    <row r="89" spans="10:11" ht="14.25" customHeight="1" x14ac:dyDescent="0.45">
      <c r="J89" s="69"/>
      <c r="K89" s="69"/>
    </row>
    <row r="90" spans="10:11" ht="14.25" customHeight="1" x14ac:dyDescent="0.45">
      <c r="J90" s="69"/>
      <c r="K90" s="69"/>
    </row>
    <row r="91" spans="10:11" ht="14.25" customHeight="1" x14ac:dyDescent="0.45">
      <c r="J91" s="69"/>
      <c r="K91" s="69"/>
    </row>
    <row r="92" spans="10:11" ht="14.25" customHeight="1" x14ac:dyDescent="0.45">
      <c r="J92" s="69"/>
      <c r="K92" s="69"/>
    </row>
    <row r="93" spans="10:11" ht="14.25" customHeight="1" x14ac:dyDescent="0.45">
      <c r="J93" s="69"/>
      <c r="K93" s="69"/>
    </row>
    <row r="94" spans="10:11" ht="14.25" customHeight="1" x14ac:dyDescent="0.45">
      <c r="J94" s="69"/>
      <c r="K94" s="69"/>
    </row>
    <row r="95" spans="10:11" ht="14.25" customHeight="1" x14ac:dyDescent="0.45">
      <c r="J95" s="69"/>
      <c r="K95" s="69"/>
    </row>
    <row r="96" spans="10:11" ht="14.25" customHeight="1" x14ac:dyDescent="0.45">
      <c r="J96" s="69"/>
      <c r="K96" s="69"/>
    </row>
    <row r="97" spans="10:11" ht="14.25" customHeight="1" x14ac:dyDescent="0.45">
      <c r="J97" s="69"/>
      <c r="K97" s="69"/>
    </row>
    <row r="98" spans="10:11" ht="14.25" customHeight="1" x14ac:dyDescent="0.45">
      <c r="J98" s="69"/>
      <c r="K98" s="69"/>
    </row>
    <row r="99" spans="10:11" ht="14.25" customHeight="1" x14ac:dyDescent="0.45">
      <c r="J99" s="69"/>
      <c r="K99" s="69"/>
    </row>
    <row r="100" spans="10:11" ht="14.25" customHeight="1" x14ac:dyDescent="0.45">
      <c r="J100" s="69"/>
      <c r="K100" s="69"/>
    </row>
    <row r="101" spans="10:11" ht="14.25" customHeight="1" x14ac:dyDescent="0.45">
      <c r="J101" s="69"/>
      <c r="K101" s="69"/>
    </row>
    <row r="102" spans="10:11" ht="14.25" customHeight="1" x14ac:dyDescent="0.45">
      <c r="J102" s="69"/>
      <c r="K102" s="69"/>
    </row>
    <row r="103" spans="10:11" ht="14.25" customHeight="1" x14ac:dyDescent="0.45">
      <c r="J103" s="69"/>
      <c r="K103" s="69"/>
    </row>
    <row r="104" spans="10:11" ht="14.25" customHeight="1" x14ac:dyDescent="0.45">
      <c r="J104" s="69"/>
      <c r="K104" s="69"/>
    </row>
    <row r="105" spans="10:11" ht="14.25" customHeight="1" x14ac:dyDescent="0.45">
      <c r="J105" s="69"/>
      <c r="K105" s="69"/>
    </row>
    <row r="106" spans="10:11" ht="14.25" customHeight="1" x14ac:dyDescent="0.45">
      <c r="J106" s="69"/>
      <c r="K106" s="69"/>
    </row>
    <row r="107" spans="10:11" ht="14.25" customHeight="1" x14ac:dyDescent="0.45">
      <c r="J107" s="69"/>
      <c r="K107" s="69"/>
    </row>
    <row r="108" spans="10:11" ht="14.25" customHeight="1" x14ac:dyDescent="0.45">
      <c r="J108" s="69"/>
      <c r="K108" s="69"/>
    </row>
    <row r="109" spans="10:11" ht="14.25" customHeight="1" x14ac:dyDescent="0.45">
      <c r="J109" s="69"/>
      <c r="K109" s="69"/>
    </row>
    <row r="110" spans="10:11" ht="14.25" customHeight="1" x14ac:dyDescent="0.45">
      <c r="J110" s="69"/>
      <c r="K110" s="69"/>
    </row>
    <row r="111" spans="10:11" ht="14.25" customHeight="1" x14ac:dyDescent="0.45">
      <c r="J111" s="69"/>
      <c r="K111" s="69"/>
    </row>
    <row r="112" spans="10:11" ht="14.25" customHeight="1" x14ac:dyDescent="0.45">
      <c r="J112" s="69"/>
      <c r="K112" s="69"/>
    </row>
    <row r="113" spans="10:11" ht="14.25" customHeight="1" x14ac:dyDescent="0.45">
      <c r="J113" s="69"/>
      <c r="K113" s="69"/>
    </row>
    <row r="114" spans="10:11" ht="14.25" customHeight="1" x14ac:dyDescent="0.45">
      <c r="J114" s="69"/>
      <c r="K114" s="69"/>
    </row>
    <row r="115" spans="10:11" ht="14.25" customHeight="1" x14ac:dyDescent="0.45">
      <c r="J115" s="69"/>
      <c r="K115" s="69"/>
    </row>
    <row r="116" spans="10:11" ht="14.25" customHeight="1" x14ac:dyDescent="0.45">
      <c r="J116" s="69"/>
      <c r="K116" s="69"/>
    </row>
    <row r="117" spans="10:11" ht="14.25" customHeight="1" x14ac:dyDescent="0.45">
      <c r="J117" s="69"/>
      <c r="K117" s="69"/>
    </row>
    <row r="118" spans="10:11" ht="14.25" customHeight="1" x14ac:dyDescent="0.45">
      <c r="J118" s="69"/>
      <c r="K118" s="69"/>
    </row>
    <row r="119" spans="10:11" ht="14.25" customHeight="1" x14ac:dyDescent="0.45">
      <c r="J119" s="69"/>
      <c r="K119" s="69"/>
    </row>
    <row r="120" spans="10:11" ht="14.25" customHeight="1" x14ac:dyDescent="0.45">
      <c r="J120" s="69"/>
      <c r="K120" s="69"/>
    </row>
    <row r="121" spans="10:11" ht="14.25" customHeight="1" x14ac:dyDescent="0.45">
      <c r="J121" s="69"/>
      <c r="K121" s="69"/>
    </row>
    <row r="122" spans="10:11" ht="14.25" customHeight="1" x14ac:dyDescent="0.45">
      <c r="J122" s="69"/>
      <c r="K122" s="69"/>
    </row>
    <row r="123" spans="10:11" ht="14.25" customHeight="1" x14ac:dyDescent="0.45">
      <c r="J123" s="69"/>
      <c r="K123" s="69"/>
    </row>
    <row r="124" spans="10:11" ht="14.25" customHeight="1" x14ac:dyDescent="0.45">
      <c r="J124" s="69"/>
      <c r="K124" s="69"/>
    </row>
    <row r="125" spans="10:11" ht="14.25" customHeight="1" x14ac:dyDescent="0.45">
      <c r="J125" s="69"/>
      <c r="K125" s="69"/>
    </row>
    <row r="126" spans="10:11" ht="14.25" customHeight="1" x14ac:dyDescent="0.45">
      <c r="J126" s="69"/>
      <c r="K126" s="69"/>
    </row>
    <row r="127" spans="10:11" ht="14.25" customHeight="1" x14ac:dyDescent="0.45">
      <c r="J127" s="69"/>
      <c r="K127" s="69"/>
    </row>
    <row r="128" spans="10:11" ht="14.25" customHeight="1" x14ac:dyDescent="0.45">
      <c r="J128" s="69"/>
      <c r="K128" s="69"/>
    </row>
    <row r="129" spans="10:11" ht="14.25" customHeight="1" x14ac:dyDescent="0.45">
      <c r="J129" s="69"/>
      <c r="K129" s="69"/>
    </row>
    <row r="130" spans="10:11" ht="14.25" customHeight="1" x14ac:dyDescent="0.45">
      <c r="J130" s="69"/>
      <c r="K130" s="69"/>
    </row>
    <row r="131" spans="10:11" ht="14.25" customHeight="1" x14ac:dyDescent="0.45">
      <c r="J131" s="69"/>
      <c r="K131" s="69"/>
    </row>
    <row r="132" spans="10:11" ht="14.25" customHeight="1" x14ac:dyDescent="0.45">
      <c r="J132" s="69"/>
      <c r="K132" s="69"/>
    </row>
    <row r="133" spans="10:11" ht="14.25" customHeight="1" x14ac:dyDescent="0.45">
      <c r="J133" s="69"/>
      <c r="K133" s="69"/>
    </row>
    <row r="134" spans="10:11" ht="14.25" customHeight="1" x14ac:dyDescent="0.45">
      <c r="J134" s="69"/>
      <c r="K134" s="69"/>
    </row>
    <row r="135" spans="10:11" ht="14.25" customHeight="1" x14ac:dyDescent="0.45">
      <c r="J135" s="69"/>
      <c r="K135" s="69"/>
    </row>
    <row r="136" spans="10:11" ht="14.25" customHeight="1" x14ac:dyDescent="0.45">
      <c r="J136" s="69"/>
      <c r="K136" s="69"/>
    </row>
    <row r="137" spans="10:11" ht="14.25" customHeight="1" x14ac:dyDescent="0.45">
      <c r="J137" s="69"/>
      <c r="K137" s="69"/>
    </row>
    <row r="138" spans="10:11" ht="14.25" customHeight="1" x14ac:dyDescent="0.45">
      <c r="J138" s="69"/>
      <c r="K138" s="69"/>
    </row>
    <row r="139" spans="10:11" ht="14.25" customHeight="1" x14ac:dyDescent="0.45">
      <c r="J139" s="69"/>
      <c r="K139" s="69"/>
    </row>
  </sheetData>
  <autoFilter ref="A1:H14" xr:uid="{00000000-0009-0000-0000-000004000000}"/>
  <mergeCells count="1">
    <mergeCell ref="J30:L30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39"/>
  <sheetViews>
    <sheetView topLeftCell="F1" zoomScaleNormal="100" workbookViewId="0">
      <pane ySplit="1" topLeftCell="A34" activePane="bottomLeft" state="frozen"/>
      <selection pane="bottomLeft" activeCell="S54" sqref="S54"/>
    </sheetView>
  </sheetViews>
  <sheetFormatPr defaultColWidth="8.6640625" defaultRowHeight="14.25" x14ac:dyDescent="0.45"/>
  <cols>
    <col min="1" max="1" width="10" customWidth="1"/>
    <col min="2" max="2" width="17" customWidth="1"/>
    <col min="3" max="4" width="16" customWidth="1"/>
    <col min="5" max="6" width="15" customWidth="1"/>
    <col min="7" max="8" width="11" customWidth="1"/>
    <col min="10" max="10" width="16.59765625" customWidth="1"/>
    <col min="11" max="11" width="20.265625" customWidth="1"/>
    <col min="12" max="12" width="28.73046875" customWidth="1"/>
    <col min="13" max="13" width="16" customWidth="1"/>
    <col min="14" max="14" width="17" customWidth="1"/>
    <col min="15" max="15" width="19" customWidth="1"/>
    <col min="16" max="17" width="12" customWidth="1"/>
    <col min="18" max="18" width="14" customWidth="1"/>
    <col min="19" max="19" width="17" customWidth="1"/>
    <col min="20" max="20" width="16" customWidth="1"/>
  </cols>
  <sheetData>
    <row r="1" spans="1:19" ht="33.75" customHeight="1" x14ac:dyDescent="0.45">
      <c r="A1" s="20" t="s">
        <v>106</v>
      </c>
      <c r="B1" s="20" t="s">
        <v>107</v>
      </c>
      <c r="C1" s="20" t="s">
        <v>108</v>
      </c>
      <c r="D1" s="20" t="s">
        <v>109</v>
      </c>
      <c r="E1" s="20" t="s">
        <v>110</v>
      </c>
      <c r="F1" s="20" t="s">
        <v>111</v>
      </c>
      <c r="G1" s="20" t="s">
        <v>112</v>
      </c>
      <c r="H1" s="20" t="s">
        <v>113</v>
      </c>
      <c r="J1" s="20" t="s">
        <v>40</v>
      </c>
      <c r="K1" s="20" t="s">
        <v>41</v>
      </c>
      <c r="L1" s="20" t="s">
        <v>42</v>
      </c>
      <c r="M1" s="20" t="s">
        <v>100</v>
      </c>
      <c r="N1" s="20" t="s">
        <v>101</v>
      </c>
      <c r="O1" s="20" t="s">
        <v>114</v>
      </c>
      <c r="P1" s="20" t="s">
        <v>115</v>
      </c>
      <c r="Q1" s="20" t="s">
        <v>116</v>
      </c>
      <c r="R1" s="20" t="s">
        <v>102</v>
      </c>
      <c r="S1" s="20" t="s">
        <v>103</v>
      </c>
    </row>
    <row r="2" spans="1:19" ht="14.25" customHeight="1" x14ac:dyDescent="0.45">
      <c r="A2" s="67">
        <v>1099020</v>
      </c>
      <c r="B2" s="68" t="s">
        <v>93</v>
      </c>
      <c r="C2">
        <v>-19.496200000000002</v>
      </c>
      <c r="D2">
        <v>6.6082000000000001</v>
      </c>
      <c r="E2">
        <v>-17.388000000000002</v>
      </c>
      <c r="F2">
        <v>6.6877000000000004</v>
      </c>
      <c r="G2">
        <v>-17.388000000000002</v>
      </c>
      <c r="H2">
        <v>6.6877000000000004</v>
      </c>
      <c r="J2" s="69">
        <f t="shared" ref="J2:J27" si="0">IFERROR(SQRT((F2-H2)^2+(E2-G2)^2),"")</f>
        <v>0</v>
      </c>
      <c r="K2" s="69">
        <f t="shared" ref="K2:K27" si="1">IFERROR(SQRT((D2-H2)^2+(C2-G2)^2),"")</f>
        <v>2.1096984357959787</v>
      </c>
      <c r="L2">
        <f t="shared" ref="L2:L27" si="2">IFERROR(SQRT((D2-F2)^2+(C2-E2)^2),"")</f>
        <v>2.1096984357959787</v>
      </c>
      <c r="M2" s="49">
        <f t="shared" ref="M2:M27" si="3">IF(AND(AND(ISNUMBER(E2),ISNUMBER(F2)),ISNUMBER(L2),L2&gt;0),K2/L2,"")</f>
        <v>1</v>
      </c>
      <c r="N2" s="48">
        <f t="shared" ref="N2:N27" si="4">IF(AND(AND(ISNUMBER(E2),ISNUMBER(F2)),ISNUMBER(L2),L2&gt;0),(L2-K2)/L2,"")</f>
        <v>0</v>
      </c>
      <c r="O2" s="49" t="str">
        <f t="shared" ref="O2:O27" si="5">IFERROR(IF(AND(AND(ISNUMBER(E2),ISNUMBER(F2)),SQRT((G2-E2)^2+(H2-F2)^2)&gt;0,SQRT((C2-E2)^2+(D2-F2)^2)&gt;0),((G2-E2)*(C2-E2)+(H2-F2)*(D2-F2))/(SQRT((G2-E2)^2+(H2-F2)^2)*SQRT((C2-E2)^2+(D2-F2)^2)),""),"")</f>
        <v/>
      </c>
      <c r="P2" s="49">
        <f t="shared" ref="P2:P27" si="6">IF(AND(ISNUMBER(G2),ISNUMBER(C2)),G2-C2,"")</f>
        <v>2.1082000000000001</v>
      </c>
      <c r="Q2" s="49">
        <f t="shared" ref="Q2:Q27" si="7">IF(AND(ISNUMBER(H2),ISNUMBER(D2)),H2-D2,"")</f>
        <v>7.9500000000000348E-2</v>
      </c>
      <c r="R2" s="46">
        <f t="shared" ref="R2:R27" si="8">IF(M2="","",IF(M2&lt;1,1,0))</f>
        <v>0</v>
      </c>
      <c r="S2" s="49">
        <f t="shared" ref="S2:S27" si="9">IF(AND(ISNUMBER(J2),ISNUMBER(L2),L2&gt;0),J2/L2,"")</f>
        <v>0</v>
      </c>
    </row>
    <row r="3" spans="1:19" ht="14.25" customHeight="1" x14ac:dyDescent="0.45">
      <c r="A3" s="67">
        <v>1099021</v>
      </c>
      <c r="B3" s="68" t="s">
        <v>93</v>
      </c>
      <c r="C3">
        <v>3.484</v>
      </c>
      <c r="D3">
        <v>7.5407000000000002</v>
      </c>
      <c r="E3">
        <v>3.484</v>
      </c>
      <c r="F3">
        <v>7.5407000000000002</v>
      </c>
      <c r="G3">
        <v>2.2206999999999999</v>
      </c>
      <c r="H3">
        <v>7.5407000000000002</v>
      </c>
      <c r="J3" s="69">
        <f t="shared" si="0"/>
        <v>1.2633000000000001</v>
      </c>
      <c r="K3" s="69">
        <f t="shared" si="1"/>
        <v>1.2633000000000001</v>
      </c>
      <c r="L3">
        <f t="shared" si="2"/>
        <v>0</v>
      </c>
      <c r="M3" s="49" t="str">
        <f t="shared" si="3"/>
        <v/>
      </c>
      <c r="N3" s="48" t="str">
        <f t="shared" si="4"/>
        <v/>
      </c>
      <c r="O3" s="49" t="str">
        <f t="shared" si="5"/>
        <v/>
      </c>
      <c r="P3" s="49">
        <f t="shared" si="6"/>
        <v>-1.2633000000000001</v>
      </c>
      <c r="Q3" s="49">
        <f t="shared" si="7"/>
        <v>0</v>
      </c>
      <c r="R3" s="46" t="str">
        <f t="shared" si="8"/>
        <v/>
      </c>
      <c r="S3" s="49" t="str">
        <f t="shared" si="9"/>
        <v/>
      </c>
    </row>
    <row r="4" spans="1:19" ht="14.25" customHeight="1" x14ac:dyDescent="0.45">
      <c r="A4" s="67">
        <v>1099022</v>
      </c>
      <c r="B4" s="68" t="s">
        <v>93</v>
      </c>
      <c r="C4">
        <v>5.3836000000000004</v>
      </c>
      <c r="D4">
        <v>4.4566999999999997</v>
      </c>
      <c r="E4">
        <v>5.3836000000000004</v>
      </c>
      <c r="F4">
        <v>4.4566999999999997</v>
      </c>
      <c r="G4">
        <v>5.3836000000000004</v>
      </c>
      <c r="H4">
        <v>3.1934</v>
      </c>
      <c r="J4" s="69">
        <f t="shared" si="0"/>
        <v>1.2632999999999996</v>
      </c>
      <c r="K4" s="69">
        <f t="shared" si="1"/>
        <v>1.2632999999999996</v>
      </c>
      <c r="L4">
        <f t="shared" si="2"/>
        <v>0</v>
      </c>
      <c r="M4" s="49" t="str">
        <f t="shared" si="3"/>
        <v/>
      </c>
      <c r="N4" s="48" t="str">
        <f t="shared" si="4"/>
        <v/>
      </c>
      <c r="O4" s="49" t="str">
        <f t="shared" si="5"/>
        <v/>
      </c>
      <c r="P4" s="49">
        <f t="shared" si="6"/>
        <v>0</v>
      </c>
      <c r="Q4" s="49">
        <f t="shared" si="7"/>
        <v>-1.2632999999999996</v>
      </c>
      <c r="R4" s="46" t="str">
        <f t="shared" si="8"/>
        <v/>
      </c>
      <c r="S4" s="49" t="str">
        <f t="shared" si="9"/>
        <v/>
      </c>
    </row>
    <row r="5" spans="1:19" ht="14.25" customHeight="1" x14ac:dyDescent="0.45">
      <c r="A5" s="67">
        <v>1099023</v>
      </c>
      <c r="B5" s="68" t="s">
        <v>93</v>
      </c>
      <c r="C5">
        <v>-4.5212000000000003</v>
      </c>
      <c r="D5">
        <v>-6.984</v>
      </c>
      <c r="E5">
        <v>-4.5212000000000003</v>
      </c>
      <c r="F5">
        <v>-5.1069000000000004</v>
      </c>
      <c r="G5">
        <v>-4.8700999999999999</v>
      </c>
      <c r="H5">
        <v>-5.1069000000000004</v>
      </c>
      <c r="J5" s="69">
        <f t="shared" si="0"/>
        <v>0.34889999999999954</v>
      </c>
      <c r="K5" s="69">
        <f t="shared" si="1"/>
        <v>1.9092500150582683</v>
      </c>
      <c r="L5">
        <f t="shared" si="2"/>
        <v>1.8770999999999995</v>
      </c>
      <c r="M5" s="49">
        <f t="shared" si="3"/>
        <v>1.0171274919068076</v>
      </c>
      <c r="N5" s="48">
        <f t="shared" si="4"/>
        <v>-1.7127491906807714E-2</v>
      </c>
      <c r="O5" s="49">
        <f t="shared" si="5"/>
        <v>0</v>
      </c>
      <c r="P5" s="49">
        <f t="shared" si="6"/>
        <v>-0.34889999999999954</v>
      </c>
      <c r="Q5" s="49">
        <f t="shared" si="7"/>
        <v>1.8770999999999995</v>
      </c>
      <c r="R5" s="46">
        <f t="shared" si="8"/>
        <v>0</v>
      </c>
      <c r="S5" s="49">
        <f t="shared" si="9"/>
        <v>0.18587182355761528</v>
      </c>
    </row>
    <row r="6" spans="1:19" ht="14.25" customHeight="1" x14ac:dyDescent="0.45">
      <c r="A6" s="67">
        <v>1099024</v>
      </c>
      <c r="B6" s="68" t="s">
        <v>93</v>
      </c>
      <c r="C6">
        <v>14.146800000000001</v>
      </c>
      <c r="D6">
        <v>5.9584999999999999</v>
      </c>
      <c r="E6">
        <v>14.048299999999999</v>
      </c>
      <c r="F6">
        <v>4.4566999999999997</v>
      </c>
      <c r="G6">
        <v>14.048299999999999</v>
      </c>
      <c r="H6">
        <v>4.1078000000000001</v>
      </c>
      <c r="J6" s="69">
        <f t="shared" si="0"/>
        <v>0.34889999999999954</v>
      </c>
      <c r="K6" s="69">
        <f t="shared" si="1"/>
        <v>1.8533193842400719</v>
      </c>
      <c r="L6">
        <f t="shared" si="2"/>
        <v>1.5050267406262259</v>
      </c>
      <c r="M6" s="49">
        <f t="shared" si="3"/>
        <v>1.2314195716342722</v>
      </c>
      <c r="N6" s="48">
        <f t="shared" si="4"/>
        <v>-0.23141957163427218</v>
      </c>
      <c r="O6" s="49">
        <f t="shared" si="5"/>
        <v>-0.99785602438872067</v>
      </c>
      <c r="P6" s="49">
        <f t="shared" si="6"/>
        <v>-9.8500000000001364E-2</v>
      </c>
      <c r="Q6" s="49">
        <f t="shared" si="7"/>
        <v>-1.8506999999999998</v>
      </c>
      <c r="R6" s="46">
        <f t="shared" si="8"/>
        <v>0</v>
      </c>
      <c r="S6" s="49">
        <f t="shared" si="9"/>
        <v>0.23182312352458662</v>
      </c>
    </row>
    <row r="7" spans="1:19" ht="14.25" customHeight="1" x14ac:dyDescent="0.45">
      <c r="A7" s="67">
        <v>1099025</v>
      </c>
      <c r="B7" s="68" t="s">
        <v>93</v>
      </c>
      <c r="C7">
        <v>13.523400000000001</v>
      </c>
      <c r="D7">
        <v>0.4541</v>
      </c>
      <c r="E7">
        <v>13.523400000000001</v>
      </c>
      <c r="F7">
        <v>0.4541</v>
      </c>
      <c r="G7">
        <v>14.7867</v>
      </c>
      <c r="H7">
        <v>0.4541</v>
      </c>
      <c r="J7" s="69">
        <f t="shared" si="0"/>
        <v>1.2632999999999992</v>
      </c>
      <c r="K7" s="69">
        <f t="shared" si="1"/>
        <v>1.2632999999999992</v>
      </c>
      <c r="L7">
        <f t="shared" si="2"/>
        <v>0</v>
      </c>
      <c r="M7" s="49" t="str">
        <f t="shared" si="3"/>
        <v/>
      </c>
      <c r="N7" s="48" t="str">
        <f t="shared" si="4"/>
        <v/>
      </c>
      <c r="O7" s="49" t="str">
        <f t="shared" si="5"/>
        <v/>
      </c>
      <c r="P7" s="49">
        <f t="shared" si="6"/>
        <v>1.2632999999999992</v>
      </c>
      <c r="Q7" s="49">
        <f t="shared" si="7"/>
        <v>0</v>
      </c>
      <c r="R7" s="46" t="str">
        <f t="shared" si="8"/>
        <v/>
      </c>
      <c r="S7" s="49" t="str">
        <f t="shared" si="9"/>
        <v/>
      </c>
    </row>
    <row r="8" spans="1:19" ht="14.25" customHeight="1" x14ac:dyDescent="0.45">
      <c r="A8" s="67">
        <v>1099026</v>
      </c>
      <c r="B8" s="68" t="s">
        <v>93</v>
      </c>
      <c r="C8">
        <v>22.972200000000001</v>
      </c>
      <c r="D8">
        <v>-8.8635000000000002</v>
      </c>
      <c r="E8">
        <v>22.972200000000001</v>
      </c>
      <c r="F8">
        <v>-8.8635000000000002</v>
      </c>
      <c r="G8">
        <v>21.7089</v>
      </c>
      <c r="H8">
        <v>-9.4382999999999999</v>
      </c>
      <c r="J8" s="69">
        <f t="shared" si="0"/>
        <v>1.3879200012969055</v>
      </c>
      <c r="K8" s="69">
        <f t="shared" si="1"/>
        <v>1.3879200012969055</v>
      </c>
      <c r="L8">
        <f t="shared" si="2"/>
        <v>0</v>
      </c>
      <c r="M8" s="49" t="str">
        <f t="shared" si="3"/>
        <v/>
      </c>
      <c r="N8" s="48" t="str">
        <f t="shared" si="4"/>
        <v/>
      </c>
      <c r="O8" s="49" t="str">
        <f t="shared" si="5"/>
        <v/>
      </c>
      <c r="P8" s="49">
        <f t="shared" si="6"/>
        <v>-1.263300000000001</v>
      </c>
      <c r="Q8" s="49">
        <f t="shared" si="7"/>
        <v>-0.57479999999999976</v>
      </c>
      <c r="R8" s="46" t="str">
        <f t="shared" si="8"/>
        <v/>
      </c>
      <c r="S8" s="49" t="str">
        <f t="shared" si="9"/>
        <v/>
      </c>
    </row>
    <row r="9" spans="1:19" ht="14.25" customHeight="1" x14ac:dyDescent="0.45">
      <c r="A9" s="67">
        <v>1099027</v>
      </c>
      <c r="B9" s="68" t="s">
        <v>93</v>
      </c>
      <c r="C9">
        <v>30.843</v>
      </c>
      <c r="D9">
        <v>4.4566999999999997</v>
      </c>
      <c r="E9">
        <v>30.843</v>
      </c>
      <c r="F9">
        <v>4.4566999999999997</v>
      </c>
      <c r="G9">
        <v>30.843</v>
      </c>
      <c r="H9">
        <v>3.1934</v>
      </c>
      <c r="J9" s="69">
        <f t="shared" si="0"/>
        <v>1.2632999999999996</v>
      </c>
      <c r="K9" s="69">
        <f t="shared" si="1"/>
        <v>1.2632999999999996</v>
      </c>
      <c r="L9">
        <f t="shared" si="2"/>
        <v>0</v>
      </c>
      <c r="M9" s="49" t="str">
        <f t="shared" si="3"/>
        <v/>
      </c>
      <c r="N9" s="48" t="str">
        <f t="shared" si="4"/>
        <v/>
      </c>
      <c r="O9" s="49" t="str">
        <f t="shared" si="5"/>
        <v/>
      </c>
      <c r="P9" s="49">
        <f t="shared" si="6"/>
        <v>0</v>
      </c>
      <c r="Q9" s="49">
        <f t="shared" si="7"/>
        <v>-1.2632999999999996</v>
      </c>
      <c r="R9" s="46" t="str">
        <f t="shared" si="8"/>
        <v/>
      </c>
      <c r="S9" s="49" t="str">
        <f t="shared" si="9"/>
        <v/>
      </c>
    </row>
    <row r="10" spans="1:19" ht="14.25" customHeight="1" x14ac:dyDescent="0.45">
      <c r="A10" s="67">
        <v>1099028</v>
      </c>
      <c r="B10" s="68" t="s">
        <v>93</v>
      </c>
      <c r="C10">
        <v>35.505000000000003</v>
      </c>
      <c r="D10">
        <v>11.174099999999999</v>
      </c>
      <c r="E10">
        <v>35.505000000000003</v>
      </c>
      <c r="F10">
        <v>10.723100000000001</v>
      </c>
      <c r="G10">
        <v>35.505000000000003</v>
      </c>
      <c r="H10">
        <v>12.0853</v>
      </c>
      <c r="J10" s="69">
        <f t="shared" si="0"/>
        <v>1.3621999999999996</v>
      </c>
      <c r="K10" s="69">
        <f t="shared" si="1"/>
        <v>0.9112000000000009</v>
      </c>
      <c r="L10">
        <f t="shared" si="2"/>
        <v>0.45099999999999874</v>
      </c>
      <c r="M10" s="49">
        <f t="shared" si="3"/>
        <v>2.0203991130820476</v>
      </c>
      <c r="N10" s="48">
        <f t="shared" si="4"/>
        <v>-1.0203991130820476</v>
      </c>
      <c r="O10" s="49">
        <f t="shared" si="5"/>
        <v>1</v>
      </c>
      <c r="P10" s="49">
        <f t="shared" si="6"/>
        <v>0</v>
      </c>
      <c r="Q10" s="49">
        <f t="shared" si="7"/>
        <v>0.9112000000000009</v>
      </c>
      <c r="R10" s="46">
        <f t="shared" si="8"/>
        <v>0</v>
      </c>
      <c r="S10" s="49">
        <f t="shared" si="9"/>
        <v>3.0203991130820476</v>
      </c>
    </row>
    <row r="11" spans="1:19" ht="14.25" customHeight="1" x14ac:dyDescent="0.45">
      <c r="A11" s="67">
        <v>1099029</v>
      </c>
      <c r="B11" s="68" t="s">
        <v>93</v>
      </c>
      <c r="C11">
        <v>35.639499999999998</v>
      </c>
      <c r="D11">
        <v>-12.292999999999999</v>
      </c>
      <c r="E11">
        <v>35.639499999999998</v>
      </c>
      <c r="F11">
        <v>-12.0951</v>
      </c>
      <c r="G11">
        <v>35.639499999999998</v>
      </c>
      <c r="H11">
        <v>-10.732900000000001</v>
      </c>
      <c r="J11" s="69">
        <f t="shared" si="0"/>
        <v>1.3621999999999996</v>
      </c>
      <c r="K11" s="69">
        <f t="shared" si="1"/>
        <v>1.5600999999999985</v>
      </c>
      <c r="L11">
        <f t="shared" si="2"/>
        <v>0.19789999999999885</v>
      </c>
      <c r="M11" s="49">
        <f t="shared" si="3"/>
        <v>7.8832743810005432</v>
      </c>
      <c r="N11" s="48">
        <f t="shared" si="4"/>
        <v>-6.8832743810005432</v>
      </c>
      <c r="O11" s="49">
        <f t="shared" si="5"/>
        <v>-1</v>
      </c>
      <c r="P11" s="49">
        <f t="shared" si="6"/>
        <v>0</v>
      </c>
      <c r="Q11" s="49">
        <f t="shared" si="7"/>
        <v>1.5600999999999985</v>
      </c>
      <c r="R11" s="46">
        <f t="shared" si="8"/>
        <v>0</v>
      </c>
      <c r="S11" s="49">
        <f t="shared" si="9"/>
        <v>6.8832743810005432</v>
      </c>
    </row>
    <row r="12" spans="1:19" ht="14.25" customHeight="1" x14ac:dyDescent="0.45">
      <c r="A12" s="67">
        <v>1099030</v>
      </c>
      <c r="B12" s="68" t="s">
        <v>93</v>
      </c>
      <c r="C12">
        <v>20.708400000000001</v>
      </c>
      <c r="D12">
        <v>5.9584999999999999</v>
      </c>
      <c r="E12">
        <v>21.183800000000002</v>
      </c>
      <c r="F12">
        <v>4.4566999999999997</v>
      </c>
      <c r="G12">
        <v>21.183800000000002</v>
      </c>
      <c r="H12">
        <v>4.1078000000000001</v>
      </c>
      <c r="J12" s="69">
        <f t="shared" si="0"/>
        <v>0.34889999999999954</v>
      </c>
      <c r="K12" s="69">
        <f t="shared" si="1"/>
        <v>1.9107840406492826</v>
      </c>
      <c r="L12">
        <f t="shared" si="2"/>
        <v>1.5752486787805922</v>
      </c>
      <c r="M12" s="49">
        <f t="shared" si="3"/>
        <v>1.213004693410332</v>
      </c>
      <c r="N12" s="48">
        <f t="shared" si="4"/>
        <v>-0.21300469341033193</v>
      </c>
      <c r="O12" s="49">
        <f t="shared" si="5"/>
        <v>-0.95337328018745005</v>
      </c>
      <c r="P12" s="49">
        <f t="shared" si="6"/>
        <v>0.47540000000000049</v>
      </c>
      <c r="Q12" s="49">
        <f t="shared" si="7"/>
        <v>-1.8506999999999998</v>
      </c>
      <c r="R12" s="46">
        <f t="shared" si="8"/>
        <v>0</v>
      </c>
      <c r="S12" s="49">
        <f t="shared" si="9"/>
        <v>0.22148883836556191</v>
      </c>
    </row>
    <row r="13" spans="1:19" ht="14.25" customHeight="1" x14ac:dyDescent="0.45">
      <c r="A13" s="70">
        <v>1099031</v>
      </c>
      <c r="B13" s="71" t="s">
        <v>55</v>
      </c>
      <c r="C13">
        <v>-8.8191000000000006</v>
      </c>
      <c r="D13">
        <v>11.5121</v>
      </c>
      <c r="E13">
        <v>-8.8191000000000006</v>
      </c>
      <c r="F13">
        <v>9.5124999999999993</v>
      </c>
      <c r="G13">
        <v>-8.8191000000000006</v>
      </c>
      <c r="H13">
        <v>9.6621000000000006</v>
      </c>
      <c r="J13" s="69">
        <f t="shared" si="0"/>
        <v>0.14960000000000129</v>
      </c>
      <c r="K13" s="69">
        <f t="shared" si="1"/>
        <v>1.8499999999999996</v>
      </c>
      <c r="L13">
        <f t="shared" si="2"/>
        <v>1.9996000000000009</v>
      </c>
      <c r="M13" s="49">
        <f t="shared" si="3"/>
        <v>0.92518503700740085</v>
      </c>
      <c r="N13" s="48">
        <f t="shared" si="4"/>
        <v>7.4814962992599127E-2</v>
      </c>
      <c r="O13" s="49">
        <f t="shared" si="5"/>
        <v>1</v>
      </c>
      <c r="P13" s="49">
        <f t="shared" si="6"/>
        <v>0</v>
      </c>
      <c r="Q13" s="49">
        <f t="shared" si="7"/>
        <v>-1.8499999999999996</v>
      </c>
      <c r="R13" s="46">
        <f t="shared" si="8"/>
        <v>1</v>
      </c>
      <c r="S13" s="49">
        <f t="shared" si="9"/>
        <v>7.4814962992599127E-2</v>
      </c>
    </row>
    <row r="14" spans="1:19" ht="14.25" customHeight="1" x14ac:dyDescent="0.45">
      <c r="A14" s="70">
        <v>1099032</v>
      </c>
      <c r="B14" s="71" t="s">
        <v>55</v>
      </c>
      <c r="C14">
        <v>30.0227</v>
      </c>
      <c r="D14">
        <v>-12.974500000000001</v>
      </c>
      <c r="E14">
        <v>30.0227</v>
      </c>
      <c r="F14">
        <v>-10.8353</v>
      </c>
      <c r="G14">
        <v>30.0227</v>
      </c>
      <c r="H14">
        <v>-10.9849</v>
      </c>
      <c r="J14" s="69">
        <f t="shared" si="0"/>
        <v>0.14959999999999951</v>
      </c>
      <c r="K14" s="69">
        <f t="shared" si="1"/>
        <v>1.9896000000000011</v>
      </c>
      <c r="L14">
        <f t="shared" si="2"/>
        <v>2.1392000000000007</v>
      </c>
      <c r="M14" s="49">
        <f t="shared" si="3"/>
        <v>0.93006731488406902</v>
      </c>
      <c r="N14" s="48">
        <f t="shared" si="4"/>
        <v>6.993268511593094E-2</v>
      </c>
      <c r="O14" s="49">
        <f t="shared" si="5"/>
        <v>1</v>
      </c>
      <c r="P14" s="49">
        <f t="shared" si="6"/>
        <v>0</v>
      </c>
      <c r="Q14" s="49">
        <f t="shared" si="7"/>
        <v>1.9896000000000011</v>
      </c>
      <c r="R14" s="46">
        <f t="shared" si="8"/>
        <v>1</v>
      </c>
      <c r="S14" s="49">
        <f t="shared" si="9"/>
        <v>6.993268511593094E-2</v>
      </c>
    </row>
    <row r="15" spans="1:19" ht="14.25" customHeight="1" x14ac:dyDescent="0.45">
      <c r="A15" s="70">
        <v>1099033</v>
      </c>
      <c r="B15" s="71" t="s">
        <v>55</v>
      </c>
      <c r="C15">
        <v>10.8659</v>
      </c>
      <c r="D15">
        <v>-12.974500000000001</v>
      </c>
      <c r="E15">
        <v>10.8659</v>
      </c>
      <c r="F15">
        <v>-10.8353</v>
      </c>
      <c r="G15">
        <v>10.8659</v>
      </c>
      <c r="H15">
        <v>-10.9849</v>
      </c>
      <c r="J15" s="69">
        <f t="shared" si="0"/>
        <v>0.14959999999999951</v>
      </c>
      <c r="K15" s="69">
        <f t="shared" si="1"/>
        <v>1.9896000000000011</v>
      </c>
      <c r="L15">
        <f t="shared" si="2"/>
        <v>2.1392000000000007</v>
      </c>
      <c r="M15" s="49">
        <f t="shared" si="3"/>
        <v>0.93006731488406902</v>
      </c>
      <c r="N15" s="48">
        <f t="shared" si="4"/>
        <v>6.993268511593094E-2</v>
      </c>
      <c r="O15" s="49">
        <f t="shared" si="5"/>
        <v>1</v>
      </c>
      <c r="P15" s="49">
        <f t="shared" si="6"/>
        <v>0</v>
      </c>
      <c r="Q15" s="49">
        <f t="shared" si="7"/>
        <v>1.9896000000000011</v>
      </c>
      <c r="R15" s="46">
        <f t="shared" si="8"/>
        <v>1</v>
      </c>
      <c r="S15" s="49">
        <f t="shared" si="9"/>
        <v>6.993268511593094E-2</v>
      </c>
    </row>
    <row r="16" spans="1:19" ht="14.25" customHeight="1" x14ac:dyDescent="0.45">
      <c r="A16" s="70">
        <v>1099034</v>
      </c>
      <c r="B16" s="71" t="s">
        <v>55</v>
      </c>
      <c r="C16">
        <v>-0.61699999999999999</v>
      </c>
      <c r="D16">
        <v>-12.974500000000001</v>
      </c>
      <c r="E16">
        <v>-0.61699999999999999</v>
      </c>
      <c r="F16">
        <v>-10.8353</v>
      </c>
      <c r="G16">
        <v>-0.61699999999999999</v>
      </c>
      <c r="H16">
        <v>-10.9849</v>
      </c>
      <c r="J16" s="69">
        <f t="shared" si="0"/>
        <v>0.14959999999999951</v>
      </c>
      <c r="K16" s="69">
        <f t="shared" si="1"/>
        <v>1.9896000000000011</v>
      </c>
      <c r="L16">
        <f t="shared" si="2"/>
        <v>2.1392000000000007</v>
      </c>
      <c r="M16" s="49">
        <f t="shared" si="3"/>
        <v>0.93006731488406902</v>
      </c>
      <c r="N16" s="48">
        <f t="shared" si="4"/>
        <v>6.993268511593094E-2</v>
      </c>
      <c r="O16" s="49">
        <f t="shared" si="5"/>
        <v>1</v>
      </c>
      <c r="P16" s="49">
        <f t="shared" si="6"/>
        <v>0</v>
      </c>
      <c r="Q16" s="49">
        <f t="shared" si="7"/>
        <v>1.9896000000000011</v>
      </c>
      <c r="R16" s="46">
        <f t="shared" si="8"/>
        <v>1</v>
      </c>
      <c r="S16" s="49">
        <f t="shared" si="9"/>
        <v>6.993268511593094E-2</v>
      </c>
    </row>
    <row r="17" spans="1:19" ht="14.25" customHeight="1" x14ac:dyDescent="0.45">
      <c r="A17" s="70">
        <v>1099035</v>
      </c>
      <c r="B17" s="71" t="s">
        <v>55</v>
      </c>
      <c r="C17">
        <v>-8.8191000000000006</v>
      </c>
      <c r="D17">
        <v>-12.974500000000001</v>
      </c>
      <c r="E17">
        <v>-8.8191000000000006</v>
      </c>
      <c r="F17">
        <v>-10.8353</v>
      </c>
      <c r="G17">
        <v>-8.8191000000000006</v>
      </c>
      <c r="H17">
        <v>-10.9849</v>
      </c>
      <c r="J17" s="69">
        <f t="shared" si="0"/>
        <v>0.14959999999999951</v>
      </c>
      <c r="K17" s="69">
        <f t="shared" si="1"/>
        <v>1.9896000000000011</v>
      </c>
      <c r="L17">
        <f t="shared" si="2"/>
        <v>2.1392000000000007</v>
      </c>
      <c r="M17" s="49">
        <f t="shared" si="3"/>
        <v>0.93006731488406902</v>
      </c>
      <c r="N17" s="48">
        <f t="shared" si="4"/>
        <v>6.993268511593094E-2</v>
      </c>
      <c r="O17" s="49">
        <f t="shared" si="5"/>
        <v>1</v>
      </c>
      <c r="P17" s="49">
        <f t="shared" si="6"/>
        <v>0</v>
      </c>
      <c r="Q17" s="49">
        <f t="shared" si="7"/>
        <v>1.9896000000000011</v>
      </c>
      <c r="R17" s="46">
        <f t="shared" si="8"/>
        <v>1</v>
      </c>
      <c r="S17" s="49">
        <f t="shared" si="9"/>
        <v>6.993268511593094E-2</v>
      </c>
    </row>
    <row r="18" spans="1:19" ht="14.25" customHeight="1" x14ac:dyDescent="0.45">
      <c r="A18" s="70">
        <v>1099036</v>
      </c>
      <c r="B18" s="71" t="s">
        <v>55</v>
      </c>
      <c r="C18">
        <v>16.297000000000001</v>
      </c>
      <c r="D18">
        <v>11.5121</v>
      </c>
      <c r="E18">
        <v>15.7872</v>
      </c>
      <c r="F18">
        <v>9.5124999999999993</v>
      </c>
      <c r="G18">
        <v>15.7872</v>
      </c>
      <c r="H18">
        <v>9.6621000000000006</v>
      </c>
      <c r="J18" s="69">
        <f t="shared" si="0"/>
        <v>0.14960000000000129</v>
      </c>
      <c r="K18" s="69">
        <f t="shared" si="1"/>
        <v>1.9189570187995348</v>
      </c>
      <c r="L18">
        <f t="shared" si="2"/>
        <v>2.0635639558782772</v>
      </c>
      <c r="M18" s="49">
        <f t="shared" si="3"/>
        <v>0.929923695038957</v>
      </c>
      <c r="N18" s="48">
        <f t="shared" si="4"/>
        <v>7.0076304961042973E-2</v>
      </c>
      <c r="O18" s="49">
        <f t="shared" si="5"/>
        <v>0.96900316285518151</v>
      </c>
      <c r="P18" s="49">
        <f t="shared" si="6"/>
        <v>-0.50980000000000025</v>
      </c>
      <c r="Q18" s="49">
        <f t="shared" si="7"/>
        <v>-1.8499999999999996</v>
      </c>
      <c r="R18" s="46">
        <f t="shared" si="8"/>
        <v>1</v>
      </c>
      <c r="S18" s="49">
        <f t="shared" si="9"/>
        <v>7.2495935768721917E-2</v>
      </c>
    </row>
    <row r="19" spans="1:19" ht="14.25" customHeight="1" x14ac:dyDescent="0.45">
      <c r="A19" s="70">
        <v>1099037</v>
      </c>
      <c r="B19" s="71" t="s">
        <v>55</v>
      </c>
      <c r="C19">
        <v>20.708400000000001</v>
      </c>
      <c r="D19">
        <v>11.5121</v>
      </c>
      <c r="E19">
        <v>20.708400000000001</v>
      </c>
      <c r="F19">
        <v>9.5124999999999993</v>
      </c>
      <c r="G19">
        <v>20.708400000000001</v>
      </c>
      <c r="H19">
        <v>9.6621000000000006</v>
      </c>
      <c r="J19" s="69">
        <f t="shared" si="0"/>
        <v>0.14960000000000129</v>
      </c>
      <c r="K19" s="69">
        <f t="shared" si="1"/>
        <v>1.8499999999999996</v>
      </c>
      <c r="L19">
        <f t="shared" si="2"/>
        <v>1.9996000000000009</v>
      </c>
      <c r="M19" s="49">
        <f t="shared" si="3"/>
        <v>0.92518503700740085</v>
      </c>
      <c r="N19" s="48">
        <f t="shared" si="4"/>
        <v>7.4814962992599127E-2</v>
      </c>
      <c r="O19" s="49">
        <f t="shared" si="5"/>
        <v>1</v>
      </c>
      <c r="P19" s="49">
        <f t="shared" si="6"/>
        <v>0</v>
      </c>
      <c r="Q19" s="49">
        <f t="shared" si="7"/>
        <v>-1.8499999999999996</v>
      </c>
      <c r="R19" s="46">
        <f t="shared" si="8"/>
        <v>1</v>
      </c>
      <c r="S19" s="49">
        <f t="shared" si="9"/>
        <v>7.4814962992599127E-2</v>
      </c>
    </row>
    <row r="20" spans="1:19" ht="14.25" customHeight="1" x14ac:dyDescent="0.45">
      <c r="A20">
        <v>1099012</v>
      </c>
      <c r="B20" t="s">
        <v>50</v>
      </c>
      <c r="C20">
        <v>-10.0306</v>
      </c>
      <c r="D20">
        <v>3.4822000000000002</v>
      </c>
      <c r="E20">
        <v>-9.1366999999999994</v>
      </c>
      <c r="F20">
        <v>-1.9528000000000001</v>
      </c>
      <c r="G20">
        <v>-10.3001</v>
      </c>
      <c r="H20">
        <v>3.3371</v>
      </c>
      <c r="J20" s="69">
        <f t="shared" si="0"/>
        <v>5.4163217749686918</v>
      </c>
      <c r="K20" s="69">
        <f t="shared" si="1"/>
        <v>0.30607884605114488</v>
      </c>
      <c r="L20">
        <f t="shared" si="2"/>
        <v>5.5080198084248035</v>
      </c>
      <c r="M20" s="49">
        <f t="shared" si="3"/>
        <v>5.5569670534405362E-2</v>
      </c>
      <c r="N20" s="48">
        <f t="shared" si="4"/>
        <v>0.94443032946559458</v>
      </c>
      <c r="O20" s="49">
        <f t="shared" si="5"/>
        <v>0.99857079178794239</v>
      </c>
      <c r="P20" s="49">
        <f t="shared" si="6"/>
        <v>-0.26950000000000074</v>
      </c>
      <c r="Q20" s="49">
        <f t="shared" si="7"/>
        <v>-0.14510000000000023</v>
      </c>
      <c r="R20" s="46">
        <f t="shared" si="8"/>
        <v>1</v>
      </c>
      <c r="S20" s="49">
        <f t="shared" si="9"/>
        <v>0.98335190564931252</v>
      </c>
    </row>
    <row r="21" spans="1:19" ht="14.25" customHeight="1" x14ac:dyDescent="0.45">
      <c r="A21">
        <v>1099013</v>
      </c>
      <c r="B21" t="s">
        <v>50</v>
      </c>
      <c r="C21">
        <v>-0.42909999999999998</v>
      </c>
      <c r="D21">
        <v>-7.9954000000000001</v>
      </c>
      <c r="E21">
        <v>0</v>
      </c>
      <c r="F21">
        <v>-6.0646000000000004</v>
      </c>
      <c r="G21">
        <v>-0.75649999999999995</v>
      </c>
      <c r="H21">
        <v>-6.9175000000000004</v>
      </c>
      <c r="J21" s="69">
        <f t="shared" si="0"/>
        <v>1.1400573055772241</v>
      </c>
      <c r="K21" s="69">
        <f t="shared" si="1"/>
        <v>1.1265252638090275</v>
      </c>
      <c r="L21">
        <f t="shared" si="2"/>
        <v>1.9779068355208236</v>
      </c>
      <c r="M21" s="49">
        <f t="shared" si="3"/>
        <v>0.56955425987614339</v>
      </c>
      <c r="N21" s="48">
        <f t="shared" si="4"/>
        <v>0.43044574012385661</v>
      </c>
      <c r="O21" s="49">
        <f t="shared" si="5"/>
        <v>0.87426038612932799</v>
      </c>
      <c r="P21" s="49">
        <f t="shared" si="6"/>
        <v>-0.32739999999999997</v>
      </c>
      <c r="Q21" s="49">
        <f t="shared" si="7"/>
        <v>1.0778999999999996</v>
      </c>
      <c r="R21" s="46">
        <f t="shared" si="8"/>
        <v>1</v>
      </c>
      <c r="S21" s="49">
        <f t="shared" si="9"/>
        <v>0.57639585702580554</v>
      </c>
    </row>
    <row r="22" spans="1:19" ht="14.25" customHeight="1" x14ac:dyDescent="0.45">
      <c r="A22">
        <v>1099014</v>
      </c>
      <c r="B22" t="s">
        <v>50</v>
      </c>
      <c r="C22">
        <v>8.2972000000000001</v>
      </c>
      <c r="D22">
        <v>-4.1165000000000003</v>
      </c>
      <c r="E22">
        <v>8.2972000000000001</v>
      </c>
      <c r="F22">
        <v>-4.1165000000000003</v>
      </c>
      <c r="G22">
        <v>8.4515999999999991</v>
      </c>
      <c r="H22">
        <v>-5.6596000000000002</v>
      </c>
      <c r="J22" s="69">
        <f t="shared" si="0"/>
        <v>1.5508052650155659</v>
      </c>
      <c r="K22" s="69">
        <f t="shared" si="1"/>
        <v>1.5508052650155659</v>
      </c>
      <c r="L22">
        <f t="shared" si="2"/>
        <v>0</v>
      </c>
      <c r="M22" s="49" t="str">
        <f t="shared" si="3"/>
        <v/>
      </c>
      <c r="N22" s="48" t="str">
        <f t="shared" si="4"/>
        <v/>
      </c>
      <c r="O22" s="49" t="str">
        <f t="shared" si="5"/>
        <v/>
      </c>
      <c r="P22" s="49">
        <f t="shared" si="6"/>
        <v>0.15439999999999898</v>
      </c>
      <c r="Q22" s="49">
        <f t="shared" si="7"/>
        <v>-1.5430999999999999</v>
      </c>
      <c r="R22" s="46" t="str">
        <f t="shared" si="8"/>
        <v/>
      </c>
      <c r="S22" s="49" t="str">
        <f t="shared" si="9"/>
        <v/>
      </c>
    </row>
    <row r="23" spans="1:19" ht="14.25" customHeight="1" x14ac:dyDescent="0.45">
      <c r="A23">
        <v>1099015</v>
      </c>
      <c r="B23" t="s">
        <v>50</v>
      </c>
      <c r="C23">
        <v>19.424299999999999</v>
      </c>
      <c r="D23">
        <v>-10.7758</v>
      </c>
      <c r="E23">
        <v>18.9878</v>
      </c>
      <c r="F23">
        <v>-7.5670000000000002</v>
      </c>
      <c r="G23">
        <v>18.999099999999999</v>
      </c>
      <c r="H23">
        <v>-7.7545999999999999</v>
      </c>
      <c r="J23" s="69">
        <f t="shared" si="0"/>
        <v>0.18794001702670957</v>
      </c>
      <c r="K23" s="69">
        <f t="shared" si="1"/>
        <v>3.050974349285815</v>
      </c>
      <c r="L23">
        <f t="shared" si="2"/>
        <v>3.2383529285734127</v>
      </c>
      <c r="M23" s="49">
        <f t="shared" si="3"/>
        <v>0.94213769054191898</v>
      </c>
      <c r="N23" s="48">
        <f t="shared" si="4"/>
        <v>5.7862309458081011E-2</v>
      </c>
      <c r="O23" s="49">
        <f t="shared" si="5"/>
        <v>0.9971857883453592</v>
      </c>
      <c r="P23" s="49">
        <f t="shared" si="6"/>
        <v>-0.42520000000000024</v>
      </c>
      <c r="Q23" s="49">
        <f t="shared" si="7"/>
        <v>3.0212000000000003</v>
      </c>
      <c r="R23" s="46">
        <f t="shared" si="8"/>
        <v>1</v>
      </c>
      <c r="S23" s="49">
        <f t="shared" si="9"/>
        <v>5.8035680845170426E-2</v>
      </c>
    </row>
    <row r="24" spans="1:19" ht="14.25" customHeight="1" x14ac:dyDescent="0.45">
      <c r="A24">
        <v>1099016</v>
      </c>
      <c r="B24" t="s">
        <v>50</v>
      </c>
      <c r="C24">
        <v>17.228300000000001</v>
      </c>
      <c r="D24">
        <v>-3.1825000000000001</v>
      </c>
      <c r="E24">
        <v>18.429400000000001</v>
      </c>
      <c r="F24">
        <v>-0.74380000000000002</v>
      </c>
      <c r="G24">
        <v>17.616099999999999</v>
      </c>
      <c r="H24">
        <v>-0.81230000000000002</v>
      </c>
      <c r="J24" s="69">
        <f t="shared" si="0"/>
        <v>0.81617960033316361</v>
      </c>
      <c r="K24" s="69">
        <f t="shared" si="1"/>
        <v>2.401715403623002</v>
      </c>
      <c r="L24">
        <f t="shared" si="2"/>
        <v>2.7184368486319483</v>
      </c>
      <c r="M24" s="49">
        <f t="shared" si="3"/>
        <v>0.88349133614476416</v>
      </c>
      <c r="N24" s="48">
        <f t="shared" si="4"/>
        <v>0.11650866385523587</v>
      </c>
      <c r="O24" s="49">
        <f t="shared" si="5"/>
        <v>0.51556709813049606</v>
      </c>
      <c r="P24" s="49">
        <f t="shared" si="6"/>
        <v>0.38779999999999859</v>
      </c>
      <c r="Q24" s="49">
        <f t="shared" si="7"/>
        <v>2.3702000000000001</v>
      </c>
      <c r="R24" s="46">
        <f t="shared" si="8"/>
        <v>1</v>
      </c>
      <c r="S24" s="49">
        <f t="shared" si="9"/>
        <v>0.3002385730402034</v>
      </c>
    </row>
    <row r="25" spans="1:19" ht="14.25" customHeight="1" x14ac:dyDescent="0.45">
      <c r="A25">
        <v>1099017</v>
      </c>
      <c r="B25" t="s">
        <v>50</v>
      </c>
      <c r="C25">
        <v>28.801300000000001</v>
      </c>
      <c r="D25">
        <v>-3.9009</v>
      </c>
      <c r="E25">
        <v>28.801300000000001</v>
      </c>
      <c r="F25">
        <v>-3.9009</v>
      </c>
      <c r="G25">
        <v>27.3598</v>
      </c>
      <c r="H25">
        <v>-0.81520000000000004</v>
      </c>
      <c r="J25" s="69">
        <f t="shared" si="0"/>
        <v>3.4057989870219885</v>
      </c>
      <c r="K25" s="69">
        <f t="shared" si="1"/>
        <v>3.4057989870219885</v>
      </c>
      <c r="L25">
        <f t="shared" si="2"/>
        <v>0</v>
      </c>
      <c r="M25" s="49" t="str">
        <f t="shared" si="3"/>
        <v/>
      </c>
      <c r="N25" s="48" t="str">
        <f t="shared" si="4"/>
        <v/>
      </c>
      <c r="O25" s="49" t="str">
        <f t="shared" si="5"/>
        <v/>
      </c>
      <c r="P25" s="49">
        <f t="shared" si="6"/>
        <v>-1.4415000000000013</v>
      </c>
      <c r="Q25" s="49">
        <f t="shared" si="7"/>
        <v>3.0857000000000001</v>
      </c>
      <c r="R25" s="46" t="str">
        <f t="shared" si="8"/>
        <v/>
      </c>
      <c r="S25" s="49" t="str">
        <f t="shared" si="9"/>
        <v/>
      </c>
    </row>
    <row r="26" spans="1:19" ht="14.25" customHeight="1" x14ac:dyDescent="0.45">
      <c r="A26">
        <v>1099018</v>
      </c>
      <c r="B26" t="s">
        <v>50</v>
      </c>
      <c r="C26">
        <v>36.618499999999997</v>
      </c>
      <c r="D26">
        <v>5.2487000000000004</v>
      </c>
      <c r="E26">
        <v>28.801300000000001</v>
      </c>
      <c r="F26">
        <v>5.7225000000000001</v>
      </c>
      <c r="G26">
        <v>37.856999999999999</v>
      </c>
      <c r="H26">
        <v>-5.7016</v>
      </c>
      <c r="J26" s="69">
        <f t="shared" si="0"/>
        <v>14.577920403816174</v>
      </c>
      <c r="K26" s="69">
        <f t="shared" si="1"/>
        <v>11.020115804291715</v>
      </c>
      <c r="L26">
        <f t="shared" si="2"/>
        <v>7.831545331542169</v>
      </c>
      <c r="M26" s="49">
        <f t="shared" si="3"/>
        <v>1.4071444826996435</v>
      </c>
      <c r="N26" s="48">
        <f t="shared" si="4"/>
        <v>-0.40714448269964365</v>
      </c>
      <c r="O26" s="49">
        <f t="shared" si="5"/>
        <v>0.66746543616346277</v>
      </c>
      <c r="P26" s="49">
        <f t="shared" si="6"/>
        <v>1.2385000000000019</v>
      </c>
      <c r="Q26" s="49">
        <f t="shared" si="7"/>
        <v>-10.9503</v>
      </c>
      <c r="R26" s="46">
        <f t="shared" si="8"/>
        <v>0</v>
      </c>
      <c r="S26" s="49">
        <f t="shared" si="9"/>
        <v>1.8614359984743298</v>
      </c>
    </row>
    <row r="27" spans="1:19" ht="14.25" customHeight="1" x14ac:dyDescent="0.45">
      <c r="A27">
        <v>1099019</v>
      </c>
      <c r="B27" t="s">
        <v>50</v>
      </c>
      <c r="C27">
        <v>17.7104</v>
      </c>
      <c r="D27">
        <v>3.1236999999999999</v>
      </c>
      <c r="E27">
        <v>17.7104</v>
      </c>
      <c r="F27">
        <v>3.1236999999999999</v>
      </c>
      <c r="G27">
        <v>17.7378</v>
      </c>
      <c r="H27">
        <v>3.2953000000000001</v>
      </c>
      <c r="J27" s="69">
        <f t="shared" si="0"/>
        <v>0.17377376096522765</v>
      </c>
      <c r="K27" s="69">
        <f t="shared" si="1"/>
        <v>0.17377376096522765</v>
      </c>
      <c r="L27">
        <f t="shared" si="2"/>
        <v>0</v>
      </c>
      <c r="M27" s="49" t="str">
        <f t="shared" si="3"/>
        <v/>
      </c>
      <c r="N27" s="48" t="str">
        <f t="shared" si="4"/>
        <v/>
      </c>
      <c r="O27" s="49" t="str">
        <f t="shared" si="5"/>
        <v/>
      </c>
      <c r="P27" s="49">
        <f t="shared" si="6"/>
        <v>2.7400000000000091E-2</v>
      </c>
      <c r="Q27" s="49">
        <f t="shared" si="7"/>
        <v>0.1716000000000002</v>
      </c>
      <c r="R27" s="46" t="str">
        <f t="shared" si="8"/>
        <v/>
      </c>
      <c r="S27" s="49" t="str">
        <f t="shared" si="9"/>
        <v/>
      </c>
    </row>
    <row r="28" spans="1:19" ht="14.25" customHeight="1" x14ac:dyDescent="0.45">
      <c r="J28" s="69"/>
      <c r="K28" s="69"/>
    </row>
    <row r="29" spans="1:19" ht="26.25" customHeight="1" x14ac:dyDescent="0.45">
      <c r="B29" s="20" t="s">
        <v>59</v>
      </c>
      <c r="J29" s="20" t="s">
        <v>40</v>
      </c>
      <c r="K29" s="20" t="s">
        <v>41</v>
      </c>
      <c r="L29" s="20" t="s">
        <v>42</v>
      </c>
    </row>
    <row r="30" spans="1:19" ht="14.25" customHeight="1" x14ac:dyDescent="0.45">
      <c r="A30" s="20" t="s">
        <v>46</v>
      </c>
      <c r="B30">
        <f>SUM(B31:B35)</f>
        <v>26</v>
      </c>
      <c r="I30" s="20" t="s">
        <v>46</v>
      </c>
      <c r="J30">
        <f>_xlfn.AGGREGATE(1,6,J2:J27)</f>
        <v>1.481854504462371</v>
      </c>
      <c r="K30">
        <f>_xlfn.AGGREGATE(1,6,K2:K27)</f>
        <v>2.0503314067655207</v>
      </c>
      <c r="L30">
        <f>_xlfn.AGGREGATE(1,6,L2:L27)</f>
        <v>1.6772999832220858</v>
      </c>
    </row>
    <row r="31" spans="1:19" ht="26.25" customHeight="1" x14ac:dyDescent="0.45">
      <c r="A31" s="20" t="s">
        <v>47</v>
      </c>
      <c r="B31">
        <f>COUNTIF(B2:B27,"Doors")</f>
        <v>11</v>
      </c>
      <c r="I31" s="20" t="s">
        <v>47</v>
      </c>
      <c r="J31">
        <f>_xlfn.AGGREGATE(1,6,J2:J12)</f>
        <v>0.92838363648153654</v>
      </c>
      <c r="K31">
        <f>_xlfn.AGGREGATE(1,6,K2:K12)</f>
        <v>1.5177701706400457</v>
      </c>
      <c r="L31">
        <f>_xlfn.AGGREGATE(1,6,L2:L12)</f>
        <v>0.70145216865479942</v>
      </c>
    </row>
    <row r="32" spans="1:19" ht="26.25" customHeight="1" x14ac:dyDescent="0.45">
      <c r="A32" s="20" t="s">
        <v>55</v>
      </c>
      <c r="B32">
        <f>COUNTIF(B2:B27,"Windows")</f>
        <v>7</v>
      </c>
      <c r="I32" s="20" t="s">
        <v>48</v>
      </c>
      <c r="J32">
        <f>_xlfn.AGGREGATE(1,6,J13:J19)</f>
        <v>0.14960000000000026</v>
      </c>
      <c r="K32">
        <f>_xlfn.AGGREGATE(1,6,K13:K19)</f>
        <v>1.9396224312570769</v>
      </c>
      <c r="L32">
        <f>_xlfn.AGGREGATE(1,6,L13:L19)</f>
        <v>2.0885091365540402</v>
      </c>
    </row>
    <row r="33" spans="1:20" ht="26.25" customHeight="1" x14ac:dyDescent="0.45">
      <c r="A33" s="20" t="s">
        <v>49</v>
      </c>
      <c r="B33">
        <f>COUNTIF(B2:B27,"Walls")</f>
        <v>0</v>
      </c>
      <c r="I33" s="20" t="s">
        <v>49</v>
      </c>
      <c r="J33" t="s">
        <v>13</v>
      </c>
      <c r="K33" t="s">
        <v>13</v>
      </c>
      <c r="L33" t="s">
        <v>13</v>
      </c>
    </row>
    <row r="34" spans="1:20" ht="26.25" customHeight="1" x14ac:dyDescent="0.45">
      <c r="A34" s="20" t="s">
        <v>50</v>
      </c>
      <c r="B34">
        <f>COUNTIF(B2:B27,"Room Tags")</f>
        <v>8</v>
      </c>
      <c r="I34" s="20" t="s">
        <v>50</v>
      </c>
      <c r="J34">
        <f>_xlfn.AGGREGATE(1,6,J20:J27)</f>
        <v>3.4085996393405931</v>
      </c>
      <c r="K34">
        <f>_xlfn.AGGREGATE(1,6,K20:K27)</f>
        <v>2.8794734600079361</v>
      </c>
      <c r="L34">
        <f>_xlfn.AGGREGATE(1,6,L20:L27)</f>
        <v>2.6592827190866446</v>
      </c>
    </row>
    <row r="35" spans="1:20" ht="26.25" customHeight="1" x14ac:dyDescent="0.45">
      <c r="A35" s="72" t="s">
        <v>56</v>
      </c>
      <c r="B35">
        <f>COUNTIF(B2:B27,"Stairs")</f>
        <v>0</v>
      </c>
    </row>
    <row r="37" spans="1:20" ht="14.25" customHeight="1" x14ac:dyDescent="0.45">
      <c r="J37" s="10" t="s">
        <v>117</v>
      </c>
      <c r="K37" s="10"/>
      <c r="L37" s="10"/>
    </row>
    <row r="38" spans="1:20" ht="26.25" customHeight="1" x14ac:dyDescent="0.45">
      <c r="J38" s="20" t="s">
        <v>40</v>
      </c>
      <c r="K38" s="20" t="s">
        <v>41</v>
      </c>
      <c r="L38" s="20" t="s">
        <v>42</v>
      </c>
    </row>
    <row r="39" spans="1:20" ht="14.25" customHeight="1" x14ac:dyDescent="0.45">
      <c r="I39" s="20" t="s">
        <v>46</v>
      </c>
      <c r="J39">
        <f>_xlfn.AGGREGATE(12,6,J2:J27)</f>
        <v>0.58253980016658158</v>
      </c>
      <c r="K39">
        <f>_xlfn.AGGREGATE(12,6,K2:K27)</f>
        <v>1.8516596921200357</v>
      </c>
      <c r="L39">
        <f>_xlfn.AGGREGATE(12,6,L2:L27)</f>
        <v>1.9275034177604116</v>
      </c>
    </row>
    <row r="40" spans="1:20" ht="26.25" customHeight="1" x14ac:dyDescent="0.45">
      <c r="I40" s="20" t="s">
        <v>47</v>
      </c>
      <c r="J40">
        <f>_xlfn.AGGREGATE(12,6,J2:J12)</f>
        <v>1.2632999999999996</v>
      </c>
      <c r="K40">
        <f>_xlfn.AGGREGATE(12,6,K2:K12)</f>
        <v>1.3879200012969055</v>
      </c>
      <c r="L40">
        <f>_xlfn.AGGREGATE(12,6,L2:L12)</f>
        <v>0.19789999999999885</v>
      </c>
    </row>
    <row r="41" spans="1:20" ht="26.25" customHeight="1" x14ac:dyDescent="0.45">
      <c r="I41" s="20" t="s">
        <v>48</v>
      </c>
      <c r="J41">
        <f>_xlfn.AGGREGATE(12,6,J13:J19)</f>
        <v>0.14959999999999951</v>
      </c>
      <c r="K41">
        <f>_xlfn.AGGREGATE(12,6,K13:K19)</f>
        <v>1.9896000000000011</v>
      </c>
      <c r="L41">
        <f>_xlfn.AGGREGATE(12,6,L13:L19)</f>
        <v>2.1392000000000007</v>
      </c>
    </row>
    <row r="42" spans="1:20" ht="26.25" customHeight="1" x14ac:dyDescent="0.45">
      <c r="I42" s="20" t="s">
        <v>49</v>
      </c>
      <c r="J42" t="s">
        <v>13</v>
      </c>
      <c r="K42" t="s">
        <v>13</v>
      </c>
      <c r="L42" t="s">
        <v>13</v>
      </c>
    </row>
    <row r="43" spans="1:20" ht="26.25" customHeight="1" x14ac:dyDescent="0.45">
      <c r="I43" s="20" t="s">
        <v>50</v>
      </c>
      <c r="J43">
        <f>_xlfn.AGGREGATE(12,6,J20:J27)</f>
        <v>1.345431285296395</v>
      </c>
      <c r="K43">
        <f>_xlfn.AGGREGATE(12,6,K20:K27)</f>
        <v>1.9762603343192839</v>
      </c>
      <c r="L43">
        <f>_xlfn.AGGREGATE(12,6,L20:L27)</f>
        <v>2.3481718420763862</v>
      </c>
    </row>
    <row r="44" spans="1:20" ht="14.25" customHeight="1" x14ac:dyDescent="0.45">
      <c r="J44" s="69"/>
      <c r="K44" s="69"/>
    </row>
    <row r="45" spans="1:20" ht="14.25" customHeight="1" x14ac:dyDescent="0.45">
      <c r="J45" s="69"/>
      <c r="K45" s="69"/>
    </row>
    <row r="46" spans="1:20" ht="18" customHeight="1" x14ac:dyDescent="0.45">
      <c r="I46" s="73" t="s">
        <v>118</v>
      </c>
      <c r="J46" s="69"/>
      <c r="K46" s="69"/>
      <c r="M46" s="19" t="s">
        <v>119</v>
      </c>
    </row>
    <row r="47" spans="1:20" ht="42" customHeight="1" x14ac:dyDescent="0.45">
      <c r="I47" s="34" t="s">
        <v>120</v>
      </c>
      <c r="J47" s="74" t="s">
        <v>59</v>
      </c>
      <c r="K47" s="74" t="s">
        <v>63</v>
      </c>
      <c r="L47" s="34" t="s">
        <v>64</v>
      </c>
      <c r="M47" s="34" t="s">
        <v>65</v>
      </c>
      <c r="N47" s="34" t="s">
        <v>121</v>
      </c>
      <c r="O47" s="34" t="s">
        <v>122</v>
      </c>
      <c r="P47" s="34" t="s">
        <v>123</v>
      </c>
      <c r="Q47" s="34" t="s">
        <v>124</v>
      </c>
      <c r="R47" s="34" t="s">
        <v>68</v>
      </c>
      <c r="S47" s="34" t="s">
        <v>125</v>
      </c>
      <c r="T47" s="34" t="s">
        <v>126</v>
      </c>
    </row>
    <row r="48" spans="1:20" ht="14.25" customHeight="1" x14ac:dyDescent="0.45">
      <c r="I48" s="22" t="s">
        <v>46</v>
      </c>
      <c r="J48" s="23">
        <f>COUNTA($B$2:$B$27)</f>
        <v>26</v>
      </c>
      <c r="K48" s="25">
        <f>IF(COUNT($M$2:$M$27)=0,"N/A",COUNTIF($R$2:$R$27,1)/COUNT($M$2:$M$27))</f>
        <v>0.61111111111111116</v>
      </c>
      <c r="L48" s="25">
        <f t="array" ref="L48">IF(COUNT($N$2:$N$27)=0,"N/A",AVERAGE($N$2:$N$27))</f>
        <v>-0.37353809552338391</v>
      </c>
      <c r="M48" s="24">
        <f t="array" ref="M48">IF(COUNT($O$2:$O$27)=0,"N/A",AVERAGE($O$2:$O$27))</f>
        <v>0.53357784463738822</v>
      </c>
      <c r="N48" s="24">
        <f t="array" ref="N48">IF(COUNT($K$2:$K$27)=0,"N/A",SQRT(SUMPRODUCT(ISNUMBER($K$2:$K$27)*(IF(ISNUMBER($K$2:$K$27),$K$2:$K$27,0))^2)/COUNT($K$2:$K$27)))</f>
        <v>2.8081929946826336</v>
      </c>
      <c r="O48" s="24">
        <f>IF(COUNT($K$2:$K$27)&lt;2,"N/A",_xlfn.STDEV.S($K$2:$K$27))</f>
        <v>1.956878273814741</v>
      </c>
      <c r="P48" s="24">
        <f>IF(COUNT($K$2:$K$27)=0,"N/A",_xlfn.PERCENTILE.INC($K$2:$K$27,0.9))</f>
        <v>2.7263448764544087</v>
      </c>
      <c r="Q48" s="24">
        <f>IF(COUNT($K$2:$K$27)=0,"N/A",_xlfn.PERCENTILE.INC($K$2:$K$27,0.95))</f>
        <v>3.317092827587945</v>
      </c>
      <c r="R48" s="23">
        <f>COUNTIF($K$2:$K$27,"&gt;15")</f>
        <v>0</v>
      </c>
      <c r="S48" s="24">
        <f>IF(COUNT($S$2:$S$27)=0,"N/A",AVERAGE($S$2:$S$27))</f>
        <v>0.82356510537682359</v>
      </c>
      <c r="T48" s="25">
        <f>IF(COUNT($S$2:$S$27)=0,"N/A",COUNTIF($S$2:$S$27,"&gt;1")/COUNT($S$2:$S$27))</f>
        <v>0.16666666666666666</v>
      </c>
    </row>
    <row r="49" spans="9:20" ht="14.25" customHeight="1" x14ac:dyDescent="0.45">
      <c r="I49" s="27" t="s">
        <v>47</v>
      </c>
      <c r="J49" s="28">
        <f>COUNTIF($B$2:$B$27,"Doors")</f>
        <v>11</v>
      </c>
      <c r="K49" s="30">
        <f>IF(SUMPRODUCT(($B$2:$B$27="Doors")*ISNUMBER($M$2:$M$27))=0,"N/A",SUMPRODUCT(($B$2:$B$27="Doors")*($R$2:$R$27=1))/SUMPRODUCT(($B$2:$B$27="Doors")*ISNUMBER($M$2:$M$27)))</f>
        <v>0</v>
      </c>
      <c r="L49" s="30">
        <f t="array" ref="L49">IF(SUMPRODUCT(($B$2:$B$27="Doors")*ISNUMBER($N$2:$N$27))=0,"N/A",SUMPRODUCT(($B$2:$B$27="Doors")*ISNUMBER($N$2:$N$27)*(IF(ISNUMBER($N$2:$N$27),$N$2:$N$27,0)))/SUMPRODUCT(($B$2:$B$27="Doors")*ISNUMBER($N$2:$N$27)))</f>
        <v>-1.3942042085056672</v>
      </c>
      <c r="M49" s="29">
        <f t="array" ref="M49">IF(SUMPRODUCT(($B$2:$B$27="Doors")*ISNUMBER($O$2:$O$27))=0,"N/A",SUMPRODUCT(($B$2:$B$27="Doors")*ISNUMBER($O$2:$O$27)*(IF(ISNUMBER($O$2:$O$27),$O$2:$O$27,0)))/SUMPRODUCT(($B$2:$B$27="Doors")*ISNUMBER($O$2:$O$27)))</f>
        <v>-0.39024586091523411</v>
      </c>
      <c r="N49" s="29">
        <f t="array" ref="N49">IF(SUMPRODUCT(($B$2:$B$27="Doors")*ISNUMBER($K$2:$K$27))=0,"N/A",SQRT(SUMPRODUCT(($B$2:$B$27="Doors")*ISNUMBER($K$2:$K$27)*(IF(ISNUMBER($K$2:$K$27),$K$2:$K$27,0))^2)/SUMPRODUCT(($B$2:$B$27="Doors")*ISNUMBER($K$2:$K$27))))</f>
        <v>1.5596088798739951</v>
      </c>
      <c r="O49" s="29">
        <f t="array" ref="O49">IFERROR(IF(SUMPRODUCT(($B$2:$B$27="Doors")*ISNUMBER($K$2:$K$27))&lt;2,"N/A",_xlfn.STDEV.S(IF($B$2:$B$27="Doors",$K$2:$K$27))),"N/A")</f>
        <v>0.37633618484915082</v>
      </c>
      <c r="P49" s="29">
        <f t="array" ref="P49">IFERROR(_xlfn.PERCENTILE.INC(IF(($B$2:$B$27="Doors")*ISNUMBER($K$2:$K$27),$K$2:$K$27),0.9),"N/A")</f>
        <v>1.9107840406492826</v>
      </c>
      <c r="Q49" s="29">
        <f t="array" ref="Q49">IFERROR(_xlfn.PERCENTILE.INC(IF(($B$2:$B$27="Doors")*ISNUMBER($K$2:$K$27),$K$2:$K$27),0.95),"N/A")</f>
        <v>2.0102412382226307</v>
      </c>
      <c r="R49" s="28">
        <f>COUNTIFS($B$2:$B$27,"Doors",$K$2:$K$27,"&gt;15")</f>
        <v>0</v>
      </c>
      <c r="S49" s="37">
        <f t="array" ref="S49">IF(SUMPRODUCT(($B$2:$B$27="Doors")*ISNUMBER($S$2:$S$27))=0,"N/A",SUMPRODUCT(($B$2:$B$27="Doors")*ISNUMBER($S$2:$S$27)*(IF(ISNUMBER($S$2:$S$27),$S$2:$S$27,0)))/SUMPRODUCT(($B$2:$B$27="Doors")*ISNUMBER($S$2:$S$27)))</f>
        <v>1.7571428799217259</v>
      </c>
      <c r="T49" s="38">
        <f t="array" ref="T49">IF(SUMPRODUCT(($B$2:$B$27="Doors")*ISNUMBER($S$2:$S$27))=0,"N/A",SUMPRODUCT(($B$2:$B$27="Doors")*ISNUMBER($S$2:$S$27)*(IF(ISNUMBER($S$2:$S$27),$S$2:$S$27,0)&gt;1))/SUMPRODUCT(($B$2:$B$27="Doors")*ISNUMBER($S$2:$S$27)))</f>
        <v>0.33333333333333331</v>
      </c>
    </row>
    <row r="50" spans="9:20" ht="14.25" customHeight="1" x14ac:dyDescent="0.45">
      <c r="I50" s="27" t="s">
        <v>48</v>
      </c>
      <c r="J50" s="28">
        <f>COUNTIF($B$2:$B$27,"Windows")</f>
        <v>7</v>
      </c>
      <c r="K50" s="30">
        <f>IF(SUMPRODUCT(($B$2:$B$27="Windows")*ISNUMBER($M$2:$M$27))=0,"N/A",SUMPRODUCT(($B$2:$B$27="Windows")*($R$2:$R$27=1))/SUMPRODUCT(($B$2:$B$27="Windows")*ISNUMBER($M$2:$M$27)))</f>
        <v>1</v>
      </c>
      <c r="L50" s="30">
        <f t="array" ref="L50">IF(SUMPRODUCT(($B$2:$B$27="Windows")*ISNUMBER($N$2:$N$27))=0,"N/A",SUMPRODUCT(($B$2:$B$27="Windows")*ISNUMBER($N$2:$N$27)*(IF(ISNUMBER($N$2:$N$27),$N$2:$N$27,0)))/SUMPRODUCT(($B$2:$B$27="Windows")*ISNUMBER($N$2:$N$27)))</f>
        <v>7.1348138772852149E-2</v>
      </c>
      <c r="M50" s="29">
        <f t="array" ref="M50">IF(SUMPRODUCT(($B$2:$B$27="Windows")*ISNUMBER($O$2:$O$27))=0,"N/A",SUMPRODUCT(($B$2:$B$27="Windows")*ISNUMBER($O$2:$O$27)*(IF(ISNUMBER($O$2:$O$27),$O$2:$O$27,0)))/SUMPRODUCT(($B$2:$B$27="Windows")*ISNUMBER($O$2:$O$27)))</f>
        <v>0.99557188040788314</v>
      </c>
      <c r="N50" s="29">
        <f t="array" ref="N50">IF(SUMPRODUCT(($B$2:$B$27="Windows")*ISNUMBER($K$2:$K$27))=0,"N/A",SQRT(SUMPRODUCT(($B$2:$B$27="Windows")*ISNUMBER($K$2:$K$27)*(IF(ISNUMBER($K$2:$K$27),$K$2:$K$27,0))^2)/SUMPRODUCT(($B$2:$B$27="Windows")*ISNUMBER($K$2:$K$27))))</f>
        <v>1.9405974293647676</v>
      </c>
      <c r="O50" s="29">
        <f t="array" ref="O50">IFERROR(IF(SUMPRODUCT(($B$2:$B$27="Windows")*ISNUMBER($K$2:$K$27))&lt;2,"N/A",_xlfn.STDEV.S(IF($B$2:$B$27="Windows",$K$2:$K$27))),"N/A")</f>
        <v>6.6435995703526929E-2</v>
      </c>
      <c r="P50" s="29">
        <f t="array" ref="P50">IFERROR(_xlfn.PERCENTILE.INC(IF(($B$2:$B$27="Windows")*ISNUMBER($K$2:$K$27),$K$2:$K$27),0.9),"N/A")</f>
        <v>1.9896000000000011</v>
      </c>
      <c r="Q50" s="29">
        <f t="array" ref="Q50">IFERROR(_xlfn.PERCENTILE.INC(IF(($B$2:$B$27="Windows")*ISNUMBER($K$2:$K$27),$K$2:$K$27),0.95),"N/A")</f>
        <v>1.9896000000000011</v>
      </c>
      <c r="R50" s="28">
        <f>COUNTIFS($B$2:$B$27,"Windows",$K$2:$K$27,"&gt;15")</f>
        <v>0</v>
      </c>
      <c r="S50" s="37">
        <f t="array" ref="S50">IF(SUMPRODUCT(($B$2:$B$27="Windows")*ISNUMBER($S$2:$S$27))=0,"N/A",SUMPRODUCT(($B$2:$B$27="Windows")*ISNUMBER($S$2:$S$27)*(IF(ISNUMBER($S$2:$S$27),$S$2:$S$27,0)))/SUMPRODUCT(($B$2:$B$27="Windows")*ISNUMBER($S$2:$S$27)))</f>
        <v>7.1693800316806278E-2</v>
      </c>
      <c r="T50" s="38">
        <f t="array" ref="T50">IF(SUMPRODUCT(($B$2:$B$27="Windows")*ISNUMBER($S$2:$S$27))=0,"N/A",SUMPRODUCT(($B$2:$B$27="Windows")*ISNUMBER($S$2:$S$27)*(IF(ISNUMBER($S$2:$S$27),$S$2:$S$27,0)&gt;1))/SUMPRODUCT(($B$2:$B$27="Windows")*ISNUMBER($S$2:$S$27)))</f>
        <v>0</v>
      </c>
    </row>
    <row r="51" spans="9:20" ht="14.25" customHeight="1" x14ac:dyDescent="0.45">
      <c r="I51" s="27" t="s">
        <v>50</v>
      </c>
      <c r="J51" s="28">
        <f>COUNTIF($B$2:$B$27,"Room Tags")</f>
        <v>8</v>
      </c>
      <c r="K51" s="30">
        <f>IF(SUMPRODUCT(($B$2:$B$27="Room Tags")*ISNUMBER($M$2:$M$27))=0,"N/A",SUMPRODUCT(($B$2:$B$27="Room Tags")*($R$2:$R$27=1))/SUMPRODUCT(($B$2:$B$27="Room Tags")*ISNUMBER($M$2:$M$27)))</f>
        <v>0.8</v>
      </c>
      <c r="L51" s="30">
        <f t="array" ref="L51">IF(SUMPRODUCT(($B$2:$B$27="Room Tags")*ISNUMBER($N$2:$N$27))=0,"N/A",SUMPRODUCT(($B$2:$B$27="Room Tags")*ISNUMBER($N$2:$N$27)*(IF(ISNUMBER($N$2:$N$27),$N$2:$N$27,0)))/SUMPRODUCT(($B$2:$B$27="Room Tags")*ISNUMBER($N$2:$N$27)))</f>
        <v>0.22842051204062486</v>
      </c>
      <c r="M51" s="29">
        <f t="array" ref="M51">IF(SUMPRODUCT(($B$2:$B$27="Room Tags")*ISNUMBER($O$2:$O$27))=0,"N/A",SUMPRODUCT(($B$2:$B$27="Room Tags")*ISNUMBER($O$2:$O$27)*(IF(ISNUMBER($O$2:$O$27),$O$2:$O$27,0)))/SUMPRODUCT(($B$2:$B$27="Room Tags")*ISNUMBER($O$2:$O$27)))</f>
        <v>0.81060990011131773</v>
      </c>
      <c r="N51" s="29">
        <f t="array" ref="N51">IF(SUMPRODUCT(($B$2:$B$27="Room Tags")*ISNUMBER($K$2:$K$27))=0,"N/A",SQRT(SUMPRODUCT(($B$2:$B$27="Room Tags")*ISNUMBER($K$2:$K$27)*(IF(ISNUMBER($K$2:$K$27),$K$2:$K$27,0))^2)/SUMPRODUCT(($B$2:$B$27="Room Tags")*ISNUMBER($K$2:$K$27))))</f>
        <v>4.357709234219282</v>
      </c>
      <c r="O51" s="29">
        <f t="array" ref="O51">IFERROR(IF(SUMPRODUCT(($B$2:$B$27="Room Tags")*ISNUMBER($K$2:$K$27))&lt;2,"N/A",_xlfn.STDEV.S(IF($B$2:$B$27="Room Tags",$K$2:$K$27))),"N/A")</f>
        <v>3.4966534798060729</v>
      </c>
      <c r="P51" s="29">
        <f t="array" ref="P51">IFERROR(_xlfn.PERCENTILE.INC(IF(($B$2:$B$27="Room Tags")*ISNUMBER($K$2:$K$27),$K$2:$K$27),0.9),"N/A")</f>
        <v>5.6900940322029054</v>
      </c>
      <c r="Q51" s="29">
        <f t="array" ref="Q51">IFERROR(_xlfn.PERCENTILE.INC(IF(($B$2:$B$27="Room Tags")*ISNUMBER($K$2:$K$27),$K$2:$K$27),0.95),"N/A")</f>
        <v>8.3551049182473065</v>
      </c>
      <c r="R51" s="28">
        <f>COUNTIFS($B$2:$B$27,"Room Tags",$K$2:$K$27,"&gt;15")</f>
        <v>0</v>
      </c>
      <c r="S51" s="37">
        <f t="array" ref="S51">IF(SUMPRODUCT(($B$2:$B$27="Room Tags")*ISNUMBER($S$2:$S$27))=0,"N/A",SUMPRODUCT(($B$2:$B$27="Room Tags")*ISNUMBER($S$2:$S$27)*(IF(ISNUMBER($S$2:$S$27),$S$2:$S$27,0)))/SUMPRODUCT(($B$2:$B$27="Room Tags")*ISNUMBER($S$2:$S$27)))</f>
        <v>0.75589160300696423</v>
      </c>
      <c r="T51" s="38">
        <f t="array" ref="T51">IF(SUMPRODUCT(($B$2:$B$27="Room Tags")*ISNUMBER($S$2:$S$27))=0,"N/A",SUMPRODUCT(($B$2:$B$27="Room Tags")*ISNUMBER($S$2:$S$27)*(IF(ISNUMBER($S$2:$S$27),$S$2:$S$27,0)&gt;1))/SUMPRODUCT(($B$2:$B$27="Room Tags")*ISNUMBER($S$2:$S$27)))</f>
        <v>0.2</v>
      </c>
    </row>
    <row r="52" spans="9:20" ht="14.25" customHeight="1" x14ac:dyDescent="0.45">
      <c r="J52" s="69"/>
      <c r="K52" s="69"/>
    </row>
    <row r="53" spans="9:20" ht="14.25" customHeight="1" x14ac:dyDescent="0.45">
      <c r="J53" s="69"/>
      <c r="K53" s="69"/>
    </row>
    <row r="54" spans="9:20" ht="14.25" customHeight="1" x14ac:dyDescent="0.45">
      <c r="J54" s="69"/>
      <c r="K54" s="69"/>
    </row>
    <row r="55" spans="9:20" ht="14.25" customHeight="1" x14ac:dyDescent="0.45">
      <c r="J55" s="69"/>
      <c r="K55" s="69"/>
    </row>
    <row r="56" spans="9:20" ht="14.25" customHeight="1" x14ac:dyDescent="0.45">
      <c r="J56" s="69"/>
      <c r="K56" s="69"/>
    </row>
    <row r="57" spans="9:20" ht="14.25" customHeight="1" x14ac:dyDescent="0.45">
      <c r="J57" s="69"/>
      <c r="K57" s="69"/>
    </row>
    <row r="58" spans="9:20" ht="14.25" customHeight="1" x14ac:dyDescent="0.45">
      <c r="J58" s="69"/>
      <c r="K58" s="69"/>
    </row>
    <row r="59" spans="9:20" ht="14.25" customHeight="1" x14ac:dyDescent="0.45">
      <c r="J59" s="69"/>
      <c r="K59" s="69"/>
    </row>
    <row r="60" spans="9:20" ht="14.25" customHeight="1" x14ac:dyDescent="0.45">
      <c r="J60" s="69"/>
      <c r="K60" s="69"/>
    </row>
    <row r="61" spans="9:20" ht="14.25" customHeight="1" x14ac:dyDescent="0.45">
      <c r="J61" s="69"/>
      <c r="K61" s="69"/>
    </row>
    <row r="62" spans="9:20" ht="14.25" customHeight="1" x14ac:dyDescent="0.45">
      <c r="J62" s="69"/>
      <c r="K62" s="69"/>
    </row>
    <row r="63" spans="9:20" ht="14.25" customHeight="1" x14ac:dyDescent="0.45">
      <c r="J63" s="69"/>
      <c r="K63" s="69"/>
    </row>
    <row r="64" spans="9:20" ht="14.25" customHeight="1" x14ac:dyDescent="0.45">
      <c r="J64" s="69"/>
      <c r="K64" s="69"/>
    </row>
    <row r="65" spans="10:11" ht="14.25" customHeight="1" x14ac:dyDescent="0.45">
      <c r="J65" s="69"/>
      <c r="K65" s="69"/>
    </row>
    <row r="66" spans="10:11" ht="14.25" customHeight="1" x14ac:dyDescent="0.45">
      <c r="J66" s="69"/>
      <c r="K66" s="69"/>
    </row>
    <row r="67" spans="10:11" ht="14.25" customHeight="1" x14ac:dyDescent="0.45">
      <c r="J67" s="69"/>
      <c r="K67" s="69"/>
    </row>
    <row r="68" spans="10:11" ht="14.25" customHeight="1" x14ac:dyDescent="0.45">
      <c r="J68" s="69"/>
      <c r="K68" s="69"/>
    </row>
    <row r="69" spans="10:11" ht="14.25" customHeight="1" x14ac:dyDescent="0.45">
      <c r="J69" s="69"/>
      <c r="K69" s="69"/>
    </row>
    <row r="70" spans="10:11" ht="14.25" customHeight="1" x14ac:dyDescent="0.45">
      <c r="J70" s="69"/>
      <c r="K70" s="69"/>
    </row>
    <row r="71" spans="10:11" ht="14.25" customHeight="1" x14ac:dyDescent="0.45">
      <c r="J71" s="69"/>
      <c r="K71" s="69"/>
    </row>
    <row r="72" spans="10:11" ht="14.25" customHeight="1" x14ac:dyDescent="0.45">
      <c r="J72" s="69"/>
      <c r="K72" s="69"/>
    </row>
    <row r="73" spans="10:11" ht="14.25" customHeight="1" x14ac:dyDescent="0.45">
      <c r="J73" s="69"/>
      <c r="K73" s="69"/>
    </row>
    <row r="74" spans="10:11" ht="14.25" customHeight="1" x14ac:dyDescent="0.45">
      <c r="J74" s="69"/>
      <c r="K74" s="69"/>
    </row>
    <row r="75" spans="10:11" ht="14.25" customHeight="1" x14ac:dyDescent="0.45">
      <c r="J75" s="69"/>
      <c r="K75" s="69"/>
    </row>
    <row r="76" spans="10:11" ht="14.25" customHeight="1" x14ac:dyDescent="0.45">
      <c r="J76" s="69"/>
      <c r="K76" s="69"/>
    </row>
    <row r="77" spans="10:11" ht="14.25" customHeight="1" x14ac:dyDescent="0.45">
      <c r="J77" s="69"/>
      <c r="K77" s="69"/>
    </row>
    <row r="78" spans="10:11" ht="14.25" customHeight="1" x14ac:dyDescent="0.45">
      <c r="J78" s="69"/>
      <c r="K78" s="69"/>
    </row>
    <row r="79" spans="10:11" ht="14.25" customHeight="1" x14ac:dyDescent="0.45">
      <c r="J79" s="69"/>
      <c r="K79" s="69"/>
    </row>
    <row r="80" spans="10:11" ht="14.25" customHeight="1" x14ac:dyDescent="0.45">
      <c r="J80" s="69"/>
      <c r="K80" s="69"/>
    </row>
    <row r="81" spans="10:11" ht="14.25" customHeight="1" x14ac:dyDescent="0.45">
      <c r="J81" s="69"/>
      <c r="K81" s="69"/>
    </row>
    <row r="82" spans="10:11" ht="14.25" customHeight="1" x14ac:dyDescent="0.45">
      <c r="J82" s="69"/>
      <c r="K82" s="69"/>
    </row>
    <row r="83" spans="10:11" ht="14.25" customHeight="1" x14ac:dyDescent="0.45">
      <c r="J83" s="69"/>
      <c r="K83" s="69"/>
    </row>
    <row r="84" spans="10:11" ht="14.25" customHeight="1" x14ac:dyDescent="0.45">
      <c r="J84" s="69"/>
      <c r="K84" s="69"/>
    </row>
    <row r="85" spans="10:11" ht="14.25" customHeight="1" x14ac:dyDescent="0.45">
      <c r="J85" s="69"/>
      <c r="K85" s="69"/>
    </row>
    <row r="86" spans="10:11" ht="14.25" customHeight="1" x14ac:dyDescent="0.45">
      <c r="J86" s="69"/>
      <c r="K86" s="69"/>
    </row>
    <row r="87" spans="10:11" ht="14.25" customHeight="1" x14ac:dyDescent="0.45">
      <c r="J87" s="69"/>
      <c r="K87" s="69"/>
    </row>
    <row r="88" spans="10:11" ht="14.25" customHeight="1" x14ac:dyDescent="0.45">
      <c r="J88" s="69"/>
      <c r="K88" s="69"/>
    </row>
    <row r="89" spans="10:11" ht="14.25" customHeight="1" x14ac:dyDescent="0.45">
      <c r="J89" s="69"/>
      <c r="K89" s="69"/>
    </row>
    <row r="90" spans="10:11" ht="14.25" customHeight="1" x14ac:dyDescent="0.45">
      <c r="J90" s="69"/>
      <c r="K90" s="69"/>
    </row>
    <row r="91" spans="10:11" ht="14.25" customHeight="1" x14ac:dyDescent="0.45">
      <c r="J91" s="69"/>
      <c r="K91" s="69"/>
    </row>
    <row r="92" spans="10:11" ht="14.25" customHeight="1" x14ac:dyDescent="0.45">
      <c r="J92" s="69"/>
      <c r="K92" s="69"/>
    </row>
    <row r="93" spans="10:11" ht="14.25" customHeight="1" x14ac:dyDescent="0.45">
      <c r="J93" s="69"/>
      <c r="K93" s="69"/>
    </row>
    <row r="94" spans="10:11" ht="14.25" customHeight="1" x14ac:dyDescent="0.45">
      <c r="J94" s="69"/>
      <c r="K94" s="69"/>
    </row>
    <row r="95" spans="10:11" ht="14.25" customHeight="1" x14ac:dyDescent="0.45">
      <c r="J95" s="69"/>
      <c r="K95" s="69"/>
    </row>
    <row r="96" spans="10:11" ht="14.25" customHeight="1" x14ac:dyDescent="0.45">
      <c r="J96" s="69"/>
      <c r="K96" s="69"/>
    </row>
    <row r="97" spans="10:11" ht="14.25" customHeight="1" x14ac:dyDescent="0.45">
      <c r="J97" s="69"/>
      <c r="K97" s="69"/>
    </row>
    <row r="98" spans="10:11" ht="14.25" customHeight="1" x14ac:dyDescent="0.45">
      <c r="J98" s="69"/>
      <c r="K98" s="69"/>
    </row>
    <row r="99" spans="10:11" ht="14.25" customHeight="1" x14ac:dyDescent="0.45">
      <c r="J99" s="69"/>
      <c r="K99" s="69"/>
    </row>
    <row r="100" spans="10:11" ht="14.25" customHeight="1" x14ac:dyDescent="0.45">
      <c r="J100" s="69"/>
      <c r="K100" s="69"/>
    </row>
    <row r="101" spans="10:11" ht="14.25" customHeight="1" x14ac:dyDescent="0.45">
      <c r="J101" s="69"/>
      <c r="K101" s="69"/>
    </row>
    <row r="102" spans="10:11" ht="14.25" customHeight="1" x14ac:dyDescent="0.45">
      <c r="J102" s="69"/>
      <c r="K102" s="69"/>
    </row>
    <row r="103" spans="10:11" ht="14.25" customHeight="1" x14ac:dyDescent="0.45">
      <c r="J103" s="69"/>
      <c r="K103" s="69"/>
    </row>
    <row r="104" spans="10:11" ht="14.25" customHeight="1" x14ac:dyDescent="0.45">
      <c r="J104" s="69"/>
      <c r="K104" s="69"/>
    </row>
    <row r="105" spans="10:11" ht="14.25" customHeight="1" x14ac:dyDescent="0.45">
      <c r="J105" s="69"/>
      <c r="K105" s="69"/>
    </row>
    <row r="106" spans="10:11" ht="14.25" customHeight="1" x14ac:dyDescent="0.45">
      <c r="J106" s="69"/>
      <c r="K106" s="69"/>
    </row>
    <row r="107" spans="10:11" ht="14.25" customHeight="1" x14ac:dyDescent="0.45">
      <c r="J107" s="69"/>
      <c r="K107" s="69"/>
    </row>
    <row r="108" spans="10:11" ht="14.25" customHeight="1" x14ac:dyDescent="0.45">
      <c r="J108" s="69"/>
      <c r="K108" s="69"/>
    </row>
    <row r="109" spans="10:11" ht="14.25" customHeight="1" x14ac:dyDescent="0.45">
      <c r="J109" s="69"/>
      <c r="K109" s="69"/>
    </row>
    <row r="110" spans="10:11" ht="14.25" customHeight="1" x14ac:dyDescent="0.45">
      <c r="J110" s="69"/>
      <c r="K110" s="69"/>
    </row>
    <row r="111" spans="10:11" ht="14.25" customHeight="1" x14ac:dyDescent="0.45">
      <c r="J111" s="69"/>
      <c r="K111" s="69"/>
    </row>
    <row r="112" spans="10:11" ht="14.25" customHeight="1" x14ac:dyDescent="0.45">
      <c r="J112" s="69"/>
      <c r="K112" s="69"/>
    </row>
    <row r="113" spans="10:11" ht="14.25" customHeight="1" x14ac:dyDescent="0.45">
      <c r="J113" s="69"/>
      <c r="K113" s="69"/>
    </row>
    <row r="114" spans="10:11" ht="14.25" customHeight="1" x14ac:dyDescent="0.45">
      <c r="J114" s="69"/>
      <c r="K114" s="69"/>
    </row>
    <row r="115" spans="10:11" ht="14.25" customHeight="1" x14ac:dyDescent="0.45">
      <c r="J115" s="69"/>
      <c r="K115" s="69"/>
    </row>
    <row r="116" spans="10:11" ht="14.25" customHeight="1" x14ac:dyDescent="0.45">
      <c r="J116" s="69"/>
      <c r="K116" s="69"/>
    </row>
    <row r="117" spans="10:11" ht="14.25" customHeight="1" x14ac:dyDescent="0.45">
      <c r="J117" s="69"/>
      <c r="K117" s="69"/>
    </row>
    <row r="118" spans="10:11" ht="14.25" customHeight="1" x14ac:dyDescent="0.45">
      <c r="J118" s="69"/>
      <c r="K118" s="69"/>
    </row>
    <row r="119" spans="10:11" ht="14.25" customHeight="1" x14ac:dyDescent="0.45">
      <c r="J119" s="69"/>
      <c r="K119" s="69"/>
    </row>
    <row r="120" spans="10:11" ht="14.25" customHeight="1" x14ac:dyDescent="0.45">
      <c r="J120" s="69"/>
      <c r="K120" s="69"/>
    </row>
    <row r="121" spans="10:11" ht="14.25" customHeight="1" x14ac:dyDescent="0.45">
      <c r="J121" s="69"/>
      <c r="K121" s="69"/>
    </row>
    <row r="122" spans="10:11" ht="14.25" customHeight="1" x14ac:dyDescent="0.45">
      <c r="J122" s="69"/>
      <c r="K122" s="69"/>
    </row>
    <row r="123" spans="10:11" ht="14.25" customHeight="1" x14ac:dyDescent="0.45">
      <c r="J123" s="69"/>
      <c r="K123" s="69"/>
    </row>
    <row r="124" spans="10:11" ht="14.25" customHeight="1" x14ac:dyDescent="0.45">
      <c r="J124" s="69"/>
      <c r="K124" s="69"/>
    </row>
    <row r="125" spans="10:11" ht="14.25" customHeight="1" x14ac:dyDescent="0.45">
      <c r="J125" s="69"/>
      <c r="K125" s="69"/>
    </row>
    <row r="126" spans="10:11" ht="14.25" customHeight="1" x14ac:dyDescent="0.45">
      <c r="J126" s="69"/>
      <c r="K126" s="69"/>
    </row>
    <row r="127" spans="10:11" ht="14.25" customHeight="1" x14ac:dyDescent="0.45">
      <c r="J127" s="69"/>
      <c r="K127" s="69"/>
    </row>
    <row r="128" spans="10:11" ht="14.25" customHeight="1" x14ac:dyDescent="0.45">
      <c r="J128" s="69"/>
      <c r="K128" s="69"/>
    </row>
    <row r="129" spans="10:11" ht="14.25" customHeight="1" x14ac:dyDescent="0.45">
      <c r="J129" s="69"/>
      <c r="K129" s="69"/>
    </row>
    <row r="130" spans="10:11" ht="14.25" customHeight="1" x14ac:dyDescent="0.45">
      <c r="J130" s="69"/>
      <c r="K130" s="69"/>
    </row>
    <row r="131" spans="10:11" ht="14.25" customHeight="1" x14ac:dyDescent="0.45">
      <c r="J131" s="69"/>
      <c r="K131" s="69"/>
    </row>
    <row r="132" spans="10:11" ht="14.25" customHeight="1" x14ac:dyDescent="0.45">
      <c r="J132" s="69"/>
      <c r="K132" s="69"/>
    </row>
    <row r="133" spans="10:11" ht="14.25" customHeight="1" x14ac:dyDescent="0.45">
      <c r="J133" s="69"/>
      <c r="K133" s="69"/>
    </row>
    <row r="134" spans="10:11" ht="14.25" customHeight="1" x14ac:dyDescent="0.45">
      <c r="J134" s="69"/>
      <c r="K134" s="69"/>
    </row>
    <row r="135" spans="10:11" ht="14.25" customHeight="1" x14ac:dyDescent="0.45">
      <c r="J135" s="69"/>
      <c r="K135" s="69"/>
    </row>
    <row r="136" spans="10:11" ht="14.25" customHeight="1" x14ac:dyDescent="0.45">
      <c r="J136" s="69"/>
      <c r="K136" s="69"/>
    </row>
    <row r="137" spans="10:11" ht="14.25" customHeight="1" x14ac:dyDescent="0.45">
      <c r="J137" s="69"/>
      <c r="K137" s="69"/>
    </row>
    <row r="138" spans="10:11" ht="14.25" customHeight="1" x14ac:dyDescent="0.45">
      <c r="J138" s="69"/>
      <c r="K138" s="69"/>
    </row>
    <row r="139" spans="10:11" ht="14.25" customHeight="1" x14ac:dyDescent="0.45">
      <c r="J139" s="69"/>
      <c r="K139" s="69"/>
    </row>
  </sheetData>
  <autoFilter ref="A1:H19" xr:uid="{00000000-0009-0000-0000-000005000000}"/>
  <mergeCells count="1">
    <mergeCell ref="J37:L37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39"/>
  <sheetViews>
    <sheetView topLeftCell="G1" zoomScaleNormal="100" workbookViewId="0">
      <pane ySplit="1" topLeftCell="A85" activePane="bottomLeft" state="frozen"/>
      <selection pane="bottomLeft" activeCell="I99" sqref="I99:T103"/>
    </sheetView>
  </sheetViews>
  <sheetFormatPr defaultColWidth="8.6640625" defaultRowHeight="14.25" x14ac:dyDescent="0.45"/>
  <cols>
    <col min="1" max="1" width="9" customWidth="1"/>
    <col min="2" max="2" width="17" customWidth="1"/>
    <col min="3" max="4" width="16" customWidth="1"/>
    <col min="5" max="6" width="15" customWidth="1"/>
    <col min="7" max="8" width="11" customWidth="1"/>
    <col min="10" max="10" width="16.59765625" customWidth="1"/>
    <col min="11" max="11" width="20.265625" customWidth="1"/>
    <col min="12" max="12" width="28.73046875" customWidth="1"/>
    <col min="13" max="13" width="16" customWidth="1"/>
    <col min="14" max="14" width="17" customWidth="1"/>
    <col min="15" max="15" width="19" customWidth="1"/>
    <col min="16" max="17" width="12" customWidth="1"/>
    <col min="18" max="18" width="14" customWidth="1"/>
    <col min="19" max="19" width="17" customWidth="1"/>
    <col min="20" max="20" width="16" customWidth="1"/>
  </cols>
  <sheetData>
    <row r="1" spans="1:19" ht="33.75" customHeight="1" x14ac:dyDescent="0.45">
      <c r="A1" s="20" t="s">
        <v>106</v>
      </c>
      <c r="B1" s="20" t="s">
        <v>107</v>
      </c>
      <c r="C1" s="20" t="s">
        <v>108</v>
      </c>
      <c r="D1" s="20" t="s">
        <v>109</v>
      </c>
      <c r="E1" s="20" t="s">
        <v>110</v>
      </c>
      <c r="F1" s="20" t="s">
        <v>111</v>
      </c>
      <c r="G1" s="20" t="s">
        <v>112</v>
      </c>
      <c r="H1" s="20" t="s">
        <v>113</v>
      </c>
      <c r="J1" s="20" t="s">
        <v>40</v>
      </c>
      <c r="K1" s="20" t="s">
        <v>41</v>
      </c>
      <c r="L1" s="20" t="s">
        <v>42</v>
      </c>
      <c r="M1" s="20" t="s">
        <v>100</v>
      </c>
      <c r="N1" s="20" t="s">
        <v>101</v>
      </c>
      <c r="O1" s="20" t="s">
        <v>114</v>
      </c>
      <c r="P1" s="20" t="s">
        <v>115</v>
      </c>
      <c r="Q1" s="20" t="s">
        <v>116</v>
      </c>
      <c r="R1" s="20" t="s">
        <v>102</v>
      </c>
      <c r="S1" s="20" t="s">
        <v>103</v>
      </c>
    </row>
    <row r="2" spans="1:19" ht="14.25" customHeight="1" x14ac:dyDescent="0.45">
      <c r="A2" s="67">
        <v>438678</v>
      </c>
      <c r="B2" s="68" t="s">
        <v>93</v>
      </c>
      <c r="C2">
        <v>26.977</v>
      </c>
      <c r="D2">
        <v>98.200599999999994</v>
      </c>
      <c r="E2" s="75">
        <v>26.833500000000001</v>
      </c>
      <c r="F2" s="75">
        <v>98.200599999999994</v>
      </c>
      <c r="G2" s="75">
        <v>26.833500000000001</v>
      </c>
      <c r="H2" s="75">
        <v>95.450299999999999</v>
      </c>
      <c r="J2" s="69">
        <f t="shared" ref="J2:J33" si="0">IFERROR(SQRT((F2-H2)^2+(E2-G2)^2),"")</f>
        <v>2.7502999999999957</v>
      </c>
      <c r="K2" s="69">
        <f t="shared" ref="K2:K33" si="1">IFERROR(SQRT((D2-H2)^2+(C2-G2)^2),"")</f>
        <v>2.7540410926491234</v>
      </c>
      <c r="L2">
        <f t="shared" ref="L2:L33" si="2">IFERROR(SQRT((D2-F2)^2+(C2-E2)^2),"")</f>
        <v>0.14349999999999952</v>
      </c>
      <c r="M2" s="49">
        <f t="shared" ref="M2:M33" si="3">IF(AND(AND(ISNUMBER(E2),ISNUMBER(F2)),ISNUMBER(L2),L2&gt;0),K2/L2,"")</f>
        <v>19.19192399058629</v>
      </c>
      <c r="N2" s="48">
        <f t="shared" ref="N2:N33" si="4">IF(AND(AND(ISNUMBER(E2),ISNUMBER(F2)),ISNUMBER(L2),L2&gt;0),(L2-K2)/L2,"")</f>
        <v>-18.19192399058629</v>
      </c>
      <c r="O2" s="49">
        <f t="shared" ref="O2:O33" si="5">IFERROR(IF(AND(AND(ISNUMBER(E2),ISNUMBER(F2)),SQRT((G2-E2)^2+(H2-F2)^2)&gt;0,SQRT((C2-E2)^2+(D2-F2)^2)&gt;0),((G2-E2)*(C2-E2)+(H2-F2)*(D2-F2))/(SQRT((G2-E2)^2+(H2-F2)^2)*SQRT((C2-E2)^2+(D2-F2)^2)),""),"")</f>
        <v>0</v>
      </c>
      <c r="P2" s="49">
        <f t="shared" ref="P2:P33" si="6">IF(AND(ISNUMBER(G2),ISNUMBER(C2)),G2-C2,"")</f>
        <v>-0.14349999999999952</v>
      </c>
      <c r="Q2" s="49">
        <f t="shared" ref="Q2:Q33" si="7">IF(AND(ISNUMBER(H2),ISNUMBER(D2)),H2-D2,"")</f>
        <v>-2.7502999999999957</v>
      </c>
      <c r="R2" s="46">
        <f t="shared" ref="R2:R33" si="8">IF(M2="","",IF(M2&lt;1,1,0))</f>
        <v>0</v>
      </c>
      <c r="S2" s="49">
        <f t="shared" ref="S2:S33" si="9">IF(AND(ISNUMBER(J2),ISNUMBER(L2),L2&gt;0),J2/L2,"")</f>
        <v>19.165853658536619</v>
      </c>
    </row>
    <row r="3" spans="1:19" ht="14.25" customHeight="1" x14ac:dyDescent="0.45">
      <c r="A3" s="67">
        <v>438679</v>
      </c>
      <c r="B3" s="68" t="s">
        <v>93</v>
      </c>
      <c r="C3">
        <v>37.967799999999997</v>
      </c>
      <c r="D3">
        <v>80.735900000000001</v>
      </c>
      <c r="E3" s="75">
        <v>37.967799999999997</v>
      </c>
      <c r="F3" s="75">
        <v>82.196299999999994</v>
      </c>
      <c r="G3" s="75">
        <v>37.967799999999997</v>
      </c>
      <c r="H3" s="75">
        <v>79.426599999999993</v>
      </c>
      <c r="J3" s="69">
        <f t="shared" si="0"/>
        <v>2.7697000000000003</v>
      </c>
      <c r="K3" s="69">
        <f t="shared" si="1"/>
        <v>1.3093000000000075</v>
      </c>
      <c r="L3">
        <f t="shared" si="2"/>
        <v>1.4603999999999928</v>
      </c>
      <c r="M3" s="49">
        <f t="shared" si="3"/>
        <v>0.89653519583676655</v>
      </c>
      <c r="N3" s="48">
        <f t="shared" si="4"/>
        <v>0.10346480416323343</v>
      </c>
      <c r="O3" s="49">
        <f t="shared" si="5"/>
        <v>1</v>
      </c>
      <c r="P3" s="49">
        <f t="shared" si="6"/>
        <v>0</v>
      </c>
      <c r="Q3" s="49">
        <f t="shared" si="7"/>
        <v>-1.3093000000000075</v>
      </c>
      <c r="R3" s="46">
        <f t="shared" si="8"/>
        <v>1</v>
      </c>
      <c r="S3" s="49">
        <f t="shared" si="9"/>
        <v>1.8965351958367667</v>
      </c>
    </row>
    <row r="4" spans="1:19" ht="14.25" customHeight="1" x14ac:dyDescent="0.45">
      <c r="A4" s="67">
        <v>438680</v>
      </c>
      <c r="B4" s="68" t="s">
        <v>93</v>
      </c>
      <c r="C4">
        <v>47.129600000000003</v>
      </c>
      <c r="D4">
        <v>73.016000000000005</v>
      </c>
      <c r="E4" s="75">
        <v>47.129600000000003</v>
      </c>
      <c r="F4" s="75">
        <v>74.476500000000001</v>
      </c>
      <c r="G4" s="75">
        <v>47.129600000000003</v>
      </c>
      <c r="H4" s="75">
        <v>71.706800000000001</v>
      </c>
      <c r="J4" s="69">
        <f t="shared" si="0"/>
        <v>2.7697000000000003</v>
      </c>
      <c r="K4" s="69">
        <f t="shared" si="1"/>
        <v>1.3092000000000041</v>
      </c>
      <c r="L4">
        <f t="shared" si="2"/>
        <v>1.4604999999999961</v>
      </c>
      <c r="M4" s="49">
        <f t="shared" si="3"/>
        <v>0.89640534063677346</v>
      </c>
      <c r="N4" s="48">
        <f t="shared" si="4"/>
        <v>0.10359465936322657</v>
      </c>
      <c r="O4" s="49">
        <f t="shared" si="5"/>
        <v>1</v>
      </c>
      <c r="P4" s="49">
        <f t="shared" si="6"/>
        <v>0</v>
      </c>
      <c r="Q4" s="49">
        <f t="shared" si="7"/>
        <v>-1.3092000000000041</v>
      </c>
      <c r="R4" s="46">
        <f t="shared" si="8"/>
        <v>1</v>
      </c>
      <c r="S4" s="49">
        <f t="shared" si="9"/>
        <v>1.8964053406367734</v>
      </c>
    </row>
    <row r="5" spans="1:19" ht="14.25" customHeight="1" x14ac:dyDescent="0.45">
      <c r="A5" s="67">
        <v>438681</v>
      </c>
      <c r="B5" s="68" t="s">
        <v>93</v>
      </c>
      <c r="C5">
        <v>52.961300000000001</v>
      </c>
      <c r="D5">
        <v>73.016000000000005</v>
      </c>
      <c r="E5" s="75">
        <v>52.961300000000001</v>
      </c>
      <c r="F5" s="75">
        <v>74.475999999999999</v>
      </c>
      <c r="G5" s="75">
        <v>52.961300000000001</v>
      </c>
      <c r="H5" s="75">
        <v>71.706800000000001</v>
      </c>
      <c r="J5" s="69">
        <f t="shared" si="0"/>
        <v>2.7691999999999979</v>
      </c>
      <c r="K5" s="69">
        <f t="shared" si="1"/>
        <v>1.3092000000000041</v>
      </c>
      <c r="L5">
        <f t="shared" si="2"/>
        <v>1.4599999999999937</v>
      </c>
      <c r="M5" s="49">
        <f t="shared" si="3"/>
        <v>0.89671232876712992</v>
      </c>
      <c r="N5" s="48">
        <f t="shared" si="4"/>
        <v>0.10328767123287004</v>
      </c>
      <c r="O5" s="49">
        <f t="shared" si="5"/>
        <v>1</v>
      </c>
      <c r="P5" s="49">
        <f t="shared" si="6"/>
        <v>0</v>
      </c>
      <c r="Q5" s="49">
        <f t="shared" si="7"/>
        <v>-1.3092000000000041</v>
      </c>
      <c r="R5" s="46">
        <f t="shared" si="8"/>
        <v>1</v>
      </c>
      <c r="S5" s="49">
        <f t="shared" si="9"/>
        <v>1.8967123287671299</v>
      </c>
    </row>
    <row r="6" spans="1:19" ht="14.25" customHeight="1" x14ac:dyDescent="0.45">
      <c r="A6" s="67">
        <v>438682</v>
      </c>
      <c r="B6" s="68" t="s">
        <v>93</v>
      </c>
      <c r="C6">
        <v>67.766099999999994</v>
      </c>
      <c r="D6">
        <v>73.016000000000005</v>
      </c>
      <c r="E6" s="75">
        <v>67.766099999999994</v>
      </c>
      <c r="F6" s="75">
        <v>74.476500000000001</v>
      </c>
      <c r="G6" s="75">
        <v>67.766099999999994</v>
      </c>
      <c r="H6" s="75">
        <v>71.706800000000001</v>
      </c>
      <c r="J6" s="69">
        <f t="shared" si="0"/>
        <v>2.7697000000000003</v>
      </c>
      <c r="K6" s="69">
        <f t="shared" si="1"/>
        <v>1.3092000000000041</v>
      </c>
      <c r="L6">
        <f t="shared" si="2"/>
        <v>1.4604999999999961</v>
      </c>
      <c r="M6" s="49">
        <f t="shared" si="3"/>
        <v>0.89640534063677346</v>
      </c>
      <c r="N6" s="48">
        <f t="shared" si="4"/>
        <v>0.10359465936322657</v>
      </c>
      <c r="O6" s="49">
        <f t="shared" si="5"/>
        <v>1</v>
      </c>
      <c r="P6" s="49">
        <f t="shared" si="6"/>
        <v>0</v>
      </c>
      <c r="Q6" s="49">
        <f t="shared" si="7"/>
        <v>-1.3092000000000041</v>
      </c>
      <c r="R6" s="46">
        <f t="shared" si="8"/>
        <v>1</v>
      </c>
      <c r="S6" s="49">
        <f t="shared" si="9"/>
        <v>1.8964053406367734</v>
      </c>
    </row>
    <row r="7" spans="1:19" ht="14.25" customHeight="1" x14ac:dyDescent="0.45">
      <c r="A7" s="67">
        <v>438683</v>
      </c>
      <c r="B7" s="68" t="s">
        <v>93</v>
      </c>
      <c r="C7">
        <v>71.424199999999999</v>
      </c>
      <c r="D7">
        <v>73.016000000000005</v>
      </c>
      <c r="E7" s="75">
        <v>71.424199999999999</v>
      </c>
      <c r="F7" s="75">
        <v>74.476500000000001</v>
      </c>
      <c r="G7" s="75">
        <v>71.424199999999999</v>
      </c>
      <c r="H7" s="75">
        <v>71.706800000000001</v>
      </c>
      <c r="J7" s="69">
        <f t="shared" si="0"/>
        <v>2.7697000000000003</v>
      </c>
      <c r="K7" s="69">
        <f t="shared" si="1"/>
        <v>1.3092000000000041</v>
      </c>
      <c r="L7">
        <f t="shared" si="2"/>
        <v>1.4604999999999961</v>
      </c>
      <c r="M7" s="49">
        <f t="shared" si="3"/>
        <v>0.89640534063677346</v>
      </c>
      <c r="N7" s="48">
        <f t="shared" si="4"/>
        <v>0.10359465936322657</v>
      </c>
      <c r="O7" s="49">
        <f t="shared" si="5"/>
        <v>1</v>
      </c>
      <c r="P7" s="49">
        <f t="shared" si="6"/>
        <v>0</v>
      </c>
      <c r="Q7" s="49">
        <f t="shared" si="7"/>
        <v>-1.3092000000000041</v>
      </c>
      <c r="R7" s="46">
        <f t="shared" si="8"/>
        <v>1</v>
      </c>
      <c r="S7" s="49">
        <f t="shared" si="9"/>
        <v>1.8964053406367734</v>
      </c>
    </row>
    <row r="8" spans="1:19" ht="14.25" customHeight="1" x14ac:dyDescent="0.45">
      <c r="A8" s="67">
        <v>438684</v>
      </c>
      <c r="B8" s="68" t="s">
        <v>93</v>
      </c>
      <c r="C8">
        <v>69.595100000000002</v>
      </c>
      <c r="D8">
        <v>82.564899999999994</v>
      </c>
      <c r="E8" s="75">
        <v>71.055599999999998</v>
      </c>
      <c r="F8" s="75">
        <v>82.564899999999994</v>
      </c>
      <c r="G8" s="75">
        <v>71.055599999999998</v>
      </c>
      <c r="H8" s="75">
        <v>79.814599999999999</v>
      </c>
      <c r="J8" s="69">
        <f t="shared" si="0"/>
        <v>2.7502999999999957</v>
      </c>
      <c r="K8" s="69">
        <f t="shared" si="1"/>
        <v>3.114034415352529</v>
      </c>
      <c r="L8">
        <f t="shared" si="2"/>
        <v>1.4604999999999961</v>
      </c>
      <c r="M8" s="49">
        <f t="shared" si="3"/>
        <v>2.1321700892519941</v>
      </c>
      <c r="N8" s="48">
        <f t="shared" si="4"/>
        <v>-1.1321700892519939</v>
      </c>
      <c r="O8" s="49">
        <f t="shared" si="5"/>
        <v>0</v>
      </c>
      <c r="P8" s="49">
        <f t="shared" si="6"/>
        <v>1.4604999999999961</v>
      </c>
      <c r="Q8" s="49">
        <f t="shared" si="7"/>
        <v>-2.7502999999999957</v>
      </c>
      <c r="R8" s="46">
        <f t="shared" si="8"/>
        <v>0</v>
      </c>
      <c r="S8" s="49">
        <f t="shared" si="9"/>
        <v>1.883122218418352</v>
      </c>
    </row>
    <row r="9" spans="1:19" ht="14.25" customHeight="1" x14ac:dyDescent="0.45">
      <c r="A9" s="67">
        <v>438685</v>
      </c>
      <c r="B9" s="68" t="s">
        <v>93</v>
      </c>
      <c r="C9">
        <v>67.766099999999994</v>
      </c>
      <c r="D9">
        <v>91.499499999999998</v>
      </c>
      <c r="E9" s="75">
        <v>67.766099999999994</v>
      </c>
      <c r="F9" s="75">
        <v>90.039100000000005</v>
      </c>
      <c r="G9" s="75">
        <v>67.766099999999994</v>
      </c>
      <c r="H9" s="75">
        <v>87.269400000000005</v>
      </c>
      <c r="J9" s="69">
        <f t="shared" si="0"/>
        <v>2.7697000000000003</v>
      </c>
      <c r="K9" s="69">
        <f t="shared" si="1"/>
        <v>4.2300999999999931</v>
      </c>
      <c r="L9">
        <f t="shared" si="2"/>
        <v>1.4603999999999928</v>
      </c>
      <c r="M9" s="49">
        <f t="shared" si="3"/>
        <v>2.8965351958367664</v>
      </c>
      <c r="N9" s="48">
        <f t="shared" si="4"/>
        <v>-1.8965351958367667</v>
      </c>
      <c r="O9" s="49">
        <f t="shared" si="5"/>
        <v>-1</v>
      </c>
      <c r="P9" s="49">
        <f t="shared" si="6"/>
        <v>0</v>
      </c>
      <c r="Q9" s="49">
        <f t="shared" si="7"/>
        <v>-4.2300999999999931</v>
      </c>
      <c r="R9" s="46">
        <f t="shared" si="8"/>
        <v>0</v>
      </c>
      <c r="S9" s="49">
        <f t="shared" si="9"/>
        <v>1.8965351958367667</v>
      </c>
    </row>
    <row r="10" spans="1:19" ht="14.25" customHeight="1" x14ac:dyDescent="0.45">
      <c r="A10" s="67">
        <v>438686</v>
      </c>
      <c r="B10" s="68" t="s">
        <v>93</v>
      </c>
      <c r="C10">
        <v>89.765100000000004</v>
      </c>
      <c r="D10">
        <v>78.987300000000005</v>
      </c>
      <c r="E10" s="75">
        <v>91.225499999999997</v>
      </c>
      <c r="F10" s="75">
        <v>78.987300000000005</v>
      </c>
      <c r="G10" s="75">
        <v>91.225499999999997</v>
      </c>
      <c r="H10" s="75">
        <v>76.236999999999995</v>
      </c>
      <c r="J10" s="69">
        <f t="shared" si="0"/>
        <v>2.75030000000001</v>
      </c>
      <c r="K10" s="69">
        <f t="shared" si="1"/>
        <v>3.1139875160315005</v>
      </c>
      <c r="L10">
        <f t="shared" si="2"/>
        <v>1.4603999999999928</v>
      </c>
      <c r="M10" s="49">
        <f t="shared" si="3"/>
        <v>2.1322839742752095</v>
      </c>
      <c r="N10" s="48">
        <f t="shared" si="4"/>
        <v>-1.1322839742752093</v>
      </c>
      <c r="O10" s="49">
        <f t="shared" si="5"/>
        <v>0</v>
      </c>
      <c r="P10" s="49">
        <f t="shared" si="6"/>
        <v>1.4603999999999928</v>
      </c>
      <c r="Q10" s="49">
        <f t="shared" si="7"/>
        <v>-2.75030000000001</v>
      </c>
      <c r="R10" s="46">
        <f t="shared" si="8"/>
        <v>0</v>
      </c>
      <c r="S10" s="49">
        <f t="shared" si="9"/>
        <v>1.8832511640646559</v>
      </c>
    </row>
    <row r="11" spans="1:19" ht="14.25" customHeight="1" x14ac:dyDescent="0.45">
      <c r="A11" s="67">
        <v>438687</v>
      </c>
      <c r="B11" s="68" t="s">
        <v>93</v>
      </c>
      <c r="C11">
        <v>82.271699999999996</v>
      </c>
      <c r="D11">
        <v>76.52</v>
      </c>
      <c r="E11" s="75">
        <v>81.7971</v>
      </c>
      <c r="F11" s="75">
        <v>78.084100000000007</v>
      </c>
      <c r="G11" s="75">
        <v>81.7971</v>
      </c>
      <c r="H11" s="75">
        <v>75.478999999999999</v>
      </c>
      <c r="J11" s="69">
        <f t="shared" si="0"/>
        <v>2.6051000000000073</v>
      </c>
      <c r="K11" s="69">
        <f t="shared" si="1"/>
        <v>1.1440831088692764</v>
      </c>
      <c r="L11">
        <f t="shared" si="2"/>
        <v>1.6345194920832324</v>
      </c>
      <c r="M11" s="49">
        <f t="shared" si="3"/>
        <v>0.69995072827863092</v>
      </c>
      <c r="N11" s="48">
        <f t="shared" si="4"/>
        <v>0.30004927172136908</v>
      </c>
      <c r="O11" s="49">
        <f t="shared" si="5"/>
        <v>0.95691731274891634</v>
      </c>
      <c r="P11" s="49">
        <f t="shared" si="6"/>
        <v>-0.47459999999999525</v>
      </c>
      <c r="Q11" s="49">
        <f t="shared" si="7"/>
        <v>-1.0409999999999968</v>
      </c>
      <c r="R11" s="46">
        <f t="shared" si="8"/>
        <v>1</v>
      </c>
      <c r="S11" s="49">
        <f t="shared" si="9"/>
        <v>1.59380173354785</v>
      </c>
    </row>
    <row r="12" spans="1:19" ht="14.25" customHeight="1" x14ac:dyDescent="0.45">
      <c r="A12" s="67">
        <v>438688</v>
      </c>
      <c r="B12" s="68" t="s">
        <v>93</v>
      </c>
      <c r="C12">
        <v>-26.741499999999998</v>
      </c>
      <c r="D12">
        <v>19.906300000000002</v>
      </c>
      <c r="E12" s="75">
        <v>-26.741499999999998</v>
      </c>
      <c r="F12" s="75">
        <v>21.284199999999998</v>
      </c>
      <c r="G12" s="75">
        <v>-26.741499999999998</v>
      </c>
      <c r="H12" s="75">
        <v>18.327200000000001</v>
      </c>
      <c r="J12" s="69">
        <f t="shared" si="0"/>
        <v>2.9569999999999972</v>
      </c>
      <c r="K12" s="69">
        <f t="shared" si="1"/>
        <v>1.5791000000000004</v>
      </c>
      <c r="L12">
        <f t="shared" si="2"/>
        <v>1.3778999999999968</v>
      </c>
      <c r="M12" s="49">
        <f t="shared" si="3"/>
        <v>1.1460193047390987</v>
      </c>
      <c r="N12" s="48">
        <f t="shared" si="4"/>
        <v>-0.14601930473909869</v>
      </c>
      <c r="O12" s="49">
        <f t="shared" si="5"/>
        <v>1</v>
      </c>
      <c r="P12" s="49">
        <f t="shared" si="6"/>
        <v>0</v>
      </c>
      <c r="Q12" s="49">
        <f t="shared" si="7"/>
        <v>-1.5791000000000004</v>
      </c>
      <c r="R12" s="46">
        <f t="shared" si="8"/>
        <v>0</v>
      </c>
      <c r="S12" s="49">
        <f t="shared" si="9"/>
        <v>2.1460193047390987</v>
      </c>
    </row>
    <row r="13" spans="1:19" ht="14.25" customHeight="1" x14ac:dyDescent="0.45">
      <c r="A13" s="67">
        <v>438689</v>
      </c>
      <c r="B13" s="68" t="s">
        <v>93</v>
      </c>
      <c r="C13">
        <v>-23.2851</v>
      </c>
      <c r="D13">
        <v>10.8095</v>
      </c>
      <c r="E13" s="75">
        <v>-24.6631</v>
      </c>
      <c r="F13" s="75">
        <v>10.8095</v>
      </c>
      <c r="G13" s="75">
        <v>-24.6631</v>
      </c>
      <c r="H13" s="75">
        <v>14.896800000000001</v>
      </c>
      <c r="J13" s="69">
        <f t="shared" si="0"/>
        <v>4.0873000000000008</v>
      </c>
      <c r="K13" s="69">
        <f t="shared" si="1"/>
        <v>4.313340386521797</v>
      </c>
      <c r="L13">
        <f t="shared" si="2"/>
        <v>1.3780000000000001</v>
      </c>
      <c r="M13" s="49">
        <f t="shared" si="3"/>
        <v>3.1301454183757595</v>
      </c>
      <c r="N13" s="48">
        <f t="shared" si="4"/>
        <v>-2.1301454183757595</v>
      </c>
      <c r="O13" s="49">
        <f t="shared" si="5"/>
        <v>0</v>
      </c>
      <c r="P13" s="49">
        <f t="shared" si="6"/>
        <v>-1.3780000000000001</v>
      </c>
      <c r="Q13" s="49">
        <f t="shared" si="7"/>
        <v>4.0873000000000008</v>
      </c>
      <c r="R13" s="46">
        <f t="shared" si="8"/>
        <v>0</v>
      </c>
      <c r="S13" s="49">
        <f t="shared" si="9"/>
        <v>2.9661103047895505</v>
      </c>
    </row>
    <row r="14" spans="1:19" ht="14.25" customHeight="1" x14ac:dyDescent="0.45">
      <c r="A14" s="67">
        <v>438690</v>
      </c>
      <c r="B14" s="68" t="s">
        <v>93</v>
      </c>
      <c r="C14">
        <v>-7.8662000000000001</v>
      </c>
      <c r="D14">
        <v>10.8095</v>
      </c>
      <c r="E14" s="75">
        <v>-6.4882999999999997</v>
      </c>
      <c r="F14" s="75">
        <v>10.8095</v>
      </c>
      <c r="G14" s="75">
        <v>-6.4882999999999997</v>
      </c>
      <c r="H14" s="75">
        <v>14.896800000000001</v>
      </c>
      <c r="J14" s="69">
        <f t="shared" si="0"/>
        <v>4.0873000000000008</v>
      </c>
      <c r="K14" s="69">
        <f t="shared" si="1"/>
        <v>4.3133084401651605</v>
      </c>
      <c r="L14">
        <f t="shared" si="2"/>
        <v>1.3779000000000003</v>
      </c>
      <c r="M14" s="49">
        <f t="shared" si="3"/>
        <v>3.1303494013826545</v>
      </c>
      <c r="N14" s="48">
        <f t="shared" si="4"/>
        <v>-2.1303494013826545</v>
      </c>
      <c r="O14" s="49">
        <f t="shared" si="5"/>
        <v>0</v>
      </c>
      <c r="P14" s="49">
        <f t="shared" si="6"/>
        <v>1.3779000000000003</v>
      </c>
      <c r="Q14" s="49">
        <f t="shared" si="7"/>
        <v>4.0873000000000008</v>
      </c>
      <c r="R14" s="46">
        <f t="shared" si="8"/>
        <v>0</v>
      </c>
      <c r="S14" s="49">
        <f t="shared" si="9"/>
        <v>2.9663255678931706</v>
      </c>
    </row>
    <row r="15" spans="1:19" ht="14.25" customHeight="1" x14ac:dyDescent="0.45">
      <c r="A15" s="67">
        <v>438691</v>
      </c>
      <c r="B15" s="68" t="s">
        <v>93</v>
      </c>
      <c r="C15">
        <v>-4.9756</v>
      </c>
      <c r="D15">
        <v>-10.111599999999999</v>
      </c>
      <c r="E15" s="75">
        <v>-6.4359999999999999</v>
      </c>
      <c r="F15" s="75">
        <v>-10.111599999999999</v>
      </c>
      <c r="G15" s="75">
        <v>-6.4359999999999999</v>
      </c>
      <c r="H15" s="75">
        <v>-7.3613</v>
      </c>
      <c r="J15" s="69">
        <f t="shared" si="0"/>
        <v>2.7502999999999993</v>
      </c>
      <c r="K15" s="69">
        <f t="shared" si="1"/>
        <v>3.1139875160314943</v>
      </c>
      <c r="L15">
        <f t="shared" si="2"/>
        <v>1.4603999999999999</v>
      </c>
      <c r="M15" s="49">
        <f t="shared" si="3"/>
        <v>2.1322839742751949</v>
      </c>
      <c r="N15" s="48">
        <f t="shared" si="4"/>
        <v>-1.1322839742751947</v>
      </c>
      <c r="O15" s="49">
        <f t="shared" si="5"/>
        <v>0</v>
      </c>
      <c r="P15" s="49">
        <f t="shared" si="6"/>
        <v>-1.4603999999999999</v>
      </c>
      <c r="Q15" s="49">
        <f t="shared" si="7"/>
        <v>2.7502999999999993</v>
      </c>
      <c r="R15" s="46">
        <f t="shared" si="8"/>
        <v>0</v>
      </c>
      <c r="S15" s="49">
        <f t="shared" si="9"/>
        <v>1.8832511640646394</v>
      </c>
    </row>
    <row r="16" spans="1:19" ht="14.25" customHeight="1" x14ac:dyDescent="0.45">
      <c r="A16" s="67">
        <v>438692</v>
      </c>
      <c r="B16" s="68" t="s">
        <v>93</v>
      </c>
      <c r="C16">
        <v>-4.9756</v>
      </c>
      <c r="D16">
        <v>-23.2349</v>
      </c>
      <c r="E16" s="75">
        <v>-6.4359999999999999</v>
      </c>
      <c r="F16" s="75">
        <v>-23.2349</v>
      </c>
      <c r="G16" s="75">
        <v>-6.4359999999999999</v>
      </c>
      <c r="H16" s="75">
        <v>-20.4846</v>
      </c>
      <c r="J16" s="69">
        <f t="shared" si="0"/>
        <v>2.7502999999999993</v>
      </c>
      <c r="K16" s="69">
        <f t="shared" si="1"/>
        <v>3.1139875160314943</v>
      </c>
      <c r="L16">
        <f t="shared" si="2"/>
        <v>1.4603999999999999</v>
      </c>
      <c r="M16" s="49">
        <f t="shared" si="3"/>
        <v>2.1322839742751949</v>
      </c>
      <c r="N16" s="48">
        <f t="shared" si="4"/>
        <v>-1.1322839742751947</v>
      </c>
      <c r="O16" s="49">
        <f t="shared" si="5"/>
        <v>0</v>
      </c>
      <c r="P16" s="49">
        <f t="shared" si="6"/>
        <v>-1.4603999999999999</v>
      </c>
      <c r="Q16" s="49">
        <f t="shared" si="7"/>
        <v>2.7502999999999993</v>
      </c>
      <c r="R16" s="46">
        <f t="shared" si="8"/>
        <v>0</v>
      </c>
      <c r="S16" s="49">
        <f t="shared" si="9"/>
        <v>1.8832511640646394</v>
      </c>
    </row>
    <row r="17" spans="1:19" ht="14.25" customHeight="1" x14ac:dyDescent="0.45">
      <c r="A17" s="67">
        <v>438693</v>
      </c>
      <c r="B17" s="68" t="s">
        <v>93</v>
      </c>
      <c r="C17">
        <v>-4.9756</v>
      </c>
      <c r="D17">
        <v>-29.0502</v>
      </c>
      <c r="E17" s="75">
        <v>-6.4355000000000002</v>
      </c>
      <c r="F17" s="75">
        <v>-29.0502</v>
      </c>
      <c r="G17" s="75">
        <v>-6.4355000000000002</v>
      </c>
      <c r="H17" s="75">
        <v>-24.7989</v>
      </c>
      <c r="J17" s="69">
        <f t="shared" si="0"/>
        <v>4.2513000000000005</v>
      </c>
      <c r="K17" s="69">
        <f t="shared" si="1"/>
        <v>4.4949816128656197</v>
      </c>
      <c r="L17">
        <f t="shared" si="2"/>
        <v>1.4599000000000002</v>
      </c>
      <c r="M17" s="49">
        <f t="shared" si="3"/>
        <v>3.0789654174023009</v>
      </c>
      <c r="N17" s="48">
        <f t="shared" si="4"/>
        <v>-2.0789654174023009</v>
      </c>
      <c r="O17" s="49">
        <f t="shared" si="5"/>
        <v>0</v>
      </c>
      <c r="P17" s="49">
        <f t="shared" si="6"/>
        <v>-1.4599000000000002</v>
      </c>
      <c r="Q17" s="49">
        <f t="shared" si="7"/>
        <v>4.2513000000000005</v>
      </c>
      <c r="R17" s="46">
        <f t="shared" si="8"/>
        <v>0</v>
      </c>
      <c r="S17" s="49">
        <f t="shared" si="9"/>
        <v>2.9120487704637306</v>
      </c>
    </row>
    <row r="18" spans="1:19" ht="14.25" customHeight="1" x14ac:dyDescent="0.45">
      <c r="A18" s="67">
        <v>438694</v>
      </c>
      <c r="B18" s="68" t="s">
        <v>93</v>
      </c>
      <c r="C18">
        <v>-2.8816000000000002</v>
      </c>
      <c r="D18">
        <v>-52.215899999999998</v>
      </c>
      <c r="E18" s="75">
        <v>-3.3561000000000001</v>
      </c>
      <c r="F18" s="75">
        <v>-53.780099999999997</v>
      </c>
      <c r="G18" s="75">
        <v>-3.3561000000000001</v>
      </c>
      <c r="H18" s="75">
        <v>-51.174900000000001</v>
      </c>
      <c r="J18" s="69">
        <f t="shared" si="0"/>
        <v>2.6051999999999964</v>
      </c>
      <c r="K18" s="69">
        <f t="shared" si="1"/>
        <v>1.1440416294873161</v>
      </c>
      <c r="L18">
        <f t="shared" si="2"/>
        <v>1.634586152516899</v>
      </c>
      <c r="M18" s="49">
        <f t="shared" si="3"/>
        <v>0.69989680735135718</v>
      </c>
      <c r="N18" s="48">
        <f t="shared" si="4"/>
        <v>0.30010319264864288</v>
      </c>
      <c r="O18" s="49">
        <f t="shared" si="5"/>
        <v>0.95693946604862623</v>
      </c>
      <c r="P18" s="49">
        <f t="shared" si="6"/>
        <v>-0.47449999999999992</v>
      </c>
      <c r="Q18" s="49">
        <f t="shared" si="7"/>
        <v>1.0409999999999968</v>
      </c>
      <c r="R18" s="46">
        <f t="shared" si="8"/>
        <v>1</v>
      </c>
      <c r="S18" s="49">
        <f t="shared" si="9"/>
        <v>1.5937979139175797</v>
      </c>
    </row>
    <row r="19" spans="1:19" ht="14.25" customHeight="1" x14ac:dyDescent="0.45">
      <c r="A19" s="67">
        <v>438695</v>
      </c>
      <c r="B19" s="68" t="s">
        <v>93</v>
      </c>
      <c r="C19">
        <v>10.4879</v>
      </c>
      <c r="D19">
        <v>-49.213900000000002</v>
      </c>
      <c r="E19" s="75">
        <v>10.4879</v>
      </c>
      <c r="F19" s="75">
        <v>-50.674399999999999</v>
      </c>
      <c r="G19" s="75">
        <v>10.4879</v>
      </c>
      <c r="H19" s="75">
        <v>-47.904699999999998</v>
      </c>
      <c r="J19" s="69">
        <f t="shared" si="0"/>
        <v>2.7697000000000003</v>
      </c>
      <c r="K19" s="69">
        <f t="shared" si="1"/>
        <v>1.3092000000000041</v>
      </c>
      <c r="L19">
        <f t="shared" si="2"/>
        <v>1.4604999999999961</v>
      </c>
      <c r="M19" s="49">
        <f t="shared" si="3"/>
        <v>0.89640534063677346</v>
      </c>
      <c r="N19" s="48">
        <f t="shared" si="4"/>
        <v>0.10359465936322657</v>
      </c>
      <c r="O19" s="49">
        <f t="shared" si="5"/>
        <v>1</v>
      </c>
      <c r="P19" s="49">
        <f t="shared" si="6"/>
        <v>0</v>
      </c>
      <c r="Q19" s="49">
        <f t="shared" si="7"/>
        <v>1.3092000000000041</v>
      </c>
      <c r="R19" s="46">
        <f t="shared" si="8"/>
        <v>1</v>
      </c>
      <c r="S19" s="49">
        <f t="shared" si="9"/>
        <v>1.8964053406367734</v>
      </c>
    </row>
    <row r="20" spans="1:19" ht="14.25" customHeight="1" x14ac:dyDescent="0.45">
      <c r="A20" s="67">
        <v>438696</v>
      </c>
      <c r="B20" s="68" t="s">
        <v>93</v>
      </c>
      <c r="C20">
        <v>14.802199999999999</v>
      </c>
      <c r="D20">
        <v>-49.213900000000002</v>
      </c>
      <c r="E20" s="75">
        <v>14.802199999999999</v>
      </c>
      <c r="F20" s="75">
        <v>-50.674399999999999</v>
      </c>
      <c r="G20" s="75">
        <v>14.802199999999999</v>
      </c>
      <c r="H20" s="75">
        <v>-47.904699999999998</v>
      </c>
      <c r="J20" s="69">
        <f t="shared" si="0"/>
        <v>2.7697000000000003</v>
      </c>
      <c r="K20" s="69">
        <f t="shared" si="1"/>
        <v>1.3092000000000041</v>
      </c>
      <c r="L20">
        <f t="shared" si="2"/>
        <v>1.4604999999999961</v>
      </c>
      <c r="M20" s="49">
        <f t="shared" si="3"/>
        <v>0.89640534063677346</v>
      </c>
      <c r="N20" s="48">
        <f t="shared" si="4"/>
        <v>0.10359465936322657</v>
      </c>
      <c r="O20" s="49">
        <f t="shared" si="5"/>
        <v>1</v>
      </c>
      <c r="P20" s="49">
        <f t="shared" si="6"/>
        <v>0</v>
      </c>
      <c r="Q20" s="49">
        <f t="shared" si="7"/>
        <v>1.3092000000000041</v>
      </c>
      <c r="R20" s="46">
        <f t="shared" si="8"/>
        <v>1</v>
      </c>
      <c r="S20" s="49">
        <f t="shared" si="9"/>
        <v>1.8964053406367734</v>
      </c>
    </row>
    <row r="21" spans="1:19" ht="14.25" customHeight="1" x14ac:dyDescent="0.45">
      <c r="A21" s="67">
        <v>438697</v>
      </c>
      <c r="B21" s="68" t="s">
        <v>93</v>
      </c>
      <c r="C21">
        <v>25.6782</v>
      </c>
      <c r="D21">
        <v>-56.809100000000001</v>
      </c>
      <c r="E21" s="75">
        <v>25.6782</v>
      </c>
      <c r="F21" s="75">
        <v>-58.269500000000001</v>
      </c>
      <c r="G21" s="75">
        <v>25.6782</v>
      </c>
      <c r="H21" s="75">
        <v>-55.499899999999997</v>
      </c>
      <c r="J21" s="69">
        <f t="shared" si="0"/>
        <v>2.7696000000000041</v>
      </c>
      <c r="K21" s="69">
        <f t="shared" si="1"/>
        <v>1.3092000000000041</v>
      </c>
      <c r="L21">
        <f t="shared" si="2"/>
        <v>1.4603999999999999</v>
      </c>
      <c r="M21" s="49">
        <f t="shared" si="3"/>
        <v>0.896466721446182</v>
      </c>
      <c r="N21" s="48">
        <f t="shared" si="4"/>
        <v>0.10353327855381798</v>
      </c>
      <c r="O21" s="49">
        <f t="shared" si="5"/>
        <v>1</v>
      </c>
      <c r="P21" s="49">
        <f t="shared" si="6"/>
        <v>0</v>
      </c>
      <c r="Q21" s="49">
        <f t="shared" si="7"/>
        <v>1.3092000000000041</v>
      </c>
      <c r="R21" s="46">
        <f t="shared" si="8"/>
        <v>1</v>
      </c>
      <c r="S21" s="49">
        <f t="shared" si="9"/>
        <v>1.8964667214461821</v>
      </c>
    </row>
    <row r="22" spans="1:19" ht="14.25" customHeight="1" x14ac:dyDescent="0.45">
      <c r="A22" s="67">
        <v>438698</v>
      </c>
      <c r="B22" s="68" t="s">
        <v>93</v>
      </c>
      <c r="C22">
        <v>39.6631</v>
      </c>
      <c r="D22">
        <v>-56.809100000000001</v>
      </c>
      <c r="E22" s="75">
        <v>39.6631</v>
      </c>
      <c r="F22" s="75">
        <v>-58.269500000000001</v>
      </c>
      <c r="G22" s="75">
        <v>39.6631</v>
      </c>
      <c r="H22" s="75">
        <v>-55.499899999999997</v>
      </c>
      <c r="J22" s="69">
        <f t="shared" si="0"/>
        <v>2.7696000000000041</v>
      </c>
      <c r="K22" s="69">
        <f t="shared" si="1"/>
        <v>1.3092000000000041</v>
      </c>
      <c r="L22">
        <f t="shared" si="2"/>
        <v>1.4603999999999999</v>
      </c>
      <c r="M22" s="49">
        <f t="shared" si="3"/>
        <v>0.896466721446182</v>
      </c>
      <c r="N22" s="48">
        <f t="shared" si="4"/>
        <v>0.10353327855381798</v>
      </c>
      <c r="O22" s="49">
        <f t="shared" si="5"/>
        <v>1</v>
      </c>
      <c r="P22" s="49">
        <f t="shared" si="6"/>
        <v>0</v>
      </c>
      <c r="Q22" s="49">
        <f t="shared" si="7"/>
        <v>1.3092000000000041</v>
      </c>
      <c r="R22" s="46">
        <f t="shared" si="8"/>
        <v>1</v>
      </c>
      <c r="S22" s="49">
        <f t="shared" si="9"/>
        <v>1.8964667214461821</v>
      </c>
    </row>
    <row r="23" spans="1:19" ht="14.25" customHeight="1" x14ac:dyDescent="0.45">
      <c r="A23" s="67">
        <v>438699</v>
      </c>
      <c r="B23" s="68" t="s">
        <v>93</v>
      </c>
      <c r="C23">
        <v>158.70590000000001</v>
      </c>
      <c r="D23">
        <v>-49.213900000000002</v>
      </c>
      <c r="E23" s="75">
        <v>158.70590000000001</v>
      </c>
      <c r="F23" s="75">
        <v>-50.674399999999999</v>
      </c>
      <c r="G23" s="75">
        <v>158.70590000000001</v>
      </c>
      <c r="H23" s="75">
        <v>-47.904699999999998</v>
      </c>
      <c r="J23" s="69">
        <f t="shared" si="0"/>
        <v>2.7697000000000003</v>
      </c>
      <c r="K23" s="69">
        <f t="shared" si="1"/>
        <v>1.3092000000000041</v>
      </c>
      <c r="L23">
        <f t="shared" si="2"/>
        <v>1.4604999999999961</v>
      </c>
      <c r="M23" s="49">
        <f t="shared" si="3"/>
        <v>0.89640534063677346</v>
      </c>
      <c r="N23" s="48">
        <f t="shared" si="4"/>
        <v>0.10359465936322657</v>
      </c>
      <c r="O23" s="49">
        <f t="shared" si="5"/>
        <v>1</v>
      </c>
      <c r="P23" s="49">
        <f t="shared" si="6"/>
        <v>0</v>
      </c>
      <c r="Q23" s="49">
        <f t="shared" si="7"/>
        <v>1.3092000000000041</v>
      </c>
      <c r="R23" s="46">
        <f t="shared" si="8"/>
        <v>1</v>
      </c>
      <c r="S23" s="49">
        <f t="shared" si="9"/>
        <v>1.8964053406367734</v>
      </c>
    </row>
    <row r="24" spans="1:19" ht="14.25" customHeight="1" x14ac:dyDescent="0.45">
      <c r="A24" s="67">
        <v>438700</v>
      </c>
      <c r="B24" s="68" t="s">
        <v>93</v>
      </c>
      <c r="C24">
        <v>154.39160000000001</v>
      </c>
      <c r="D24">
        <v>-49.213900000000002</v>
      </c>
      <c r="E24" s="75">
        <v>154.39160000000001</v>
      </c>
      <c r="F24" s="75">
        <v>-50.674399999999999</v>
      </c>
      <c r="G24" s="75">
        <v>154.39160000000001</v>
      </c>
      <c r="H24" s="75">
        <v>-47.904699999999998</v>
      </c>
      <c r="J24" s="69">
        <f t="shared" si="0"/>
        <v>2.7697000000000003</v>
      </c>
      <c r="K24" s="69">
        <f t="shared" si="1"/>
        <v>1.3092000000000041</v>
      </c>
      <c r="L24">
        <f t="shared" si="2"/>
        <v>1.4604999999999961</v>
      </c>
      <c r="M24" s="49">
        <f t="shared" si="3"/>
        <v>0.89640534063677346</v>
      </c>
      <c r="N24" s="48">
        <f t="shared" si="4"/>
        <v>0.10359465936322657</v>
      </c>
      <c r="O24" s="49">
        <f t="shared" si="5"/>
        <v>1</v>
      </c>
      <c r="P24" s="49">
        <f t="shared" si="6"/>
        <v>0</v>
      </c>
      <c r="Q24" s="49">
        <f t="shared" si="7"/>
        <v>1.3092000000000041</v>
      </c>
      <c r="R24" s="46">
        <f t="shared" si="8"/>
        <v>1</v>
      </c>
      <c r="S24" s="49">
        <f t="shared" si="9"/>
        <v>1.8964053406367734</v>
      </c>
    </row>
    <row r="25" spans="1:19" ht="14.25" customHeight="1" x14ac:dyDescent="0.45">
      <c r="A25" s="67">
        <v>438701</v>
      </c>
      <c r="B25" s="68" t="s">
        <v>93</v>
      </c>
      <c r="C25">
        <v>139.02080000000001</v>
      </c>
      <c r="D25">
        <v>-49.213900000000002</v>
      </c>
      <c r="E25" s="75">
        <v>139.02080000000001</v>
      </c>
      <c r="F25" s="75">
        <v>-50.674399999999999</v>
      </c>
      <c r="G25" s="75">
        <v>139.02080000000001</v>
      </c>
      <c r="H25" s="75">
        <v>-47.904699999999998</v>
      </c>
      <c r="J25" s="69">
        <f t="shared" si="0"/>
        <v>2.7697000000000003</v>
      </c>
      <c r="K25" s="69">
        <f t="shared" si="1"/>
        <v>1.3092000000000041</v>
      </c>
      <c r="L25">
        <f t="shared" si="2"/>
        <v>1.4604999999999961</v>
      </c>
      <c r="M25" s="49">
        <f t="shared" si="3"/>
        <v>0.89640534063677346</v>
      </c>
      <c r="N25" s="48">
        <f t="shared" si="4"/>
        <v>0.10359465936322657</v>
      </c>
      <c r="O25" s="49">
        <f t="shared" si="5"/>
        <v>1</v>
      </c>
      <c r="P25" s="49">
        <f t="shared" si="6"/>
        <v>0</v>
      </c>
      <c r="Q25" s="49">
        <f t="shared" si="7"/>
        <v>1.3092000000000041</v>
      </c>
      <c r="R25" s="46">
        <f t="shared" si="8"/>
        <v>1</v>
      </c>
      <c r="S25" s="49">
        <f t="shared" si="9"/>
        <v>1.8964053406367734</v>
      </c>
    </row>
    <row r="26" spans="1:19" ht="14.25" customHeight="1" x14ac:dyDescent="0.45">
      <c r="A26" s="67">
        <v>438702</v>
      </c>
      <c r="B26" s="68" t="s">
        <v>93</v>
      </c>
      <c r="C26">
        <v>134.70650000000001</v>
      </c>
      <c r="D26">
        <v>-49.213900000000002</v>
      </c>
      <c r="E26" s="75">
        <v>134.70650000000001</v>
      </c>
      <c r="F26" s="75">
        <v>-50.674399999999999</v>
      </c>
      <c r="G26" s="75">
        <v>134.70650000000001</v>
      </c>
      <c r="H26" s="75">
        <v>-47.904699999999998</v>
      </c>
      <c r="J26" s="69">
        <f t="shared" si="0"/>
        <v>2.7697000000000003</v>
      </c>
      <c r="K26" s="69">
        <f t="shared" si="1"/>
        <v>1.3092000000000041</v>
      </c>
      <c r="L26">
        <f t="shared" si="2"/>
        <v>1.4604999999999961</v>
      </c>
      <c r="M26" s="49">
        <f t="shared" si="3"/>
        <v>0.89640534063677346</v>
      </c>
      <c r="N26" s="48">
        <f t="shared" si="4"/>
        <v>0.10359465936322657</v>
      </c>
      <c r="O26" s="49">
        <f t="shared" si="5"/>
        <v>1</v>
      </c>
      <c r="P26" s="49">
        <f t="shared" si="6"/>
        <v>0</v>
      </c>
      <c r="Q26" s="49">
        <f t="shared" si="7"/>
        <v>1.3092000000000041</v>
      </c>
      <c r="R26" s="46">
        <f t="shared" si="8"/>
        <v>1</v>
      </c>
      <c r="S26" s="49">
        <f t="shared" si="9"/>
        <v>1.8964053406367734</v>
      </c>
    </row>
    <row r="27" spans="1:19" ht="14.25" customHeight="1" x14ac:dyDescent="0.45">
      <c r="A27" s="67">
        <v>438703</v>
      </c>
      <c r="B27" s="68" t="s">
        <v>93</v>
      </c>
      <c r="C27">
        <v>99.650800000000004</v>
      </c>
      <c r="D27">
        <v>-49.213900000000002</v>
      </c>
      <c r="E27" s="75">
        <v>99.650800000000004</v>
      </c>
      <c r="F27" s="75">
        <v>-50.674399999999999</v>
      </c>
      <c r="G27" s="75">
        <v>99.650800000000004</v>
      </c>
      <c r="H27" s="75">
        <v>-47.904699999999998</v>
      </c>
      <c r="J27" s="69">
        <f t="shared" si="0"/>
        <v>2.7697000000000003</v>
      </c>
      <c r="K27" s="69">
        <f t="shared" si="1"/>
        <v>1.3092000000000041</v>
      </c>
      <c r="L27">
        <f t="shared" si="2"/>
        <v>1.4604999999999961</v>
      </c>
      <c r="M27" s="49">
        <f t="shared" si="3"/>
        <v>0.89640534063677346</v>
      </c>
      <c r="N27" s="48">
        <f t="shared" si="4"/>
        <v>0.10359465936322657</v>
      </c>
      <c r="O27" s="49">
        <f t="shared" si="5"/>
        <v>1</v>
      </c>
      <c r="P27" s="49">
        <f t="shared" si="6"/>
        <v>0</v>
      </c>
      <c r="Q27" s="49">
        <f t="shared" si="7"/>
        <v>1.3092000000000041</v>
      </c>
      <c r="R27" s="46">
        <f t="shared" si="8"/>
        <v>1</v>
      </c>
      <c r="S27" s="49">
        <f t="shared" si="9"/>
        <v>1.8964053406367734</v>
      </c>
    </row>
    <row r="28" spans="1:19" ht="14.25" customHeight="1" x14ac:dyDescent="0.45">
      <c r="A28" s="67">
        <v>438704</v>
      </c>
      <c r="B28" s="68" t="s">
        <v>93</v>
      </c>
      <c r="C28">
        <v>95.336500000000001</v>
      </c>
      <c r="D28">
        <v>-49.213900000000002</v>
      </c>
      <c r="E28" s="75">
        <v>95.336500000000001</v>
      </c>
      <c r="F28" s="75">
        <v>-50.674399999999999</v>
      </c>
      <c r="G28" s="75">
        <v>95.336500000000001</v>
      </c>
      <c r="H28" s="75">
        <v>-47.904699999999998</v>
      </c>
      <c r="J28" s="69">
        <f t="shared" si="0"/>
        <v>2.7697000000000003</v>
      </c>
      <c r="K28" s="69">
        <f t="shared" si="1"/>
        <v>1.3092000000000041</v>
      </c>
      <c r="L28">
        <f t="shared" si="2"/>
        <v>1.4604999999999961</v>
      </c>
      <c r="M28" s="49">
        <f t="shared" si="3"/>
        <v>0.89640534063677346</v>
      </c>
      <c r="N28" s="48">
        <f t="shared" si="4"/>
        <v>0.10359465936322657</v>
      </c>
      <c r="O28" s="49">
        <f t="shared" si="5"/>
        <v>1</v>
      </c>
      <c r="P28" s="49">
        <f t="shared" si="6"/>
        <v>0</v>
      </c>
      <c r="Q28" s="49">
        <f t="shared" si="7"/>
        <v>1.3092000000000041</v>
      </c>
      <c r="R28" s="46">
        <f t="shared" si="8"/>
        <v>1</v>
      </c>
      <c r="S28" s="49">
        <f t="shared" si="9"/>
        <v>1.8964053406367734</v>
      </c>
    </row>
    <row r="29" spans="1:19" ht="14.25" customHeight="1" x14ac:dyDescent="0.45">
      <c r="A29" s="67">
        <v>438705</v>
      </c>
      <c r="B29" s="68" t="s">
        <v>93</v>
      </c>
      <c r="C29">
        <v>79.965699999999998</v>
      </c>
      <c r="D29">
        <v>-49.213900000000002</v>
      </c>
      <c r="E29" s="75">
        <v>79.965699999999998</v>
      </c>
      <c r="F29" s="75">
        <v>-50.674399999999999</v>
      </c>
      <c r="G29" s="75">
        <v>79.965699999999998</v>
      </c>
      <c r="H29" s="75">
        <v>-47.904699999999998</v>
      </c>
      <c r="J29" s="69">
        <f t="shared" si="0"/>
        <v>2.7697000000000003</v>
      </c>
      <c r="K29" s="69">
        <f t="shared" si="1"/>
        <v>1.3092000000000041</v>
      </c>
      <c r="L29">
        <f t="shared" si="2"/>
        <v>1.4604999999999961</v>
      </c>
      <c r="M29" s="49">
        <f t="shared" si="3"/>
        <v>0.89640534063677346</v>
      </c>
      <c r="N29" s="48">
        <f t="shared" si="4"/>
        <v>0.10359465936322657</v>
      </c>
      <c r="O29" s="49">
        <f t="shared" si="5"/>
        <v>1</v>
      </c>
      <c r="P29" s="49">
        <f t="shared" si="6"/>
        <v>0</v>
      </c>
      <c r="Q29" s="49">
        <f t="shared" si="7"/>
        <v>1.3092000000000041</v>
      </c>
      <c r="R29" s="46">
        <f t="shared" si="8"/>
        <v>1</v>
      </c>
      <c r="S29" s="49">
        <f t="shared" si="9"/>
        <v>1.8964053406367734</v>
      </c>
    </row>
    <row r="30" spans="1:19" ht="14.25" customHeight="1" x14ac:dyDescent="0.45">
      <c r="A30" s="67">
        <v>438706</v>
      </c>
      <c r="B30" s="68" t="s">
        <v>93</v>
      </c>
      <c r="C30">
        <v>75.651399999999995</v>
      </c>
      <c r="D30">
        <v>-49.213900000000002</v>
      </c>
      <c r="E30" s="75">
        <v>75.651399999999995</v>
      </c>
      <c r="F30" s="75">
        <v>-50.674399999999999</v>
      </c>
      <c r="G30" s="75">
        <v>75.651399999999995</v>
      </c>
      <c r="H30" s="75">
        <v>-47.904699999999998</v>
      </c>
      <c r="J30" s="69">
        <f t="shared" si="0"/>
        <v>2.7697000000000003</v>
      </c>
      <c r="K30" s="69">
        <f t="shared" si="1"/>
        <v>1.3092000000000041</v>
      </c>
      <c r="L30">
        <f t="shared" si="2"/>
        <v>1.4604999999999961</v>
      </c>
      <c r="M30" s="49">
        <f t="shared" si="3"/>
        <v>0.89640534063677346</v>
      </c>
      <c r="N30" s="48">
        <f t="shared" si="4"/>
        <v>0.10359465936322657</v>
      </c>
      <c r="O30" s="49">
        <f t="shared" si="5"/>
        <v>1</v>
      </c>
      <c r="P30" s="49">
        <f t="shared" si="6"/>
        <v>0</v>
      </c>
      <c r="Q30" s="49">
        <f t="shared" si="7"/>
        <v>1.3092000000000041</v>
      </c>
      <c r="R30" s="46">
        <f t="shared" si="8"/>
        <v>1</v>
      </c>
      <c r="S30" s="49">
        <f t="shared" si="9"/>
        <v>1.8964053406367734</v>
      </c>
    </row>
    <row r="31" spans="1:19" ht="14.25" customHeight="1" x14ac:dyDescent="0.45">
      <c r="A31" s="67">
        <v>438707</v>
      </c>
      <c r="B31" s="68" t="s">
        <v>93</v>
      </c>
      <c r="C31">
        <v>44.961599999999997</v>
      </c>
      <c r="D31">
        <v>-49.213900000000002</v>
      </c>
      <c r="E31" s="75">
        <v>44.961599999999997</v>
      </c>
      <c r="F31" s="75">
        <v>-50.674399999999999</v>
      </c>
      <c r="G31" s="75">
        <v>44.961599999999997</v>
      </c>
      <c r="H31" s="75">
        <v>-47.904699999999998</v>
      </c>
      <c r="J31" s="69">
        <f t="shared" si="0"/>
        <v>2.7697000000000003</v>
      </c>
      <c r="K31" s="69">
        <f t="shared" si="1"/>
        <v>1.3092000000000041</v>
      </c>
      <c r="L31">
        <f t="shared" si="2"/>
        <v>1.4604999999999961</v>
      </c>
      <c r="M31" s="49">
        <f t="shared" si="3"/>
        <v>0.89640534063677346</v>
      </c>
      <c r="N31" s="48">
        <f t="shared" si="4"/>
        <v>0.10359465936322657</v>
      </c>
      <c r="O31" s="49">
        <f t="shared" si="5"/>
        <v>1</v>
      </c>
      <c r="P31" s="49">
        <f t="shared" si="6"/>
        <v>0</v>
      </c>
      <c r="Q31" s="49">
        <f t="shared" si="7"/>
        <v>1.3092000000000041</v>
      </c>
      <c r="R31" s="46">
        <f t="shared" si="8"/>
        <v>1</v>
      </c>
      <c r="S31" s="49">
        <f t="shared" si="9"/>
        <v>1.8964053406367734</v>
      </c>
    </row>
    <row r="32" spans="1:19" ht="14.25" customHeight="1" x14ac:dyDescent="0.45">
      <c r="A32" s="67">
        <v>438708</v>
      </c>
      <c r="B32" s="68" t="s">
        <v>93</v>
      </c>
      <c r="C32">
        <v>177.94319999999999</v>
      </c>
      <c r="D32">
        <v>-52.215899999999998</v>
      </c>
      <c r="E32" s="75">
        <v>177.46870000000001</v>
      </c>
      <c r="F32" s="75">
        <v>-53.780099999999997</v>
      </c>
      <c r="G32" s="75">
        <v>177.46870000000001</v>
      </c>
      <c r="H32" s="75">
        <v>-51.174900000000001</v>
      </c>
      <c r="J32" s="69">
        <f t="shared" si="0"/>
        <v>2.6051999999999964</v>
      </c>
      <c r="K32" s="69">
        <f t="shared" si="1"/>
        <v>1.1440416294873068</v>
      </c>
      <c r="L32">
        <f t="shared" si="2"/>
        <v>1.6345861525168925</v>
      </c>
      <c r="M32" s="49">
        <f t="shared" si="3"/>
        <v>0.69989680735135418</v>
      </c>
      <c r="N32" s="48">
        <f t="shared" si="4"/>
        <v>0.30010319264864582</v>
      </c>
      <c r="O32" s="49">
        <f t="shared" si="5"/>
        <v>0.95693946604863001</v>
      </c>
      <c r="P32" s="49">
        <f t="shared" si="6"/>
        <v>-0.47449999999997772</v>
      </c>
      <c r="Q32" s="49">
        <f t="shared" si="7"/>
        <v>1.0409999999999968</v>
      </c>
      <c r="R32" s="46">
        <f t="shared" si="8"/>
        <v>1</v>
      </c>
      <c r="S32" s="49">
        <f t="shared" si="9"/>
        <v>1.593797913917586</v>
      </c>
    </row>
    <row r="33" spans="1:19" ht="14.25" customHeight="1" x14ac:dyDescent="0.45">
      <c r="A33" s="67">
        <v>438709</v>
      </c>
      <c r="B33" s="68" t="s">
        <v>93</v>
      </c>
      <c r="C33">
        <v>185.4366</v>
      </c>
      <c r="D33">
        <v>-54.373100000000001</v>
      </c>
      <c r="E33" s="75">
        <v>186.89699999999999</v>
      </c>
      <c r="F33" s="75">
        <v>-54.373100000000001</v>
      </c>
      <c r="G33" s="75">
        <v>186.89699999999999</v>
      </c>
      <c r="H33" s="75">
        <v>-57.357300000000002</v>
      </c>
      <c r="J33" s="69">
        <f t="shared" si="0"/>
        <v>2.9842000000000013</v>
      </c>
      <c r="K33" s="69">
        <f t="shared" si="1"/>
        <v>3.3223813447586035</v>
      </c>
      <c r="L33">
        <f t="shared" si="2"/>
        <v>1.4603999999999928</v>
      </c>
      <c r="M33" s="49">
        <f t="shared" si="3"/>
        <v>2.2749803784980962</v>
      </c>
      <c r="N33" s="48">
        <f t="shared" si="4"/>
        <v>-1.2749803784980962</v>
      </c>
      <c r="O33" s="49">
        <f t="shared" si="5"/>
        <v>0</v>
      </c>
      <c r="P33" s="49">
        <f t="shared" si="6"/>
        <v>1.4603999999999928</v>
      </c>
      <c r="Q33" s="49">
        <f t="shared" si="7"/>
        <v>-2.9842000000000013</v>
      </c>
      <c r="R33" s="46">
        <f t="shared" si="8"/>
        <v>0</v>
      </c>
      <c r="S33" s="49">
        <f t="shared" si="9"/>
        <v>2.0434127636264146</v>
      </c>
    </row>
    <row r="34" spans="1:19" ht="14.25" customHeight="1" x14ac:dyDescent="0.45">
      <c r="A34" s="67">
        <v>438710</v>
      </c>
      <c r="B34" s="68" t="s">
        <v>93</v>
      </c>
      <c r="C34">
        <v>-13.4049</v>
      </c>
      <c r="D34">
        <v>56.295699999999997</v>
      </c>
      <c r="E34" s="75">
        <v>-14.955299999999999</v>
      </c>
      <c r="F34" s="75">
        <v>56.295699999999997</v>
      </c>
      <c r="G34" s="75">
        <v>-14.955299999999999</v>
      </c>
      <c r="H34" s="75">
        <v>56.295699999999997</v>
      </c>
      <c r="J34" s="69">
        <f t="shared" ref="J34:J65" si="10">IFERROR(SQRT((F34-H34)^2+(E34-G34)^2),"")</f>
        <v>0</v>
      </c>
      <c r="K34" s="69">
        <f t="shared" ref="K34:K65" si="11">IFERROR(SQRT((D34-H34)^2+(C34-G34)^2),"")</f>
        <v>1.5503999999999998</v>
      </c>
      <c r="L34">
        <f t="shared" ref="L34:L65" si="12">IFERROR(SQRT((D34-F34)^2+(C34-E34)^2),"")</f>
        <v>1.5503999999999998</v>
      </c>
      <c r="M34" s="49">
        <f t="shared" ref="M34:M65" si="13">IF(AND(AND(ISNUMBER(E34),ISNUMBER(F34)),ISNUMBER(L34),L34&gt;0),K34/L34,"")</f>
        <v>1</v>
      </c>
      <c r="N34" s="48">
        <f t="shared" ref="N34:N65" si="14">IF(AND(AND(ISNUMBER(E34),ISNUMBER(F34)),ISNUMBER(L34),L34&gt;0),(L34-K34)/L34,"")</f>
        <v>0</v>
      </c>
      <c r="O34" s="49" t="str">
        <f t="shared" ref="O34:O65" si="15">IFERROR(IF(AND(AND(ISNUMBER(E34),ISNUMBER(F34)),SQRT((G34-E34)^2+(H34-F34)^2)&gt;0,SQRT((C34-E34)^2+(D34-F34)^2)&gt;0),((G34-E34)*(C34-E34)+(H34-F34)*(D34-F34))/(SQRT((G34-E34)^2+(H34-F34)^2)*SQRT((C34-E34)^2+(D34-F34)^2)),""),"")</f>
        <v/>
      </c>
      <c r="P34" s="49">
        <f t="shared" ref="P34:P65" si="16">IF(AND(ISNUMBER(G34),ISNUMBER(C34)),G34-C34,"")</f>
        <v>-1.5503999999999998</v>
      </c>
      <c r="Q34" s="49">
        <f t="shared" ref="Q34:Q65" si="17">IF(AND(ISNUMBER(H34),ISNUMBER(D34)),H34-D34,"")</f>
        <v>0</v>
      </c>
      <c r="R34" s="46">
        <f t="shared" ref="R34:R65" si="18">IF(M34="","",IF(M34&lt;1,1,0))</f>
        <v>0</v>
      </c>
      <c r="S34" s="49">
        <f t="shared" ref="S34:S65" si="19">IF(AND(ISNUMBER(J34),ISNUMBER(L34),L34&gt;0),J34/L34,"")</f>
        <v>0</v>
      </c>
    </row>
    <row r="35" spans="1:19" ht="14.25" customHeight="1" x14ac:dyDescent="0.45">
      <c r="A35" s="67">
        <v>438711</v>
      </c>
      <c r="B35" s="68" t="s">
        <v>93</v>
      </c>
      <c r="C35">
        <v>8.8806999999999992</v>
      </c>
      <c r="D35">
        <v>73.016000000000005</v>
      </c>
      <c r="E35" s="75">
        <v>8.8806999999999992</v>
      </c>
      <c r="F35" s="75">
        <v>74.566500000000005</v>
      </c>
      <c r="G35" s="75">
        <v>8.8806999999999992</v>
      </c>
      <c r="H35" s="75">
        <v>77.182100000000005</v>
      </c>
      <c r="J35" s="69">
        <f t="shared" si="10"/>
        <v>2.6156000000000006</v>
      </c>
      <c r="K35" s="69">
        <f t="shared" si="11"/>
        <v>4.1661000000000001</v>
      </c>
      <c r="L35">
        <f t="shared" si="12"/>
        <v>1.5504999999999995</v>
      </c>
      <c r="M35" s="49">
        <f t="shared" si="13"/>
        <v>2.6869396968719776</v>
      </c>
      <c r="N35" s="48">
        <f t="shared" si="14"/>
        <v>-1.6869396968719776</v>
      </c>
      <c r="O35" s="49">
        <f t="shared" si="15"/>
        <v>-1</v>
      </c>
      <c r="P35" s="49">
        <f t="shared" si="16"/>
        <v>0</v>
      </c>
      <c r="Q35" s="49">
        <f t="shared" si="17"/>
        <v>4.1661000000000001</v>
      </c>
      <c r="R35" s="46">
        <f t="shared" si="18"/>
        <v>0</v>
      </c>
      <c r="S35" s="49">
        <f t="shared" si="19"/>
        <v>1.6869396968719776</v>
      </c>
    </row>
    <row r="36" spans="1:19" ht="14.25" customHeight="1" x14ac:dyDescent="0.45">
      <c r="A36" s="67">
        <v>438712</v>
      </c>
      <c r="B36" s="68" t="s">
        <v>93</v>
      </c>
      <c r="C36">
        <v>-13.4049</v>
      </c>
      <c r="D36">
        <v>50.127800000000001</v>
      </c>
      <c r="E36" s="75">
        <v>-14.955299999999999</v>
      </c>
      <c r="F36" s="75">
        <v>50.127800000000001</v>
      </c>
      <c r="G36" s="75">
        <v>-14.955299999999999</v>
      </c>
      <c r="H36" s="75">
        <v>50.127800000000001</v>
      </c>
      <c r="J36" s="69">
        <f t="shared" si="10"/>
        <v>0</v>
      </c>
      <c r="K36" s="69">
        <f t="shared" si="11"/>
        <v>1.5503999999999998</v>
      </c>
      <c r="L36">
        <f t="shared" si="12"/>
        <v>1.5503999999999998</v>
      </c>
      <c r="M36" s="49">
        <f t="shared" si="13"/>
        <v>1</v>
      </c>
      <c r="N36" s="48">
        <f t="shared" si="14"/>
        <v>0</v>
      </c>
      <c r="O36" s="49" t="str">
        <f t="shared" si="15"/>
        <v/>
      </c>
      <c r="P36" s="49">
        <f t="shared" si="16"/>
        <v>-1.5503999999999998</v>
      </c>
      <c r="Q36" s="49">
        <f t="shared" si="17"/>
        <v>0</v>
      </c>
      <c r="R36" s="46">
        <f t="shared" si="18"/>
        <v>0</v>
      </c>
      <c r="S36" s="49">
        <f t="shared" si="19"/>
        <v>0</v>
      </c>
    </row>
    <row r="37" spans="1:19" ht="14.25" customHeight="1" x14ac:dyDescent="0.45">
      <c r="A37" s="67">
        <v>438713</v>
      </c>
      <c r="B37" s="68" t="s">
        <v>93</v>
      </c>
      <c r="C37">
        <v>-5.0247999999999999</v>
      </c>
      <c r="D37">
        <v>56.295699999999997</v>
      </c>
      <c r="E37" s="75">
        <v>-6.5751999999999997</v>
      </c>
      <c r="F37" s="75">
        <v>56.295699999999997</v>
      </c>
      <c r="G37" s="75">
        <v>-6.5751999999999997</v>
      </c>
      <c r="H37" s="75">
        <v>56.295699999999997</v>
      </c>
      <c r="J37" s="69">
        <f t="shared" si="10"/>
        <v>0</v>
      </c>
      <c r="K37" s="69">
        <f t="shared" si="11"/>
        <v>1.5503999999999998</v>
      </c>
      <c r="L37">
        <f t="shared" si="12"/>
        <v>1.5503999999999998</v>
      </c>
      <c r="M37" s="49">
        <f t="shared" si="13"/>
        <v>1</v>
      </c>
      <c r="N37" s="48">
        <f t="shared" si="14"/>
        <v>0</v>
      </c>
      <c r="O37" s="49" t="str">
        <f t="shared" si="15"/>
        <v/>
      </c>
      <c r="P37" s="49">
        <f t="shared" si="16"/>
        <v>-1.5503999999999998</v>
      </c>
      <c r="Q37" s="49">
        <f t="shared" si="17"/>
        <v>0</v>
      </c>
      <c r="R37" s="46">
        <f t="shared" si="18"/>
        <v>0</v>
      </c>
      <c r="S37" s="49">
        <f t="shared" si="19"/>
        <v>0</v>
      </c>
    </row>
    <row r="38" spans="1:19" ht="14.25" customHeight="1" x14ac:dyDescent="0.45">
      <c r="A38" s="67">
        <v>438714</v>
      </c>
      <c r="B38" s="68" t="s">
        <v>93</v>
      </c>
      <c r="C38">
        <v>-5.0247999999999999</v>
      </c>
      <c r="D38">
        <v>50.127800000000001</v>
      </c>
      <c r="E38" s="75">
        <v>-6.5751999999999997</v>
      </c>
      <c r="F38" s="75">
        <v>50.127800000000001</v>
      </c>
      <c r="G38" s="75">
        <v>-6.5751999999999997</v>
      </c>
      <c r="H38" s="75">
        <v>50.127800000000001</v>
      </c>
      <c r="J38" s="69">
        <f t="shared" si="10"/>
        <v>0</v>
      </c>
      <c r="K38" s="69">
        <f t="shared" si="11"/>
        <v>1.5503999999999998</v>
      </c>
      <c r="L38">
        <f t="shared" si="12"/>
        <v>1.5503999999999998</v>
      </c>
      <c r="M38" s="49">
        <f t="shared" si="13"/>
        <v>1</v>
      </c>
      <c r="N38" s="48">
        <f t="shared" si="14"/>
        <v>0</v>
      </c>
      <c r="O38" s="49" t="str">
        <f t="shared" si="15"/>
        <v/>
      </c>
      <c r="P38" s="49">
        <f t="shared" si="16"/>
        <v>-1.5503999999999998</v>
      </c>
      <c r="Q38" s="49">
        <f t="shared" si="17"/>
        <v>0</v>
      </c>
      <c r="R38" s="46">
        <f t="shared" si="18"/>
        <v>0</v>
      </c>
      <c r="S38" s="49">
        <f t="shared" si="19"/>
        <v>0</v>
      </c>
    </row>
    <row r="39" spans="1:19" ht="14.25" customHeight="1" x14ac:dyDescent="0.45">
      <c r="A39" s="67">
        <v>438715</v>
      </c>
      <c r="B39" s="68" t="s">
        <v>93</v>
      </c>
      <c r="C39">
        <v>32.015599999999999</v>
      </c>
      <c r="D39">
        <v>-2.262</v>
      </c>
      <c r="E39" s="75">
        <v>32.015599999999999</v>
      </c>
      <c r="F39" s="75">
        <v>-0.71160000000000001</v>
      </c>
      <c r="G39" s="75">
        <v>32.015599999999999</v>
      </c>
      <c r="H39" s="75">
        <v>1.9039999999999999</v>
      </c>
      <c r="J39" s="69">
        <f t="shared" si="10"/>
        <v>2.6155999999999997</v>
      </c>
      <c r="K39" s="69">
        <f t="shared" si="11"/>
        <v>4.1660000000000004</v>
      </c>
      <c r="L39">
        <f t="shared" si="12"/>
        <v>1.5504</v>
      </c>
      <c r="M39" s="49">
        <f t="shared" si="13"/>
        <v>2.6870485036119716</v>
      </c>
      <c r="N39" s="48">
        <f t="shared" si="14"/>
        <v>-1.6870485036119716</v>
      </c>
      <c r="O39" s="49">
        <f t="shared" si="15"/>
        <v>-1</v>
      </c>
      <c r="P39" s="49">
        <f t="shared" si="16"/>
        <v>0</v>
      </c>
      <c r="Q39" s="49">
        <f t="shared" si="17"/>
        <v>4.1660000000000004</v>
      </c>
      <c r="R39" s="46">
        <f t="shared" si="18"/>
        <v>0</v>
      </c>
      <c r="S39" s="49">
        <f t="shared" si="19"/>
        <v>1.6870485036119709</v>
      </c>
    </row>
    <row r="40" spans="1:19" ht="14.25" customHeight="1" x14ac:dyDescent="0.45">
      <c r="A40" s="70">
        <v>438716</v>
      </c>
      <c r="B40" s="71" t="s">
        <v>55</v>
      </c>
      <c r="C40">
        <v>31.307700000000001</v>
      </c>
      <c r="D40">
        <v>102.4755</v>
      </c>
      <c r="E40">
        <v>31.307700000000001</v>
      </c>
      <c r="F40">
        <v>100.5021</v>
      </c>
      <c r="G40">
        <v>31.307700000000001</v>
      </c>
      <c r="H40">
        <v>103.0051</v>
      </c>
      <c r="J40" s="69">
        <f t="shared" si="10"/>
        <v>2.5030000000000001</v>
      </c>
      <c r="K40" s="69">
        <f t="shared" si="11"/>
        <v>0.52960000000000207</v>
      </c>
      <c r="L40">
        <f t="shared" si="12"/>
        <v>1.973399999999998</v>
      </c>
      <c r="M40" s="49">
        <f t="shared" si="13"/>
        <v>0.26836931184757401</v>
      </c>
      <c r="N40" s="48">
        <f t="shared" si="14"/>
        <v>0.73163068815242593</v>
      </c>
      <c r="O40" s="49">
        <f t="shared" si="15"/>
        <v>1</v>
      </c>
      <c r="P40" s="49">
        <f t="shared" si="16"/>
        <v>0</v>
      </c>
      <c r="Q40" s="49">
        <f t="shared" si="17"/>
        <v>0.52960000000000207</v>
      </c>
      <c r="R40" s="46">
        <f t="shared" si="18"/>
        <v>1</v>
      </c>
      <c r="S40" s="49">
        <f t="shared" si="19"/>
        <v>1.2683693118475741</v>
      </c>
    </row>
    <row r="41" spans="1:19" ht="14.25" customHeight="1" x14ac:dyDescent="0.45">
      <c r="A41" s="70">
        <v>438717</v>
      </c>
      <c r="B41" s="71" t="s">
        <v>55</v>
      </c>
      <c r="C41">
        <v>35.638500000000001</v>
      </c>
      <c r="D41">
        <v>102.4755</v>
      </c>
      <c r="E41">
        <v>35.638500000000001</v>
      </c>
      <c r="F41">
        <v>100.5021</v>
      </c>
      <c r="G41">
        <v>35.638500000000001</v>
      </c>
      <c r="H41">
        <v>103.0051</v>
      </c>
      <c r="J41" s="69">
        <f t="shared" si="10"/>
        <v>2.5030000000000001</v>
      </c>
      <c r="K41" s="69">
        <f t="shared" si="11"/>
        <v>0.52960000000000207</v>
      </c>
      <c r="L41">
        <f t="shared" si="12"/>
        <v>1.973399999999998</v>
      </c>
      <c r="M41" s="49">
        <f t="shared" si="13"/>
        <v>0.26836931184757401</v>
      </c>
      <c r="N41" s="48">
        <f t="shared" si="14"/>
        <v>0.73163068815242593</v>
      </c>
      <c r="O41" s="49">
        <f t="shared" si="15"/>
        <v>1</v>
      </c>
      <c r="P41" s="49">
        <f t="shared" si="16"/>
        <v>0</v>
      </c>
      <c r="Q41" s="49">
        <f t="shared" si="17"/>
        <v>0.52960000000000207</v>
      </c>
      <c r="R41" s="46">
        <f t="shared" si="18"/>
        <v>1</v>
      </c>
      <c r="S41" s="49">
        <f t="shared" si="19"/>
        <v>1.2683693118475741</v>
      </c>
    </row>
    <row r="42" spans="1:19" ht="14.25" customHeight="1" x14ac:dyDescent="0.45">
      <c r="A42" s="70">
        <v>438718</v>
      </c>
      <c r="B42" s="71" t="s">
        <v>55</v>
      </c>
      <c r="C42">
        <v>43.9193</v>
      </c>
      <c r="D42">
        <v>102.4755</v>
      </c>
      <c r="E42">
        <v>43.9193</v>
      </c>
      <c r="F42">
        <v>100.5021</v>
      </c>
      <c r="G42">
        <v>43.9193</v>
      </c>
      <c r="H42">
        <v>103.0051</v>
      </c>
      <c r="J42" s="69">
        <f t="shared" si="10"/>
        <v>2.5030000000000001</v>
      </c>
      <c r="K42" s="69">
        <f t="shared" si="11"/>
        <v>0.52960000000000207</v>
      </c>
      <c r="L42">
        <f t="shared" si="12"/>
        <v>1.973399999999998</v>
      </c>
      <c r="M42" s="49">
        <f t="shared" si="13"/>
        <v>0.26836931184757401</v>
      </c>
      <c r="N42" s="48">
        <f t="shared" si="14"/>
        <v>0.73163068815242593</v>
      </c>
      <c r="O42" s="49">
        <f t="shared" si="15"/>
        <v>1</v>
      </c>
      <c r="P42" s="49">
        <f t="shared" si="16"/>
        <v>0</v>
      </c>
      <c r="Q42" s="49">
        <f t="shared" si="17"/>
        <v>0.52960000000000207</v>
      </c>
      <c r="R42" s="46">
        <f t="shared" si="18"/>
        <v>1</v>
      </c>
      <c r="S42" s="49">
        <f t="shared" si="19"/>
        <v>1.2683693118475741</v>
      </c>
    </row>
    <row r="43" spans="1:19" ht="14.25" customHeight="1" x14ac:dyDescent="0.45">
      <c r="A43" s="70">
        <v>438719</v>
      </c>
      <c r="B43" s="71" t="s">
        <v>55</v>
      </c>
      <c r="C43">
        <v>47.869399999999999</v>
      </c>
      <c r="D43">
        <v>102.4755</v>
      </c>
      <c r="E43">
        <v>47.869399999999999</v>
      </c>
      <c r="F43">
        <v>100.5021</v>
      </c>
      <c r="G43">
        <v>47.869399999999999</v>
      </c>
      <c r="H43">
        <v>103.0051</v>
      </c>
      <c r="J43" s="69">
        <f t="shared" si="10"/>
        <v>2.5030000000000001</v>
      </c>
      <c r="K43" s="69">
        <f t="shared" si="11"/>
        <v>0.52960000000000207</v>
      </c>
      <c r="L43">
        <f t="shared" si="12"/>
        <v>1.973399999999998</v>
      </c>
      <c r="M43" s="49">
        <f t="shared" si="13"/>
        <v>0.26836931184757401</v>
      </c>
      <c r="N43" s="48">
        <f t="shared" si="14"/>
        <v>0.73163068815242593</v>
      </c>
      <c r="O43" s="49">
        <f t="shared" si="15"/>
        <v>1</v>
      </c>
      <c r="P43" s="49">
        <f t="shared" si="16"/>
        <v>0</v>
      </c>
      <c r="Q43" s="49">
        <f t="shared" si="17"/>
        <v>0.52960000000000207</v>
      </c>
      <c r="R43" s="46">
        <f t="shared" si="18"/>
        <v>1</v>
      </c>
      <c r="S43" s="49">
        <f t="shared" si="19"/>
        <v>1.2683693118475741</v>
      </c>
    </row>
    <row r="44" spans="1:19" ht="14.25" customHeight="1" x14ac:dyDescent="0.45">
      <c r="A44" s="70">
        <v>438720</v>
      </c>
      <c r="B44" s="71" t="s">
        <v>55</v>
      </c>
      <c r="C44">
        <v>51.819600000000001</v>
      </c>
      <c r="D44">
        <v>102.4755</v>
      </c>
      <c r="E44">
        <v>51.819600000000001</v>
      </c>
      <c r="F44">
        <v>100.5021</v>
      </c>
      <c r="G44">
        <v>51.819600000000001</v>
      </c>
      <c r="H44">
        <v>103.0051</v>
      </c>
      <c r="J44" s="69">
        <f t="shared" si="10"/>
        <v>2.5030000000000001</v>
      </c>
      <c r="K44" s="69">
        <f t="shared" si="11"/>
        <v>0.52960000000000207</v>
      </c>
      <c r="L44">
        <f t="shared" si="12"/>
        <v>1.973399999999998</v>
      </c>
      <c r="M44" s="49">
        <f t="shared" si="13"/>
        <v>0.26836931184757401</v>
      </c>
      <c r="N44" s="48">
        <f t="shared" si="14"/>
        <v>0.73163068815242593</v>
      </c>
      <c r="O44" s="49">
        <f t="shared" si="15"/>
        <v>1</v>
      </c>
      <c r="P44" s="49">
        <f t="shared" si="16"/>
        <v>0</v>
      </c>
      <c r="Q44" s="49">
        <f t="shared" si="17"/>
        <v>0.52960000000000207</v>
      </c>
      <c r="R44" s="46">
        <f t="shared" si="18"/>
        <v>1</v>
      </c>
      <c r="S44" s="49">
        <f t="shared" si="19"/>
        <v>1.2683693118475741</v>
      </c>
    </row>
    <row r="45" spans="1:19" ht="14.25" customHeight="1" x14ac:dyDescent="0.45">
      <c r="A45" s="70">
        <v>438721</v>
      </c>
      <c r="B45" s="71" t="s">
        <v>55</v>
      </c>
      <c r="C45">
        <v>55.7697</v>
      </c>
      <c r="D45">
        <v>102.4755</v>
      </c>
      <c r="E45">
        <v>55.7697</v>
      </c>
      <c r="F45">
        <v>100.5021</v>
      </c>
      <c r="G45">
        <v>55.7697</v>
      </c>
      <c r="H45">
        <v>103.0051</v>
      </c>
      <c r="J45" s="69">
        <f t="shared" si="10"/>
        <v>2.5030000000000001</v>
      </c>
      <c r="K45" s="69">
        <f t="shared" si="11"/>
        <v>0.52960000000000207</v>
      </c>
      <c r="L45">
        <f t="shared" si="12"/>
        <v>1.973399999999998</v>
      </c>
      <c r="M45" s="49">
        <f t="shared" si="13"/>
        <v>0.26836931184757401</v>
      </c>
      <c r="N45" s="48">
        <f t="shared" si="14"/>
        <v>0.73163068815242593</v>
      </c>
      <c r="O45" s="49">
        <f t="shared" si="15"/>
        <v>1</v>
      </c>
      <c r="P45" s="49">
        <f t="shared" si="16"/>
        <v>0</v>
      </c>
      <c r="Q45" s="49">
        <f t="shared" si="17"/>
        <v>0.52960000000000207</v>
      </c>
      <c r="R45" s="46">
        <f t="shared" si="18"/>
        <v>1</v>
      </c>
      <c r="S45" s="49">
        <f t="shared" si="19"/>
        <v>1.2683693118475741</v>
      </c>
    </row>
    <row r="46" spans="1:19" ht="14.25" customHeight="1" x14ac:dyDescent="0.45">
      <c r="A46" s="76">
        <v>438796</v>
      </c>
      <c r="B46" s="77" t="s">
        <v>94</v>
      </c>
      <c r="C46">
        <v>22.9252</v>
      </c>
      <c r="D46">
        <v>89.631299999999996</v>
      </c>
      <c r="E46">
        <v>26.977</v>
      </c>
      <c r="F46">
        <v>86.759100000000004</v>
      </c>
      <c r="G46">
        <v>29.2042</v>
      </c>
      <c r="H46">
        <v>87.171800000000005</v>
      </c>
      <c r="J46" s="69">
        <f t="shared" si="10"/>
        <v>2.2651139331168308</v>
      </c>
      <c r="K46" s="69">
        <f t="shared" si="11"/>
        <v>6.7435140134799125</v>
      </c>
      <c r="L46">
        <f t="shared" si="12"/>
        <v>4.9665497158490171</v>
      </c>
      <c r="M46" s="49">
        <f t="shared" si="13"/>
        <v>1.3577864713526036</v>
      </c>
      <c r="N46" s="48">
        <f t="shared" si="14"/>
        <v>-0.3577864713526035</v>
      </c>
      <c r="O46" s="49">
        <f t="shared" si="15"/>
        <v>-0.69679561862949713</v>
      </c>
      <c r="P46" s="49">
        <f t="shared" si="16"/>
        <v>6.2789999999999999</v>
      </c>
      <c r="Q46" s="49">
        <f t="shared" si="17"/>
        <v>-2.4594999999999914</v>
      </c>
      <c r="R46" s="46">
        <f t="shared" si="18"/>
        <v>0</v>
      </c>
      <c r="S46" s="49">
        <f t="shared" si="19"/>
        <v>0.45607394724923561</v>
      </c>
    </row>
    <row r="47" spans="1:19" ht="14.25" customHeight="1" x14ac:dyDescent="0.45">
      <c r="A47" s="76">
        <v>438798</v>
      </c>
      <c r="B47" s="77" t="s">
        <v>94</v>
      </c>
      <c r="C47">
        <v>55.667999999999999</v>
      </c>
      <c r="D47">
        <v>94.913799999999995</v>
      </c>
      <c r="E47">
        <v>55.787399999999998</v>
      </c>
      <c r="F47">
        <v>100.5021</v>
      </c>
      <c r="G47">
        <v>61.947000000000003</v>
      </c>
      <c r="H47">
        <v>86.784199999999998</v>
      </c>
      <c r="J47" s="69">
        <f t="shared" si="10"/>
        <v>15.037335288208482</v>
      </c>
      <c r="K47" s="69">
        <f t="shared" si="11"/>
        <v>10.272109674258738</v>
      </c>
      <c r="L47">
        <f t="shared" si="12"/>
        <v>5.5895754087408145</v>
      </c>
      <c r="M47" s="49">
        <f t="shared" si="13"/>
        <v>1.8377262892268191</v>
      </c>
      <c r="N47" s="48">
        <f t="shared" si="14"/>
        <v>-0.83772628922681913</v>
      </c>
      <c r="O47" s="49">
        <f t="shared" si="15"/>
        <v>0.90329790713156632</v>
      </c>
      <c r="P47" s="49">
        <f t="shared" si="16"/>
        <v>6.2790000000000035</v>
      </c>
      <c r="Q47" s="49">
        <f t="shared" si="17"/>
        <v>-8.1295999999999964</v>
      </c>
      <c r="R47" s="46">
        <f t="shared" si="18"/>
        <v>0</v>
      </c>
      <c r="S47" s="49">
        <f t="shared" si="19"/>
        <v>2.6902464299333966</v>
      </c>
    </row>
    <row r="48" spans="1:19" ht="14.25" customHeight="1" x14ac:dyDescent="0.45">
      <c r="A48">
        <v>438647</v>
      </c>
      <c r="B48" t="s">
        <v>50</v>
      </c>
      <c r="C48">
        <v>-9.5425000000000004</v>
      </c>
      <c r="D48">
        <v>45.623899999999999</v>
      </c>
      <c r="E48">
        <v>-6.6018999999999997</v>
      </c>
      <c r="F48">
        <v>50.0899</v>
      </c>
      <c r="G48">
        <v>-9.0754000000000001</v>
      </c>
      <c r="H48">
        <v>26.1309</v>
      </c>
      <c r="J48" s="69">
        <f t="shared" si="10"/>
        <v>24.086342255518996</v>
      </c>
      <c r="K48" s="69">
        <f t="shared" si="11"/>
        <v>19.498595626608598</v>
      </c>
      <c r="L48">
        <f t="shared" si="12"/>
        <v>5.3471753627499456</v>
      </c>
      <c r="M48" s="49">
        <f t="shared" si="13"/>
        <v>3.6465225663706042</v>
      </c>
      <c r="N48" s="48">
        <f t="shared" si="14"/>
        <v>-2.6465225663706042</v>
      </c>
      <c r="O48" s="49">
        <f t="shared" si="15"/>
        <v>0.88726618068794538</v>
      </c>
      <c r="P48" s="49">
        <f t="shared" si="16"/>
        <v>0.46710000000000029</v>
      </c>
      <c r="Q48" s="49">
        <f t="shared" si="17"/>
        <v>-19.492999999999999</v>
      </c>
      <c r="R48" s="46">
        <f t="shared" si="18"/>
        <v>0</v>
      </c>
      <c r="S48" s="49">
        <f t="shared" si="19"/>
        <v>4.5044982858261582</v>
      </c>
    </row>
    <row r="49" spans="1:19" ht="14.25" customHeight="1" x14ac:dyDescent="0.45">
      <c r="A49">
        <v>438648</v>
      </c>
      <c r="B49" t="s">
        <v>50</v>
      </c>
      <c r="C49">
        <v>17.645600000000002</v>
      </c>
      <c r="D49">
        <v>36.036200000000001</v>
      </c>
      <c r="E49">
        <v>13.234400000000001</v>
      </c>
      <c r="F49">
        <v>28.016300000000001</v>
      </c>
      <c r="G49">
        <v>11.4718</v>
      </c>
      <c r="H49">
        <v>12.994999999999999</v>
      </c>
      <c r="J49" s="69">
        <f t="shared" si="10"/>
        <v>15.124358249195238</v>
      </c>
      <c r="K49" s="69">
        <f t="shared" si="11"/>
        <v>23.853987169444025</v>
      </c>
      <c r="L49">
        <f t="shared" si="12"/>
        <v>9.1530039577179263</v>
      </c>
      <c r="M49" s="49">
        <f t="shared" si="13"/>
        <v>2.6061375346975622</v>
      </c>
      <c r="N49" s="48">
        <f t="shared" si="14"/>
        <v>-1.6061375346975622</v>
      </c>
      <c r="O49" s="49">
        <f t="shared" si="15"/>
        <v>-0.92639917476767064</v>
      </c>
      <c r="P49" s="49">
        <f t="shared" si="16"/>
        <v>-6.1738000000000017</v>
      </c>
      <c r="Q49" s="49">
        <f t="shared" si="17"/>
        <v>-23.041200000000003</v>
      </c>
      <c r="R49" s="46">
        <f t="shared" si="18"/>
        <v>0</v>
      </c>
      <c r="S49" s="49">
        <f t="shared" si="19"/>
        <v>1.6523928449131928</v>
      </c>
    </row>
    <row r="50" spans="1:19" ht="14.25" customHeight="1" x14ac:dyDescent="0.45">
      <c r="A50">
        <v>438649</v>
      </c>
      <c r="B50" t="s">
        <v>50</v>
      </c>
      <c r="C50">
        <v>-10.587999999999999</v>
      </c>
      <c r="D50">
        <v>87.400099999999995</v>
      </c>
      <c r="E50">
        <v>-10.587999999999999</v>
      </c>
      <c r="F50">
        <v>87.400099999999995</v>
      </c>
      <c r="G50">
        <v>11.1778</v>
      </c>
      <c r="H50">
        <v>86.666399999999996</v>
      </c>
      <c r="J50" s="69">
        <f t="shared" si="10"/>
        <v>21.778162579290292</v>
      </c>
      <c r="K50" s="69">
        <f t="shared" si="11"/>
        <v>21.778162579290292</v>
      </c>
      <c r="L50">
        <f t="shared" si="12"/>
        <v>0</v>
      </c>
      <c r="M50" s="49" t="str">
        <f t="shared" si="13"/>
        <v/>
      </c>
      <c r="N50" s="48" t="str">
        <f t="shared" si="14"/>
        <v/>
      </c>
      <c r="O50" s="49" t="str">
        <f t="shared" si="15"/>
        <v/>
      </c>
      <c r="P50" s="49">
        <f t="shared" si="16"/>
        <v>21.765799999999999</v>
      </c>
      <c r="Q50" s="49">
        <f t="shared" si="17"/>
        <v>-0.73369999999999891</v>
      </c>
      <c r="R50" s="46" t="str">
        <f t="shared" si="18"/>
        <v/>
      </c>
      <c r="S50" s="49" t="str">
        <f t="shared" si="19"/>
        <v/>
      </c>
    </row>
    <row r="51" spans="1:19" ht="14.25" customHeight="1" x14ac:dyDescent="0.45">
      <c r="A51">
        <v>438650</v>
      </c>
      <c r="B51" t="s">
        <v>50</v>
      </c>
      <c r="C51">
        <v>33.602800000000002</v>
      </c>
      <c r="D51">
        <v>90.986999999999995</v>
      </c>
      <c r="E51">
        <v>33.602800000000002</v>
      </c>
      <c r="F51">
        <v>90.986999999999995</v>
      </c>
      <c r="G51">
        <v>33.473100000000002</v>
      </c>
      <c r="H51">
        <v>88.401300000000006</v>
      </c>
      <c r="J51" s="69">
        <f t="shared" si="10"/>
        <v>2.5889508647326509</v>
      </c>
      <c r="K51" s="69">
        <f t="shared" si="11"/>
        <v>2.5889508647326509</v>
      </c>
      <c r="L51">
        <f t="shared" si="12"/>
        <v>0</v>
      </c>
      <c r="M51" s="49" t="str">
        <f t="shared" si="13"/>
        <v/>
      </c>
      <c r="N51" s="48" t="str">
        <f t="shared" si="14"/>
        <v/>
      </c>
      <c r="O51" s="49" t="str">
        <f t="shared" si="15"/>
        <v/>
      </c>
      <c r="P51" s="49">
        <f t="shared" si="16"/>
        <v>-0.1296999999999997</v>
      </c>
      <c r="Q51" s="49">
        <f t="shared" si="17"/>
        <v>-2.5856999999999886</v>
      </c>
      <c r="R51" s="46" t="str">
        <f t="shared" si="18"/>
        <v/>
      </c>
      <c r="S51" s="49" t="str">
        <f t="shared" si="19"/>
        <v/>
      </c>
    </row>
    <row r="52" spans="1:19" ht="14.25" customHeight="1" x14ac:dyDescent="0.45">
      <c r="A52">
        <v>438651</v>
      </c>
      <c r="B52" t="s">
        <v>50</v>
      </c>
      <c r="C52">
        <v>33.889699999999998</v>
      </c>
      <c r="D52">
        <v>76.570499999999996</v>
      </c>
      <c r="E52">
        <v>33.889699999999998</v>
      </c>
      <c r="F52">
        <v>76.570499999999996</v>
      </c>
      <c r="G52">
        <v>30.926400000000001</v>
      </c>
      <c r="H52">
        <v>76.876000000000005</v>
      </c>
      <c r="J52" s="69">
        <f t="shared" si="10"/>
        <v>2.9790060657877131</v>
      </c>
      <c r="K52" s="69">
        <f t="shared" si="11"/>
        <v>2.9790060657877131</v>
      </c>
      <c r="L52">
        <f t="shared" si="12"/>
        <v>0</v>
      </c>
      <c r="M52" s="49" t="str">
        <f t="shared" si="13"/>
        <v/>
      </c>
      <c r="N52" s="48" t="str">
        <f t="shared" si="14"/>
        <v/>
      </c>
      <c r="O52" s="49" t="str">
        <f t="shared" si="15"/>
        <v/>
      </c>
      <c r="P52" s="49">
        <f t="shared" si="16"/>
        <v>-2.9632999999999967</v>
      </c>
      <c r="Q52" s="49">
        <f t="shared" si="17"/>
        <v>0.30550000000000921</v>
      </c>
      <c r="R52" s="46" t="str">
        <f t="shared" si="18"/>
        <v/>
      </c>
      <c r="S52" s="49" t="str">
        <f t="shared" si="19"/>
        <v/>
      </c>
    </row>
    <row r="53" spans="1:19" ht="14.25" customHeight="1" x14ac:dyDescent="0.45">
      <c r="A53">
        <v>438652</v>
      </c>
      <c r="B53" t="s">
        <v>50</v>
      </c>
      <c r="C53">
        <v>44.790999999999997</v>
      </c>
      <c r="D53">
        <v>77.359399999999994</v>
      </c>
      <c r="E53">
        <v>44.790999999999997</v>
      </c>
      <c r="F53">
        <v>77.359399999999994</v>
      </c>
      <c r="G53">
        <v>45.264099999999999</v>
      </c>
      <c r="H53">
        <v>77.102999999999994</v>
      </c>
      <c r="J53" s="69">
        <f t="shared" si="10"/>
        <v>0.5381120422365604</v>
      </c>
      <c r="K53" s="69">
        <f t="shared" si="11"/>
        <v>0.5381120422365604</v>
      </c>
      <c r="L53">
        <f t="shared" si="12"/>
        <v>0</v>
      </c>
      <c r="M53" s="49" t="str">
        <f t="shared" si="13"/>
        <v/>
      </c>
      <c r="N53" s="48" t="str">
        <f t="shared" si="14"/>
        <v/>
      </c>
      <c r="O53" s="49" t="str">
        <f t="shared" si="15"/>
        <v/>
      </c>
      <c r="P53" s="49">
        <f t="shared" si="16"/>
        <v>0.4731000000000023</v>
      </c>
      <c r="Q53" s="49">
        <f t="shared" si="17"/>
        <v>-0.2563999999999993</v>
      </c>
      <c r="R53" s="46" t="str">
        <f t="shared" si="18"/>
        <v/>
      </c>
      <c r="S53" s="49" t="str">
        <f t="shared" si="19"/>
        <v/>
      </c>
    </row>
    <row r="54" spans="1:19" ht="14.25" customHeight="1" x14ac:dyDescent="0.45">
      <c r="A54">
        <v>438653</v>
      </c>
      <c r="B54" t="s">
        <v>50</v>
      </c>
      <c r="C54">
        <v>49.954799999999999</v>
      </c>
      <c r="D54">
        <v>88.691999999999993</v>
      </c>
      <c r="E54">
        <v>49.954799999999999</v>
      </c>
      <c r="F54">
        <v>88.691999999999993</v>
      </c>
      <c r="G54">
        <v>49.844499999999996</v>
      </c>
      <c r="H54">
        <v>90.387500000000003</v>
      </c>
      <c r="J54" s="69">
        <f t="shared" si="10"/>
        <v>1.6990839708501853</v>
      </c>
      <c r="K54" s="69">
        <f t="shared" si="11"/>
        <v>1.6990839708501853</v>
      </c>
      <c r="L54">
        <f t="shared" si="12"/>
        <v>0</v>
      </c>
      <c r="M54" s="49" t="str">
        <f t="shared" si="13"/>
        <v/>
      </c>
      <c r="N54" s="48" t="str">
        <f t="shared" si="14"/>
        <v/>
      </c>
      <c r="O54" s="49" t="str">
        <f t="shared" si="15"/>
        <v/>
      </c>
      <c r="P54" s="49">
        <f t="shared" si="16"/>
        <v>-0.11030000000000229</v>
      </c>
      <c r="Q54" s="49">
        <f t="shared" si="17"/>
        <v>1.6955000000000098</v>
      </c>
      <c r="R54" s="46" t="str">
        <f t="shared" si="18"/>
        <v/>
      </c>
      <c r="S54" s="49" t="str">
        <f t="shared" si="19"/>
        <v/>
      </c>
    </row>
    <row r="55" spans="1:19" ht="14.25" customHeight="1" x14ac:dyDescent="0.45">
      <c r="A55">
        <v>438654</v>
      </c>
      <c r="B55" t="s">
        <v>50</v>
      </c>
      <c r="C55">
        <v>71.470699999999994</v>
      </c>
      <c r="D55">
        <v>95.432699999999997</v>
      </c>
      <c r="E55">
        <v>71.470699999999994</v>
      </c>
      <c r="F55">
        <v>95.432699999999997</v>
      </c>
      <c r="G55">
        <v>72.449200000000005</v>
      </c>
      <c r="H55">
        <v>95.865899999999996</v>
      </c>
      <c r="J55" s="69">
        <f t="shared" si="10"/>
        <v>1.0701048967274287</v>
      </c>
      <c r="K55" s="69">
        <f t="shared" si="11"/>
        <v>1.0701048967274287</v>
      </c>
      <c r="L55">
        <f t="shared" si="12"/>
        <v>0</v>
      </c>
      <c r="M55" s="49" t="str">
        <f t="shared" si="13"/>
        <v/>
      </c>
      <c r="N55" s="48" t="str">
        <f t="shared" si="14"/>
        <v/>
      </c>
      <c r="O55" s="49" t="str">
        <f t="shared" si="15"/>
        <v/>
      </c>
      <c r="P55" s="49">
        <f t="shared" si="16"/>
        <v>0.97850000000001103</v>
      </c>
      <c r="Q55" s="49">
        <f t="shared" si="17"/>
        <v>0.43319999999999936</v>
      </c>
      <c r="R55" s="46" t="str">
        <f t="shared" si="18"/>
        <v/>
      </c>
      <c r="S55" s="49" t="str">
        <f t="shared" si="19"/>
        <v/>
      </c>
    </row>
    <row r="56" spans="1:19" ht="14.25" customHeight="1" x14ac:dyDescent="0.45">
      <c r="A56">
        <v>438655</v>
      </c>
      <c r="B56" t="s">
        <v>50</v>
      </c>
      <c r="C56">
        <v>64.872500000000002</v>
      </c>
      <c r="D56">
        <v>81.160600000000002</v>
      </c>
      <c r="E56">
        <v>64.872500000000002</v>
      </c>
      <c r="F56">
        <v>81.160600000000002</v>
      </c>
      <c r="G56">
        <v>64.657499999999999</v>
      </c>
      <c r="H56">
        <v>79.722399999999993</v>
      </c>
      <c r="J56" s="69">
        <f t="shared" si="10"/>
        <v>1.4541816392734532</v>
      </c>
      <c r="K56" s="69">
        <f t="shared" si="11"/>
        <v>1.4541816392734532</v>
      </c>
      <c r="L56">
        <f t="shared" si="12"/>
        <v>0</v>
      </c>
      <c r="M56" s="49" t="str">
        <f t="shared" si="13"/>
        <v/>
      </c>
      <c r="N56" s="48" t="str">
        <f t="shared" si="14"/>
        <v/>
      </c>
      <c r="O56" s="49" t="str">
        <f t="shared" si="15"/>
        <v/>
      </c>
      <c r="P56" s="49">
        <f t="shared" si="16"/>
        <v>-0.21500000000000341</v>
      </c>
      <c r="Q56" s="49">
        <f t="shared" si="17"/>
        <v>-1.438200000000009</v>
      </c>
      <c r="R56" s="46" t="str">
        <f t="shared" si="18"/>
        <v/>
      </c>
      <c r="S56" s="49" t="str">
        <f t="shared" si="19"/>
        <v/>
      </c>
    </row>
    <row r="57" spans="1:19" ht="14.25" customHeight="1" x14ac:dyDescent="0.45">
      <c r="A57">
        <v>438656</v>
      </c>
      <c r="B57" t="s">
        <v>50</v>
      </c>
      <c r="C57">
        <v>75.773899999999998</v>
      </c>
      <c r="D57">
        <v>85.105099999999993</v>
      </c>
      <c r="E57">
        <v>75.773899999999998</v>
      </c>
      <c r="F57">
        <v>85.105099999999993</v>
      </c>
      <c r="G57">
        <v>74.886399999999995</v>
      </c>
      <c r="H57">
        <v>86.117699999999999</v>
      </c>
      <c r="J57" s="69">
        <f t="shared" si="10"/>
        <v>1.3464824581107686</v>
      </c>
      <c r="K57" s="69">
        <f t="shared" si="11"/>
        <v>1.3464824581107686</v>
      </c>
      <c r="L57">
        <f t="shared" si="12"/>
        <v>0</v>
      </c>
      <c r="M57" s="49" t="str">
        <f t="shared" si="13"/>
        <v/>
      </c>
      <c r="N57" s="48" t="str">
        <f t="shared" si="14"/>
        <v/>
      </c>
      <c r="O57" s="49" t="str">
        <f t="shared" si="15"/>
        <v/>
      </c>
      <c r="P57" s="49">
        <f t="shared" si="16"/>
        <v>-0.88750000000000284</v>
      </c>
      <c r="Q57" s="49">
        <f t="shared" si="17"/>
        <v>1.0126000000000062</v>
      </c>
      <c r="R57" s="46" t="str">
        <f t="shared" si="18"/>
        <v/>
      </c>
      <c r="S57" s="49" t="str">
        <f t="shared" si="19"/>
        <v/>
      </c>
    </row>
    <row r="58" spans="1:19" ht="14.25" customHeight="1" x14ac:dyDescent="0.45">
      <c r="A58">
        <v>438657</v>
      </c>
      <c r="B58" t="s">
        <v>50</v>
      </c>
      <c r="C58">
        <v>73.765799999999999</v>
      </c>
      <c r="D58">
        <v>76.570499999999996</v>
      </c>
      <c r="E58">
        <v>73.765799999999999</v>
      </c>
      <c r="F58">
        <v>76.570499999999996</v>
      </c>
      <c r="G58">
        <v>73.565399999999997</v>
      </c>
      <c r="H58">
        <v>76.876000000000005</v>
      </c>
      <c r="J58" s="69">
        <f t="shared" si="10"/>
        <v>0.36536339444449878</v>
      </c>
      <c r="K58" s="69">
        <f t="shared" si="11"/>
        <v>0.36536339444449878</v>
      </c>
      <c r="L58">
        <f t="shared" si="12"/>
        <v>0</v>
      </c>
      <c r="M58" s="49" t="str">
        <f t="shared" si="13"/>
        <v/>
      </c>
      <c r="N58" s="48" t="str">
        <f t="shared" si="14"/>
        <v/>
      </c>
      <c r="O58" s="49" t="str">
        <f t="shared" si="15"/>
        <v/>
      </c>
      <c r="P58" s="49">
        <f t="shared" si="16"/>
        <v>-0.20040000000000191</v>
      </c>
      <c r="Q58" s="49">
        <f t="shared" si="17"/>
        <v>0.30550000000000921</v>
      </c>
      <c r="R58" s="46" t="str">
        <f t="shared" si="18"/>
        <v/>
      </c>
      <c r="S58" s="49" t="str">
        <f t="shared" si="19"/>
        <v/>
      </c>
    </row>
    <row r="59" spans="1:19" ht="14.25" customHeight="1" x14ac:dyDescent="0.45">
      <c r="A59">
        <v>438658</v>
      </c>
      <c r="B59" t="s">
        <v>50</v>
      </c>
      <c r="C59">
        <v>85.1751</v>
      </c>
      <c r="D59">
        <v>80.047799999999995</v>
      </c>
      <c r="E59">
        <v>84.380300000000005</v>
      </c>
      <c r="F59">
        <v>87.686999999999998</v>
      </c>
      <c r="G59">
        <v>84.937299999999993</v>
      </c>
      <c r="H59">
        <v>81.203299999999999</v>
      </c>
      <c r="J59" s="69">
        <f t="shared" si="10"/>
        <v>6.5075813241172771</v>
      </c>
      <c r="K59" s="69">
        <f t="shared" si="11"/>
        <v>1.1797156818488137</v>
      </c>
      <c r="L59">
        <f t="shared" si="12"/>
        <v>7.6804351230903594</v>
      </c>
      <c r="M59" s="49">
        <f t="shared" si="13"/>
        <v>0.15360011027267609</v>
      </c>
      <c r="N59" s="48">
        <f t="shared" si="14"/>
        <v>0.84639988972732394</v>
      </c>
      <c r="O59" s="49">
        <f t="shared" si="15"/>
        <v>0.99983850825220533</v>
      </c>
      <c r="P59" s="49">
        <f t="shared" si="16"/>
        <v>-0.23780000000000712</v>
      </c>
      <c r="Q59" s="49">
        <f t="shared" si="17"/>
        <v>1.1555000000000035</v>
      </c>
      <c r="R59" s="46">
        <f t="shared" si="18"/>
        <v>1</v>
      </c>
      <c r="S59" s="49">
        <f t="shared" si="19"/>
        <v>0.84729331344170467</v>
      </c>
    </row>
    <row r="60" spans="1:19" ht="14.25" customHeight="1" x14ac:dyDescent="0.45">
      <c r="A60">
        <v>438659</v>
      </c>
      <c r="B60" t="s">
        <v>50</v>
      </c>
      <c r="C60">
        <v>53.397399999999998</v>
      </c>
      <c r="D60">
        <v>68.753</v>
      </c>
      <c r="E60">
        <v>53.397399999999998</v>
      </c>
      <c r="F60">
        <v>68.753</v>
      </c>
      <c r="G60">
        <v>45.264099999999999</v>
      </c>
      <c r="H60">
        <v>77.102999999999994</v>
      </c>
      <c r="J60" s="69">
        <f t="shared" si="10"/>
        <v>11.656460392846531</v>
      </c>
      <c r="K60" s="69">
        <f t="shared" si="11"/>
        <v>11.656460392846531</v>
      </c>
      <c r="L60">
        <f t="shared" si="12"/>
        <v>0</v>
      </c>
      <c r="M60" s="49" t="str">
        <f t="shared" si="13"/>
        <v/>
      </c>
      <c r="N60" s="48" t="str">
        <f t="shared" si="14"/>
        <v/>
      </c>
      <c r="O60" s="49" t="str">
        <f t="shared" si="15"/>
        <v/>
      </c>
      <c r="P60" s="49">
        <f t="shared" si="16"/>
        <v>-8.1332999999999984</v>
      </c>
      <c r="Q60" s="49">
        <f t="shared" si="17"/>
        <v>8.3499999999999943</v>
      </c>
      <c r="R60" s="46" t="str">
        <f t="shared" si="18"/>
        <v/>
      </c>
      <c r="S60" s="49" t="str">
        <f t="shared" si="19"/>
        <v/>
      </c>
    </row>
    <row r="61" spans="1:19" ht="14.25" customHeight="1" x14ac:dyDescent="0.45">
      <c r="A61">
        <v>438660</v>
      </c>
      <c r="B61" t="s">
        <v>50</v>
      </c>
      <c r="C61">
        <v>-27.958200000000001</v>
      </c>
      <c r="D61">
        <v>13.7079</v>
      </c>
      <c r="E61">
        <v>-27.958200000000001</v>
      </c>
      <c r="F61">
        <v>13.7079</v>
      </c>
      <c r="G61">
        <v>-27.663799999999998</v>
      </c>
      <c r="H61">
        <v>14.7217</v>
      </c>
      <c r="J61" s="69">
        <f t="shared" si="10"/>
        <v>1.0556807282507346</v>
      </c>
      <c r="K61" s="69">
        <f t="shared" si="11"/>
        <v>1.0556807282507346</v>
      </c>
      <c r="L61">
        <f t="shared" si="12"/>
        <v>0</v>
      </c>
      <c r="M61" s="49" t="str">
        <f t="shared" si="13"/>
        <v/>
      </c>
      <c r="N61" s="48" t="str">
        <f t="shared" si="14"/>
        <v/>
      </c>
      <c r="O61" s="49" t="str">
        <f t="shared" si="15"/>
        <v/>
      </c>
      <c r="P61" s="49">
        <f t="shared" si="16"/>
        <v>0.2944000000000031</v>
      </c>
      <c r="Q61" s="49">
        <f t="shared" si="17"/>
        <v>1.0137999999999998</v>
      </c>
      <c r="R61" s="46" t="str">
        <f t="shared" si="18"/>
        <v/>
      </c>
      <c r="S61" s="49" t="str">
        <f t="shared" si="19"/>
        <v/>
      </c>
    </row>
    <row r="62" spans="1:19" ht="14.25" customHeight="1" x14ac:dyDescent="0.45">
      <c r="A62">
        <v>438661</v>
      </c>
      <c r="B62" t="s">
        <v>50</v>
      </c>
      <c r="C62">
        <v>-14.8797</v>
      </c>
      <c r="D62">
        <v>13.959199999999999</v>
      </c>
      <c r="E62">
        <v>-14.8797</v>
      </c>
      <c r="F62">
        <v>13.959199999999999</v>
      </c>
      <c r="G62">
        <v>-15.5253</v>
      </c>
      <c r="H62">
        <v>13.64</v>
      </c>
      <c r="J62" s="69">
        <f t="shared" si="10"/>
        <v>0.72019997222993493</v>
      </c>
      <c r="K62" s="69">
        <f t="shared" si="11"/>
        <v>0.72019997222993493</v>
      </c>
      <c r="L62">
        <f t="shared" si="12"/>
        <v>0</v>
      </c>
      <c r="M62" s="49" t="str">
        <f t="shared" si="13"/>
        <v/>
      </c>
      <c r="N62" s="48" t="str">
        <f t="shared" si="14"/>
        <v/>
      </c>
      <c r="O62" s="49" t="str">
        <f t="shared" si="15"/>
        <v/>
      </c>
      <c r="P62" s="49">
        <f t="shared" si="16"/>
        <v>-0.64559999999999995</v>
      </c>
      <c r="Q62" s="49">
        <f t="shared" si="17"/>
        <v>-0.3191999999999986</v>
      </c>
      <c r="R62" s="46" t="str">
        <f t="shared" si="18"/>
        <v/>
      </c>
      <c r="S62" s="49" t="str">
        <f t="shared" si="19"/>
        <v/>
      </c>
    </row>
    <row r="63" spans="1:19" ht="14.25" customHeight="1" x14ac:dyDescent="0.45">
      <c r="A63">
        <v>438662</v>
      </c>
      <c r="B63" t="s">
        <v>50</v>
      </c>
      <c r="C63">
        <v>-19.4697</v>
      </c>
      <c r="D63">
        <v>-3.2349999999999999</v>
      </c>
      <c r="E63">
        <v>-19.4697</v>
      </c>
      <c r="F63">
        <v>-3.2349999999999999</v>
      </c>
      <c r="G63">
        <v>-18.531199999999998</v>
      </c>
      <c r="H63">
        <v>-2.3126000000000002</v>
      </c>
      <c r="J63" s="69">
        <f t="shared" si="10"/>
        <v>1.3159042556356453</v>
      </c>
      <c r="K63" s="69">
        <f t="shared" si="11"/>
        <v>1.3159042556356453</v>
      </c>
      <c r="L63">
        <f t="shared" si="12"/>
        <v>0</v>
      </c>
      <c r="M63" s="49" t="str">
        <f t="shared" si="13"/>
        <v/>
      </c>
      <c r="N63" s="48" t="str">
        <f t="shared" si="14"/>
        <v/>
      </c>
      <c r="O63" s="49" t="str">
        <f t="shared" si="15"/>
        <v/>
      </c>
      <c r="P63" s="49">
        <f t="shared" si="16"/>
        <v>0.93850000000000122</v>
      </c>
      <c r="Q63" s="49">
        <f t="shared" si="17"/>
        <v>0.92239999999999966</v>
      </c>
      <c r="R63" s="46" t="str">
        <f t="shared" si="18"/>
        <v/>
      </c>
      <c r="S63" s="49" t="str">
        <f t="shared" si="19"/>
        <v/>
      </c>
    </row>
    <row r="64" spans="1:19" ht="14.25" customHeight="1" x14ac:dyDescent="0.45">
      <c r="A64">
        <v>438663</v>
      </c>
      <c r="B64" t="s">
        <v>50</v>
      </c>
      <c r="C64">
        <v>33.315899999999999</v>
      </c>
      <c r="D64">
        <v>-12.146699999999999</v>
      </c>
      <c r="E64">
        <v>33.315899999999999</v>
      </c>
      <c r="F64">
        <v>-12.146699999999999</v>
      </c>
      <c r="G64">
        <v>33.468400000000003</v>
      </c>
      <c r="H64">
        <v>-12.0953</v>
      </c>
      <c r="J64" s="69">
        <f t="shared" si="10"/>
        <v>0.16092920803881736</v>
      </c>
      <c r="K64" s="69">
        <f t="shared" si="11"/>
        <v>0.16092920803881736</v>
      </c>
      <c r="L64">
        <f t="shared" si="12"/>
        <v>0</v>
      </c>
      <c r="M64" s="49" t="str">
        <f t="shared" si="13"/>
        <v/>
      </c>
      <c r="N64" s="48" t="str">
        <f t="shared" si="14"/>
        <v/>
      </c>
      <c r="O64" s="49" t="str">
        <f t="shared" si="15"/>
        <v/>
      </c>
      <c r="P64" s="49">
        <f t="shared" si="16"/>
        <v>0.15250000000000341</v>
      </c>
      <c r="Q64" s="49">
        <f t="shared" si="17"/>
        <v>5.1399999999999224E-2</v>
      </c>
      <c r="R64" s="46" t="str">
        <f t="shared" si="18"/>
        <v/>
      </c>
      <c r="S64" s="49" t="str">
        <f t="shared" si="19"/>
        <v/>
      </c>
    </row>
    <row r="65" spans="1:19" ht="14.25" customHeight="1" x14ac:dyDescent="0.45">
      <c r="A65">
        <v>438664</v>
      </c>
      <c r="B65" t="s">
        <v>50</v>
      </c>
      <c r="C65">
        <v>-18.609100000000002</v>
      </c>
      <c r="D65">
        <v>-20.038799999999998</v>
      </c>
      <c r="E65">
        <v>-18.609100000000002</v>
      </c>
      <c r="F65">
        <v>-20.038799999999998</v>
      </c>
      <c r="G65">
        <v>-19.3642</v>
      </c>
      <c r="H65">
        <v>-18.830400000000001</v>
      </c>
      <c r="J65" s="69">
        <f t="shared" si="10"/>
        <v>1.4249233558335663</v>
      </c>
      <c r="K65" s="69">
        <f t="shared" si="11"/>
        <v>1.4249233558335663</v>
      </c>
      <c r="L65">
        <f t="shared" si="12"/>
        <v>0</v>
      </c>
      <c r="M65" s="49" t="str">
        <f t="shared" si="13"/>
        <v/>
      </c>
      <c r="N65" s="48" t="str">
        <f t="shared" si="14"/>
        <v/>
      </c>
      <c r="O65" s="49" t="str">
        <f t="shared" si="15"/>
        <v/>
      </c>
      <c r="P65" s="49">
        <f t="shared" si="16"/>
        <v>-0.75509999999999877</v>
      </c>
      <c r="Q65" s="49">
        <f t="shared" si="17"/>
        <v>1.2083999999999975</v>
      </c>
      <c r="R65" s="46" t="str">
        <f t="shared" si="18"/>
        <v/>
      </c>
      <c r="S65" s="49" t="str">
        <f t="shared" si="19"/>
        <v/>
      </c>
    </row>
    <row r="66" spans="1:19" ht="14.25" customHeight="1" x14ac:dyDescent="0.45">
      <c r="A66">
        <v>438665</v>
      </c>
      <c r="B66" t="s">
        <v>50</v>
      </c>
      <c r="C66">
        <v>-18.235099999999999</v>
      </c>
      <c r="D66">
        <v>-47.685299999999998</v>
      </c>
      <c r="E66">
        <v>-16.887799999999999</v>
      </c>
      <c r="F66">
        <v>-56.326000000000001</v>
      </c>
      <c r="G66">
        <v>-18.531199999999998</v>
      </c>
      <c r="H66">
        <v>-58.739899999999999</v>
      </c>
      <c r="J66" s="69">
        <f t="shared" ref="J66:J78" si="20">IFERROR(SQRT((F66-H66)^2+(E66-G66)^2),"")</f>
        <v>2.9202186168162121</v>
      </c>
      <c r="K66" s="69">
        <f t="shared" ref="K66:K78" si="21">IFERROR(SQRT((D66-H66)^2+(C66-G66)^2),"")</f>
        <v>11.058564842238798</v>
      </c>
      <c r="L66">
        <f t="shared" ref="L66:L78" si="22">IFERROR(SQRT((D66-F66)^2+(C66-E66)^2),"")</f>
        <v>8.7451079913286396</v>
      </c>
      <c r="M66" s="49">
        <f t="shared" ref="M66:M97" si="23">IF(AND(AND(ISNUMBER(E66),ISNUMBER(F66)),ISNUMBER(L66),L66&gt;0),K66/L66,"")</f>
        <v>1.2645429711335876</v>
      </c>
      <c r="N66" s="48">
        <f t="shared" ref="N66:N78" si="24">IF(AND(AND(ISNUMBER(E66),ISNUMBER(F66)),ISNUMBER(L66),L66&gt;0),(L66-K66)/L66,"")</f>
        <v>-0.2645429711335876</v>
      </c>
      <c r="O66" s="49">
        <f t="shared" ref="O66:O78" si="25">IFERROR(IF(AND(AND(ISNUMBER(E66),ISNUMBER(F66)),SQRT((G66-E66)^2+(H66-F66)^2)&gt;0,SQRT((C66-E66)^2+(D66-F66)^2)&gt;0),((G66-E66)*(C66-E66)+(H66-F66)*(D66-F66))/(SQRT((G66-E66)^2+(H66-F66)^2)*SQRT((C66-E66)^2+(D66-F66)^2)),""),"")</f>
        <v>-0.7300456221511854</v>
      </c>
      <c r="P66" s="49">
        <f t="shared" ref="P66:P78" si="26">IF(AND(ISNUMBER(G66),ISNUMBER(C66)),G66-C66,"")</f>
        <v>-0.29609999999999914</v>
      </c>
      <c r="Q66" s="49">
        <f t="shared" ref="Q66:Q78" si="27">IF(AND(ISNUMBER(H66),ISNUMBER(D66)),H66-D66,"")</f>
        <v>-11.054600000000001</v>
      </c>
      <c r="R66" s="46">
        <f t="shared" ref="R66:R78" si="28">IF(M66="","",IF(M66&lt;1,1,0))</f>
        <v>0</v>
      </c>
      <c r="S66" s="49">
        <f t="shared" ref="S66:S78" si="29">IF(AND(ISNUMBER(J66),ISNUMBER(L66),L66&gt;0),J66/L66,"")</f>
        <v>0.33392596406034147</v>
      </c>
    </row>
    <row r="67" spans="1:19" ht="14.25" customHeight="1" x14ac:dyDescent="0.45">
      <c r="A67">
        <v>438666</v>
      </c>
      <c r="B67" t="s">
        <v>50</v>
      </c>
      <c r="C67">
        <v>-0.24890000000000001</v>
      </c>
      <c r="D67">
        <v>-57.784700000000001</v>
      </c>
      <c r="E67">
        <v>-0.24890000000000001</v>
      </c>
      <c r="F67">
        <v>-63.211100000000002</v>
      </c>
      <c r="G67">
        <v>-0.21590000000000001</v>
      </c>
      <c r="H67">
        <v>-60.300800000000002</v>
      </c>
      <c r="J67" s="69">
        <f t="shared" si="20"/>
        <v>2.9104870881005462</v>
      </c>
      <c r="K67" s="69">
        <f t="shared" si="21"/>
        <v>2.5163163970375444</v>
      </c>
      <c r="L67">
        <f t="shared" si="22"/>
        <v>5.426400000000001</v>
      </c>
      <c r="M67" s="49">
        <f t="shared" si="23"/>
        <v>0.46371745485727994</v>
      </c>
      <c r="N67" s="48">
        <f t="shared" si="24"/>
        <v>0.53628254514272</v>
      </c>
      <c r="O67" s="49">
        <f t="shared" si="25"/>
        <v>0.99993571931608571</v>
      </c>
      <c r="P67" s="49">
        <f t="shared" si="26"/>
        <v>3.3000000000000002E-2</v>
      </c>
      <c r="Q67" s="49">
        <f t="shared" si="27"/>
        <v>-2.5161000000000016</v>
      </c>
      <c r="R67" s="46">
        <f t="shared" si="28"/>
        <v>1</v>
      </c>
      <c r="S67" s="49">
        <f t="shared" si="29"/>
        <v>0.53635690109474898</v>
      </c>
    </row>
    <row r="68" spans="1:19" ht="14.25" customHeight="1" x14ac:dyDescent="0.45">
      <c r="A68">
        <v>438667</v>
      </c>
      <c r="B68" t="s">
        <v>50</v>
      </c>
      <c r="C68">
        <v>17.8245</v>
      </c>
      <c r="D68">
        <v>-53.4572</v>
      </c>
      <c r="E68">
        <v>17.8245</v>
      </c>
      <c r="F68">
        <v>-53.4572</v>
      </c>
      <c r="G68">
        <v>16.5396</v>
      </c>
      <c r="H68">
        <v>-53.011499999999998</v>
      </c>
      <c r="J68" s="69">
        <f t="shared" si="20"/>
        <v>1.360006066162943</v>
      </c>
      <c r="K68" s="69">
        <f t="shared" si="21"/>
        <v>1.360006066162943</v>
      </c>
      <c r="L68">
        <f t="shared" si="22"/>
        <v>0</v>
      </c>
      <c r="M68" s="49" t="str">
        <f t="shared" si="23"/>
        <v/>
      </c>
      <c r="N68" s="48" t="str">
        <f t="shared" si="24"/>
        <v/>
      </c>
      <c r="O68" s="49" t="str">
        <f t="shared" si="25"/>
        <v/>
      </c>
      <c r="P68" s="49">
        <f t="shared" si="26"/>
        <v>-1.2849000000000004</v>
      </c>
      <c r="Q68" s="49">
        <f t="shared" si="27"/>
        <v>0.44570000000000221</v>
      </c>
      <c r="R68" s="46" t="str">
        <f t="shared" si="28"/>
        <v/>
      </c>
      <c r="S68" s="49" t="str">
        <f t="shared" si="29"/>
        <v/>
      </c>
    </row>
    <row r="69" spans="1:19" ht="14.25" customHeight="1" x14ac:dyDescent="0.45">
      <c r="A69">
        <v>438668</v>
      </c>
      <c r="B69" t="s">
        <v>50</v>
      </c>
      <c r="C69">
        <v>13.7799</v>
      </c>
      <c r="D69">
        <v>-65.506100000000004</v>
      </c>
      <c r="E69">
        <v>17.8245</v>
      </c>
      <c r="F69">
        <v>-68.543899999999994</v>
      </c>
      <c r="G69">
        <v>14.155900000000001</v>
      </c>
      <c r="H69">
        <v>-66.489800000000002</v>
      </c>
      <c r="J69" s="69">
        <f t="shared" si="20"/>
        <v>4.2045157592759672</v>
      </c>
      <c r="K69" s="69">
        <f t="shared" si="21"/>
        <v>1.0531104832827365</v>
      </c>
      <c r="L69">
        <f t="shared" si="22"/>
        <v>5.0583611970676774</v>
      </c>
      <c r="M69" s="49">
        <f t="shared" si="23"/>
        <v>0.20819202944487686</v>
      </c>
      <c r="N69" s="48">
        <f t="shared" si="24"/>
        <v>0.79180797055512309</v>
      </c>
      <c r="O69" s="49">
        <f t="shared" si="25"/>
        <v>0.99106661688208508</v>
      </c>
      <c r="P69" s="49">
        <f t="shared" si="26"/>
        <v>0.37600000000000122</v>
      </c>
      <c r="Q69" s="49">
        <f t="shared" si="27"/>
        <v>-0.98369999999999891</v>
      </c>
      <c r="R69" s="46">
        <f t="shared" si="28"/>
        <v>1</v>
      </c>
      <c r="S69" s="49">
        <f t="shared" si="29"/>
        <v>0.83120117276585892</v>
      </c>
    </row>
    <row r="70" spans="1:19" ht="14.25" customHeight="1" x14ac:dyDescent="0.45">
      <c r="A70">
        <v>438669</v>
      </c>
      <c r="B70" t="s">
        <v>50</v>
      </c>
      <c r="C70">
        <v>28.066600000000001</v>
      </c>
      <c r="D70">
        <v>-65.506100000000004</v>
      </c>
      <c r="E70">
        <v>28.152100000000001</v>
      </c>
      <c r="F70">
        <v>-64.645499999999998</v>
      </c>
      <c r="G70">
        <v>27.8691</v>
      </c>
      <c r="H70">
        <v>-68.625</v>
      </c>
      <c r="J70" s="69">
        <f t="shared" si="20"/>
        <v>3.989550005953054</v>
      </c>
      <c r="K70" s="69">
        <f t="shared" si="21"/>
        <v>3.1251469501449014</v>
      </c>
      <c r="L70">
        <f t="shared" si="22"/>
        <v>0.86483675338182109</v>
      </c>
      <c r="M70" s="49">
        <f t="shared" si="23"/>
        <v>3.6135686161861864</v>
      </c>
      <c r="N70" s="48">
        <f t="shared" si="24"/>
        <v>-2.613568616186186</v>
      </c>
      <c r="O70" s="49">
        <f t="shared" si="25"/>
        <v>0.99960720201685727</v>
      </c>
      <c r="P70" s="49">
        <f t="shared" si="26"/>
        <v>-0.19750000000000156</v>
      </c>
      <c r="Q70" s="49">
        <f t="shared" si="27"/>
        <v>-3.1188999999999965</v>
      </c>
      <c r="R70" s="46">
        <f t="shared" si="28"/>
        <v>0</v>
      </c>
      <c r="S70" s="49">
        <f t="shared" si="29"/>
        <v>4.6130671370666043</v>
      </c>
    </row>
    <row r="71" spans="1:19" ht="14.25" customHeight="1" x14ac:dyDescent="0.45">
      <c r="A71">
        <v>438670</v>
      </c>
      <c r="B71" t="s">
        <v>50</v>
      </c>
      <c r="C71">
        <v>37.3322</v>
      </c>
      <c r="D71">
        <v>-65.506100000000004</v>
      </c>
      <c r="E71">
        <v>37.3322</v>
      </c>
      <c r="F71">
        <v>-65.506100000000004</v>
      </c>
      <c r="G71">
        <v>37.551299999999998</v>
      </c>
      <c r="H71">
        <v>-67.733599999999996</v>
      </c>
      <c r="J71" s="69">
        <f t="shared" si="20"/>
        <v>2.2382495526638588</v>
      </c>
      <c r="K71" s="69">
        <f t="shared" si="21"/>
        <v>2.2382495526638588</v>
      </c>
      <c r="L71">
        <f t="shared" si="22"/>
        <v>0</v>
      </c>
      <c r="M71" s="49" t="str">
        <f t="shared" si="23"/>
        <v/>
      </c>
      <c r="N71" s="48" t="str">
        <f t="shared" si="24"/>
        <v/>
      </c>
      <c r="O71" s="49" t="str">
        <f t="shared" si="25"/>
        <v/>
      </c>
      <c r="P71" s="49">
        <f t="shared" si="26"/>
        <v>0.21909999999999741</v>
      </c>
      <c r="Q71" s="49">
        <f t="shared" si="27"/>
        <v>-2.227499999999992</v>
      </c>
      <c r="R71" s="46" t="str">
        <f t="shared" si="28"/>
        <v/>
      </c>
      <c r="S71" s="49" t="str">
        <f t="shared" si="29"/>
        <v/>
      </c>
    </row>
    <row r="72" spans="1:19" ht="14.25" customHeight="1" x14ac:dyDescent="0.45">
      <c r="A72">
        <v>438671</v>
      </c>
      <c r="B72" t="s">
        <v>50</v>
      </c>
      <c r="C72">
        <v>72.010199999999998</v>
      </c>
      <c r="D72">
        <v>-45.575099999999999</v>
      </c>
      <c r="E72">
        <v>54.544899999999998</v>
      </c>
      <c r="F72">
        <v>-44.564</v>
      </c>
      <c r="G72">
        <v>55.1676</v>
      </c>
      <c r="H72">
        <v>-62.747399999999999</v>
      </c>
      <c r="J72" s="69">
        <f t="shared" si="20"/>
        <v>18.194059218602099</v>
      </c>
      <c r="K72" s="69">
        <f t="shared" si="21"/>
        <v>24.053296282422497</v>
      </c>
      <c r="L72">
        <f t="shared" si="22"/>
        <v>17.494542786251944</v>
      </c>
      <c r="M72" s="49">
        <f t="shared" si="23"/>
        <v>1.3749028240580679</v>
      </c>
      <c r="N72" s="48">
        <f t="shared" si="24"/>
        <v>-0.37490282405806785</v>
      </c>
      <c r="O72" s="49">
        <f t="shared" si="25"/>
        <v>9.1929554052690265E-2</v>
      </c>
      <c r="P72" s="49">
        <f t="shared" si="26"/>
        <v>-16.842599999999997</v>
      </c>
      <c r="Q72" s="49">
        <f t="shared" si="27"/>
        <v>-17.1723</v>
      </c>
      <c r="R72" s="46">
        <f t="shared" si="28"/>
        <v>0</v>
      </c>
      <c r="S72" s="49">
        <f t="shared" si="29"/>
        <v>1.0399848364656816</v>
      </c>
    </row>
    <row r="73" spans="1:19" ht="14.25" customHeight="1" x14ac:dyDescent="0.45">
      <c r="A73">
        <v>438672</v>
      </c>
      <c r="B73" t="s">
        <v>50</v>
      </c>
      <c r="C73">
        <v>60.299399999999999</v>
      </c>
      <c r="D73">
        <v>-63.497999999999998</v>
      </c>
      <c r="E73">
        <v>54.258000000000003</v>
      </c>
      <c r="F73">
        <v>-61.776699999999998</v>
      </c>
      <c r="G73">
        <v>55.1676</v>
      </c>
      <c r="H73">
        <v>-62.747399999999999</v>
      </c>
      <c r="J73" s="69">
        <f t="shared" si="20"/>
        <v>1.3302746520925659</v>
      </c>
      <c r="K73" s="69">
        <f t="shared" si="21"/>
        <v>5.1864025682547998</v>
      </c>
      <c r="L73">
        <f t="shared" si="22"/>
        <v>6.2818299602902288</v>
      </c>
      <c r="M73" s="49">
        <f t="shared" si="23"/>
        <v>0.82561970015743336</v>
      </c>
      <c r="N73" s="48">
        <f t="shared" si="24"/>
        <v>0.1743802998425667</v>
      </c>
      <c r="O73" s="49">
        <f t="shared" si="25"/>
        <v>0.85754473923601204</v>
      </c>
      <c r="P73" s="49">
        <f t="shared" si="26"/>
        <v>-5.1317999999999984</v>
      </c>
      <c r="Q73" s="49">
        <f t="shared" si="27"/>
        <v>0.7505999999999986</v>
      </c>
      <c r="R73" s="46">
        <f t="shared" si="28"/>
        <v>1</v>
      </c>
      <c r="S73" s="49">
        <f t="shared" si="29"/>
        <v>0.2117654665124214</v>
      </c>
    </row>
    <row r="74" spans="1:19" ht="14.25" customHeight="1" x14ac:dyDescent="0.45">
      <c r="A74">
        <v>438673</v>
      </c>
      <c r="B74" t="s">
        <v>50</v>
      </c>
      <c r="C74">
        <v>86.962199999999996</v>
      </c>
      <c r="D74">
        <v>-63.497999999999998</v>
      </c>
      <c r="E74">
        <v>86.962199999999996</v>
      </c>
      <c r="F74">
        <v>-63.497999999999998</v>
      </c>
      <c r="G74">
        <v>87.6511</v>
      </c>
      <c r="H74">
        <v>-64.410700000000006</v>
      </c>
      <c r="J74" s="69">
        <f t="shared" si="20"/>
        <v>1.1435053563495101</v>
      </c>
      <c r="K74" s="69">
        <f t="shared" si="21"/>
        <v>1.1435053563495101</v>
      </c>
      <c r="L74">
        <f t="shared" si="22"/>
        <v>0</v>
      </c>
      <c r="M74" s="49" t="str">
        <f t="shared" si="23"/>
        <v/>
      </c>
      <c r="N74" s="48" t="str">
        <f t="shared" si="24"/>
        <v/>
      </c>
      <c r="O74" s="49" t="str">
        <f t="shared" si="25"/>
        <v/>
      </c>
      <c r="P74" s="49">
        <f t="shared" si="26"/>
        <v>0.68890000000000384</v>
      </c>
      <c r="Q74" s="49">
        <f t="shared" si="27"/>
        <v>-0.91270000000000806</v>
      </c>
      <c r="R74" s="46" t="str">
        <f t="shared" si="28"/>
        <v/>
      </c>
      <c r="S74" s="49" t="str">
        <f t="shared" si="29"/>
        <v/>
      </c>
    </row>
    <row r="75" spans="1:19" ht="14.25" customHeight="1" x14ac:dyDescent="0.45">
      <c r="A75">
        <v>438674</v>
      </c>
      <c r="B75" t="s">
        <v>50</v>
      </c>
      <c r="C75">
        <v>117.1024</v>
      </c>
      <c r="D75">
        <v>-63.497999999999998</v>
      </c>
      <c r="E75">
        <v>115.26390000000001</v>
      </c>
      <c r="F75">
        <v>-64.645499999999998</v>
      </c>
      <c r="G75">
        <v>117.7867</v>
      </c>
      <c r="H75">
        <v>-62.747399999999999</v>
      </c>
      <c r="J75" s="69">
        <f t="shared" si="20"/>
        <v>3.1571036489161939</v>
      </c>
      <c r="K75" s="69">
        <f t="shared" si="21"/>
        <v>1.0157100225950262</v>
      </c>
      <c r="L75">
        <f t="shared" si="22"/>
        <v>2.1672190706063814</v>
      </c>
      <c r="M75" s="49">
        <f t="shared" si="23"/>
        <v>0.46866975118986637</v>
      </c>
      <c r="N75" s="48">
        <f t="shared" si="24"/>
        <v>0.53133024881013369</v>
      </c>
      <c r="O75" s="49">
        <f t="shared" si="25"/>
        <v>0.99621497019283589</v>
      </c>
      <c r="P75" s="49">
        <f t="shared" si="26"/>
        <v>0.68429999999999325</v>
      </c>
      <c r="Q75" s="49">
        <f t="shared" si="27"/>
        <v>0.7505999999999986</v>
      </c>
      <c r="R75" s="46">
        <f t="shared" si="28"/>
        <v>1</v>
      </c>
      <c r="S75" s="49">
        <f t="shared" si="29"/>
        <v>1.456753353519008</v>
      </c>
    </row>
    <row r="76" spans="1:19" ht="14.25" customHeight="1" x14ac:dyDescent="0.45">
      <c r="A76">
        <v>438675</v>
      </c>
      <c r="B76" t="s">
        <v>50</v>
      </c>
      <c r="C76">
        <v>147.88409999999999</v>
      </c>
      <c r="D76">
        <v>-63.497999999999998</v>
      </c>
      <c r="E76">
        <v>147.88409999999999</v>
      </c>
      <c r="F76">
        <v>-63.497999999999998</v>
      </c>
      <c r="G76">
        <v>146.7062</v>
      </c>
      <c r="H76">
        <v>-62.747399999999999</v>
      </c>
      <c r="J76" s="69">
        <f t="shared" si="20"/>
        <v>1.3967278797246026</v>
      </c>
      <c r="K76" s="69">
        <f t="shared" si="21"/>
        <v>1.3967278797246026</v>
      </c>
      <c r="L76">
        <f t="shared" si="22"/>
        <v>0</v>
      </c>
      <c r="M76" s="49" t="str">
        <f t="shared" si="23"/>
        <v/>
      </c>
      <c r="N76" s="48" t="str">
        <f t="shared" si="24"/>
        <v/>
      </c>
      <c r="O76" s="49" t="str">
        <f t="shared" si="25"/>
        <v/>
      </c>
      <c r="P76" s="49">
        <f t="shared" si="26"/>
        <v>-1.177899999999994</v>
      </c>
      <c r="Q76" s="49">
        <f t="shared" si="27"/>
        <v>0.7505999999999986</v>
      </c>
      <c r="R76" s="46" t="str">
        <f t="shared" si="28"/>
        <v/>
      </c>
      <c r="S76" s="49" t="str">
        <f t="shared" si="29"/>
        <v/>
      </c>
    </row>
    <row r="77" spans="1:19" ht="14.25" customHeight="1" x14ac:dyDescent="0.45">
      <c r="A77">
        <v>438676</v>
      </c>
      <c r="B77" t="s">
        <v>50</v>
      </c>
      <c r="C77">
        <v>165.42009999999999</v>
      </c>
      <c r="D77">
        <v>-63.497999999999998</v>
      </c>
      <c r="E77">
        <v>163.94929999999999</v>
      </c>
      <c r="F77">
        <v>-61.776699999999998</v>
      </c>
      <c r="G77">
        <v>166.19890000000001</v>
      </c>
      <c r="H77">
        <v>-63.994900000000001</v>
      </c>
      <c r="J77" s="69">
        <f t="shared" si="20"/>
        <v>3.1592896986506447</v>
      </c>
      <c r="K77" s="69">
        <f t="shared" si="21"/>
        <v>0.92381764975563874</v>
      </c>
      <c r="L77">
        <f t="shared" si="22"/>
        <v>2.2640950355495217</v>
      </c>
      <c r="M77" s="49">
        <f t="shared" si="23"/>
        <v>0.40802953729873692</v>
      </c>
      <c r="N77" s="48">
        <f t="shared" si="24"/>
        <v>0.59197046270126308</v>
      </c>
      <c r="O77" s="49">
        <f t="shared" si="25"/>
        <v>0.99636054388165096</v>
      </c>
      <c r="P77" s="49">
        <f t="shared" si="26"/>
        <v>0.77880000000001814</v>
      </c>
      <c r="Q77" s="49">
        <f t="shared" si="27"/>
        <v>-0.49690000000000367</v>
      </c>
      <c r="R77" s="46">
        <f t="shared" si="28"/>
        <v>1</v>
      </c>
      <c r="S77" s="49">
        <f t="shared" si="29"/>
        <v>1.3953874060254936</v>
      </c>
    </row>
    <row r="78" spans="1:19" ht="14.25" customHeight="1" x14ac:dyDescent="0.45">
      <c r="A78">
        <v>438677</v>
      </c>
      <c r="B78" t="s">
        <v>50</v>
      </c>
      <c r="C78">
        <v>181.22730000000001</v>
      </c>
      <c r="D78">
        <v>-57.473500000000001</v>
      </c>
      <c r="E78">
        <v>181.22730000000001</v>
      </c>
      <c r="F78">
        <v>-57.473500000000001</v>
      </c>
      <c r="G78">
        <v>179.90799999999999</v>
      </c>
      <c r="H78">
        <v>-45.699199999999998</v>
      </c>
      <c r="J78" s="69">
        <f t="shared" si="20"/>
        <v>11.847982654443758</v>
      </c>
      <c r="K78" s="69">
        <f t="shared" si="21"/>
        <v>11.847982654443758</v>
      </c>
      <c r="L78">
        <f t="shared" si="22"/>
        <v>0</v>
      </c>
      <c r="M78" s="49" t="str">
        <f t="shared" si="23"/>
        <v/>
      </c>
      <c r="N78" s="48" t="str">
        <f t="shared" si="24"/>
        <v/>
      </c>
      <c r="O78" s="49" t="str">
        <f t="shared" si="25"/>
        <v/>
      </c>
      <c r="P78" s="49">
        <f t="shared" si="26"/>
        <v>-1.3193000000000268</v>
      </c>
      <c r="Q78" s="49">
        <f t="shared" si="27"/>
        <v>11.774300000000004</v>
      </c>
      <c r="R78" s="46" t="str">
        <f t="shared" si="28"/>
        <v/>
      </c>
      <c r="S78" s="49" t="str">
        <f t="shared" si="29"/>
        <v/>
      </c>
    </row>
    <row r="79" spans="1:19" ht="14.25" customHeight="1" x14ac:dyDescent="0.45">
      <c r="J79" s="69"/>
      <c r="K79" s="69"/>
    </row>
    <row r="80" spans="1:19" ht="26.25" customHeight="1" x14ac:dyDescent="0.45">
      <c r="B80" s="20" t="s">
        <v>59</v>
      </c>
      <c r="J80" s="20" t="s">
        <v>40</v>
      </c>
      <c r="K80" s="20" t="s">
        <v>41</v>
      </c>
      <c r="L80" s="20" t="s">
        <v>42</v>
      </c>
    </row>
    <row r="81" spans="1:12" ht="14.25" customHeight="1" x14ac:dyDescent="0.45">
      <c r="A81" s="20" t="s">
        <v>46</v>
      </c>
      <c r="B81">
        <f>SUM(B82:B86)</f>
        <v>77</v>
      </c>
      <c r="I81" s="20" t="s">
        <v>46</v>
      </c>
      <c r="J81">
        <f>_xlfn.AGGREGATE(1,6,J2:J78)</f>
        <v>3.6861447671713963</v>
      </c>
      <c r="K81">
        <f>_xlfn.AGGREGATE(1,6,K2:K78)</f>
        <v>3.3869184532890491</v>
      </c>
      <c r="L81">
        <f>_xlfn.AGGREGATE(1,6,L2:L78)</f>
        <v>1.920436677399237</v>
      </c>
    </row>
    <row r="82" spans="1:12" ht="26.25" customHeight="1" x14ac:dyDescent="0.45">
      <c r="A82" s="20" t="s">
        <v>47</v>
      </c>
      <c r="B82">
        <f>COUNTIF(B2:B78,"Doors")</f>
        <v>38</v>
      </c>
      <c r="I82" s="20" t="s">
        <v>47</v>
      </c>
      <c r="J82">
        <f>_xlfn.AGGREGATE(1,6,J2:J39)</f>
        <v>2.5733921052631583</v>
      </c>
      <c r="K82">
        <f>_xlfn.AGGREGATE(1,6,K2:K39)</f>
        <v>2.0788109528487175</v>
      </c>
      <c r="L82">
        <f>_xlfn.AGGREGATE(1,6,L2:L39)</f>
        <v>1.4472129420293929</v>
      </c>
    </row>
    <row r="83" spans="1:12" ht="26.25" customHeight="1" x14ac:dyDescent="0.45">
      <c r="A83" s="20" t="s">
        <v>55</v>
      </c>
      <c r="B83">
        <f>COUNTIF(B2:B78,"Windows")</f>
        <v>6</v>
      </c>
      <c r="I83" s="20" t="s">
        <v>48</v>
      </c>
      <c r="J83">
        <f>_xlfn.AGGREGATE(1,6,J40:J45)</f>
        <v>2.5030000000000001</v>
      </c>
      <c r="K83">
        <f>_xlfn.AGGREGATE(1,6,K40:K45)</f>
        <v>0.52960000000000207</v>
      </c>
      <c r="L83">
        <f>_xlfn.AGGREGATE(1,6,L40:L45)</f>
        <v>1.973399999999998</v>
      </c>
    </row>
    <row r="84" spans="1:12" ht="26.25" customHeight="1" x14ac:dyDescent="0.45">
      <c r="A84" s="20" t="s">
        <v>49</v>
      </c>
      <c r="B84">
        <f>COUNTIF(B2:B78,"Walls")</f>
        <v>2</v>
      </c>
      <c r="I84" s="20" t="s">
        <v>49</v>
      </c>
      <c r="J84">
        <f>_xlfn.AGGREGATE(1,6,J47)</f>
        <v>15.037335288208482</v>
      </c>
      <c r="K84">
        <f>_xlfn.AGGREGATE(1,6,K47)</f>
        <v>10.272109674258738</v>
      </c>
      <c r="L84">
        <f>_xlfn.AGGREGATE(1,6,L47)</f>
        <v>5.5895754087408145</v>
      </c>
    </row>
    <row r="85" spans="1:12" ht="26.25" customHeight="1" x14ac:dyDescent="0.45">
      <c r="A85" s="20" t="s">
        <v>50</v>
      </c>
      <c r="B85">
        <f>COUNTIF(B2:B78,"Room Tags")</f>
        <v>31</v>
      </c>
      <c r="I85" s="20" t="s">
        <v>50</v>
      </c>
      <c r="J85">
        <f>_xlfn.AGGREGATE(1,6,J48:J78)</f>
        <v>4.9588321887378148</v>
      </c>
      <c r="K85">
        <f>_xlfn.AGGREGATE(1,6,K48:K78)</f>
        <v>5.2130542260408665</v>
      </c>
      <c r="L85">
        <f>_xlfn.AGGREGATE(1,6,L48:L78)</f>
        <v>2.2736453947753041</v>
      </c>
    </row>
    <row r="86" spans="1:12" ht="26.25" customHeight="1" x14ac:dyDescent="0.45">
      <c r="A86" s="72" t="s">
        <v>56</v>
      </c>
      <c r="B86">
        <f>COUNTIF(B2:B78,"Stairs")</f>
        <v>0</v>
      </c>
    </row>
    <row r="88" spans="1:12" ht="14.25" customHeight="1" x14ac:dyDescent="0.45">
      <c r="J88" s="10" t="s">
        <v>117</v>
      </c>
      <c r="K88" s="10"/>
      <c r="L88" s="10"/>
    </row>
    <row r="89" spans="1:12" ht="26.25" customHeight="1" x14ac:dyDescent="0.45">
      <c r="J89" s="20" t="s">
        <v>40</v>
      </c>
      <c r="K89" s="20" t="s">
        <v>41</v>
      </c>
      <c r="L89" s="20" t="s">
        <v>42</v>
      </c>
    </row>
    <row r="90" spans="1:12" ht="14.25" customHeight="1" x14ac:dyDescent="0.45">
      <c r="I90" s="20" t="s">
        <v>46</v>
      </c>
      <c r="J90">
        <f>_xlfn.AGGREGATE(12,6,J2:J78)</f>
        <v>2.7691999999999979</v>
      </c>
      <c r="K90">
        <f>_xlfn.AGGREGATE(12,6,K2:K78)</f>
        <v>1.3159042556356453</v>
      </c>
      <c r="L90">
        <f>_xlfn.AGGREGATE(12,6,L2:L78)</f>
        <v>1.4604999999999961</v>
      </c>
    </row>
    <row r="91" spans="1:12" ht="26.25" customHeight="1" x14ac:dyDescent="0.45">
      <c r="I91" s="20" t="s">
        <v>47</v>
      </c>
      <c r="J91">
        <f>_xlfn.AGGREGATE(12,6,J2:J39)</f>
        <v>2.7697000000000003</v>
      </c>
      <c r="K91">
        <f>_xlfn.AGGREGATE(12,6,K2:K39)</f>
        <v>1.3092000000000041</v>
      </c>
      <c r="L91">
        <f>_xlfn.AGGREGATE(12,6,L2:L39)</f>
        <v>1.4604999999999961</v>
      </c>
    </row>
    <row r="92" spans="1:12" ht="26.25" customHeight="1" x14ac:dyDescent="0.45">
      <c r="I92" s="20" t="s">
        <v>48</v>
      </c>
      <c r="J92">
        <f>_xlfn.AGGREGATE(12,6,J40:J45)</f>
        <v>2.5030000000000001</v>
      </c>
      <c r="K92">
        <f>_xlfn.AGGREGATE(12,6,K40:K45)</f>
        <v>0.52960000000000207</v>
      </c>
      <c r="L92">
        <f>_xlfn.AGGREGATE(12,6,L40:L45)</f>
        <v>1.973399999999998</v>
      </c>
    </row>
    <row r="93" spans="1:12" ht="26.25" customHeight="1" x14ac:dyDescent="0.45">
      <c r="I93" s="20" t="s">
        <v>49</v>
      </c>
      <c r="J93">
        <f>_xlfn.AGGREGATE(12,6,J46:J47)</f>
        <v>8.6512246106626556</v>
      </c>
      <c r="K93">
        <f>_xlfn.AGGREGATE(12,6,K46:K47)</f>
        <v>8.5078118438693249</v>
      </c>
      <c r="L93">
        <f>_xlfn.AGGREGATE(12,6,L46:L47)</f>
        <v>5.2780625622949158</v>
      </c>
    </row>
    <row r="94" spans="1:12" ht="26.25" customHeight="1" x14ac:dyDescent="0.45">
      <c r="I94" s="20" t="s">
        <v>50</v>
      </c>
      <c r="J94">
        <f>_xlfn.AGGREGATE(12,6,J48:J78)</f>
        <v>2.2382495526638588</v>
      </c>
      <c r="K94">
        <f>_xlfn.AGGREGATE(12,6,K48:K78)</f>
        <v>1.4249233558335663</v>
      </c>
      <c r="L94">
        <f>_xlfn.AGGREGATE(12,6,L48:L78)</f>
        <v>0</v>
      </c>
    </row>
    <row r="95" spans="1:12" ht="14.25" customHeight="1" x14ac:dyDescent="0.45">
      <c r="J95" s="69"/>
      <c r="K95" s="69"/>
    </row>
    <row r="96" spans="1:12" ht="14.25" customHeight="1" x14ac:dyDescent="0.45">
      <c r="J96" s="69"/>
      <c r="K96" s="69"/>
    </row>
    <row r="97" spans="9:20" ht="18" customHeight="1" x14ac:dyDescent="0.45">
      <c r="I97" s="73" t="s">
        <v>118</v>
      </c>
      <c r="J97" s="69"/>
      <c r="K97" s="69"/>
      <c r="M97" s="19" t="s">
        <v>119</v>
      </c>
    </row>
    <row r="98" spans="9:20" ht="42" customHeight="1" x14ac:dyDescent="0.45">
      <c r="I98" s="34" t="s">
        <v>120</v>
      </c>
      <c r="J98" s="74" t="s">
        <v>59</v>
      </c>
      <c r="K98" s="74" t="s">
        <v>63</v>
      </c>
      <c r="L98" s="34" t="s">
        <v>64</v>
      </c>
      <c r="M98" s="34" t="s">
        <v>65</v>
      </c>
      <c r="N98" s="34" t="s">
        <v>121</v>
      </c>
      <c r="O98" s="34" t="s">
        <v>122</v>
      </c>
      <c r="P98" s="34" t="s">
        <v>123</v>
      </c>
      <c r="Q98" s="34" t="s">
        <v>124</v>
      </c>
      <c r="R98" s="34" t="s">
        <v>68</v>
      </c>
      <c r="S98" s="34" t="s">
        <v>125</v>
      </c>
      <c r="T98" s="34" t="s">
        <v>126</v>
      </c>
    </row>
    <row r="99" spans="9:20" ht="14.25" customHeight="1" x14ac:dyDescent="0.45">
      <c r="I99" s="22" t="s">
        <v>46</v>
      </c>
      <c r="J99" s="23">
        <f>COUNTA($B$2:$B$78)</f>
        <v>77</v>
      </c>
      <c r="K99" s="25">
        <f>IF(COUNT($M$2:$M$78)=0,"N/A",COUNTIF($R$2:$R$78,1)/COUNT($M$2:$M$78))</f>
        <v>0.57894736842105265</v>
      </c>
      <c r="L99" s="25">
        <f t="array" ref="L99">IF(COUNT($N$2:$N$78)=0,"N/A",AVERAGE($N$2:$N$78))</f>
        <v>-0.59345194958081848</v>
      </c>
      <c r="M99" s="24">
        <f t="array" ref="M99">IF(COUNT($O$2:$O$78)=0,"N/A",AVERAGE($O$2:$O$78))</f>
        <v>0.58944561831976905</v>
      </c>
      <c r="N99" s="24">
        <f t="array" ref="N99">IF(COUNT($K$2:$K$78)=0,"N/A",SQRT(SUMPRODUCT(ISNUMBER($K$2:$K$78)*(IF(ISNUMBER($K$2:$K$78),$K$2:$K$78,0))^2)/COUNT($K$2:$K$78)))</f>
        <v>6.0886005013947502</v>
      </c>
      <c r="O99" s="24">
        <f>IF(COUNT($K$2:$K$78)&lt;2,"N/A",_xlfn.STDEV.S($K$2:$K$78))</f>
        <v>5.0928066377196464</v>
      </c>
      <c r="P99" s="24">
        <f>IF(COUNT($K$2:$K$78)=0,"N/A",_xlfn.PERCENTILE.INC($K$2:$K$78,0.9))</f>
        <v>8.1549522777914625</v>
      </c>
      <c r="Q99" s="24">
        <f>IF(COUNT($K$2:$K$78)=0,"N/A",_xlfn.PERCENTILE.INC($K$2:$K$78,0.95))</f>
        <v>13.378105248876748</v>
      </c>
      <c r="R99" s="23">
        <f>COUNTIF($K$2:$K$78,"&gt;15")</f>
        <v>4</v>
      </c>
      <c r="S99" s="24">
        <f>IF(COUNT($S$2:$S$78)=0,"N/A",AVERAGE($S$2:$S$78))</f>
        <v>1.9666593983286846</v>
      </c>
      <c r="T99" s="25">
        <f>IF(COUNT($S$2:$S$78)=0,"N/A",COUNTIF($S$2:$S$78,"&gt;1")/COUNT($S$2:$S$78))</f>
        <v>0.82456140350877194</v>
      </c>
    </row>
    <row r="100" spans="9:20" ht="14.25" customHeight="1" x14ac:dyDescent="0.45">
      <c r="I100" s="27" t="s">
        <v>47</v>
      </c>
      <c r="J100" s="28">
        <f>COUNTIF($B$2:$B$78,"Doors")</f>
        <v>38</v>
      </c>
      <c r="K100" s="30">
        <f>IF(SUMPRODUCT(($B$2:$B$78="Doors")*ISNUMBER($M$2:$M$78))=0,"N/A",SUMPRODUCT(($B$2:$B$78="Doors")*($R$2:$R$78=1))/SUMPRODUCT(($B$2:$B$78="Doors")*ISNUMBER($M$2:$M$78)))</f>
        <v>0.55263157894736847</v>
      </c>
      <c r="L100" s="30">
        <f t="array" ref="L100">IF(SUMPRODUCT(($B$2:$B$78="Doors")*ISNUMBER($N$2:$N$78))=0,"N/A",SUMPRODUCT(($B$2:$B$78="Doors")*ISNUMBER($N$2:$N$78)*(IF(ISNUMBER($N$2:$N$78),$N$2:$N$78,0)))/SUMPRODUCT(($B$2:$B$78="Doors")*ISNUMBER($N$2:$N$78)))</f>
        <v>-0.86809287891512921</v>
      </c>
      <c r="M100" s="29">
        <f t="array" ref="M100">IF(SUMPRODUCT(($B$2:$B$78="Doors")*ISNUMBER($O$2:$O$78))=0,"N/A",SUMPRODUCT(($B$2:$B$78="Doors")*ISNUMBER($O$2:$O$78)*(IF(ISNUMBER($O$2:$O$78),$O$2:$O$78,0)))/SUMPRODUCT(($B$2:$B$78="Doors")*ISNUMBER($O$2:$O$78)))</f>
        <v>0.555023418966064</v>
      </c>
      <c r="N100" s="29">
        <f t="array" ref="N100">IF(SUMPRODUCT(($B$2:$B$78="Doors")*ISNUMBER($K$2:$K$78))=0,"N/A",SQRT(SUMPRODUCT(($B$2:$B$78="Doors")*ISNUMBER($K$2:$K$78)*(IF(ISNUMBER($K$2:$K$78),$K$2:$K$78,0))^2)/SUMPRODUCT(($B$2:$B$78="Doors")*ISNUMBER($K$2:$K$78))))</f>
        <v>2.374859899579675</v>
      </c>
      <c r="O100" s="29">
        <f t="array" ref="O100">IFERROR(IF(SUMPRODUCT(($B$2:$B$78="Doors")*ISNUMBER($K$2:$K$78))&lt;2,"N/A",_xlfn.STDEV.S(IF($B$2:$B$78="Doors",$K$2:$K$78))),"N/A")</f>
        <v>1.1636751365651383</v>
      </c>
      <c r="P100" s="29">
        <f t="array" ref="P100">IFERROR(_xlfn.PERCENTILE.INC(IF(($B$2:$B$78="Doors")*ISNUMBER($K$2:$K$78),$K$2:$K$78),0.9),"N/A")</f>
        <v>4.185299999999998</v>
      </c>
      <c r="Q100" s="29">
        <f t="array" ref="Q100">IFERROR(_xlfn.PERCENTILE.INC(IF(($B$2:$B$78="Doors")*ISNUMBER($K$2:$K$78),$K$2:$K$78),0.95),"N/A")</f>
        <v>4.3133132321186558</v>
      </c>
      <c r="R100" s="28">
        <f>COUNTIFS($B$2:$B$78,"Doors",$K$2:$K$78,"&gt;15")</f>
        <v>0</v>
      </c>
      <c r="S100" s="37">
        <f t="array" ref="S100">IF(SUMPRODUCT(($B$2:$B$78="Doors")*ISNUMBER($S$2:$S$78))=0,"N/A",SUMPRODUCT(($B$2:$B$78="Doors")*ISNUMBER($S$2:$S$78)*(IF(ISNUMBER($S$2:$S$78),$S$2:$S$78,0)))/SUMPRODUCT(($B$2:$B$78="Doors")*ISNUMBER($S$2:$S$78)))</f>
        <v>2.2084321782835712</v>
      </c>
      <c r="T100" s="38">
        <f t="array" ref="T100">IF(SUMPRODUCT(($B$2:$B$78="Doors")*ISNUMBER($S$2:$S$78))=0,"N/A",SUMPRODUCT(($B$2:$B$78="Doors")*ISNUMBER($S$2:$S$78)*(IF(ISNUMBER($S$2:$S$78),$S$2:$S$78,0)&gt;1))/SUMPRODUCT(($B$2:$B$78="Doors")*ISNUMBER($S$2:$S$78)))</f>
        <v>0.89473684210526316</v>
      </c>
    </row>
    <row r="101" spans="9:20" ht="14.25" customHeight="1" x14ac:dyDescent="0.45">
      <c r="I101" s="27" t="s">
        <v>48</v>
      </c>
      <c r="J101" s="28">
        <f>COUNTIF($B$2:$B$78,"Windows")</f>
        <v>6</v>
      </c>
      <c r="K101" s="30">
        <f>IF(SUMPRODUCT(($B$2:$B$78="Windows")*ISNUMBER($M$2:$M$78))=0,"N/A",SUMPRODUCT(($B$2:$B$78="Windows")*($R$2:$R$78=1))/SUMPRODUCT(($B$2:$B$78="Windows")*ISNUMBER($M$2:$M$78)))</f>
        <v>1</v>
      </c>
      <c r="L101" s="30">
        <f t="array" ref="L101">IF(SUMPRODUCT(($B$2:$B$78="Windows")*ISNUMBER($N$2:$N$78))=0,"N/A",SUMPRODUCT(($B$2:$B$78="Windows")*ISNUMBER($N$2:$N$78)*(IF(ISNUMBER($N$2:$N$78),$N$2:$N$78,0)))/SUMPRODUCT(($B$2:$B$78="Windows")*ISNUMBER($N$2:$N$78)))</f>
        <v>0.73163068815242582</v>
      </c>
      <c r="M101" s="29">
        <f t="array" ref="M101">IF(SUMPRODUCT(($B$2:$B$78="Windows")*ISNUMBER($O$2:$O$78))=0,"N/A",SUMPRODUCT(($B$2:$B$78="Windows")*ISNUMBER($O$2:$O$78)*(IF(ISNUMBER($O$2:$O$78),$O$2:$O$78,0)))/SUMPRODUCT(($B$2:$B$78="Windows")*ISNUMBER($O$2:$O$78)))</f>
        <v>1</v>
      </c>
      <c r="N101" s="29">
        <f t="array" ref="N101">IF(SUMPRODUCT(($B$2:$B$78="Windows")*ISNUMBER($K$2:$K$78))=0,"N/A",SQRT(SUMPRODUCT(($B$2:$B$78="Windows")*ISNUMBER($K$2:$K$78)*(IF(ISNUMBER($K$2:$K$78),$K$2:$K$78,0))^2)/SUMPRODUCT(($B$2:$B$78="Windows")*ISNUMBER($K$2:$K$78))))</f>
        <v>0.52960000000000207</v>
      </c>
      <c r="O101" s="29">
        <f t="array" ref="O101">IFERROR(IF(SUMPRODUCT(($B$2:$B$78="Windows")*ISNUMBER($K$2:$K$78))&lt;2,"N/A",_xlfn.STDEV.S(IF($B$2:$B$78="Windows",$K$2:$K$78))),"N/A")</f>
        <v>0</v>
      </c>
      <c r="P101" s="29">
        <f t="array" ref="P101">IFERROR(_xlfn.PERCENTILE.INC(IF(($B$2:$B$78="Windows")*ISNUMBER($K$2:$K$78),$K$2:$K$78),0.9),"N/A")</f>
        <v>0.52960000000000207</v>
      </c>
      <c r="Q101" s="29">
        <f t="array" ref="Q101">IFERROR(_xlfn.PERCENTILE.INC(IF(($B$2:$B$78="Windows")*ISNUMBER($K$2:$K$78),$K$2:$K$78),0.95),"N/A")</f>
        <v>0.52960000000000207</v>
      </c>
      <c r="R101" s="28">
        <f>COUNTIFS($B$2:$B$78,"Windows",$K$2:$K$78,"&gt;15")</f>
        <v>0</v>
      </c>
      <c r="S101" s="37">
        <f t="array" ref="S101">IF(SUMPRODUCT(($B$2:$B$78="Windows")*ISNUMBER($S$2:$S$78))=0,"N/A",SUMPRODUCT(($B$2:$B$78="Windows")*ISNUMBER($S$2:$S$78)*(IF(ISNUMBER($S$2:$S$78),$S$2:$S$78,0)))/SUMPRODUCT(($B$2:$B$78="Windows")*ISNUMBER($S$2:$S$78)))</f>
        <v>1.2683693118475741</v>
      </c>
      <c r="T101" s="38">
        <f t="array" ref="T101">IF(SUMPRODUCT(($B$2:$B$78="Windows")*ISNUMBER($S$2:$S$78))=0,"N/A",SUMPRODUCT(($B$2:$B$78="Windows")*ISNUMBER($S$2:$S$78)*(IF(ISNUMBER($S$2:$S$78),$S$2:$S$78,0)&gt;1))/SUMPRODUCT(($B$2:$B$78="Windows")*ISNUMBER($S$2:$S$78)))</f>
        <v>1</v>
      </c>
    </row>
    <row r="102" spans="9:20" ht="14.25" customHeight="1" x14ac:dyDescent="0.45">
      <c r="I102" s="27" t="s">
        <v>49</v>
      </c>
      <c r="J102" s="28">
        <f>COUNTIF($B$2:$B$78,"Walls")</f>
        <v>2</v>
      </c>
      <c r="K102" s="30">
        <f>IF(SUMPRODUCT(($B$2:$B$78="Walls")*ISNUMBER($M$2:$M$78))=0,"N/A",SUMPRODUCT(($B$2:$B$78="Walls")*($R$2:$R$78=1))/SUMPRODUCT(($B$2:$B$78="Walls")*ISNUMBER($M$2:$M$78)))</f>
        <v>0</v>
      </c>
      <c r="L102" s="30">
        <f t="array" ref="L102">IF(SUMPRODUCT(($B$2:$B$78="Walls")*ISNUMBER($N$2:$N$78))=0,"N/A",SUMPRODUCT(($B$2:$B$78="Walls")*ISNUMBER($N$2:$N$78)*(IF(ISNUMBER($N$2:$N$78),$N$2:$N$78,0)))/SUMPRODUCT(($B$2:$B$78="Walls")*ISNUMBER($N$2:$N$78)))</f>
        <v>-0.59775638028971134</v>
      </c>
      <c r="M102" s="29">
        <f t="array" ref="M102">IF(SUMPRODUCT(($B$2:$B$78="Walls")*ISNUMBER($O$2:$O$78))=0,"N/A",SUMPRODUCT(($B$2:$B$78="Walls")*ISNUMBER($O$2:$O$78)*(IF(ISNUMBER($O$2:$O$78),$O$2:$O$78,0)))/SUMPRODUCT(($B$2:$B$78="Walls")*ISNUMBER($O$2:$O$78)))</f>
        <v>0.1032511442510346</v>
      </c>
      <c r="N102" s="29">
        <f t="array" ref="N102">IF(SUMPRODUCT(($B$2:$B$78="Walls")*ISNUMBER($K$2:$K$78))=0,"N/A",SQRT(SUMPRODUCT(($B$2:$B$78="Walls")*ISNUMBER($K$2:$K$78)*(IF(ISNUMBER($K$2:$K$78),$K$2:$K$78,0))^2)/SUMPRODUCT(($B$2:$B$78="Walls")*ISNUMBER($K$2:$K$78))))</f>
        <v>8.6888209329574728</v>
      </c>
      <c r="O102" s="29">
        <f t="array" ref="O102">IFERROR(IF(SUMPRODUCT(($B$2:$B$78="Walls")*ISNUMBER($K$2:$K$78))&lt;2,"N/A",_xlfn.STDEV.S(IF($B$2:$B$78="Walls",$K$2:$K$78))),"N/A")</f>
        <v>2.4950939198021422</v>
      </c>
      <c r="P102" s="29">
        <f t="array" ref="P102">IFERROR(_xlfn.PERCENTILE.INC(IF(($B$2:$B$78="Walls")*ISNUMBER($K$2:$K$78),$K$2:$K$78),0.9),"N/A")</f>
        <v>9.9192501081808544</v>
      </c>
      <c r="Q102" s="29">
        <f t="array" ref="Q102">IFERROR(_xlfn.PERCENTILE.INC(IF(($B$2:$B$78="Walls")*ISNUMBER($K$2:$K$78),$K$2:$K$78),0.95),"N/A")</f>
        <v>10.095679891219797</v>
      </c>
      <c r="R102" s="28">
        <f>COUNTIFS($B$2:$B$78,"Walls",$K$2:$K$78,"&gt;15")</f>
        <v>0</v>
      </c>
      <c r="S102" s="37">
        <f t="array" ref="S102">IF(SUMPRODUCT(($B$2:$B$78="Walls")*ISNUMBER($S$2:$S$78))=0,"N/A",SUMPRODUCT(($B$2:$B$78="Walls")*ISNUMBER($S$2:$S$78)*(IF(ISNUMBER($S$2:$S$78),$S$2:$S$78,0)))/SUMPRODUCT(($B$2:$B$78="Walls")*ISNUMBER($S$2:$S$78)))</f>
        <v>1.573160188591316</v>
      </c>
      <c r="T102" s="38">
        <f t="array" ref="T102">IF(SUMPRODUCT(($B$2:$B$78="Walls")*ISNUMBER($S$2:$S$78))=0,"N/A",SUMPRODUCT(($B$2:$B$78="Walls")*ISNUMBER($S$2:$S$78)*(IF(ISNUMBER($S$2:$S$78),$S$2:$S$78,0)&gt;1))/SUMPRODUCT(($B$2:$B$78="Walls")*ISNUMBER($S$2:$S$78)))</f>
        <v>0.5</v>
      </c>
    </row>
    <row r="103" spans="9:20" ht="14.25" customHeight="1" x14ac:dyDescent="0.45">
      <c r="I103" s="27" t="s">
        <v>50</v>
      </c>
      <c r="J103" s="28">
        <f>COUNTIF($B$2:$B$78,"Room Tags")</f>
        <v>31</v>
      </c>
      <c r="K103" s="30">
        <f>IF(SUMPRODUCT(($B$2:$B$78="Room Tags")*ISNUMBER($M$2:$M$78))=0,"N/A",SUMPRODUCT(($B$2:$B$78="Room Tags")*($R$2:$R$78=1))/SUMPRODUCT(($B$2:$B$78="Room Tags")*ISNUMBER($M$2:$M$78)))</f>
        <v>0.54545454545454541</v>
      </c>
      <c r="L103" s="30">
        <f t="array" ref="L103">IF(SUMPRODUCT(($B$2:$B$78="Room Tags")*ISNUMBER($N$2:$N$78))=0,"N/A",SUMPRODUCT(($B$2:$B$78="Room Tags")*ISNUMBER($N$2:$N$78)*(IF(ISNUMBER($N$2:$N$78),$N$2:$N$78,0)))/SUMPRODUCT(($B$2:$B$78="Room Tags")*ISNUMBER($N$2:$N$78)))</f>
        <v>-0.36668209960607961</v>
      </c>
      <c r="M103" s="29">
        <f t="array" ref="M103">IF(SUMPRODUCT(($B$2:$B$78="Room Tags")*ISNUMBER($O$2:$O$78))=0,"N/A",SUMPRODUCT(($B$2:$B$78="Room Tags")*ISNUMBER($O$2:$O$78)*(IF(ISNUMBER($O$2:$O$78),$O$2:$O$78,0)))/SUMPRODUCT(($B$2:$B$78="Room Tags")*ISNUMBER($O$2:$O$78)))</f>
        <v>0.5603017488726828</v>
      </c>
      <c r="N103" s="29">
        <f t="array" ref="N103">IF(SUMPRODUCT(($B$2:$B$78="Room Tags")*ISNUMBER($K$2:$K$78))=0,"N/A",SQRT(SUMPRODUCT(($B$2:$B$78="Room Tags")*ISNUMBER($K$2:$K$78)*(IF(ISNUMBER($K$2:$K$78),$K$2:$K$78,0))^2)/SUMPRODUCT(($B$2:$B$78="Room Tags")*ISNUMBER($K$2:$K$78))))</f>
        <v>8.9577480952201007</v>
      </c>
      <c r="O103" s="29">
        <f t="array" ref="O103">IFERROR(IF(SUMPRODUCT(($B$2:$B$78="Room Tags")*ISNUMBER($K$2:$K$78))&lt;2,"N/A",_xlfn.STDEV.S(IF($B$2:$B$78="Room Tags",$K$2:$K$78))),"N/A")</f>
        <v>7.4050091464878935</v>
      </c>
      <c r="P103" s="29">
        <f t="array" ref="P103">IFERROR(_xlfn.PERCENTILE.INC(IF(($B$2:$B$78="Room Tags")*ISNUMBER($K$2:$K$78),$K$2:$K$78),0.9),"N/A")</f>
        <v>19.498595626608598</v>
      </c>
      <c r="Q103" s="29">
        <f t="array" ref="Q103">IFERROR(_xlfn.PERCENTILE.INC(IF(($B$2:$B$78="Room Tags")*ISNUMBER($K$2:$K$78),$K$2:$K$78),0.95),"N/A")</f>
        <v>22.81607487436716</v>
      </c>
      <c r="R103" s="28">
        <f>COUNTIFS($B$2:$B$78,"Room Tags",$K$2:$K$78,"&gt;15")</f>
        <v>4</v>
      </c>
      <c r="S103" s="37">
        <f t="array" ref="S103">IF(SUMPRODUCT(($B$2:$B$78="Room Tags")*ISNUMBER($S$2:$S$78))=0,"N/A",SUMPRODUCT(($B$2:$B$78="Room Tags")*ISNUMBER($S$2:$S$78)*(IF(ISNUMBER($S$2:$S$78),$S$2:$S$78,0)))/SUMPRODUCT(($B$2:$B$78="Room Tags")*ISNUMBER($S$2:$S$78)))</f>
        <v>1.5838751528810193</v>
      </c>
      <c r="T103" s="38">
        <f t="array" ref="T103">IF(SUMPRODUCT(($B$2:$B$78="Room Tags")*ISNUMBER($S$2:$S$78))=0,"N/A",SUMPRODUCT(($B$2:$B$78="Room Tags")*ISNUMBER($S$2:$S$78)*(IF(ISNUMBER($S$2:$S$78),$S$2:$S$78,0)&gt;1))/SUMPRODUCT(($B$2:$B$78="Room Tags")*ISNUMBER($S$2:$S$78)))</f>
        <v>0.54545454545454541</v>
      </c>
    </row>
    <row r="104" spans="9:20" ht="14.25" customHeight="1" x14ac:dyDescent="0.45">
      <c r="J104" s="69"/>
      <c r="K104" s="69"/>
    </row>
    <row r="105" spans="9:20" ht="14.25" customHeight="1" x14ac:dyDescent="0.45">
      <c r="J105" s="69"/>
      <c r="K105" s="69"/>
    </row>
    <row r="106" spans="9:20" ht="14.25" customHeight="1" x14ac:dyDescent="0.45">
      <c r="J106" s="69"/>
      <c r="K106" s="69"/>
    </row>
    <row r="107" spans="9:20" ht="14.25" customHeight="1" x14ac:dyDescent="0.45">
      <c r="J107" s="69"/>
      <c r="K107" s="69"/>
    </row>
    <row r="108" spans="9:20" ht="14.25" customHeight="1" x14ac:dyDescent="0.45">
      <c r="J108" s="69"/>
      <c r="K108" s="69"/>
    </row>
    <row r="109" spans="9:20" ht="14.25" customHeight="1" x14ac:dyDescent="0.45">
      <c r="J109" s="69"/>
      <c r="K109" s="69"/>
    </row>
    <row r="110" spans="9:20" ht="14.25" customHeight="1" x14ac:dyDescent="0.45">
      <c r="J110" s="69"/>
      <c r="K110" s="69"/>
    </row>
    <row r="111" spans="9:20" ht="14.25" customHeight="1" x14ac:dyDescent="0.45">
      <c r="J111" s="69"/>
      <c r="K111" s="69"/>
    </row>
    <row r="112" spans="9:20" ht="14.25" customHeight="1" x14ac:dyDescent="0.45">
      <c r="J112" s="69"/>
      <c r="K112" s="69"/>
    </row>
    <row r="113" spans="10:11" ht="14.25" customHeight="1" x14ac:dyDescent="0.45">
      <c r="J113" s="69"/>
      <c r="K113" s="69"/>
    </row>
    <row r="114" spans="10:11" ht="14.25" customHeight="1" x14ac:dyDescent="0.45">
      <c r="J114" s="69"/>
      <c r="K114" s="69"/>
    </row>
    <row r="115" spans="10:11" ht="14.25" customHeight="1" x14ac:dyDescent="0.45">
      <c r="J115" s="69"/>
      <c r="K115" s="69"/>
    </row>
    <row r="116" spans="10:11" ht="14.25" customHeight="1" x14ac:dyDescent="0.45">
      <c r="J116" s="69"/>
      <c r="K116" s="69"/>
    </row>
    <row r="117" spans="10:11" ht="14.25" customHeight="1" x14ac:dyDescent="0.45">
      <c r="J117" s="69"/>
      <c r="K117" s="69"/>
    </row>
    <row r="118" spans="10:11" ht="14.25" customHeight="1" x14ac:dyDescent="0.45">
      <c r="J118" s="69"/>
      <c r="K118" s="69"/>
    </row>
    <row r="119" spans="10:11" ht="14.25" customHeight="1" x14ac:dyDescent="0.45">
      <c r="J119" s="69"/>
      <c r="K119" s="69"/>
    </row>
    <row r="120" spans="10:11" ht="14.25" customHeight="1" x14ac:dyDescent="0.45">
      <c r="J120" s="69"/>
      <c r="K120" s="69"/>
    </row>
    <row r="121" spans="10:11" ht="14.25" customHeight="1" x14ac:dyDescent="0.45">
      <c r="J121" s="69"/>
      <c r="K121" s="69"/>
    </row>
    <row r="122" spans="10:11" ht="14.25" customHeight="1" x14ac:dyDescent="0.45">
      <c r="J122" s="69"/>
      <c r="K122" s="69"/>
    </row>
    <row r="123" spans="10:11" ht="14.25" customHeight="1" x14ac:dyDescent="0.45">
      <c r="J123" s="69"/>
      <c r="K123" s="69"/>
    </row>
    <row r="124" spans="10:11" ht="14.25" customHeight="1" x14ac:dyDescent="0.45">
      <c r="J124" s="69"/>
      <c r="K124" s="69"/>
    </row>
    <row r="125" spans="10:11" ht="14.25" customHeight="1" x14ac:dyDescent="0.45">
      <c r="J125" s="69"/>
      <c r="K125" s="69"/>
    </row>
    <row r="126" spans="10:11" ht="14.25" customHeight="1" x14ac:dyDescent="0.45">
      <c r="J126" s="69"/>
      <c r="K126" s="69"/>
    </row>
    <row r="127" spans="10:11" ht="14.25" customHeight="1" x14ac:dyDescent="0.45">
      <c r="J127" s="69"/>
      <c r="K127" s="69"/>
    </row>
    <row r="128" spans="10:11" ht="14.25" customHeight="1" x14ac:dyDescent="0.45">
      <c r="J128" s="69"/>
      <c r="K128" s="69"/>
    </row>
    <row r="129" spans="10:11" ht="14.25" customHeight="1" x14ac:dyDescent="0.45">
      <c r="J129" s="69"/>
      <c r="K129" s="69"/>
    </row>
    <row r="130" spans="10:11" ht="14.25" customHeight="1" x14ac:dyDescent="0.45">
      <c r="J130" s="69"/>
      <c r="K130" s="69"/>
    </row>
    <row r="131" spans="10:11" ht="14.25" customHeight="1" x14ac:dyDescent="0.45">
      <c r="J131" s="69"/>
      <c r="K131" s="69"/>
    </row>
    <row r="132" spans="10:11" ht="14.25" customHeight="1" x14ac:dyDescent="0.45">
      <c r="J132" s="69"/>
      <c r="K132" s="69"/>
    </row>
    <row r="133" spans="10:11" ht="14.25" customHeight="1" x14ac:dyDescent="0.45">
      <c r="J133" s="69"/>
      <c r="K133" s="69"/>
    </row>
    <row r="134" spans="10:11" ht="14.25" customHeight="1" x14ac:dyDescent="0.45">
      <c r="J134" s="69"/>
      <c r="K134" s="69"/>
    </row>
    <row r="135" spans="10:11" ht="14.25" customHeight="1" x14ac:dyDescent="0.45">
      <c r="J135" s="69"/>
      <c r="K135" s="69"/>
    </row>
    <row r="136" spans="10:11" ht="14.25" customHeight="1" x14ac:dyDescent="0.45">
      <c r="J136" s="69"/>
      <c r="K136" s="69"/>
    </row>
    <row r="137" spans="10:11" ht="14.25" customHeight="1" x14ac:dyDescent="0.45">
      <c r="J137" s="69"/>
      <c r="K137" s="69"/>
    </row>
    <row r="138" spans="10:11" ht="14.25" customHeight="1" x14ac:dyDescent="0.45">
      <c r="J138" s="69"/>
      <c r="K138" s="69"/>
    </row>
    <row r="139" spans="10:11" ht="14.25" customHeight="1" x14ac:dyDescent="0.45">
      <c r="J139" s="69"/>
      <c r="K139" s="69"/>
    </row>
  </sheetData>
  <autoFilter ref="A1:H47" xr:uid="{00000000-0009-0000-0000-000006000000}"/>
  <mergeCells count="1">
    <mergeCell ref="J88:L88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39"/>
  <sheetViews>
    <sheetView topLeftCell="E1" zoomScaleNormal="100" workbookViewId="0">
      <pane ySplit="1" topLeftCell="A5" activePane="bottomLeft" state="frozen"/>
      <selection pane="bottomLeft" activeCell="I58" sqref="I58:T61"/>
    </sheetView>
  </sheetViews>
  <sheetFormatPr defaultColWidth="8.6640625" defaultRowHeight="14.25" x14ac:dyDescent="0.45"/>
  <cols>
    <col min="1" max="1" width="10" customWidth="1"/>
    <col min="2" max="2" width="17" customWidth="1"/>
    <col min="3" max="4" width="16" customWidth="1"/>
    <col min="5" max="6" width="15" customWidth="1"/>
    <col min="7" max="8" width="11" customWidth="1"/>
    <col min="10" max="10" width="16.59765625" customWidth="1"/>
    <col min="11" max="11" width="20.265625" customWidth="1"/>
    <col min="12" max="12" width="28.73046875" customWidth="1"/>
    <col min="13" max="13" width="16" customWidth="1"/>
    <col min="14" max="14" width="17" customWidth="1"/>
    <col min="15" max="15" width="19" customWidth="1"/>
    <col min="16" max="17" width="12" customWidth="1"/>
    <col min="18" max="18" width="14" customWidth="1"/>
    <col min="19" max="19" width="17" customWidth="1"/>
    <col min="20" max="20" width="16" customWidth="1"/>
  </cols>
  <sheetData>
    <row r="1" spans="1:19" ht="33.75" customHeight="1" x14ac:dyDescent="0.45">
      <c r="A1" s="20" t="s">
        <v>106</v>
      </c>
      <c r="B1" s="20" t="s">
        <v>107</v>
      </c>
      <c r="C1" s="20" t="s">
        <v>108</v>
      </c>
      <c r="D1" s="20" t="s">
        <v>109</v>
      </c>
      <c r="E1" s="20" t="s">
        <v>110</v>
      </c>
      <c r="F1" s="20" t="s">
        <v>111</v>
      </c>
      <c r="G1" s="20" t="s">
        <v>112</v>
      </c>
      <c r="H1" s="20" t="s">
        <v>113</v>
      </c>
      <c r="J1" s="20" t="s">
        <v>40</v>
      </c>
      <c r="K1" s="20" t="s">
        <v>41</v>
      </c>
      <c r="L1" s="20" t="s">
        <v>42</v>
      </c>
      <c r="M1" s="20" t="s">
        <v>100</v>
      </c>
      <c r="N1" s="20" t="s">
        <v>101</v>
      </c>
      <c r="O1" s="20" t="s">
        <v>114</v>
      </c>
      <c r="P1" s="20" t="s">
        <v>115</v>
      </c>
      <c r="Q1" s="20" t="s">
        <v>116</v>
      </c>
      <c r="R1" s="20" t="s">
        <v>102</v>
      </c>
      <c r="S1" s="20" t="s">
        <v>103</v>
      </c>
    </row>
    <row r="2" spans="1:19" ht="14.25" customHeight="1" x14ac:dyDescent="0.45">
      <c r="A2" s="70">
        <v>4294879</v>
      </c>
      <c r="B2" s="71" t="s">
        <v>55</v>
      </c>
      <c r="C2">
        <v>111.0864</v>
      </c>
      <c r="D2">
        <v>9.5177999999999994</v>
      </c>
      <c r="E2">
        <v>111.04349999999999</v>
      </c>
      <c r="F2">
        <v>6.2171000000000003</v>
      </c>
      <c r="G2">
        <v>112.494</v>
      </c>
      <c r="H2">
        <v>9.5177999999999994</v>
      </c>
      <c r="J2" s="69">
        <f t="shared" ref="J2:J37" si="0">IFERROR(SQRT((F2-H2)^2+(E2-G2)^2),"")</f>
        <v>3.6053530673153231</v>
      </c>
      <c r="K2" s="69">
        <f t="shared" ref="K2:K37" si="1">IFERROR(SQRT((D2-H2)^2+(C2-G2)^2),"")</f>
        <v>1.4076000000000022</v>
      </c>
      <c r="L2">
        <f t="shared" ref="L2:L37" si="2">IFERROR(SQRT((D2-F2)^2+(C2-E2)^2),"")</f>
        <v>3.3009787790896192</v>
      </c>
      <c r="M2" s="49">
        <f t="shared" ref="M2:M37" si="3">IF(AND(AND(ISNUMBER(E2),ISNUMBER(F2)),ISNUMBER(L2),L2&gt;0),K2/L2,"")</f>
        <v>0.42641897879398238</v>
      </c>
      <c r="N2" s="48">
        <f t="shared" ref="N2:N37" si="4">IF(AND(AND(ISNUMBER(E2),ISNUMBER(F2)),ISNUMBER(L2),L2&gt;0),(L2-K2)/L2,"")</f>
        <v>0.57358102120601762</v>
      </c>
      <c r="O2" s="49">
        <f t="shared" ref="O2:O37" si="5">IFERROR(IF(AND(AND(ISNUMBER(E2),ISNUMBER(F2)),SQRT((G2-E2)^2+(H2-F2)^2)&gt;0,SQRT((C2-E2)^2+(D2-F2)^2)&gt;0),((G2-E2)*(C2-E2)+(H2-F2)*(D2-F2))/(SQRT((G2-E2)^2+(H2-F2)^2)*SQRT((C2-E2)^2+(D2-F2)^2)),""),"")</f>
        <v>0.92065106837137956</v>
      </c>
      <c r="P2" s="49">
        <f t="shared" ref="P2:P37" si="6">IF(AND(ISNUMBER(G2),ISNUMBER(C2)),G2-C2,"")</f>
        <v>1.4076000000000022</v>
      </c>
      <c r="Q2" s="49">
        <f t="shared" ref="Q2:Q37" si="7">IF(AND(ISNUMBER(H2),ISNUMBER(D2)),H2-D2,"")</f>
        <v>0</v>
      </c>
      <c r="R2" s="46">
        <f t="shared" ref="R2:R37" si="8">IF(M2="","",IF(M2&lt;1,1,0))</f>
        <v>1</v>
      </c>
      <c r="S2" s="49">
        <f t="shared" ref="S2:S37" si="9">IF(AND(ISNUMBER(J2),ISNUMBER(L2),L2&gt;0),J2/L2,"")</f>
        <v>1.0922072841406292</v>
      </c>
    </row>
    <row r="3" spans="1:19" ht="14.25" customHeight="1" x14ac:dyDescent="0.45">
      <c r="A3" s="70">
        <v>4294880</v>
      </c>
      <c r="B3" s="71" t="s">
        <v>55</v>
      </c>
      <c r="C3">
        <v>110.8862</v>
      </c>
      <c r="D3">
        <v>17.5534</v>
      </c>
      <c r="E3">
        <v>110.8434</v>
      </c>
      <c r="F3">
        <v>14.252599999999999</v>
      </c>
      <c r="G3">
        <v>112.494</v>
      </c>
      <c r="H3">
        <v>17.5533</v>
      </c>
      <c r="J3" s="69">
        <f t="shared" si="0"/>
        <v>3.6904065968399737</v>
      </c>
      <c r="K3" s="69">
        <f t="shared" si="1"/>
        <v>1.607800003109837</v>
      </c>
      <c r="L3">
        <f t="shared" si="2"/>
        <v>3.3010774725837631</v>
      </c>
      <c r="M3" s="49">
        <f t="shared" si="3"/>
        <v>0.48705309598547747</v>
      </c>
      <c r="N3" s="48">
        <f t="shared" si="4"/>
        <v>0.51294690401452248</v>
      </c>
      <c r="O3" s="49">
        <f t="shared" si="5"/>
        <v>0.90012394739960411</v>
      </c>
      <c r="P3" s="49">
        <f t="shared" si="6"/>
        <v>1.6077999999999975</v>
      </c>
      <c r="Q3" s="49">
        <f t="shared" si="7"/>
        <v>-9.9999999999766942E-5</v>
      </c>
      <c r="R3" s="46">
        <f t="shared" si="8"/>
        <v>1</v>
      </c>
      <c r="S3" s="49">
        <f t="shared" si="9"/>
        <v>1.1179400142800895</v>
      </c>
    </row>
    <row r="4" spans="1:19" ht="14.25" customHeight="1" x14ac:dyDescent="0.45">
      <c r="A4" s="70">
        <v>4294881</v>
      </c>
      <c r="B4" s="71" t="s">
        <v>55</v>
      </c>
      <c r="C4">
        <v>53.118899999999996</v>
      </c>
      <c r="D4">
        <v>9.9025999999999996</v>
      </c>
      <c r="E4">
        <v>53.118899999999996</v>
      </c>
      <c r="F4">
        <v>9.7775999999999996</v>
      </c>
      <c r="G4">
        <v>53.118899999999996</v>
      </c>
      <c r="H4">
        <v>7.9939999999999998</v>
      </c>
      <c r="J4" s="69">
        <f t="shared" si="0"/>
        <v>1.7835999999999999</v>
      </c>
      <c r="K4" s="69">
        <f t="shared" si="1"/>
        <v>1.9085999999999999</v>
      </c>
      <c r="L4">
        <f t="shared" si="2"/>
        <v>0.125</v>
      </c>
      <c r="M4" s="49">
        <f t="shared" si="3"/>
        <v>15.268799999999999</v>
      </c>
      <c r="N4" s="48">
        <f t="shared" si="4"/>
        <v>-14.268799999999999</v>
      </c>
      <c r="O4" s="49">
        <f t="shared" si="5"/>
        <v>-1</v>
      </c>
      <c r="P4" s="49">
        <f t="shared" si="6"/>
        <v>0</v>
      </c>
      <c r="Q4" s="49">
        <f t="shared" si="7"/>
        <v>-1.9085999999999999</v>
      </c>
      <c r="R4" s="46">
        <f t="shared" si="8"/>
        <v>0</v>
      </c>
      <c r="S4" s="49">
        <f t="shared" si="9"/>
        <v>14.268799999999999</v>
      </c>
    </row>
    <row r="5" spans="1:19" ht="14.25" customHeight="1" x14ac:dyDescent="0.45">
      <c r="A5" s="70">
        <v>4294882</v>
      </c>
      <c r="B5" s="71" t="s">
        <v>55</v>
      </c>
      <c r="C5">
        <v>94.703100000000006</v>
      </c>
      <c r="D5">
        <v>18.6629</v>
      </c>
      <c r="E5">
        <v>94.703100000000006</v>
      </c>
      <c r="F5">
        <v>18.5379</v>
      </c>
      <c r="G5">
        <v>94.703100000000006</v>
      </c>
      <c r="H5">
        <v>16.994</v>
      </c>
      <c r="J5" s="69">
        <f t="shared" si="0"/>
        <v>1.5439000000000007</v>
      </c>
      <c r="K5" s="69">
        <f t="shared" si="1"/>
        <v>1.6689000000000007</v>
      </c>
      <c r="L5">
        <f t="shared" si="2"/>
        <v>0.125</v>
      </c>
      <c r="M5" s="49">
        <f t="shared" si="3"/>
        <v>13.351200000000006</v>
      </c>
      <c r="N5" s="48">
        <f t="shared" si="4"/>
        <v>-12.351200000000006</v>
      </c>
      <c r="O5" s="49">
        <f t="shared" si="5"/>
        <v>-1</v>
      </c>
      <c r="P5" s="49">
        <f t="shared" si="6"/>
        <v>0</v>
      </c>
      <c r="Q5" s="49">
        <f t="shared" si="7"/>
        <v>-1.6689000000000007</v>
      </c>
      <c r="R5" s="46">
        <f t="shared" si="8"/>
        <v>0</v>
      </c>
      <c r="S5" s="49">
        <f t="shared" si="9"/>
        <v>12.351200000000006</v>
      </c>
    </row>
    <row r="6" spans="1:19" ht="14.25" customHeight="1" x14ac:dyDescent="0.45">
      <c r="A6" s="76">
        <v>4295032</v>
      </c>
      <c r="B6" s="77" t="s">
        <v>94</v>
      </c>
      <c r="C6">
        <v>115.80710000000001</v>
      </c>
      <c r="D6">
        <v>10.123100000000001</v>
      </c>
      <c r="E6">
        <v>111.5796</v>
      </c>
      <c r="F6">
        <v>10.123100000000001</v>
      </c>
      <c r="G6">
        <v>118.3454</v>
      </c>
      <c r="H6">
        <v>10.123100000000001</v>
      </c>
      <c r="J6" s="69">
        <f t="shared" si="0"/>
        <v>6.7657999999999987</v>
      </c>
      <c r="K6" s="69">
        <f t="shared" si="1"/>
        <v>2.5382999999999925</v>
      </c>
      <c r="L6">
        <f t="shared" si="2"/>
        <v>4.2275000000000063</v>
      </c>
      <c r="M6" s="49">
        <f t="shared" si="3"/>
        <v>0.60042578356002096</v>
      </c>
      <c r="N6" s="48">
        <f t="shared" si="4"/>
        <v>0.39957421643997904</v>
      </c>
      <c r="O6" s="49">
        <f t="shared" si="5"/>
        <v>1</v>
      </c>
      <c r="P6" s="49">
        <f t="shared" si="6"/>
        <v>2.5382999999999925</v>
      </c>
      <c r="Q6" s="49">
        <f t="shared" si="7"/>
        <v>0</v>
      </c>
      <c r="R6" s="46">
        <f t="shared" si="8"/>
        <v>1</v>
      </c>
      <c r="S6" s="49">
        <f t="shared" si="9"/>
        <v>1.6004257835600211</v>
      </c>
    </row>
    <row r="7" spans="1:19" ht="14.25" customHeight="1" x14ac:dyDescent="0.45">
      <c r="A7" s="76">
        <v>4295033</v>
      </c>
      <c r="B7" s="77" t="s">
        <v>94</v>
      </c>
      <c r="C7">
        <v>89.0518</v>
      </c>
      <c r="D7">
        <v>1.7083999999999999</v>
      </c>
      <c r="E7">
        <v>89.986999999999995</v>
      </c>
      <c r="F7">
        <v>0.23680000000000001</v>
      </c>
      <c r="G7">
        <v>89.0518</v>
      </c>
      <c r="H7">
        <v>4.5</v>
      </c>
      <c r="J7" s="69">
        <f t="shared" si="0"/>
        <v>4.3645702285562997</v>
      </c>
      <c r="K7" s="69">
        <f t="shared" si="1"/>
        <v>2.7915999999999999</v>
      </c>
      <c r="L7">
        <f t="shared" si="2"/>
        <v>1.7436185362630183</v>
      </c>
      <c r="M7" s="49">
        <f t="shared" si="3"/>
        <v>1.6010382672250381</v>
      </c>
      <c r="N7" s="48">
        <f t="shared" si="4"/>
        <v>-0.60103826722503795</v>
      </c>
      <c r="O7" s="49">
        <f t="shared" si="5"/>
        <v>0.93931503805071626</v>
      </c>
      <c r="P7" s="49">
        <f t="shared" si="6"/>
        <v>0</v>
      </c>
      <c r="Q7" s="49">
        <f t="shared" si="7"/>
        <v>2.7915999999999999</v>
      </c>
      <c r="R7" s="46">
        <f t="shared" si="8"/>
        <v>0</v>
      </c>
      <c r="S7" s="49">
        <f t="shared" si="9"/>
        <v>2.5031680598616441</v>
      </c>
    </row>
    <row r="8" spans="1:19" ht="14.25" customHeight="1" x14ac:dyDescent="0.45">
      <c r="A8" s="76">
        <v>4295038</v>
      </c>
      <c r="B8" s="77" t="s">
        <v>94</v>
      </c>
      <c r="C8">
        <v>66.406999999999996</v>
      </c>
      <c r="D8">
        <v>19.440100000000001</v>
      </c>
      <c r="E8">
        <v>62.026299999999999</v>
      </c>
      <c r="F8">
        <v>19.440100000000001</v>
      </c>
      <c r="G8">
        <v>66.406999999999996</v>
      </c>
      <c r="H8">
        <v>18</v>
      </c>
      <c r="J8" s="69">
        <f t="shared" si="0"/>
        <v>4.6113360862118888</v>
      </c>
      <c r="K8" s="69">
        <f t="shared" si="1"/>
        <v>1.440100000000001</v>
      </c>
      <c r="L8">
        <f t="shared" si="2"/>
        <v>4.3806999999999974</v>
      </c>
      <c r="M8" s="49">
        <f t="shared" si="3"/>
        <v>0.32873741639464055</v>
      </c>
      <c r="N8" s="48">
        <f t="shared" si="4"/>
        <v>0.6712625836053594</v>
      </c>
      <c r="O8" s="49">
        <f t="shared" si="5"/>
        <v>0.94998497574238761</v>
      </c>
      <c r="P8" s="49">
        <f t="shared" si="6"/>
        <v>0</v>
      </c>
      <c r="Q8" s="49">
        <f t="shared" si="7"/>
        <v>-1.440100000000001</v>
      </c>
      <c r="R8" s="46">
        <f t="shared" si="8"/>
        <v>1</v>
      </c>
      <c r="S8" s="49">
        <f t="shared" si="9"/>
        <v>1.052648226587507</v>
      </c>
    </row>
    <row r="9" spans="1:19" ht="14.25" customHeight="1" x14ac:dyDescent="0.45">
      <c r="A9" s="76">
        <v>4295039</v>
      </c>
      <c r="B9" s="77" t="s">
        <v>94</v>
      </c>
      <c r="C9">
        <v>66.406999999999996</v>
      </c>
      <c r="D9">
        <v>19.440100000000001</v>
      </c>
      <c r="E9">
        <v>62.026299999999999</v>
      </c>
      <c r="F9">
        <v>19.440100000000001</v>
      </c>
      <c r="G9">
        <v>66.406999999999996</v>
      </c>
      <c r="H9">
        <v>18</v>
      </c>
      <c r="J9" s="69">
        <f t="shared" si="0"/>
        <v>4.6113360862118888</v>
      </c>
      <c r="K9" s="69">
        <f t="shared" si="1"/>
        <v>1.440100000000001</v>
      </c>
      <c r="L9">
        <f t="shared" si="2"/>
        <v>4.3806999999999974</v>
      </c>
      <c r="M9" s="49">
        <f t="shared" si="3"/>
        <v>0.32873741639464055</v>
      </c>
      <c r="N9" s="48">
        <f t="shared" si="4"/>
        <v>0.6712625836053594</v>
      </c>
      <c r="O9" s="49">
        <f t="shared" si="5"/>
        <v>0.94998497574238761</v>
      </c>
      <c r="P9" s="49">
        <f t="shared" si="6"/>
        <v>0</v>
      </c>
      <c r="Q9" s="49">
        <f t="shared" si="7"/>
        <v>-1.440100000000001</v>
      </c>
      <c r="R9" s="46">
        <f t="shared" si="8"/>
        <v>1</v>
      </c>
      <c r="S9" s="49">
        <f t="shared" si="9"/>
        <v>1.052648226587507</v>
      </c>
    </row>
    <row r="10" spans="1:19" ht="14.25" customHeight="1" x14ac:dyDescent="0.45">
      <c r="A10" s="76">
        <v>4295040</v>
      </c>
      <c r="B10" s="77" t="s">
        <v>94</v>
      </c>
      <c r="C10">
        <v>65.903199999999998</v>
      </c>
      <c r="D10">
        <v>9.8596000000000004</v>
      </c>
      <c r="E10">
        <v>64.650899999999993</v>
      </c>
      <c r="F10">
        <v>9.4461999999999993</v>
      </c>
      <c r="G10">
        <v>65.903199999999998</v>
      </c>
      <c r="H10">
        <v>11</v>
      </c>
      <c r="J10" s="69">
        <f t="shared" si="0"/>
        <v>1.9956326640942756</v>
      </c>
      <c r="K10" s="69">
        <f t="shared" si="1"/>
        <v>1.1403999999999996</v>
      </c>
      <c r="L10">
        <f t="shared" si="2"/>
        <v>1.3187702036367117</v>
      </c>
      <c r="M10" s="49">
        <f t="shared" si="3"/>
        <v>0.86474504569118349</v>
      </c>
      <c r="N10" s="48">
        <f t="shared" si="4"/>
        <v>0.13525495430881651</v>
      </c>
      <c r="O10" s="49">
        <f t="shared" si="5"/>
        <v>0.83996210108448111</v>
      </c>
      <c r="P10" s="49">
        <f t="shared" si="6"/>
        <v>0</v>
      </c>
      <c r="Q10" s="49">
        <f t="shared" si="7"/>
        <v>1.1403999999999996</v>
      </c>
      <c r="R10" s="46">
        <f t="shared" si="8"/>
        <v>1</v>
      </c>
      <c r="S10" s="49">
        <f t="shared" si="9"/>
        <v>1.513252770339375</v>
      </c>
    </row>
    <row r="11" spans="1:19" ht="14.25" customHeight="1" x14ac:dyDescent="0.45">
      <c r="A11" s="76">
        <v>4295041</v>
      </c>
      <c r="B11" s="77" t="s">
        <v>94</v>
      </c>
      <c r="C11">
        <v>76.615399999999994</v>
      </c>
      <c r="D11">
        <v>11.266</v>
      </c>
      <c r="E11">
        <v>72.439700000000002</v>
      </c>
      <c r="F11">
        <v>11.266</v>
      </c>
      <c r="G11">
        <v>77.975700000000003</v>
      </c>
      <c r="H11">
        <v>11.266</v>
      </c>
      <c r="J11" s="69">
        <f t="shared" si="0"/>
        <v>5.5360000000000014</v>
      </c>
      <c r="K11" s="69">
        <f t="shared" si="1"/>
        <v>1.3603000000000094</v>
      </c>
      <c r="L11">
        <f t="shared" si="2"/>
        <v>4.175699999999992</v>
      </c>
      <c r="M11" s="49">
        <f t="shared" si="3"/>
        <v>0.32576573987595181</v>
      </c>
      <c r="N11" s="48">
        <f t="shared" si="4"/>
        <v>0.67423426012404819</v>
      </c>
      <c r="O11" s="49">
        <f t="shared" si="5"/>
        <v>1</v>
      </c>
      <c r="P11" s="49">
        <f t="shared" si="6"/>
        <v>1.3603000000000094</v>
      </c>
      <c r="Q11" s="49">
        <f t="shared" si="7"/>
        <v>0</v>
      </c>
      <c r="R11" s="46">
        <f t="shared" si="8"/>
        <v>1</v>
      </c>
      <c r="S11" s="49">
        <f t="shared" si="9"/>
        <v>1.3257657398759519</v>
      </c>
    </row>
    <row r="12" spans="1:19" ht="14.25" customHeight="1" x14ac:dyDescent="0.45">
      <c r="A12" s="76">
        <v>4295043</v>
      </c>
      <c r="B12" s="77" t="s">
        <v>94</v>
      </c>
      <c r="C12">
        <v>106.15179999999999</v>
      </c>
      <c r="D12">
        <v>0.97019999999999995</v>
      </c>
      <c r="E12">
        <v>101.2204</v>
      </c>
      <c r="F12">
        <v>0.33700000000000002</v>
      </c>
      <c r="G12">
        <v>106.15170000000001</v>
      </c>
      <c r="H12">
        <v>2.5</v>
      </c>
      <c r="J12" s="69">
        <f t="shared" si="0"/>
        <v>5.384820209626322</v>
      </c>
      <c r="K12" s="69">
        <f t="shared" si="1"/>
        <v>1.5298000032684012</v>
      </c>
      <c r="L12">
        <f t="shared" si="2"/>
        <v>4.9718857790580788</v>
      </c>
      <c r="M12" s="49">
        <f t="shared" si="3"/>
        <v>0.30769009411117665</v>
      </c>
      <c r="N12" s="48">
        <f t="shared" si="4"/>
        <v>0.69230990588882335</v>
      </c>
      <c r="O12" s="49">
        <f t="shared" si="5"/>
        <v>0.95947789515628101</v>
      </c>
      <c r="P12" s="49">
        <f t="shared" si="6"/>
        <v>-9.9999999989108801E-5</v>
      </c>
      <c r="Q12" s="49">
        <f t="shared" si="7"/>
        <v>1.5298</v>
      </c>
      <c r="R12" s="46">
        <f t="shared" si="8"/>
        <v>1</v>
      </c>
      <c r="S12" s="49">
        <f t="shared" si="9"/>
        <v>1.0830538851691949</v>
      </c>
    </row>
    <row r="13" spans="1:19" ht="14.25" customHeight="1" x14ac:dyDescent="0.45">
      <c r="A13" s="76">
        <v>4295047</v>
      </c>
      <c r="B13" s="77" t="s">
        <v>94</v>
      </c>
      <c r="C13">
        <v>93.315899999999999</v>
      </c>
      <c r="D13">
        <v>10.426600000000001</v>
      </c>
      <c r="E13">
        <v>89.504999999999995</v>
      </c>
      <c r="F13">
        <v>10.426600000000001</v>
      </c>
      <c r="G13">
        <v>94.310900000000004</v>
      </c>
      <c r="H13">
        <v>10.426600000000001</v>
      </c>
      <c r="J13" s="69">
        <f t="shared" si="0"/>
        <v>4.8059000000000083</v>
      </c>
      <c r="K13" s="69">
        <f t="shared" si="1"/>
        <v>0.99500000000000455</v>
      </c>
      <c r="L13">
        <f t="shared" si="2"/>
        <v>3.8109000000000037</v>
      </c>
      <c r="M13" s="49">
        <f t="shared" si="3"/>
        <v>0.26109318008869392</v>
      </c>
      <c r="N13" s="48">
        <f t="shared" si="4"/>
        <v>0.73890681991130613</v>
      </c>
      <c r="O13" s="49">
        <f t="shared" si="5"/>
        <v>1</v>
      </c>
      <c r="P13" s="49">
        <f t="shared" si="6"/>
        <v>0.99500000000000455</v>
      </c>
      <c r="Q13" s="49">
        <f t="shared" si="7"/>
        <v>0</v>
      </c>
      <c r="R13" s="46">
        <f t="shared" si="8"/>
        <v>1</v>
      </c>
      <c r="S13" s="49">
        <f t="shared" si="9"/>
        <v>1.261093180088694</v>
      </c>
    </row>
    <row r="14" spans="1:19" ht="14.25" customHeight="1" x14ac:dyDescent="0.45">
      <c r="A14" s="76">
        <v>4295048</v>
      </c>
      <c r="B14" s="77" t="s">
        <v>94</v>
      </c>
      <c r="C14">
        <v>67.488200000000006</v>
      </c>
      <c r="D14">
        <v>0.97019999999999995</v>
      </c>
      <c r="E14">
        <v>66.319000000000003</v>
      </c>
      <c r="F14">
        <v>0.97019999999999995</v>
      </c>
      <c r="G14">
        <v>67.488100000000003</v>
      </c>
      <c r="H14">
        <v>2.5</v>
      </c>
      <c r="J14" s="69">
        <f t="shared" si="0"/>
        <v>1.9253786251020866</v>
      </c>
      <c r="K14" s="69">
        <f t="shared" si="1"/>
        <v>1.5298000032684012</v>
      </c>
      <c r="L14">
        <f t="shared" si="2"/>
        <v>1.1692000000000036</v>
      </c>
      <c r="M14" s="49">
        <f t="shared" si="3"/>
        <v>1.3084160137430692</v>
      </c>
      <c r="N14" s="48">
        <f t="shared" si="4"/>
        <v>-0.30841601374306915</v>
      </c>
      <c r="O14" s="49">
        <f t="shared" si="5"/>
        <v>0.60720524511796359</v>
      </c>
      <c r="P14" s="49">
        <f t="shared" si="6"/>
        <v>-1.0000000000331966E-4</v>
      </c>
      <c r="Q14" s="49">
        <f t="shared" si="7"/>
        <v>1.5298</v>
      </c>
      <c r="R14" s="46">
        <f t="shared" si="8"/>
        <v>0</v>
      </c>
      <c r="S14" s="49">
        <f t="shared" si="9"/>
        <v>1.6467487385409516</v>
      </c>
    </row>
    <row r="15" spans="1:19" ht="14.25" customHeight="1" x14ac:dyDescent="0.45">
      <c r="A15" s="76">
        <v>4295049</v>
      </c>
      <c r="B15" s="77" t="s">
        <v>94</v>
      </c>
      <c r="C15">
        <v>75.952699999999993</v>
      </c>
      <c r="D15">
        <v>0.97019999999999995</v>
      </c>
      <c r="E15">
        <v>77.069999999999993</v>
      </c>
      <c r="F15">
        <v>0.13769999999999999</v>
      </c>
      <c r="G15">
        <v>75.952699999999993</v>
      </c>
      <c r="H15">
        <v>2.5</v>
      </c>
      <c r="J15" s="69">
        <f t="shared" si="0"/>
        <v>2.6132012130718141</v>
      </c>
      <c r="K15" s="69">
        <f t="shared" si="1"/>
        <v>1.5298</v>
      </c>
      <c r="L15">
        <f t="shared" si="2"/>
        <v>1.3933468843041206</v>
      </c>
      <c r="M15" s="49">
        <f t="shared" si="3"/>
        <v>1.097931905710636</v>
      </c>
      <c r="N15" s="48">
        <f t="shared" si="4"/>
        <v>-9.7931905710635925E-2</v>
      </c>
      <c r="O15" s="49">
        <f t="shared" si="5"/>
        <v>0.88296882163769885</v>
      </c>
      <c r="P15" s="49">
        <f t="shared" si="6"/>
        <v>0</v>
      </c>
      <c r="Q15" s="49">
        <f t="shared" si="7"/>
        <v>1.5298</v>
      </c>
      <c r="R15" s="46">
        <f t="shared" si="8"/>
        <v>0</v>
      </c>
      <c r="S15" s="49">
        <f t="shared" si="9"/>
        <v>1.8754850227959747</v>
      </c>
    </row>
    <row r="16" spans="1:19" ht="14.25" customHeight="1" x14ac:dyDescent="0.45">
      <c r="A16" s="76">
        <v>4295050</v>
      </c>
      <c r="B16" s="77" t="s">
        <v>94</v>
      </c>
      <c r="C16">
        <v>110.9127</v>
      </c>
      <c r="D16">
        <v>19.308900000000001</v>
      </c>
      <c r="E16">
        <v>109.9969</v>
      </c>
      <c r="F16">
        <v>11.5898</v>
      </c>
      <c r="G16">
        <v>110.9126</v>
      </c>
      <c r="H16">
        <v>20.5</v>
      </c>
      <c r="J16" s="69">
        <f t="shared" si="0"/>
        <v>8.9571295921182248</v>
      </c>
      <c r="K16" s="69">
        <f t="shared" si="1"/>
        <v>1.191100004197799</v>
      </c>
      <c r="L16">
        <f t="shared" si="2"/>
        <v>7.7732357773323733</v>
      </c>
      <c r="M16" s="49">
        <f t="shared" si="3"/>
        <v>0.15323091159426555</v>
      </c>
      <c r="N16" s="48">
        <f t="shared" si="4"/>
        <v>0.84676908840573439</v>
      </c>
      <c r="O16" s="49">
        <f t="shared" si="5"/>
        <v>0.99987709559103066</v>
      </c>
      <c r="P16" s="49">
        <f t="shared" si="6"/>
        <v>-1.0000000000331966E-4</v>
      </c>
      <c r="Q16" s="49">
        <f t="shared" si="7"/>
        <v>1.1910999999999987</v>
      </c>
      <c r="R16" s="46">
        <f t="shared" si="8"/>
        <v>1</v>
      </c>
      <c r="S16" s="49">
        <f t="shared" si="9"/>
        <v>1.152303860155409</v>
      </c>
    </row>
    <row r="17" spans="1:19" ht="14.25" customHeight="1" x14ac:dyDescent="0.45">
      <c r="A17" s="76">
        <v>4295052</v>
      </c>
      <c r="B17" s="77" t="s">
        <v>94</v>
      </c>
      <c r="C17">
        <v>38.029400000000003</v>
      </c>
      <c r="D17">
        <v>0.2399</v>
      </c>
      <c r="E17">
        <v>33.734900000000003</v>
      </c>
      <c r="F17">
        <v>0.23899999999999999</v>
      </c>
      <c r="G17">
        <v>38.029400000000003</v>
      </c>
      <c r="H17">
        <v>2</v>
      </c>
      <c r="J17" s="69">
        <f t="shared" si="0"/>
        <v>4.6415354409936365</v>
      </c>
      <c r="K17" s="69">
        <f t="shared" si="1"/>
        <v>1.7601</v>
      </c>
      <c r="L17">
        <f t="shared" si="2"/>
        <v>4.2945000943066693</v>
      </c>
      <c r="M17" s="49">
        <f t="shared" si="3"/>
        <v>0.40984979889356865</v>
      </c>
      <c r="N17" s="48">
        <f t="shared" si="4"/>
        <v>0.59015020110643135</v>
      </c>
      <c r="O17" s="49">
        <f t="shared" si="5"/>
        <v>0.9253121114176498</v>
      </c>
      <c r="P17" s="49">
        <f t="shared" si="6"/>
        <v>0</v>
      </c>
      <c r="Q17" s="49">
        <f t="shared" si="7"/>
        <v>1.7601</v>
      </c>
      <c r="R17" s="46">
        <f t="shared" si="8"/>
        <v>1</v>
      </c>
      <c r="S17" s="49">
        <f t="shared" si="9"/>
        <v>1.080809253479128</v>
      </c>
    </row>
    <row r="18" spans="1:19" ht="14.25" customHeight="1" x14ac:dyDescent="0.45">
      <c r="A18" s="76">
        <v>4295053</v>
      </c>
      <c r="B18" s="77" t="s">
        <v>94</v>
      </c>
      <c r="C18">
        <v>47.249000000000002</v>
      </c>
      <c r="D18">
        <v>33.564700000000002</v>
      </c>
      <c r="E18">
        <v>43.046999999999997</v>
      </c>
      <c r="F18">
        <v>33.588200000000001</v>
      </c>
      <c r="G18">
        <v>47.249000000000002</v>
      </c>
      <c r="H18">
        <v>29</v>
      </c>
      <c r="J18" s="69">
        <f t="shared" si="0"/>
        <v>6.2216061623989063</v>
      </c>
      <c r="K18" s="69">
        <f t="shared" si="1"/>
        <v>4.564700000000002</v>
      </c>
      <c r="L18">
        <f t="shared" si="2"/>
        <v>4.2020657122420211</v>
      </c>
      <c r="M18" s="49">
        <f t="shared" si="3"/>
        <v>1.0862990520832423</v>
      </c>
      <c r="N18" s="48">
        <f t="shared" si="4"/>
        <v>-8.6299052083242317E-2</v>
      </c>
      <c r="O18" s="49">
        <f t="shared" si="5"/>
        <v>0.67950198543842155</v>
      </c>
      <c r="P18" s="49">
        <f t="shared" si="6"/>
        <v>0</v>
      </c>
      <c r="Q18" s="49">
        <f t="shared" si="7"/>
        <v>-4.564700000000002</v>
      </c>
      <c r="R18" s="46">
        <f t="shared" si="8"/>
        <v>0</v>
      </c>
      <c r="S18" s="49">
        <f t="shared" si="9"/>
        <v>1.480606584583694</v>
      </c>
    </row>
    <row r="19" spans="1:19" ht="14.25" customHeight="1" x14ac:dyDescent="0.45">
      <c r="A19" s="76">
        <v>4295054</v>
      </c>
      <c r="B19" s="77" t="s">
        <v>94</v>
      </c>
      <c r="C19">
        <v>42.557600000000001</v>
      </c>
      <c r="D19">
        <v>26.7303</v>
      </c>
      <c r="E19">
        <v>43.5871</v>
      </c>
      <c r="F19">
        <v>25.112100000000002</v>
      </c>
      <c r="G19">
        <v>47.249000000000002</v>
      </c>
      <c r="H19">
        <v>29</v>
      </c>
      <c r="J19" s="69">
        <f t="shared" si="0"/>
        <v>5.3409061047728601</v>
      </c>
      <c r="K19" s="69">
        <f t="shared" si="1"/>
        <v>5.2115997591910315</v>
      </c>
      <c r="L19">
        <f t="shared" si="2"/>
        <v>1.9179263515578462</v>
      </c>
      <c r="M19" s="49">
        <f t="shared" si="3"/>
        <v>2.7173096375457177</v>
      </c>
      <c r="N19" s="48">
        <f t="shared" si="4"/>
        <v>-1.7173096375457175</v>
      </c>
      <c r="O19" s="49">
        <f t="shared" si="5"/>
        <v>0.2461543860813839</v>
      </c>
      <c r="P19" s="49">
        <f t="shared" si="6"/>
        <v>4.6914000000000016</v>
      </c>
      <c r="Q19" s="49">
        <f t="shared" si="7"/>
        <v>2.2697000000000003</v>
      </c>
      <c r="R19" s="46">
        <f t="shared" si="8"/>
        <v>0</v>
      </c>
      <c r="S19" s="49">
        <f t="shared" si="9"/>
        <v>2.7847295076970395</v>
      </c>
    </row>
    <row r="20" spans="1:19" ht="14.25" customHeight="1" x14ac:dyDescent="0.45">
      <c r="A20" s="76">
        <v>4295055</v>
      </c>
      <c r="B20" s="77" t="s">
        <v>94</v>
      </c>
      <c r="C20">
        <v>36.899000000000001</v>
      </c>
      <c r="D20">
        <v>1.0799000000000001</v>
      </c>
      <c r="E20">
        <v>33.734900000000003</v>
      </c>
      <c r="F20">
        <v>0.23899999999999999</v>
      </c>
      <c r="G20">
        <v>36.899000000000001</v>
      </c>
      <c r="H20">
        <v>2.5</v>
      </c>
      <c r="J20" s="69">
        <f t="shared" si="0"/>
        <v>3.8889137056509733</v>
      </c>
      <c r="K20" s="69">
        <f t="shared" si="1"/>
        <v>1.4200999999999999</v>
      </c>
      <c r="L20">
        <f t="shared" si="2"/>
        <v>3.2739336615148429</v>
      </c>
      <c r="M20" s="49">
        <f t="shared" si="3"/>
        <v>0.43375955252035325</v>
      </c>
      <c r="N20" s="48">
        <f t="shared" si="4"/>
        <v>0.56624044747964675</v>
      </c>
      <c r="O20" s="49">
        <f t="shared" si="5"/>
        <v>0.93565513267672829</v>
      </c>
      <c r="P20" s="49">
        <f t="shared" si="6"/>
        <v>0</v>
      </c>
      <c r="Q20" s="49">
        <f t="shared" si="7"/>
        <v>1.4200999999999999</v>
      </c>
      <c r="R20" s="46">
        <f t="shared" si="8"/>
        <v>1</v>
      </c>
      <c r="S20" s="49">
        <f t="shared" si="9"/>
        <v>1.1878413271976869</v>
      </c>
    </row>
    <row r="21" spans="1:19" ht="14.25" customHeight="1" x14ac:dyDescent="0.45">
      <c r="A21" s="76">
        <v>4295056</v>
      </c>
      <c r="B21" s="77" t="s">
        <v>94</v>
      </c>
      <c r="C21">
        <v>97.613699999999994</v>
      </c>
      <c r="D21">
        <v>-2.3927</v>
      </c>
      <c r="E21">
        <v>94.008899999999997</v>
      </c>
      <c r="F21">
        <v>-2.3927</v>
      </c>
      <c r="G21">
        <v>97.613699999999994</v>
      </c>
      <c r="H21">
        <v>-3.8</v>
      </c>
      <c r="J21" s="69">
        <f t="shared" si="0"/>
        <v>3.8697643765480065</v>
      </c>
      <c r="K21" s="69">
        <f t="shared" si="1"/>
        <v>1.4072999999999998</v>
      </c>
      <c r="L21">
        <f t="shared" si="2"/>
        <v>3.6047999999999973</v>
      </c>
      <c r="M21" s="49">
        <f t="shared" si="3"/>
        <v>0.3903961384820242</v>
      </c>
      <c r="N21" s="48">
        <f t="shared" si="4"/>
        <v>0.60960386151797585</v>
      </c>
      <c r="O21" s="49">
        <f t="shared" si="5"/>
        <v>0.93152958403519937</v>
      </c>
      <c r="P21" s="49">
        <f t="shared" si="6"/>
        <v>0</v>
      </c>
      <c r="Q21" s="49">
        <f t="shared" si="7"/>
        <v>-1.4072999999999998</v>
      </c>
      <c r="R21" s="46">
        <f t="shared" si="8"/>
        <v>1</v>
      </c>
      <c r="S21" s="49">
        <f t="shared" si="9"/>
        <v>1.0735032114258791</v>
      </c>
    </row>
    <row r="22" spans="1:19" ht="14.25" customHeight="1" x14ac:dyDescent="0.45">
      <c r="A22" s="76">
        <v>4295063</v>
      </c>
      <c r="B22" s="77" t="s">
        <v>94</v>
      </c>
      <c r="C22">
        <v>86.238200000000006</v>
      </c>
      <c r="D22">
        <v>19.909199999999998</v>
      </c>
      <c r="E22">
        <v>82.973600000000005</v>
      </c>
      <c r="F22">
        <v>18.5379</v>
      </c>
      <c r="G22">
        <v>86.238200000000006</v>
      </c>
      <c r="H22">
        <v>20.5</v>
      </c>
      <c r="J22" s="69">
        <f t="shared" si="0"/>
        <v>3.8088646037894294</v>
      </c>
      <c r="K22" s="69">
        <f t="shared" si="1"/>
        <v>0.59080000000000155</v>
      </c>
      <c r="L22">
        <f t="shared" si="2"/>
        <v>3.540914691149732</v>
      </c>
      <c r="M22" s="49">
        <f t="shared" si="3"/>
        <v>0.1668495435590879</v>
      </c>
      <c r="N22" s="48">
        <f t="shared" si="4"/>
        <v>0.83315045644091212</v>
      </c>
      <c r="O22" s="49">
        <f t="shared" si="5"/>
        <v>0.98972157384692272</v>
      </c>
      <c r="P22" s="49">
        <f t="shared" si="6"/>
        <v>0</v>
      </c>
      <c r="Q22" s="49">
        <f t="shared" si="7"/>
        <v>0.59080000000000155</v>
      </c>
      <c r="R22" s="46">
        <f t="shared" si="8"/>
        <v>1</v>
      </c>
      <c r="S22" s="49">
        <f t="shared" si="9"/>
        <v>1.0756725128988336</v>
      </c>
    </row>
    <row r="23" spans="1:19" ht="14.25" customHeight="1" x14ac:dyDescent="0.45">
      <c r="A23" s="76">
        <v>4295064</v>
      </c>
      <c r="B23" s="77" t="s">
        <v>94</v>
      </c>
      <c r="C23">
        <v>89.126099999999994</v>
      </c>
      <c r="D23">
        <v>31.884699999999999</v>
      </c>
      <c r="E23">
        <v>85.439400000000006</v>
      </c>
      <c r="F23">
        <v>31.884599999999999</v>
      </c>
      <c r="G23">
        <v>89.126199999999997</v>
      </c>
      <c r="H23">
        <v>33</v>
      </c>
      <c r="J23" s="69">
        <f t="shared" si="0"/>
        <v>3.8518322133758547</v>
      </c>
      <c r="K23" s="69">
        <f t="shared" si="1"/>
        <v>1.1153000044830998</v>
      </c>
      <c r="L23">
        <f t="shared" si="2"/>
        <v>3.6867000013562143</v>
      </c>
      <c r="M23" s="49">
        <f t="shared" si="3"/>
        <v>0.30251986982201373</v>
      </c>
      <c r="N23" s="48">
        <f t="shared" si="4"/>
        <v>0.69748013017798616</v>
      </c>
      <c r="O23" s="49">
        <f t="shared" si="5"/>
        <v>0.95716273428010978</v>
      </c>
      <c r="P23" s="49">
        <f t="shared" si="6"/>
        <v>1.0000000000331966E-4</v>
      </c>
      <c r="Q23" s="49">
        <f t="shared" si="7"/>
        <v>1.1153000000000013</v>
      </c>
      <c r="R23" s="46">
        <f t="shared" si="8"/>
        <v>1</v>
      </c>
      <c r="S23" s="49">
        <f t="shared" si="9"/>
        <v>1.0447913342444175</v>
      </c>
    </row>
    <row r="24" spans="1:19" ht="14.25" customHeight="1" x14ac:dyDescent="0.45">
      <c r="A24">
        <v>4294854</v>
      </c>
      <c r="B24" t="s">
        <v>50</v>
      </c>
      <c r="C24">
        <v>34.258499999999998</v>
      </c>
      <c r="D24">
        <v>11.994899999999999</v>
      </c>
      <c r="E24">
        <v>47.594000000000001</v>
      </c>
      <c r="F24">
        <v>22.936299999999999</v>
      </c>
      <c r="G24">
        <v>32.4878</v>
      </c>
      <c r="H24">
        <v>11.510300000000001</v>
      </c>
      <c r="J24" s="69">
        <f t="shared" si="0"/>
        <v>18.940716840711179</v>
      </c>
      <c r="K24" s="69">
        <f t="shared" si="1"/>
        <v>1.8358147101491455</v>
      </c>
      <c r="L24">
        <f t="shared" si="2"/>
        <v>17.249631712300413</v>
      </c>
      <c r="M24" s="49">
        <f t="shared" si="3"/>
        <v>0.10642631337108827</v>
      </c>
      <c r="N24" s="48">
        <f t="shared" si="4"/>
        <v>0.89357368662891168</v>
      </c>
      <c r="O24" s="49">
        <f t="shared" si="5"/>
        <v>0.99921883244159881</v>
      </c>
      <c r="P24" s="49">
        <f t="shared" si="6"/>
        <v>-1.7706999999999979</v>
      </c>
      <c r="Q24" s="49">
        <f t="shared" si="7"/>
        <v>-0.48459999999999859</v>
      </c>
      <c r="R24" s="46">
        <f t="shared" si="8"/>
        <v>1</v>
      </c>
      <c r="S24" s="49">
        <f t="shared" si="9"/>
        <v>1.0980360135576044</v>
      </c>
    </row>
    <row r="25" spans="1:19" ht="14.25" customHeight="1" x14ac:dyDescent="0.45">
      <c r="A25">
        <v>4294855</v>
      </c>
      <c r="B25" t="s">
        <v>50</v>
      </c>
      <c r="C25">
        <v>99.5535</v>
      </c>
      <c r="D25">
        <v>8.4380000000000006</v>
      </c>
      <c r="E25">
        <v>34.337299999999999</v>
      </c>
      <c r="F25">
        <v>14.9321</v>
      </c>
      <c r="G25">
        <v>101.0673</v>
      </c>
      <c r="H25">
        <v>10.3406</v>
      </c>
      <c r="J25" s="69">
        <f t="shared" si="0"/>
        <v>66.887777450368318</v>
      </c>
      <c r="K25" s="69">
        <f t="shared" si="1"/>
        <v>2.4313529566889316</v>
      </c>
      <c r="L25">
        <f t="shared" si="2"/>
        <v>65.538737226544114</v>
      </c>
      <c r="M25" s="49">
        <f t="shared" si="3"/>
        <v>3.7097952441235003E-2</v>
      </c>
      <c r="N25" s="48">
        <f t="shared" si="4"/>
        <v>0.96290204755876496</v>
      </c>
      <c r="O25" s="49">
        <f t="shared" si="5"/>
        <v>0.9995333246000172</v>
      </c>
      <c r="P25" s="49">
        <f t="shared" si="6"/>
        <v>1.5138000000000034</v>
      </c>
      <c r="Q25" s="49">
        <f t="shared" si="7"/>
        <v>1.9025999999999996</v>
      </c>
      <c r="R25" s="46">
        <f t="shared" si="8"/>
        <v>1</v>
      </c>
      <c r="S25" s="49">
        <f t="shared" si="9"/>
        <v>1.0205838604909498</v>
      </c>
    </row>
    <row r="26" spans="1:19" ht="14.25" customHeight="1" x14ac:dyDescent="0.45">
      <c r="A26">
        <v>4294856</v>
      </c>
      <c r="B26" t="s">
        <v>50</v>
      </c>
      <c r="C26">
        <v>79.056799999999996</v>
      </c>
      <c r="D26">
        <v>8.4380000000000006</v>
      </c>
      <c r="E26">
        <v>51.504600000000003</v>
      </c>
      <c r="F26">
        <v>5.4149000000000003</v>
      </c>
      <c r="G26">
        <v>78.804000000000002</v>
      </c>
      <c r="H26">
        <v>7.2629000000000001</v>
      </c>
      <c r="J26" s="69">
        <f t="shared" si="0"/>
        <v>27.36187757373386</v>
      </c>
      <c r="K26" s="69">
        <f t="shared" si="1"/>
        <v>1.2019849624683321</v>
      </c>
      <c r="L26">
        <f t="shared" si="2"/>
        <v>27.717555059023507</v>
      </c>
      <c r="M26" s="49">
        <f t="shared" si="3"/>
        <v>4.3365475775505799E-2</v>
      </c>
      <c r="N26" s="48">
        <f t="shared" si="4"/>
        <v>0.95663452422449413</v>
      </c>
      <c r="O26" s="49">
        <f t="shared" si="5"/>
        <v>0.99913089806272737</v>
      </c>
      <c r="P26" s="49">
        <f t="shared" si="6"/>
        <v>-0.25279999999999347</v>
      </c>
      <c r="Q26" s="49">
        <f t="shared" si="7"/>
        <v>-1.1751000000000005</v>
      </c>
      <c r="R26" s="46">
        <f t="shared" si="8"/>
        <v>1</v>
      </c>
      <c r="S26" s="49">
        <f t="shared" si="9"/>
        <v>0.98716779006906474</v>
      </c>
    </row>
    <row r="27" spans="1:19" ht="14.25" customHeight="1" x14ac:dyDescent="0.45">
      <c r="A27">
        <v>4294857</v>
      </c>
      <c r="B27" t="s">
        <v>50</v>
      </c>
      <c r="C27">
        <v>78.441100000000006</v>
      </c>
      <c r="D27">
        <v>23.912500000000001</v>
      </c>
      <c r="E27">
        <v>58.378100000000003</v>
      </c>
      <c r="F27">
        <v>7.5213000000000001</v>
      </c>
      <c r="G27">
        <v>87.266099999999994</v>
      </c>
      <c r="H27">
        <v>24.216899999999999</v>
      </c>
      <c r="J27" s="69">
        <f t="shared" si="0"/>
        <v>33.365545153046718</v>
      </c>
      <c r="K27" s="69">
        <f t="shared" si="1"/>
        <v>8.8302482615156297</v>
      </c>
      <c r="L27">
        <f t="shared" si="2"/>
        <v>25.907439210388976</v>
      </c>
      <c r="M27" s="49">
        <f t="shared" si="3"/>
        <v>0.3408383279338032</v>
      </c>
      <c r="N27" s="48">
        <f t="shared" si="4"/>
        <v>0.65916167206619669</v>
      </c>
      <c r="O27" s="49">
        <f t="shared" si="5"/>
        <v>0.98707222886213875</v>
      </c>
      <c r="P27" s="49">
        <f t="shared" si="6"/>
        <v>8.8249999999999886</v>
      </c>
      <c r="Q27" s="49">
        <f t="shared" si="7"/>
        <v>0.30439999999999756</v>
      </c>
      <c r="R27" s="46">
        <f t="shared" si="8"/>
        <v>1</v>
      </c>
      <c r="S27" s="49">
        <f t="shared" si="9"/>
        <v>1.2878750725647563</v>
      </c>
    </row>
    <row r="28" spans="1:19" ht="14.25" customHeight="1" x14ac:dyDescent="0.45">
      <c r="A28">
        <v>4294858</v>
      </c>
      <c r="B28" t="s">
        <v>50</v>
      </c>
      <c r="C28">
        <v>57.685099999999998</v>
      </c>
      <c r="D28">
        <v>12.6991</v>
      </c>
      <c r="E28">
        <v>64.345699999999994</v>
      </c>
      <c r="F28">
        <v>3.5687000000000002</v>
      </c>
      <c r="G28">
        <v>60.1785</v>
      </c>
      <c r="H28">
        <v>18.653400000000001</v>
      </c>
      <c r="J28" s="69">
        <f t="shared" si="0"/>
        <v>15.649719803561981</v>
      </c>
      <c r="K28" s="69">
        <f t="shared" si="1"/>
        <v>6.4552871392371092</v>
      </c>
      <c r="L28">
        <f t="shared" si="2"/>
        <v>11.301672288648257</v>
      </c>
      <c r="M28" s="49">
        <f t="shared" si="3"/>
        <v>0.57117981962023401</v>
      </c>
      <c r="N28" s="48">
        <f t="shared" si="4"/>
        <v>0.42882018037976594</v>
      </c>
      <c r="O28" s="49">
        <f t="shared" si="5"/>
        <v>0.93564349044983641</v>
      </c>
      <c r="P28" s="49">
        <f t="shared" si="6"/>
        <v>2.4934000000000012</v>
      </c>
      <c r="Q28" s="49">
        <f t="shared" si="7"/>
        <v>5.9543000000000017</v>
      </c>
      <c r="R28" s="46">
        <f t="shared" si="8"/>
        <v>1</v>
      </c>
      <c r="S28" s="49">
        <f t="shared" si="9"/>
        <v>1.3847260302602327</v>
      </c>
    </row>
    <row r="29" spans="1:19" ht="14.25" customHeight="1" x14ac:dyDescent="0.45">
      <c r="A29">
        <v>4294859</v>
      </c>
      <c r="B29" t="s">
        <v>50</v>
      </c>
      <c r="C29">
        <v>57.768799999999999</v>
      </c>
      <c r="D29">
        <v>7.02</v>
      </c>
      <c r="E29">
        <v>69.076300000000003</v>
      </c>
      <c r="F29">
        <v>7.6852999999999998</v>
      </c>
      <c r="G29">
        <v>57.967500000000001</v>
      </c>
      <c r="H29">
        <v>3.5687000000000002</v>
      </c>
      <c r="J29" s="69">
        <f t="shared" si="0"/>
        <v>11.847017894812181</v>
      </c>
      <c r="K29" s="69">
        <f t="shared" si="1"/>
        <v>3.4570150968718658</v>
      </c>
      <c r="L29">
        <f t="shared" si="2"/>
        <v>11.327055236909551</v>
      </c>
      <c r="M29" s="49">
        <f t="shared" si="3"/>
        <v>0.30519980917962491</v>
      </c>
      <c r="N29" s="48">
        <f t="shared" si="4"/>
        <v>0.69480019082037514</v>
      </c>
      <c r="O29" s="49">
        <f t="shared" si="5"/>
        <v>0.95647800408201777</v>
      </c>
      <c r="P29" s="49">
        <f t="shared" si="6"/>
        <v>0.19870000000000232</v>
      </c>
      <c r="Q29" s="49">
        <f t="shared" si="7"/>
        <v>-3.4512999999999994</v>
      </c>
      <c r="R29" s="46">
        <f t="shared" si="8"/>
        <v>1</v>
      </c>
      <c r="S29" s="49">
        <f t="shared" si="9"/>
        <v>1.0459044868262244</v>
      </c>
    </row>
    <row r="30" spans="1:19" ht="14.25" customHeight="1" x14ac:dyDescent="0.45">
      <c r="A30">
        <v>4294860</v>
      </c>
      <c r="B30" t="s">
        <v>50</v>
      </c>
      <c r="C30">
        <v>50.957799999999999</v>
      </c>
      <c r="D30">
        <v>4.7390999999999996</v>
      </c>
      <c r="E30">
        <v>63.740699999999997</v>
      </c>
      <c r="F30">
        <v>7.6852999999999998</v>
      </c>
      <c r="G30">
        <v>51.6663</v>
      </c>
      <c r="H30">
        <v>5.8318000000000003</v>
      </c>
      <c r="J30" s="69">
        <f t="shared" si="0"/>
        <v>12.21583388926028</v>
      </c>
      <c r="K30" s="69">
        <f t="shared" si="1"/>
        <v>1.302292417239693</v>
      </c>
      <c r="L30">
        <f t="shared" si="2"/>
        <v>13.118026789498485</v>
      </c>
      <c r="M30" s="49">
        <f t="shared" si="3"/>
        <v>9.9275023457204042E-2</v>
      </c>
      <c r="N30" s="48">
        <f t="shared" si="4"/>
        <v>0.90072497654279593</v>
      </c>
      <c r="O30" s="49">
        <f t="shared" si="5"/>
        <v>0.99724796717258812</v>
      </c>
      <c r="P30" s="49">
        <f t="shared" si="6"/>
        <v>0.7085000000000008</v>
      </c>
      <c r="Q30" s="49">
        <f t="shared" si="7"/>
        <v>1.0927000000000007</v>
      </c>
      <c r="R30" s="46">
        <f t="shared" si="8"/>
        <v>1</v>
      </c>
      <c r="S30" s="49">
        <f t="shared" si="9"/>
        <v>0.93122495366754032</v>
      </c>
    </row>
    <row r="31" spans="1:19" ht="14.25" customHeight="1" x14ac:dyDescent="0.45">
      <c r="A31">
        <v>4294861</v>
      </c>
      <c r="B31" t="s">
        <v>50</v>
      </c>
      <c r="C31">
        <v>57.685099999999998</v>
      </c>
      <c r="D31">
        <v>12.6991</v>
      </c>
      <c r="E31">
        <v>81.133799999999994</v>
      </c>
      <c r="F31">
        <v>9.3278999999999996</v>
      </c>
      <c r="G31">
        <v>58.747300000000003</v>
      </c>
      <c r="H31">
        <v>12.5967</v>
      </c>
      <c r="J31" s="69">
        <f t="shared" si="0"/>
        <v>22.623890816789221</v>
      </c>
      <c r="K31" s="69">
        <f t="shared" si="1"/>
        <v>1.0671244538478204</v>
      </c>
      <c r="L31">
        <f t="shared" si="2"/>
        <v>23.68979782796805</v>
      </c>
      <c r="M31" s="49">
        <f t="shared" si="3"/>
        <v>4.5045739165742435E-2</v>
      </c>
      <c r="N31" s="48">
        <f t="shared" si="4"/>
        <v>0.9549542608342575</v>
      </c>
      <c r="O31" s="49">
        <f t="shared" si="5"/>
        <v>0.99999757736975681</v>
      </c>
      <c r="P31" s="49">
        <f t="shared" si="6"/>
        <v>1.0622000000000043</v>
      </c>
      <c r="Q31" s="49">
        <f t="shared" si="7"/>
        <v>-0.10239999999999938</v>
      </c>
      <c r="R31" s="46">
        <f t="shared" si="8"/>
        <v>1</v>
      </c>
      <c r="S31" s="49">
        <f t="shared" si="9"/>
        <v>0.95500565184560482</v>
      </c>
    </row>
    <row r="32" spans="1:19" ht="14.25" customHeight="1" x14ac:dyDescent="0.45">
      <c r="A32">
        <v>4294862</v>
      </c>
      <c r="B32" t="s">
        <v>50</v>
      </c>
      <c r="C32">
        <v>47.055100000000003</v>
      </c>
      <c r="D32">
        <v>22.498000000000001</v>
      </c>
      <c r="E32">
        <v>100.1204</v>
      </c>
      <c r="F32">
        <v>10.155900000000001</v>
      </c>
      <c r="G32">
        <v>46.302399999999999</v>
      </c>
      <c r="H32">
        <v>22.752800000000001</v>
      </c>
      <c r="J32" s="69">
        <f t="shared" si="0"/>
        <v>55.272588265884565</v>
      </c>
      <c r="K32" s="69">
        <f t="shared" si="1"/>
        <v>0.7946573664164992</v>
      </c>
      <c r="L32">
        <f t="shared" si="2"/>
        <v>54.481680375149956</v>
      </c>
      <c r="M32" s="49">
        <f t="shared" si="3"/>
        <v>1.4585771968570856E-2</v>
      </c>
      <c r="N32" s="48">
        <f t="shared" si="4"/>
        <v>0.98541422803142908</v>
      </c>
      <c r="O32" s="49">
        <f t="shared" si="5"/>
        <v>0.99999901289268445</v>
      </c>
      <c r="P32" s="49">
        <f t="shared" si="6"/>
        <v>-0.75270000000000437</v>
      </c>
      <c r="Q32" s="49">
        <f t="shared" si="7"/>
        <v>0.25479999999999947</v>
      </c>
      <c r="R32" s="46">
        <f t="shared" si="8"/>
        <v>1</v>
      </c>
      <c r="S32" s="49">
        <f t="shared" si="9"/>
        <v>1.0145169511162022</v>
      </c>
    </row>
    <row r="33" spans="1:19" ht="14.25" customHeight="1" x14ac:dyDescent="0.45">
      <c r="A33">
        <v>4294863</v>
      </c>
      <c r="B33" t="s">
        <v>50</v>
      </c>
      <c r="C33">
        <v>84.376599999999996</v>
      </c>
      <c r="D33">
        <v>12.582800000000001</v>
      </c>
      <c r="E33">
        <v>85.995099999999994</v>
      </c>
      <c r="F33">
        <v>11.9871</v>
      </c>
      <c r="G33">
        <v>85.995099999999994</v>
      </c>
      <c r="H33">
        <v>9.3059999999999992</v>
      </c>
      <c r="J33" s="69">
        <f t="shared" si="0"/>
        <v>2.6811000000000007</v>
      </c>
      <c r="K33" s="69">
        <f t="shared" si="1"/>
        <v>3.6547175663791038</v>
      </c>
      <c r="L33">
        <f t="shared" si="2"/>
        <v>1.7246451055217105</v>
      </c>
      <c r="M33" s="49">
        <f t="shared" si="3"/>
        <v>2.119112827722049</v>
      </c>
      <c r="N33" s="48">
        <f t="shared" si="4"/>
        <v>-1.1191128277220492</v>
      </c>
      <c r="O33" s="49">
        <f t="shared" si="5"/>
        <v>-0.34540439542766083</v>
      </c>
      <c r="P33" s="49">
        <f t="shared" si="6"/>
        <v>1.6184999999999974</v>
      </c>
      <c r="Q33" s="49">
        <f t="shared" si="7"/>
        <v>-3.2768000000000015</v>
      </c>
      <c r="R33" s="46">
        <f t="shared" si="8"/>
        <v>0</v>
      </c>
      <c r="S33" s="49">
        <f t="shared" si="9"/>
        <v>1.5545807026709764</v>
      </c>
    </row>
    <row r="34" spans="1:19" ht="14.25" customHeight="1" x14ac:dyDescent="0.45">
      <c r="A34">
        <v>4294864</v>
      </c>
      <c r="B34" t="s">
        <v>50</v>
      </c>
      <c r="C34">
        <v>53.985799999999998</v>
      </c>
      <c r="D34">
        <v>16.7348</v>
      </c>
      <c r="E34">
        <v>66.0749</v>
      </c>
      <c r="F34">
        <v>14.649900000000001</v>
      </c>
      <c r="G34">
        <v>54.149900000000002</v>
      </c>
      <c r="H34">
        <v>16.716699999999999</v>
      </c>
      <c r="J34" s="69">
        <f t="shared" si="0"/>
        <v>12.102780145074103</v>
      </c>
      <c r="K34" s="69">
        <f t="shared" si="1"/>
        <v>0.16509518466630574</v>
      </c>
      <c r="L34">
        <f t="shared" si="2"/>
        <v>12.267564828440893</v>
      </c>
      <c r="M34" s="49">
        <f t="shared" si="3"/>
        <v>1.3457861195365534E-2</v>
      </c>
      <c r="N34" s="48">
        <f t="shared" si="4"/>
        <v>0.98654213880463437</v>
      </c>
      <c r="O34" s="49">
        <f t="shared" si="5"/>
        <v>0.99999965505827348</v>
      </c>
      <c r="P34" s="49">
        <f t="shared" si="6"/>
        <v>0.1641000000000048</v>
      </c>
      <c r="Q34" s="49">
        <f t="shared" si="7"/>
        <v>-1.8100000000000449E-2</v>
      </c>
      <c r="R34" s="46">
        <f t="shared" si="8"/>
        <v>1</v>
      </c>
      <c r="S34" s="49">
        <f t="shared" si="9"/>
        <v>0.98656744955732734</v>
      </c>
    </row>
    <row r="35" spans="1:19" ht="14.25" customHeight="1" x14ac:dyDescent="0.45">
      <c r="A35">
        <v>4294865</v>
      </c>
      <c r="B35" t="s">
        <v>50</v>
      </c>
      <c r="C35">
        <v>68.566000000000003</v>
      </c>
      <c r="D35">
        <v>7.4283999999999999</v>
      </c>
      <c r="E35">
        <v>56.1875</v>
      </c>
      <c r="F35">
        <v>14.649900000000001</v>
      </c>
      <c r="G35">
        <v>69.076300000000003</v>
      </c>
      <c r="H35">
        <v>7.6852999999999998</v>
      </c>
      <c r="J35" s="69">
        <f t="shared" si="0"/>
        <v>14.650147391750027</v>
      </c>
      <c r="K35" s="69">
        <f t="shared" si="1"/>
        <v>0.57131751242194639</v>
      </c>
      <c r="L35">
        <f t="shared" si="2"/>
        <v>14.330991748654386</v>
      </c>
      <c r="M35" s="49">
        <f t="shared" si="3"/>
        <v>3.9865874075015816E-2</v>
      </c>
      <c r="N35" s="48">
        <f t="shared" si="4"/>
        <v>0.96013412592498415</v>
      </c>
      <c r="O35" s="49">
        <f t="shared" si="5"/>
        <v>0.99946524850020813</v>
      </c>
      <c r="P35" s="49">
        <f t="shared" si="6"/>
        <v>0.51030000000000086</v>
      </c>
      <c r="Q35" s="49">
        <f t="shared" si="7"/>
        <v>0.25689999999999991</v>
      </c>
      <c r="R35" s="46">
        <f t="shared" si="8"/>
        <v>1</v>
      </c>
      <c r="S35" s="49">
        <f t="shared" si="9"/>
        <v>1.0222703109940461</v>
      </c>
    </row>
    <row r="36" spans="1:19" ht="14.25" customHeight="1" x14ac:dyDescent="0.45">
      <c r="A36">
        <v>4294866</v>
      </c>
      <c r="B36" t="s">
        <v>50</v>
      </c>
      <c r="C36">
        <v>57.768799999999999</v>
      </c>
      <c r="D36">
        <v>7.02</v>
      </c>
      <c r="E36">
        <v>54.149900000000002</v>
      </c>
      <c r="F36">
        <v>16.716699999999999</v>
      </c>
      <c r="G36">
        <v>58.325299999999999</v>
      </c>
      <c r="H36">
        <v>8.2821999999999996</v>
      </c>
      <c r="J36" s="69">
        <f t="shared" si="0"/>
        <v>9.4114162276460789</v>
      </c>
      <c r="K36" s="69">
        <f t="shared" si="1"/>
        <v>1.3794350619003417</v>
      </c>
      <c r="L36">
        <f t="shared" si="2"/>
        <v>10.349996526569464</v>
      </c>
      <c r="M36" s="49">
        <f t="shared" si="3"/>
        <v>0.13327879467004608</v>
      </c>
      <c r="N36" s="48">
        <f t="shared" si="4"/>
        <v>0.86672120532995389</v>
      </c>
      <c r="O36" s="49">
        <f t="shared" si="5"/>
        <v>0.99475450271894772</v>
      </c>
      <c r="P36" s="49">
        <f t="shared" si="6"/>
        <v>0.55649999999999977</v>
      </c>
      <c r="Q36" s="49">
        <f t="shared" si="7"/>
        <v>1.2622</v>
      </c>
      <c r="R36" s="46">
        <f t="shared" si="8"/>
        <v>1</v>
      </c>
      <c r="S36" s="49">
        <f t="shared" si="9"/>
        <v>0.90931588271416741</v>
      </c>
    </row>
    <row r="37" spans="1:19" ht="14.25" customHeight="1" x14ac:dyDescent="0.45">
      <c r="A37">
        <v>4294867</v>
      </c>
      <c r="B37" t="s">
        <v>50</v>
      </c>
      <c r="C37">
        <v>64.124600000000001</v>
      </c>
      <c r="D37">
        <v>7.4283999999999999</v>
      </c>
      <c r="E37">
        <v>87.930800000000005</v>
      </c>
      <c r="F37">
        <v>23.840499999999999</v>
      </c>
      <c r="G37">
        <v>64.043000000000006</v>
      </c>
      <c r="H37">
        <v>7.6852999999999998</v>
      </c>
      <c r="J37" s="69">
        <f t="shared" si="0"/>
        <v>28.837778622494486</v>
      </c>
      <c r="K37" s="69">
        <f t="shared" si="1"/>
        <v>0.26954808476410858</v>
      </c>
      <c r="L37">
        <f t="shared" si="2"/>
        <v>28.915258685510668</v>
      </c>
      <c r="M37" s="49">
        <f t="shared" si="3"/>
        <v>9.3220014974024126E-3</v>
      </c>
      <c r="N37" s="48">
        <f t="shared" si="4"/>
        <v>0.99067799850259763</v>
      </c>
      <c r="O37" s="49">
        <f t="shared" si="5"/>
        <v>0.99996003306131021</v>
      </c>
      <c r="P37" s="49">
        <f t="shared" si="6"/>
        <v>-8.1599999999994566E-2</v>
      </c>
      <c r="Q37" s="49">
        <f t="shared" si="7"/>
        <v>0.25689999999999991</v>
      </c>
      <c r="R37" s="46">
        <f t="shared" si="8"/>
        <v>1</v>
      </c>
      <c r="S37" s="49">
        <f t="shared" si="9"/>
        <v>0.99732044371939144</v>
      </c>
    </row>
    <row r="38" spans="1:19" ht="14.25" customHeight="1" x14ac:dyDescent="0.45">
      <c r="J38" s="69"/>
      <c r="K38" s="69"/>
    </row>
    <row r="39" spans="1:19" ht="26.25" customHeight="1" x14ac:dyDescent="0.45">
      <c r="B39" s="20" t="s">
        <v>59</v>
      </c>
      <c r="J39" s="20" t="s">
        <v>40</v>
      </c>
      <c r="K39" s="20" t="s">
        <v>41</v>
      </c>
      <c r="L39" s="20" t="s">
        <v>42</v>
      </c>
    </row>
    <row r="40" spans="1:19" ht="14.25" customHeight="1" x14ac:dyDescent="0.45">
      <c r="A40" s="20" t="s">
        <v>46</v>
      </c>
      <c r="B40">
        <f>SUM(B41:B45)</f>
        <v>36</v>
      </c>
      <c r="I40" s="20" t="s">
        <v>46</v>
      </c>
      <c r="J40">
        <f>_xlfn.AGGREGATE(1,6,J2:J37)</f>
        <v>11.824054918105857</v>
      </c>
      <c r="K40">
        <f>_xlfn.AGGREGATE(1,6,K2:K37)</f>
        <v>2.0434719597801507</v>
      </c>
      <c r="L40">
        <f>_xlfn.AGGREGATE(1,6,L2:L37)</f>
        <v>10.795514071264538</v>
      </c>
    </row>
    <row r="41" spans="1:19" ht="26.25" customHeight="1" x14ac:dyDescent="0.45">
      <c r="A41" s="20" t="s">
        <v>47</v>
      </c>
      <c r="B41">
        <f>COUNTIF(B2:B37,"Doors")</f>
        <v>0</v>
      </c>
      <c r="I41" s="20" t="s">
        <v>47</v>
      </c>
      <c r="J41" t="s">
        <v>13</v>
      </c>
      <c r="K41" t="s">
        <v>13</v>
      </c>
      <c r="L41" t="s">
        <v>13</v>
      </c>
    </row>
    <row r="42" spans="1:19" ht="26.25" customHeight="1" x14ac:dyDescent="0.45">
      <c r="A42" s="20" t="s">
        <v>55</v>
      </c>
      <c r="B42">
        <f>COUNTIF(B2:B37,"Windows")</f>
        <v>4</v>
      </c>
      <c r="I42" s="20" t="s">
        <v>48</v>
      </c>
      <c r="J42">
        <f>_xlfn.AGGREGATE(1,6,J2:J5)</f>
        <v>2.6558149160388242</v>
      </c>
      <c r="K42">
        <f>_xlfn.AGGREGATE(1,6,K2:K5)</f>
        <v>1.6482250007774599</v>
      </c>
      <c r="L42">
        <f>_xlfn.AGGREGATE(1,6,L2:L5)</f>
        <v>1.7130140629183455</v>
      </c>
    </row>
    <row r="43" spans="1:19" ht="26.25" customHeight="1" x14ac:dyDescent="0.45">
      <c r="A43" s="20" t="s">
        <v>49</v>
      </c>
      <c r="B43">
        <f>COUNTIF(B2:B37,"Walls")</f>
        <v>18</v>
      </c>
      <c r="I43" s="20" t="s">
        <v>49</v>
      </c>
      <c r="J43">
        <f>_xlfn.AGGREGATE(1,6,J6:J23)</f>
        <v>4.6219181840290267</v>
      </c>
      <c r="K43">
        <f>_xlfn.AGGREGATE(1,6,K6:K23)</f>
        <v>1.8642333208004862</v>
      </c>
      <c r="L43">
        <f>_xlfn.AGGREGATE(1,6,L6:L23)</f>
        <v>3.5481332051512009</v>
      </c>
    </row>
    <row r="44" spans="1:19" ht="26.25" customHeight="1" x14ac:dyDescent="0.45">
      <c r="A44" s="20" t="s">
        <v>50</v>
      </c>
      <c r="B44">
        <f>COUNTIF(B2:B37,"Room Tags")</f>
        <v>14</v>
      </c>
      <c r="I44" s="20" t="s">
        <v>50</v>
      </c>
      <c r="J44">
        <f>_xlfn.AGGREGATE(1,6,J25:J37)</f>
        <v>24.069805633417065</v>
      </c>
      <c r="K44">
        <f>_xlfn.AGGREGATE(1,6,K25:K37)</f>
        <v>2.4292366203398221</v>
      </c>
      <c r="L44">
        <f>_xlfn.AGGREGATE(1,6,L25:L37)</f>
        <v>23.128493916063693</v>
      </c>
    </row>
    <row r="45" spans="1:19" ht="26.25" customHeight="1" x14ac:dyDescent="0.45">
      <c r="A45" s="72" t="s">
        <v>56</v>
      </c>
      <c r="B45">
        <f>COUNTIF(B2:B37,"Stairs")</f>
        <v>0</v>
      </c>
    </row>
    <row r="47" spans="1:19" ht="14.25" customHeight="1" x14ac:dyDescent="0.45">
      <c r="J47" s="10" t="s">
        <v>117</v>
      </c>
      <c r="K47" s="10"/>
      <c r="L47" s="10"/>
    </row>
    <row r="48" spans="1:19" ht="26.25" customHeight="1" x14ac:dyDescent="0.45">
      <c r="J48" s="20" t="s">
        <v>40</v>
      </c>
      <c r="K48" s="20" t="s">
        <v>41</v>
      </c>
      <c r="L48" s="20" t="s">
        <v>42</v>
      </c>
    </row>
    <row r="49" spans="9:20" ht="14.25" customHeight="1" x14ac:dyDescent="0.45">
      <c r="I49" s="20" t="s">
        <v>46</v>
      </c>
      <c r="J49">
        <f>_xlfn.AGGREGATE(12,6,J2:J37)</f>
        <v>5.3628631571995911</v>
      </c>
      <c r="K49">
        <f>_xlfn.AGGREGATE(12,6,K2:K37)</f>
        <v>1.440100000000001</v>
      </c>
      <c r="L49">
        <f>_xlfn.AGGREGATE(12,6,L2:L37)</f>
        <v>4.2610000471533382</v>
      </c>
    </row>
    <row r="50" spans="9:20" ht="26.25" customHeight="1" x14ac:dyDescent="0.45">
      <c r="I50" s="20" t="s">
        <v>47</v>
      </c>
      <c r="J50" t="s">
        <v>13</v>
      </c>
      <c r="K50" t="s">
        <v>13</v>
      </c>
      <c r="L50" t="s">
        <v>13</v>
      </c>
    </row>
    <row r="51" spans="9:20" ht="26.25" customHeight="1" x14ac:dyDescent="0.45">
      <c r="I51" s="20" t="s">
        <v>48</v>
      </c>
      <c r="J51">
        <f>_xlfn.AGGREGATE(12,6,J2:J5)</f>
        <v>2.6944765336576615</v>
      </c>
      <c r="K51">
        <f>_xlfn.AGGREGATE(12,6,K2:K5)</f>
        <v>1.6383500015549188</v>
      </c>
      <c r="L51">
        <f>_xlfn.AGGREGATE(12,6,L2:L5)</f>
        <v>1.7129893895448096</v>
      </c>
    </row>
    <row r="52" spans="9:20" ht="26.25" customHeight="1" x14ac:dyDescent="0.45">
      <c r="I52" s="20" t="s">
        <v>49</v>
      </c>
      <c r="J52">
        <f>_xlfn.AGGREGATE(12,6,J6:J23)</f>
        <v>4.6113360862118888</v>
      </c>
      <c r="K52">
        <f>_xlfn.AGGREGATE(12,6,K6:K23)</f>
        <v>1.440100000000001</v>
      </c>
      <c r="L52">
        <f>_xlfn.AGGREGATE(12,6,L6:L23)</f>
        <v>3.7488000006781093</v>
      </c>
    </row>
    <row r="53" spans="9:20" ht="26.25" customHeight="1" x14ac:dyDescent="0.45">
      <c r="I53" s="20" t="s">
        <v>50</v>
      </c>
      <c r="J53">
        <f>_xlfn.AGGREGATE(12,6,J25:J37)</f>
        <v>15.649719803561981</v>
      </c>
      <c r="K53">
        <f>_xlfn.AGGREGATE(12,6,K25:K37)</f>
        <v>1.302292417239693</v>
      </c>
      <c r="L53">
        <f>_xlfn.AGGREGATE(12,6,L25:L37)</f>
        <v>14.330991748654386</v>
      </c>
    </row>
    <row r="54" spans="9:20" ht="14.25" customHeight="1" x14ac:dyDescent="0.45">
      <c r="J54" s="69"/>
      <c r="K54" s="69"/>
    </row>
    <row r="55" spans="9:20" ht="14.25" customHeight="1" x14ac:dyDescent="0.45">
      <c r="J55" s="69"/>
      <c r="K55" s="69"/>
    </row>
    <row r="56" spans="9:20" ht="18" customHeight="1" x14ac:dyDescent="0.45">
      <c r="I56" s="73" t="s">
        <v>118</v>
      </c>
      <c r="J56" s="69"/>
      <c r="K56" s="69"/>
      <c r="M56" s="19" t="s">
        <v>119</v>
      </c>
    </row>
    <row r="57" spans="9:20" ht="42" customHeight="1" x14ac:dyDescent="0.45">
      <c r="I57" s="34" t="s">
        <v>120</v>
      </c>
      <c r="J57" s="74" t="s">
        <v>59</v>
      </c>
      <c r="K57" s="74" t="s">
        <v>63</v>
      </c>
      <c r="L57" s="34" t="s">
        <v>64</v>
      </c>
      <c r="M57" s="34" t="s">
        <v>65</v>
      </c>
      <c r="N57" s="34" t="s">
        <v>121</v>
      </c>
      <c r="O57" s="34" t="s">
        <v>122</v>
      </c>
      <c r="P57" s="34" t="s">
        <v>123</v>
      </c>
      <c r="Q57" s="34" t="s">
        <v>124</v>
      </c>
      <c r="R57" s="34" t="s">
        <v>68</v>
      </c>
      <c r="S57" s="34" t="s">
        <v>125</v>
      </c>
      <c r="T57" s="34" t="s">
        <v>126</v>
      </c>
    </row>
    <row r="58" spans="9:20" ht="14.25" customHeight="1" x14ac:dyDescent="0.45">
      <c r="I58" s="22" t="s">
        <v>46</v>
      </c>
      <c r="J58" s="23">
        <f>COUNTA($B$2:$B$37)</f>
        <v>36</v>
      </c>
      <c r="K58" s="25">
        <f>IF(COUNT($M$2:$M$37)=0,"N/A",COUNTIF($R$2:$R$37,1)/COUNT($M$2:$M$37))</f>
        <v>0.77777777777777779</v>
      </c>
      <c r="L58" s="25">
        <f t="array" ref="L58">IF(COUNT($N$2:$N$37)=0,"N/A",AVERAGE($N$2:$N$37))</f>
        <v>-0.28045330650410205</v>
      </c>
      <c r="M58" s="24">
        <f t="array" ref="M58">IF(COUNT($O$2:$O$37)=0,"N/A",AVERAGE($O$2:$O$37))</f>
        <v>0.78160236254207749</v>
      </c>
      <c r="N58" s="24">
        <f t="array" ref="N58">IF(COUNT($K$2:$K$37)=0,"N/A",SQRT(SUMPRODUCT(ISNUMBER($K$2:$K$37)*(IF(ISNUMBER($K$2:$K$37),$K$2:$K$37,0))^2)/COUNT($K$2:$K$37)))</f>
        <v>2.6880275961711728</v>
      </c>
      <c r="O58" s="24">
        <f>IF(COUNT($K$2:$K$37)&lt;2,"N/A",_xlfn.STDEV.S($K$2:$K$37))</f>
        <v>1.7711153020893087</v>
      </c>
      <c r="P58" s="24">
        <f>IF(COUNT($K$2:$K$37)=0,"N/A",_xlfn.PERCENTILE.INC($K$2:$K$37,0.9))</f>
        <v>4.1097087831895527</v>
      </c>
      <c r="Q58" s="24">
        <f>IF(COUNT($K$2:$K$37)=0,"N/A",_xlfn.PERCENTILE.INC($K$2:$K$37,0.95))</f>
        <v>5.5225216042025504</v>
      </c>
      <c r="R58" s="23">
        <f>COUNTIF($K$2:$K$37,"&gt;15")</f>
        <v>0</v>
      </c>
      <c r="S58" s="24">
        <f>IF(COUNT($S$2:$S$37)=0,"N/A",AVERAGE($S$2:$S$37))</f>
        <v>1.9394386145434366</v>
      </c>
      <c r="T58" s="25">
        <f>IF(COUNT($S$2:$S$37)=0,"N/A",COUNTIF($S$2:$S$37,"&gt;1")/COUNT($S$2:$S$37))</f>
        <v>0.83333333333333337</v>
      </c>
    </row>
    <row r="59" spans="9:20" ht="14.25" customHeight="1" x14ac:dyDescent="0.45">
      <c r="I59" s="27" t="s">
        <v>48</v>
      </c>
      <c r="J59" s="28">
        <f>COUNTIF($B$2:$B$37,"Windows")</f>
        <v>4</v>
      </c>
      <c r="K59" s="30">
        <f>IF(SUMPRODUCT(($B$2:$B$37="Windows")*ISNUMBER($M$2:$M$37))=0,"N/A",SUMPRODUCT(($B$2:$B$37="Windows")*($R$2:$R$37=1))/SUMPRODUCT(($B$2:$B$37="Windows")*ISNUMBER($M$2:$M$37)))</f>
        <v>0.5</v>
      </c>
      <c r="L59" s="30">
        <f t="array" ref="L59">IF(SUMPRODUCT(($B$2:$B$37="Windows")*ISNUMBER($N$2:$N$37))=0,"N/A",SUMPRODUCT(($B$2:$B$37="Windows")*ISNUMBER($N$2:$N$37)*(IF(ISNUMBER($N$2:$N$37),$N$2:$N$37,0)))/SUMPRODUCT(($B$2:$B$37="Windows")*ISNUMBER($N$2:$N$37)))</f>
        <v>-6.383368018694866</v>
      </c>
      <c r="M59" s="29">
        <f t="array" ref="M59">IF(SUMPRODUCT(($B$2:$B$37="Windows")*ISNUMBER($O$2:$O$37))=0,"N/A",SUMPRODUCT(($B$2:$B$37="Windows")*ISNUMBER($O$2:$O$37)*(IF(ISNUMBER($O$2:$O$37),$O$2:$O$37,0)))/SUMPRODUCT(($B$2:$B$37="Windows")*ISNUMBER($O$2:$O$37)))</f>
        <v>-4.4806246057254084E-2</v>
      </c>
      <c r="N59" s="29">
        <f t="array" ref="N59">IF(SUMPRODUCT(($B$2:$B$37="Windows")*ISNUMBER($K$2:$K$37))=0,"N/A",SQRT(SUMPRODUCT(($B$2:$B$37="Windows")*ISNUMBER($K$2:$K$37)*(IF(ISNUMBER($K$2:$K$37),$K$2:$K$37,0))^2)/SUMPRODUCT(($B$2:$B$37="Windows")*ISNUMBER($K$2:$K$37))))</f>
        <v>1.6578856851423744</v>
      </c>
      <c r="O59" s="29">
        <f t="array" ref="O59">IFERROR(IF(SUMPRODUCT(($B$2:$B$37="Windows")*ISNUMBER($K$2:$K$37))&lt;2,"N/A",_xlfn.STDEV.S(IF($B$2:$B$37="Windows",$K$2:$K$37))),"N/A")</f>
        <v>0.20636308394717756</v>
      </c>
      <c r="P59" s="29">
        <f t="array" ref="P59">IFERROR(_xlfn.PERCENTILE.INC(IF(($B$2:$B$37="Windows")*ISNUMBER($K$2:$K$37),$K$2:$K$37),0.9),"N/A")</f>
        <v>1.8366900000000002</v>
      </c>
      <c r="Q59" s="29">
        <f t="array" ref="Q59">IFERROR(_xlfn.PERCENTILE.INC(IF(($B$2:$B$37="Windows")*ISNUMBER($K$2:$K$37),$K$2:$K$37),0.95),"N/A")</f>
        <v>1.8726449999999999</v>
      </c>
      <c r="R59" s="28">
        <f>COUNTIFS($B$2:$B$37,"Windows",$K$2:$K$37,"&gt;15")</f>
        <v>0</v>
      </c>
      <c r="S59" s="37">
        <f t="array" ref="S59">IF(SUMPRODUCT(($B$2:$B$37="Windows")*ISNUMBER($S$2:$S$37))=0,"N/A",SUMPRODUCT(($B$2:$B$37="Windows")*ISNUMBER($S$2:$S$37)*(IF(ISNUMBER($S$2:$S$37),$S$2:$S$37,0)))/SUMPRODUCT(($B$2:$B$37="Windows")*ISNUMBER($S$2:$S$37)))</f>
        <v>7.2075368246051807</v>
      </c>
      <c r="T59" s="38">
        <f t="array" ref="T59">IF(SUMPRODUCT(($B$2:$B$37="Windows")*ISNUMBER($S$2:$S$37))=0,"N/A",SUMPRODUCT(($B$2:$B$37="Windows")*ISNUMBER($S$2:$S$37)*(IF(ISNUMBER($S$2:$S$37),$S$2:$S$37,0)&gt;1))/SUMPRODUCT(($B$2:$B$37="Windows")*ISNUMBER($S$2:$S$37)))</f>
        <v>1</v>
      </c>
    </row>
    <row r="60" spans="9:20" ht="14.25" customHeight="1" x14ac:dyDescent="0.45">
      <c r="I60" s="27" t="s">
        <v>49</v>
      </c>
      <c r="J60" s="28">
        <f>COUNTIF($B$2:$B$37,"Walls")</f>
        <v>18</v>
      </c>
      <c r="K60" s="30">
        <f>IF(SUMPRODUCT(($B$2:$B$37="Walls")*ISNUMBER($M$2:$M$37))=0,"N/A",SUMPRODUCT(($B$2:$B$37="Walls")*($R$2:$R$37=1))/SUMPRODUCT(($B$2:$B$37="Walls")*ISNUMBER($M$2:$M$37)))</f>
        <v>0.72222222222222221</v>
      </c>
      <c r="L60" s="30">
        <f t="array" ref="L60">IF(SUMPRODUCT(($B$2:$B$37="Walls")*ISNUMBER($N$2:$N$37))=0,"N/A",SUMPRODUCT(($B$2:$B$37="Walls")*ISNUMBER($N$2:$N$37)*(IF(ISNUMBER($N$2:$N$37),$N$2:$N$37,0)))/SUMPRODUCT(($B$2:$B$37="Walls")*ISNUMBER($N$2:$N$37)))</f>
        <v>0.29528914626137093</v>
      </c>
      <c r="M60" s="29">
        <f t="array" ref="M60">IF(SUMPRODUCT(($B$2:$B$37="Walls")*ISNUMBER($O$2:$O$37))=0,"N/A",SUMPRODUCT(($B$2:$B$37="Walls")*ISNUMBER($O$2:$O$37)*(IF(ISNUMBER($O$2:$O$37),$O$2:$O$37,0)))/SUMPRODUCT(($B$2:$B$37="Walls")*ISNUMBER($O$2:$O$37)))</f>
        <v>0.87743409199440903</v>
      </c>
      <c r="N60" s="29">
        <f t="array" ref="N60">IF(SUMPRODUCT(($B$2:$B$37="Walls")*ISNUMBER($K$2:$K$37))=0,"N/A",SQRT(SUMPRODUCT(($B$2:$B$37="Walls")*ISNUMBER($K$2:$K$37)*(IF(ISNUMBER($K$2:$K$37),$K$2:$K$37,0))^2)/SUMPRODUCT(($B$2:$B$37="Walls")*ISNUMBER($K$2:$K$37))))</f>
        <v>2.2066771937060086</v>
      </c>
      <c r="O60" s="29">
        <f t="array" ref="O60">IFERROR(IF(SUMPRODUCT(($B$2:$B$37="Walls")*ISNUMBER($K$2:$K$37))&lt;2,"N/A",_xlfn.STDEV.S(IF($B$2:$B$37="Walls",$K$2:$K$37))),"N/A")</f>
        <v>1.214932835982145</v>
      </c>
      <c r="P60" s="29">
        <f t="array" ref="P60">IFERROR(_xlfn.PERCENTILE.INC(IF(($B$2:$B$37="Walls")*ISNUMBER($K$2:$K$37),$K$2:$K$37),0.9),"N/A")</f>
        <v>3.3235300000000016</v>
      </c>
      <c r="Q60" s="29">
        <f t="array" ref="Q60">IFERROR(_xlfn.PERCENTILE.INC(IF(($B$2:$B$37="Walls")*ISNUMBER($K$2:$K$37),$K$2:$K$37),0.95),"N/A")</f>
        <v>4.6617349638786552</v>
      </c>
      <c r="R60" s="28">
        <f>COUNTIFS($B$2:$B$37,"Walls",$K$2:$K$37,"&gt;15")</f>
        <v>0</v>
      </c>
      <c r="S60" s="37">
        <f t="array" ref="S60">IF(SUMPRODUCT(($B$2:$B$37="Walls")*ISNUMBER($S$2:$S$37))=0,"N/A",SUMPRODUCT(($B$2:$B$37="Walls")*ISNUMBER($S$2:$S$37)*(IF(ISNUMBER($S$2:$S$37),$S$2:$S$37,0)))/SUMPRODUCT(($B$2:$B$37="Walls")*ISNUMBER($S$2:$S$37)))</f>
        <v>1.4330304013938284</v>
      </c>
      <c r="T60" s="38">
        <f t="array" ref="T60">IF(SUMPRODUCT(($B$2:$B$37="Walls")*ISNUMBER($S$2:$S$37))=0,"N/A",SUMPRODUCT(($B$2:$B$37="Walls")*ISNUMBER($S$2:$S$37)*(IF(ISNUMBER($S$2:$S$37),$S$2:$S$37,0)&gt;1))/SUMPRODUCT(($B$2:$B$37="Walls")*ISNUMBER($S$2:$S$37)))</f>
        <v>1</v>
      </c>
    </row>
    <row r="61" spans="9:20" ht="14.25" customHeight="1" x14ac:dyDescent="0.45">
      <c r="I61" s="27" t="s">
        <v>50</v>
      </c>
      <c r="J61" s="28">
        <f>COUNTIF($B$2:$B$37,"Room Tags")</f>
        <v>14</v>
      </c>
      <c r="K61" s="30">
        <f>IF(SUMPRODUCT(($B$2:$B$37="Room Tags")*ISNUMBER($M$2:$M$37))=0,"N/A",SUMPRODUCT(($B$2:$B$37="Room Tags")*($R$2:$R$37=1))/SUMPRODUCT(($B$2:$B$37="Room Tags")*ISNUMBER($M$2:$M$37)))</f>
        <v>0.9285714285714286</v>
      </c>
      <c r="L61" s="30">
        <f t="array" ref="L61">IF(SUMPRODUCT(($B$2:$B$37="Room Tags")*ISNUMBER($N$2:$N$37))=0,"N/A",SUMPRODUCT(($B$2:$B$37="Room Tags")*ISNUMBER($N$2:$N$37)*(IF(ISNUMBER($N$2:$N$37),$N$2:$N$37,0)))/SUMPRODUCT(($B$2:$B$37="Room Tags")*ISNUMBER($N$2:$N$37)))</f>
        <v>0.72299631485193649</v>
      </c>
      <c r="M61" s="29">
        <f t="array" ref="M61">IF(SUMPRODUCT(($B$2:$B$37="Room Tags")*ISNUMBER($O$2:$O$37))=0,"N/A",SUMPRODUCT(($B$2:$B$37="Room Tags")*ISNUMBER($O$2:$O$37)*(IF(ISNUMBER($O$2:$O$37),$O$2:$O$37,0)))/SUMPRODUCT(($B$2:$B$37="Room Tags")*ISNUMBER($O$2:$O$37)))</f>
        <v>0.89450688427460301</v>
      </c>
      <c r="N61" s="29">
        <f t="array" ref="N61">IF(SUMPRODUCT(($B$2:$B$37="Room Tags")*ISNUMBER($K$2:$K$37))=0,"N/A",SQRT(SUMPRODUCT(($B$2:$B$37="Room Tags")*ISNUMBER($K$2:$K$37)*(IF(ISNUMBER($K$2:$K$37),$K$2:$K$37,0))^2)/SUMPRODUCT(($B$2:$B$37="Room Tags")*ISNUMBER($K$2:$K$37))))</f>
        <v>3.396150644795199</v>
      </c>
      <c r="O61" s="29">
        <f t="array" ref="O61">IFERROR(IF(SUMPRODUCT(($B$2:$B$37="Room Tags")*ISNUMBER($K$2:$K$37))&lt;2,"N/A",_xlfn.STDEV.S(IF($B$2:$B$37="Room Tags",$K$2:$K$37))),"N/A")</f>
        <v>2.5071444368573839</v>
      </c>
      <c r="P61" s="29">
        <f t="array" ref="P61">IFERROR(_xlfn.PERCENTILE.INC(IF(($B$2:$B$37="Room Tags")*ISNUMBER($K$2:$K$37),$K$2:$K$37),0.9),"N/A")</f>
        <v>5.6151162673797108</v>
      </c>
      <c r="Q61" s="29">
        <f t="array" ref="Q61">IFERROR(_xlfn.PERCENTILE.INC(IF(($B$2:$B$37="Room Tags")*ISNUMBER($K$2:$K$37),$K$2:$K$37),0.95),"N/A")</f>
        <v>7.2865235320345905</v>
      </c>
      <c r="R61" s="28">
        <f>COUNTIFS($B$2:$B$37,"Room Tags",$K$2:$K$37,"&gt;15")</f>
        <v>0</v>
      </c>
      <c r="S61" s="37">
        <f t="array" ref="S61">IF(SUMPRODUCT(($B$2:$B$37="Room Tags")*ISNUMBER($S$2:$S$37))=0,"N/A",SUMPRODUCT(($B$2:$B$37="Room Tags")*ISNUMBER($S$2:$S$37)*(IF(ISNUMBER($S$2:$S$37),$S$2:$S$37,0)))/SUMPRODUCT(($B$2:$B$37="Room Tags")*ISNUMBER($S$2:$S$37)))</f>
        <v>1.085363971432435</v>
      </c>
      <c r="T61" s="38">
        <f t="array" ref="T61">IF(SUMPRODUCT(($B$2:$B$37="Room Tags")*ISNUMBER($S$2:$S$37))=0,"N/A",SUMPRODUCT(($B$2:$B$37="Room Tags")*ISNUMBER($S$2:$S$37)*(IF(ISNUMBER($S$2:$S$37),$S$2:$S$37,0)&gt;1))/SUMPRODUCT(($B$2:$B$37="Room Tags")*ISNUMBER($S$2:$S$37)))</f>
        <v>0.5714285714285714</v>
      </c>
    </row>
    <row r="62" spans="9:20" ht="14.25" customHeight="1" x14ac:dyDescent="0.45">
      <c r="J62" s="69"/>
      <c r="K62" s="69"/>
    </row>
    <row r="63" spans="9:20" ht="14.25" customHeight="1" x14ac:dyDescent="0.45">
      <c r="J63" s="69"/>
      <c r="K63" s="69"/>
    </row>
    <row r="64" spans="9:20" ht="14.25" customHeight="1" x14ac:dyDescent="0.45">
      <c r="J64" s="69"/>
      <c r="K64" s="69"/>
    </row>
    <row r="65" spans="10:11" ht="14.25" customHeight="1" x14ac:dyDescent="0.45">
      <c r="J65" s="69"/>
      <c r="K65" s="69"/>
    </row>
    <row r="66" spans="10:11" ht="14.25" customHeight="1" x14ac:dyDescent="0.45">
      <c r="J66" s="69"/>
      <c r="K66" s="69"/>
    </row>
    <row r="67" spans="10:11" ht="14.25" customHeight="1" x14ac:dyDescent="0.45">
      <c r="J67" s="69"/>
      <c r="K67" s="69"/>
    </row>
    <row r="68" spans="10:11" ht="14.25" customHeight="1" x14ac:dyDescent="0.45">
      <c r="J68" s="69"/>
      <c r="K68" s="69"/>
    </row>
    <row r="69" spans="10:11" ht="14.25" customHeight="1" x14ac:dyDescent="0.45">
      <c r="J69" s="69"/>
      <c r="K69" s="69"/>
    </row>
    <row r="70" spans="10:11" ht="14.25" customHeight="1" x14ac:dyDescent="0.45">
      <c r="J70" s="69"/>
      <c r="K70" s="69"/>
    </row>
    <row r="71" spans="10:11" ht="14.25" customHeight="1" x14ac:dyDescent="0.45">
      <c r="J71" s="69"/>
      <c r="K71" s="69"/>
    </row>
    <row r="72" spans="10:11" ht="14.25" customHeight="1" x14ac:dyDescent="0.45">
      <c r="J72" s="69"/>
      <c r="K72" s="69"/>
    </row>
    <row r="73" spans="10:11" ht="14.25" customHeight="1" x14ac:dyDescent="0.45">
      <c r="J73" s="69"/>
      <c r="K73" s="69"/>
    </row>
    <row r="74" spans="10:11" ht="14.25" customHeight="1" x14ac:dyDescent="0.45">
      <c r="J74" s="69"/>
      <c r="K74" s="69"/>
    </row>
    <row r="75" spans="10:11" ht="14.25" customHeight="1" x14ac:dyDescent="0.45">
      <c r="J75" s="69"/>
      <c r="K75" s="69"/>
    </row>
    <row r="76" spans="10:11" ht="14.25" customHeight="1" x14ac:dyDescent="0.45">
      <c r="J76" s="69"/>
      <c r="K76" s="69"/>
    </row>
    <row r="77" spans="10:11" ht="14.25" customHeight="1" x14ac:dyDescent="0.45">
      <c r="J77" s="69"/>
      <c r="K77" s="69"/>
    </row>
    <row r="78" spans="10:11" ht="14.25" customHeight="1" x14ac:dyDescent="0.45">
      <c r="J78" s="69"/>
      <c r="K78" s="69"/>
    </row>
    <row r="79" spans="10:11" ht="14.25" customHeight="1" x14ac:dyDescent="0.45">
      <c r="J79" s="69"/>
      <c r="K79" s="69"/>
    </row>
    <row r="80" spans="10:11" ht="14.25" customHeight="1" x14ac:dyDescent="0.45">
      <c r="J80" s="69"/>
      <c r="K80" s="69"/>
    </row>
    <row r="81" spans="10:11" ht="14.25" customHeight="1" x14ac:dyDescent="0.45">
      <c r="J81" s="69"/>
      <c r="K81" s="69"/>
    </row>
    <row r="82" spans="10:11" ht="14.25" customHeight="1" x14ac:dyDescent="0.45">
      <c r="J82" s="69"/>
      <c r="K82" s="69"/>
    </row>
    <row r="83" spans="10:11" ht="14.25" customHeight="1" x14ac:dyDescent="0.45">
      <c r="J83" s="69"/>
      <c r="K83" s="69"/>
    </row>
    <row r="84" spans="10:11" ht="14.25" customHeight="1" x14ac:dyDescent="0.45">
      <c r="J84" s="69"/>
      <c r="K84" s="69"/>
    </row>
    <row r="85" spans="10:11" ht="14.25" customHeight="1" x14ac:dyDescent="0.45">
      <c r="J85" s="69"/>
      <c r="K85" s="69"/>
    </row>
    <row r="86" spans="10:11" ht="14.25" customHeight="1" x14ac:dyDescent="0.45">
      <c r="J86" s="69"/>
      <c r="K86" s="69"/>
    </row>
    <row r="87" spans="10:11" ht="14.25" customHeight="1" x14ac:dyDescent="0.45">
      <c r="J87" s="69"/>
      <c r="K87" s="69"/>
    </row>
    <row r="88" spans="10:11" ht="14.25" customHeight="1" x14ac:dyDescent="0.45">
      <c r="J88" s="69"/>
      <c r="K88" s="69"/>
    </row>
    <row r="89" spans="10:11" ht="14.25" customHeight="1" x14ac:dyDescent="0.45">
      <c r="J89" s="69"/>
      <c r="K89" s="69"/>
    </row>
    <row r="90" spans="10:11" ht="14.25" customHeight="1" x14ac:dyDescent="0.45">
      <c r="J90" s="69"/>
      <c r="K90" s="69"/>
    </row>
    <row r="91" spans="10:11" ht="14.25" customHeight="1" x14ac:dyDescent="0.45">
      <c r="J91" s="69"/>
      <c r="K91" s="69"/>
    </row>
    <row r="92" spans="10:11" ht="14.25" customHeight="1" x14ac:dyDescent="0.45">
      <c r="J92" s="69"/>
      <c r="K92" s="69"/>
    </row>
    <row r="93" spans="10:11" ht="14.25" customHeight="1" x14ac:dyDescent="0.45">
      <c r="J93" s="69"/>
      <c r="K93" s="69"/>
    </row>
    <row r="94" spans="10:11" ht="14.25" customHeight="1" x14ac:dyDescent="0.45">
      <c r="J94" s="69"/>
      <c r="K94" s="69"/>
    </row>
    <row r="95" spans="10:11" ht="14.25" customHeight="1" x14ac:dyDescent="0.45">
      <c r="J95" s="69"/>
      <c r="K95" s="69"/>
    </row>
    <row r="96" spans="10:11" ht="14.25" customHeight="1" x14ac:dyDescent="0.45">
      <c r="J96" s="69"/>
      <c r="K96" s="69"/>
    </row>
    <row r="97" spans="10:11" ht="14.25" customHeight="1" x14ac:dyDescent="0.45">
      <c r="J97" s="69"/>
      <c r="K97" s="69"/>
    </row>
    <row r="98" spans="10:11" ht="14.25" customHeight="1" x14ac:dyDescent="0.45">
      <c r="J98" s="69"/>
      <c r="K98" s="69"/>
    </row>
    <row r="99" spans="10:11" ht="14.25" customHeight="1" x14ac:dyDescent="0.45">
      <c r="J99" s="69"/>
      <c r="K99" s="69"/>
    </row>
    <row r="100" spans="10:11" ht="14.25" customHeight="1" x14ac:dyDescent="0.45">
      <c r="J100" s="69"/>
      <c r="K100" s="69"/>
    </row>
    <row r="101" spans="10:11" ht="14.25" customHeight="1" x14ac:dyDescent="0.45">
      <c r="J101" s="69"/>
      <c r="K101" s="69"/>
    </row>
    <row r="102" spans="10:11" ht="14.25" customHeight="1" x14ac:dyDescent="0.45">
      <c r="J102" s="69"/>
      <c r="K102" s="69"/>
    </row>
    <row r="103" spans="10:11" ht="14.25" customHeight="1" x14ac:dyDescent="0.45">
      <c r="J103" s="69"/>
      <c r="K103" s="69"/>
    </row>
    <row r="104" spans="10:11" ht="14.25" customHeight="1" x14ac:dyDescent="0.45">
      <c r="J104" s="69"/>
      <c r="K104" s="69"/>
    </row>
    <row r="105" spans="10:11" ht="14.25" customHeight="1" x14ac:dyDescent="0.45">
      <c r="J105" s="69"/>
      <c r="K105" s="69"/>
    </row>
    <row r="106" spans="10:11" ht="14.25" customHeight="1" x14ac:dyDescent="0.45">
      <c r="J106" s="69"/>
      <c r="K106" s="69"/>
    </row>
    <row r="107" spans="10:11" ht="14.25" customHeight="1" x14ac:dyDescent="0.45">
      <c r="J107" s="69"/>
      <c r="K107" s="69"/>
    </row>
    <row r="108" spans="10:11" ht="14.25" customHeight="1" x14ac:dyDescent="0.45">
      <c r="J108" s="69"/>
      <c r="K108" s="69"/>
    </row>
    <row r="109" spans="10:11" ht="14.25" customHeight="1" x14ac:dyDescent="0.45">
      <c r="J109" s="69"/>
      <c r="K109" s="69"/>
    </row>
    <row r="110" spans="10:11" ht="14.25" customHeight="1" x14ac:dyDescent="0.45">
      <c r="J110" s="69"/>
      <c r="K110" s="69"/>
    </row>
    <row r="111" spans="10:11" ht="14.25" customHeight="1" x14ac:dyDescent="0.45">
      <c r="J111" s="69"/>
      <c r="K111" s="69"/>
    </row>
    <row r="112" spans="10:11" ht="14.25" customHeight="1" x14ac:dyDescent="0.45">
      <c r="J112" s="69"/>
      <c r="K112" s="69"/>
    </row>
    <row r="113" spans="10:11" ht="14.25" customHeight="1" x14ac:dyDescent="0.45">
      <c r="J113" s="69"/>
      <c r="K113" s="69"/>
    </row>
    <row r="114" spans="10:11" ht="14.25" customHeight="1" x14ac:dyDescent="0.45">
      <c r="J114" s="69"/>
      <c r="K114" s="69"/>
    </row>
    <row r="115" spans="10:11" ht="14.25" customHeight="1" x14ac:dyDescent="0.45">
      <c r="J115" s="69"/>
      <c r="K115" s="69"/>
    </row>
    <row r="116" spans="10:11" ht="14.25" customHeight="1" x14ac:dyDescent="0.45">
      <c r="J116" s="69"/>
      <c r="K116" s="69"/>
    </row>
    <row r="117" spans="10:11" ht="14.25" customHeight="1" x14ac:dyDescent="0.45">
      <c r="J117" s="69"/>
      <c r="K117" s="69"/>
    </row>
    <row r="118" spans="10:11" ht="14.25" customHeight="1" x14ac:dyDescent="0.45">
      <c r="J118" s="69"/>
      <c r="K118" s="69"/>
    </row>
    <row r="119" spans="10:11" ht="14.25" customHeight="1" x14ac:dyDescent="0.45">
      <c r="J119" s="69"/>
      <c r="K119" s="69"/>
    </row>
    <row r="120" spans="10:11" ht="14.25" customHeight="1" x14ac:dyDescent="0.45">
      <c r="J120" s="69"/>
      <c r="K120" s="69"/>
    </row>
    <row r="121" spans="10:11" ht="14.25" customHeight="1" x14ac:dyDescent="0.45">
      <c r="J121" s="69"/>
      <c r="K121" s="69"/>
    </row>
    <row r="122" spans="10:11" ht="14.25" customHeight="1" x14ac:dyDescent="0.45">
      <c r="J122" s="69"/>
      <c r="K122" s="69"/>
    </row>
    <row r="123" spans="10:11" ht="14.25" customHeight="1" x14ac:dyDescent="0.45">
      <c r="J123" s="69"/>
      <c r="K123" s="69"/>
    </row>
    <row r="124" spans="10:11" ht="14.25" customHeight="1" x14ac:dyDescent="0.45">
      <c r="J124" s="69"/>
      <c r="K124" s="69"/>
    </row>
    <row r="125" spans="10:11" ht="14.25" customHeight="1" x14ac:dyDescent="0.45">
      <c r="J125" s="69"/>
      <c r="K125" s="69"/>
    </row>
    <row r="126" spans="10:11" ht="14.25" customHeight="1" x14ac:dyDescent="0.45">
      <c r="J126" s="69"/>
      <c r="K126" s="69"/>
    </row>
    <row r="127" spans="10:11" ht="14.25" customHeight="1" x14ac:dyDescent="0.45">
      <c r="J127" s="69"/>
      <c r="K127" s="69"/>
    </row>
    <row r="128" spans="10:11" ht="14.25" customHeight="1" x14ac:dyDescent="0.45">
      <c r="J128" s="69"/>
      <c r="K128" s="69"/>
    </row>
    <row r="129" spans="10:11" ht="14.25" customHeight="1" x14ac:dyDescent="0.45">
      <c r="J129" s="69"/>
      <c r="K129" s="69"/>
    </row>
    <row r="130" spans="10:11" ht="14.25" customHeight="1" x14ac:dyDescent="0.45">
      <c r="J130" s="69"/>
      <c r="K130" s="69"/>
    </row>
    <row r="131" spans="10:11" ht="14.25" customHeight="1" x14ac:dyDescent="0.45">
      <c r="J131" s="69"/>
      <c r="K131" s="69"/>
    </row>
    <row r="132" spans="10:11" ht="14.25" customHeight="1" x14ac:dyDescent="0.45">
      <c r="J132" s="69"/>
      <c r="K132" s="69"/>
    </row>
    <row r="133" spans="10:11" ht="14.25" customHeight="1" x14ac:dyDescent="0.45">
      <c r="J133" s="69"/>
      <c r="K133" s="69"/>
    </row>
    <row r="134" spans="10:11" ht="14.25" customHeight="1" x14ac:dyDescent="0.45">
      <c r="J134" s="69"/>
      <c r="K134" s="69"/>
    </row>
    <row r="135" spans="10:11" ht="14.25" customHeight="1" x14ac:dyDescent="0.45">
      <c r="J135" s="69"/>
      <c r="K135" s="69"/>
    </row>
    <row r="136" spans="10:11" ht="14.25" customHeight="1" x14ac:dyDescent="0.45">
      <c r="J136" s="69"/>
      <c r="K136" s="69"/>
    </row>
    <row r="137" spans="10:11" ht="14.25" customHeight="1" x14ac:dyDescent="0.45">
      <c r="J137" s="69"/>
      <c r="K137" s="69"/>
    </row>
    <row r="138" spans="10:11" ht="14.25" customHeight="1" x14ac:dyDescent="0.45">
      <c r="J138" s="69"/>
      <c r="K138" s="69"/>
    </row>
    <row r="139" spans="10:11" ht="14.25" customHeight="1" x14ac:dyDescent="0.45">
      <c r="J139" s="69"/>
      <c r="K139" s="69"/>
    </row>
  </sheetData>
  <autoFilter ref="A1:H23" xr:uid="{00000000-0009-0000-0000-000007000000}"/>
  <mergeCells count="1">
    <mergeCell ref="J47:L47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37"/>
  <sheetViews>
    <sheetView topLeftCell="E1" zoomScaleNormal="100" workbookViewId="0">
      <pane ySplit="1" topLeftCell="A125" activePane="bottomLeft" state="frozen"/>
      <selection pane="bottomLeft" activeCell="L150" sqref="L150"/>
    </sheetView>
  </sheetViews>
  <sheetFormatPr defaultColWidth="8.6640625" defaultRowHeight="14.25" x14ac:dyDescent="0.45"/>
  <cols>
    <col min="1" max="1" width="11" customWidth="1"/>
    <col min="2" max="2" width="17" customWidth="1"/>
    <col min="3" max="4" width="16" customWidth="1"/>
    <col min="5" max="6" width="15" customWidth="1"/>
    <col min="7" max="8" width="11" customWidth="1"/>
    <col min="10" max="10" width="16.59765625" customWidth="1"/>
    <col min="11" max="11" width="20.265625" customWidth="1"/>
    <col min="12" max="12" width="28.73046875" customWidth="1"/>
    <col min="13" max="13" width="16" customWidth="1"/>
    <col min="14" max="14" width="17" customWidth="1"/>
    <col min="15" max="15" width="19" customWidth="1"/>
    <col min="16" max="17" width="12" customWidth="1"/>
    <col min="18" max="18" width="14" customWidth="1"/>
    <col min="19" max="19" width="17" customWidth="1"/>
    <col min="20" max="20" width="16" customWidth="1"/>
  </cols>
  <sheetData>
    <row r="1" spans="1:19" ht="33.75" customHeight="1" x14ac:dyDescent="0.45">
      <c r="A1" s="20" t="s">
        <v>106</v>
      </c>
      <c r="B1" s="20" t="s">
        <v>107</v>
      </c>
      <c r="C1" s="20" t="s">
        <v>108</v>
      </c>
      <c r="D1" s="20" t="s">
        <v>109</v>
      </c>
      <c r="E1" s="20" t="s">
        <v>110</v>
      </c>
      <c r="F1" s="20" t="s">
        <v>111</v>
      </c>
      <c r="G1" s="20" t="s">
        <v>112</v>
      </c>
      <c r="H1" s="20" t="s">
        <v>113</v>
      </c>
      <c r="J1" s="20" t="s">
        <v>40</v>
      </c>
      <c r="K1" s="20" t="s">
        <v>41</v>
      </c>
      <c r="L1" s="20" t="s">
        <v>42</v>
      </c>
      <c r="M1" s="20" t="s">
        <v>100</v>
      </c>
      <c r="N1" s="20" t="s">
        <v>101</v>
      </c>
      <c r="O1" s="20" t="s">
        <v>114</v>
      </c>
      <c r="P1" s="20" t="s">
        <v>115</v>
      </c>
      <c r="Q1" s="20" t="s">
        <v>116</v>
      </c>
      <c r="R1" s="20" t="s">
        <v>102</v>
      </c>
      <c r="S1" s="20" t="s">
        <v>103</v>
      </c>
    </row>
    <row r="2" spans="1:19" ht="14.25" customHeight="1" x14ac:dyDescent="0.45">
      <c r="A2" s="67">
        <v>56278350</v>
      </c>
      <c r="B2" s="68" t="s">
        <v>93</v>
      </c>
      <c r="C2" s="75">
        <v>75.142099999999999</v>
      </c>
      <c r="D2" s="75">
        <v>54.872</v>
      </c>
      <c r="E2" s="75">
        <v>77.209199999999996</v>
      </c>
      <c r="F2" s="75">
        <v>54.872</v>
      </c>
      <c r="G2" s="75">
        <v>33.909399999999998</v>
      </c>
      <c r="H2" s="75">
        <v>48.338000000000001</v>
      </c>
      <c r="J2" s="69">
        <f t="shared" ref="J2:J33" si="0">IFERROR(SQRT((F2-H2)^2+(E2-G2)^2),"")</f>
        <v>43.790019822329377</v>
      </c>
      <c r="K2" s="69">
        <f t="shared" ref="K2:K33" si="1">IFERROR(SQRT((D2-H2)^2+(C2-G2)^2),"")</f>
        <v>41.747199969459032</v>
      </c>
      <c r="L2">
        <f t="shared" ref="L2:L33" si="2">IFERROR(SQRT((D2-F2)^2+(C2-E2)^2),"")</f>
        <v>2.0670999999999964</v>
      </c>
      <c r="M2" s="49">
        <f t="shared" ref="M2:M33" si="3">IF(AND(AND(ISNUMBER(E2),ISNUMBER(F2)),ISNUMBER(L2),L2&gt;0),K2/L2,"")</f>
        <v>20.196023399670604</v>
      </c>
      <c r="N2" s="48">
        <f t="shared" ref="N2:N33" si="4">IF(AND(AND(ISNUMBER(E2),ISNUMBER(F2)),ISNUMBER(L2),L2&gt;0),(L2-K2)/L2,"")</f>
        <v>-19.196023399670604</v>
      </c>
      <c r="O2" s="49">
        <f t="shared" ref="O2:O33" si="5">IFERROR(IF(AND(AND(ISNUMBER(E2),ISNUMBER(F2)),SQRT((G2-E2)^2+(H2-F2)^2)&gt;0,SQRT((C2-E2)^2+(D2-F2)^2)&gt;0),((G2-E2)*(C2-E2)+(H2-F2)*(D2-F2))/(SQRT((G2-E2)^2+(H2-F2)^2)*SQRT((C2-E2)^2+(D2-F2)^2)),""),"")</f>
        <v>0.98880521579304226</v>
      </c>
      <c r="P2" s="49">
        <f t="shared" ref="P2:P33" si="6">IF(AND(ISNUMBER(G2),ISNUMBER(C2)),G2-C2,"")</f>
        <v>-41.232700000000001</v>
      </c>
      <c r="Q2" s="49">
        <f t="shared" ref="Q2:Q33" si="7">IF(AND(ISNUMBER(H2),ISNUMBER(D2)),H2-D2,"")</f>
        <v>-6.5339999999999989</v>
      </c>
      <c r="R2" s="46">
        <f t="shared" ref="R2:R33" si="8">IF(M2="","",IF(M2&lt;1,1,0))</f>
        <v>0</v>
      </c>
      <c r="S2" s="49">
        <f t="shared" ref="S2:S33" si="9">IF(AND(ISNUMBER(J2),ISNUMBER(L2),L2&gt;0),J2/L2,"")</f>
        <v>21.184277404252072</v>
      </c>
    </row>
    <row r="3" spans="1:19" ht="14.25" customHeight="1" x14ac:dyDescent="0.45">
      <c r="A3" s="67">
        <v>56278351</v>
      </c>
      <c r="B3" s="68" t="s">
        <v>93</v>
      </c>
      <c r="C3" s="75">
        <v>98.630899999999997</v>
      </c>
      <c r="D3" s="75">
        <v>49.9542</v>
      </c>
      <c r="E3" s="75">
        <v>98.671300000000002</v>
      </c>
      <c r="F3" s="75">
        <v>51.864699999999999</v>
      </c>
      <c r="G3" s="75">
        <v>36.916699999999999</v>
      </c>
      <c r="H3" s="75">
        <v>69.8001</v>
      </c>
      <c r="J3" s="69">
        <f t="shared" si="0"/>
        <v>64.306369780294716</v>
      </c>
      <c r="K3" s="69">
        <f t="shared" si="1"/>
        <v>64.826709221199863</v>
      </c>
      <c r="L3">
        <f t="shared" si="2"/>
        <v>1.910927107453342</v>
      </c>
      <c r="M3" s="49">
        <f t="shared" si="3"/>
        <v>33.924218756618743</v>
      </c>
      <c r="N3" s="48">
        <f t="shared" si="4"/>
        <v>-32.924218756618743</v>
      </c>
      <c r="O3" s="49">
        <f t="shared" si="5"/>
        <v>-0.25854051670890454</v>
      </c>
      <c r="P3" s="49">
        <f t="shared" si="6"/>
        <v>-61.714199999999998</v>
      </c>
      <c r="Q3" s="49">
        <f t="shared" si="7"/>
        <v>19.8459</v>
      </c>
      <c r="R3" s="46">
        <f t="shared" si="8"/>
        <v>0</v>
      </c>
      <c r="S3" s="49">
        <f t="shared" si="9"/>
        <v>33.651921901926784</v>
      </c>
    </row>
    <row r="4" spans="1:19" ht="14.25" customHeight="1" x14ac:dyDescent="0.45">
      <c r="A4" s="67">
        <v>56278352</v>
      </c>
      <c r="B4" s="68" t="s">
        <v>93</v>
      </c>
      <c r="C4" s="75">
        <v>81.627300000000005</v>
      </c>
      <c r="D4" s="75">
        <v>66.206500000000005</v>
      </c>
      <c r="E4" s="75">
        <v>81.627300000000005</v>
      </c>
      <c r="F4" s="75">
        <v>65.5</v>
      </c>
      <c r="G4" s="75">
        <v>23.281400000000001</v>
      </c>
      <c r="H4" s="75">
        <v>52.756100000000004</v>
      </c>
      <c r="J4" s="69">
        <f t="shared" si="0"/>
        <v>59.7214453443652</v>
      </c>
      <c r="K4" s="69">
        <f t="shared" si="1"/>
        <v>59.876183136285498</v>
      </c>
      <c r="L4">
        <f t="shared" si="2"/>
        <v>0.70650000000000546</v>
      </c>
      <c r="M4" s="49">
        <f t="shared" si="3"/>
        <v>84.750436144777126</v>
      </c>
      <c r="N4" s="48">
        <f t="shared" si="4"/>
        <v>-83.750436144777126</v>
      </c>
      <c r="O4" s="49">
        <f t="shared" si="5"/>
        <v>-0.21338900836234365</v>
      </c>
      <c r="P4" s="49">
        <f t="shared" si="6"/>
        <v>-58.3459</v>
      </c>
      <c r="Q4" s="49">
        <f t="shared" si="7"/>
        <v>-13.450400000000002</v>
      </c>
      <c r="R4" s="46">
        <f t="shared" si="8"/>
        <v>0</v>
      </c>
      <c r="S4" s="49">
        <f t="shared" si="9"/>
        <v>84.531415915590571</v>
      </c>
    </row>
    <row r="5" spans="1:19" ht="14.25" customHeight="1" x14ac:dyDescent="0.45">
      <c r="A5" s="67">
        <v>56278353</v>
      </c>
      <c r="B5" s="68" t="s">
        <v>93</v>
      </c>
      <c r="C5" s="75">
        <v>78.165999999999997</v>
      </c>
      <c r="D5" s="75">
        <v>48.7166</v>
      </c>
      <c r="E5" s="75">
        <v>78.165999999999997</v>
      </c>
      <c r="F5" s="75">
        <v>50.534500000000001</v>
      </c>
      <c r="G5" s="75">
        <v>38.246899999999997</v>
      </c>
      <c r="H5" s="75">
        <v>49.294800000000002</v>
      </c>
      <c r="J5" s="69">
        <f t="shared" si="0"/>
        <v>39.938344994503716</v>
      </c>
      <c r="K5" s="69">
        <f t="shared" si="1"/>
        <v>39.923287189934648</v>
      </c>
      <c r="L5">
        <f t="shared" si="2"/>
        <v>1.8179000000000016</v>
      </c>
      <c r="M5" s="49">
        <f t="shared" si="3"/>
        <v>21.961211942315096</v>
      </c>
      <c r="N5" s="48">
        <f t="shared" si="4"/>
        <v>-20.961211942315096</v>
      </c>
      <c r="O5" s="49">
        <f t="shared" si="5"/>
        <v>3.104034481575553E-2</v>
      </c>
      <c r="P5" s="49">
        <f t="shared" si="6"/>
        <v>-39.9191</v>
      </c>
      <c r="Q5" s="49">
        <f t="shared" si="7"/>
        <v>0.57820000000000249</v>
      </c>
      <c r="R5" s="46">
        <f t="shared" si="8"/>
        <v>0</v>
      </c>
      <c r="S5" s="49">
        <f t="shared" si="9"/>
        <v>21.969495018704922</v>
      </c>
    </row>
    <row r="6" spans="1:19" ht="14.25" customHeight="1" x14ac:dyDescent="0.45">
      <c r="A6" s="67">
        <v>56278354</v>
      </c>
      <c r="B6" s="68" t="s">
        <v>93</v>
      </c>
      <c r="C6" s="75">
        <v>81.604600000000005</v>
      </c>
      <c r="D6" s="75">
        <v>48.7166</v>
      </c>
      <c r="E6" s="75">
        <v>81.610900000000001</v>
      </c>
      <c r="F6" s="75">
        <v>50.534500000000001</v>
      </c>
      <c r="G6" s="75">
        <v>38.246899999999997</v>
      </c>
      <c r="H6" s="75">
        <v>52.739699999999999</v>
      </c>
      <c r="J6" s="69">
        <f t="shared" si="0"/>
        <v>43.420034581285172</v>
      </c>
      <c r="K6" s="69">
        <f t="shared" si="1"/>
        <v>43.543948866633592</v>
      </c>
      <c r="L6">
        <f t="shared" si="2"/>
        <v>1.8179109164092739</v>
      </c>
      <c r="M6" s="49">
        <f t="shared" si="3"/>
        <v>23.952740738606334</v>
      </c>
      <c r="N6" s="48">
        <f t="shared" si="4"/>
        <v>-22.952740738606334</v>
      </c>
      <c r="O6" s="49">
        <f t="shared" si="5"/>
        <v>-4.7326266016437836E-2</v>
      </c>
      <c r="P6" s="49">
        <f t="shared" si="6"/>
        <v>-43.357700000000008</v>
      </c>
      <c r="Q6" s="49">
        <f t="shared" si="7"/>
        <v>4.0230999999999995</v>
      </c>
      <c r="R6" s="46">
        <f t="shared" si="8"/>
        <v>0</v>
      </c>
      <c r="S6" s="49">
        <f t="shared" si="9"/>
        <v>23.884577725650136</v>
      </c>
    </row>
    <row r="7" spans="1:19" ht="14.25" customHeight="1" x14ac:dyDescent="0.45">
      <c r="A7" s="67">
        <v>56278355</v>
      </c>
      <c r="B7" s="68" t="s">
        <v>93</v>
      </c>
      <c r="C7" s="75">
        <v>91.821899999999999</v>
      </c>
      <c r="D7" s="75">
        <v>48.816899999999997</v>
      </c>
      <c r="E7" s="75">
        <v>91.617500000000007</v>
      </c>
      <c r="F7" s="75">
        <v>50.534500000000001</v>
      </c>
      <c r="G7" s="75">
        <v>38.246899999999997</v>
      </c>
      <c r="H7" s="75">
        <v>62.746299999999998</v>
      </c>
      <c r="J7" s="69">
        <f t="shared" si="0"/>
        <v>54.74987674506675</v>
      </c>
      <c r="K7" s="69">
        <f t="shared" si="1"/>
        <v>55.356199376040983</v>
      </c>
      <c r="L7">
        <f t="shared" si="2"/>
        <v>1.7297193760838816</v>
      </c>
      <c r="M7" s="49">
        <f t="shared" si="3"/>
        <v>32.002994324645016</v>
      </c>
      <c r="N7" s="48">
        <f t="shared" si="4"/>
        <v>-31.002994324645016</v>
      </c>
      <c r="O7" s="49">
        <f t="shared" si="5"/>
        <v>-0.33667677941246599</v>
      </c>
      <c r="P7" s="49">
        <f t="shared" si="6"/>
        <v>-53.575000000000003</v>
      </c>
      <c r="Q7" s="49">
        <f t="shared" si="7"/>
        <v>13.929400000000001</v>
      </c>
      <c r="R7" s="46">
        <f t="shared" si="8"/>
        <v>0</v>
      </c>
      <c r="S7" s="49">
        <f t="shared" si="9"/>
        <v>31.652461955430908</v>
      </c>
    </row>
    <row r="8" spans="1:19" ht="14.25" customHeight="1" x14ac:dyDescent="0.45">
      <c r="A8" s="67">
        <v>56278356</v>
      </c>
      <c r="B8" s="68" t="s">
        <v>93</v>
      </c>
      <c r="C8" s="75">
        <v>45.945599999999999</v>
      </c>
      <c r="D8" s="75">
        <v>45.534199999999998</v>
      </c>
      <c r="E8" s="75">
        <v>45.767699999999998</v>
      </c>
      <c r="F8" s="75">
        <v>43.118400000000001</v>
      </c>
      <c r="G8" s="75">
        <v>45.662999999999997</v>
      </c>
      <c r="H8" s="75">
        <v>16.8965</v>
      </c>
      <c r="J8" s="69">
        <f t="shared" si="0"/>
        <v>26.222109024637973</v>
      </c>
      <c r="K8" s="69">
        <f t="shared" si="1"/>
        <v>28.639094330128525</v>
      </c>
      <c r="L8">
        <f t="shared" si="2"/>
        <v>2.4223414395992955</v>
      </c>
      <c r="M8" s="49">
        <f t="shared" si="3"/>
        <v>11.82289740907294</v>
      </c>
      <c r="N8" s="48">
        <f t="shared" si="4"/>
        <v>-10.822897409072938</v>
      </c>
      <c r="O8" s="49">
        <f t="shared" si="5"/>
        <v>-0.9975848263922481</v>
      </c>
      <c r="P8" s="49">
        <f t="shared" si="6"/>
        <v>-0.28260000000000218</v>
      </c>
      <c r="Q8" s="49">
        <f t="shared" si="7"/>
        <v>-28.637699999999999</v>
      </c>
      <c r="R8" s="46">
        <f t="shared" si="8"/>
        <v>0</v>
      </c>
      <c r="S8" s="49">
        <f t="shared" si="9"/>
        <v>10.825108548271231</v>
      </c>
    </row>
    <row r="9" spans="1:19" ht="14.25" customHeight="1" x14ac:dyDescent="0.45">
      <c r="A9" s="67">
        <v>56278357</v>
      </c>
      <c r="B9" s="68" t="s">
        <v>93</v>
      </c>
      <c r="C9" s="75">
        <v>66.765100000000004</v>
      </c>
      <c r="D9" s="75">
        <v>45.534199999999998</v>
      </c>
      <c r="E9" s="75">
        <v>66.765100000000004</v>
      </c>
      <c r="F9" s="75">
        <v>43.118400000000001</v>
      </c>
      <c r="G9" s="75">
        <v>45.662999999999997</v>
      </c>
      <c r="H9" s="75">
        <v>37.893900000000002</v>
      </c>
      <c r="J9" s="69">
        <f t="shared" si="0"/>
        <v>21.739227784353343</v>
      </c>
      <c r="K9" s="69">
        <f t="shared" si="1"/>
        <v>22.442656003690832</v>
      </c>
      <c r="L9">
        <f t="shared" si="2"/>
        <v>2.4157999999999973</v>
      </c>
      <c r="M9" s="49">
        <f t="shared" si="3"/>
        <v>9.2899478448923158</v>
      </c>
      <c r="N9" s="48">
        <f t="shared" si="4"/>
        <v>-8.2899478448923158</v>
      </c>
      <c r="O9" s="49">
        <f t="shared" si="5"/>
        <v>-0.24032592380122614</v>
      </c>
      <c r="P9" s="49">
        <f t="shared" si="6"/>
        <v>-21.102100000000007</v>
      </c>
      <c r="Q9" s="49">
        <f t="shared" si="7"/>
        <v>-7.6402999999999963</v>
      </c>
      <c r="R9" s="46">
        <f t="shared" si="8"/>
        <v>0</v>
      </c>
      <c r="S9" s="49">
        <f t="shared" si="9"/>
        <v>8.9987696764439793</v>
      </c>
    </row>
    <row r="10" spans="1:19" ht="14.25" customHeight="1" x14ac:dyDescent="0.45">
      <c r="A10" s="67">
        <v>56278358</v>
      </c>
      <c r="B10" s="68" t="s">
        <v>93</v>
      </c>
      <c r="C10" s="75">
        <v>87.922300000000007</v>
      </c>
      <c r="D10" s="75">
        <v>45.534199999999998</v>
      </c>
      <c r="E10" s="75">
        <v>87.762500000000003</v>
      </c>
      <c r="F10" s="75">
        <v>43.118400000000001</v>
      </c>
      <c r="G10" s="75">
        <v>45.662999999999997</v>
      </c>
      <c r="H10" s="75">
        <v>58.891300000000001</v>
      </c>
      <c r="J10" s="69">
        <f t="shared" si="0"/>
        <v>44.957227168276297</v>
      </c>
      <c r="K10" s="69">
        <f t="shared" si="1"/>
        <v>44.319979206899468</v>
      </c>
      <c r="L10">
        <f t="shared" si="2"/>
        <v>2.4210794452062054</v>
      </c>
      <c r="M10" s="49">
        <f t="shared" si="3"/>
        <v>18.305875626945689</v>
      </c>
      <c r="N10" s="48">
        <f t="shared" si="4"/>
        <v>-17.305875626945692</v>
      </c>
      <c r="O10" s="49">
        <f t="shared" si="5"/>
        <v>0.28826924851983965</v>
      </c>
      <c r="P10" s="49">
        <f t="shared" si="6"/>
        <v>-42.25930000000001</v>
      </c>
      <c r="Q10" s="49">
        <f t="shared" si="7"/>
        <v>13.357100000000003</v>
      </c>
      <c r="R10" s="46">
        <f t="shared" si="8"/>
        <v>0</v>
      </c>
      <c r="S10" s="49">
        <f t="shared" si="9"/>
        <v>18.569083826345587</v>
      </c>
    </row>
    <row r="11" spans="1:19" ht="14.25" customHeight="1" x14ac:dyDescent="0.45">
      <c r="A11" s="67">
        <v>56278359</v>
      </c>
      <c r="B11" s="68" t="s">
        <v>93</v>
      </c>
      <c r="C11" s="75">
        <v>61.620600000000003</v>
      </c>
      <c r="D11" s="75">
        <v>63.754800000000003</v>
      </c>
      <c r="E11" s="75">
        <v>61.6798</v>
      </c>
      <c r="F11" s="75">
        <v>61.9968</v>
      </c>
      <c r="G11" s="75">
        <v>26.784600000000001</v>
      </c>
      <c r="H11" s="75">
        <v>32.808599999999998</v>
      </c>
      <c r="J11" s="69">
        <f t="shared" si="0"/>
        <v>45.493142365415913</v>
      </c>
      <c r="K11" s="69">
        <f t="shared" si="1"/>
        <v>46.596289449268383</v>
      </c>
      <c r="L11">
        <f t="shared" si="2"/>
        <v>1.7589964866366303</v>
      </c>
      <c r="M11" s="49">
        <f t="shared" si="3"/>
        <v>26.490268629453006</v>
      </c>
      <c r="N11" s="48">
        <f t="shared" si="4"/>
        <v>-25.490268629453006</v>
      </c>
      <c r="O11" s="49">
        <f t="shared" si="5"/>
        <v>-0.61541687196500516</v>
      </c>
      <c r="P11" s="49">
        <f t="shared" si="6"/>
        <v>-34.835999999999999</v>
      </c>
      <c r="Q11" s="49">
        <f t="shared" si="7"/>
        <v>-30.946200000000005</v>
      </c>
      <c r="R11" s="46">
        <f t="shared" si="8"/>
        <v>0</v>
      </c>
      <c r="S11" s="49">
        <f t="shared" si="9"/>
        <v>25.863122928916791</v>
      </c>
    </row>
    <row r="12" spans="1:19" ht="14.25" customHeight="1" x14ac:dyDescent="0.45">
      <c r="A12" s="67">
        <v>56278360</v>
      </c>
      <c r="B12" s="68" t="s">
        <v>93</v>
      </c>
      <c r="C12" s="75">
        <v>66.990499999999997</v>
      </c>
      <c r="D12" s="75">
        <v>50.701999999999998</v>
      </c>
      <c r="E12" s="75">
        <v>68.077399999999997</v>
      </c>
      <c r="F12" s="75">
        <v>48.682299999999998</v>
      </c>
      <c r="G12" s="75">
        <v>40.0991</v>
      </c>
      <c r="H12" s="75">
        <v>39.206200000000003</v>
      </c>
      <c r="J12" s="69">
        <f t="shared" si="0"/>
        <v>29.539494614837267</v>
      </c>
      <c r="K12" s="69">
        <f t="shared" si="1"/>
        <v>29.245526351905511</v>
      </c>
      <c r="L12">
        <f t="shared" si="2"/>
        <v>2.293586645409325</v>
      </c>
      <c r="M12" s="49">
        <f t="shared" si="3"/>
        <v>12.751001323817967</v>
      </c>
      <c r="N12" s="48">
        <f t="shared" si="4"/>
        <v>-11.751001323817967</v>
      </c>
      <c r="O12" s="49">
        <f t="shared" si="5"/>
        <v>0.1663542997419061</v>
      </c>
      <c r="P12" s="49">
        <f t="shared" si="6"/>
        <v>-26.891399999999997</v>
      </c>
      <c r="Q12" s="49">
        <f t="shared" si="7"/>
        <v>-11.495799999999996</v>
      </c>
      <c r="R12" s="46">
        <f t="shared" si="8"/>
        <v>0</v>
      </c>
      <c r="S12" s="49">
        <f t="shared" si="9"/>
        <v>12.879171002308265</v>
      </c>
    </row>
    <row r="13" spans="1:19" ht="14.25" customHeight="1" x14ac:dyDescent="0.45">
      <c r="A13" s="67">
        <v>56278361</v>
      </c>
      <c r="B13" s="68" t="s">
        <v>93</v>
      </c>
      <c r="C13" s="75">
        <v>84.610299999999995</v>
      </c>
      <c r="D13" s="75">
        <v>48.600900000000003</v>
      </c>
      <c r="E13" s="75">
        <v>86.614199999999997</v>
      </c>
      <c r="F13" s="75">
        <v>48.682299999999998</v>
      </c>
      <c r="G13" s="75">
        <v>40.0991</v>
      </c>
      <c r="H13" s="75">
        <v>57.743000000000002</v>
      </c>
      <c r="J13" s="69">
        <f t="shared" si="0"/>
        <v>47.389353366552704</v>
      </c>
      <c r="K13" s="69">
        <f t="shared" si="1"/>
        <v>45.440344605317414</v>
      </c>
      <c r="L13">
        <f t="shared" si="2"/>
        <v>2.0055525847007867</v>
      </c>
      <c r="M13" s="49">
        <f t="shared" si="3"/>
        <v>22.657269099776194</v>
      </c>
      <c r="N13" s="48">
        <f t="shared" si="4"/>
        <v>-21.657269099776194</v>
      </c>
      <c r="O13" s="49">
        <f t="shared" si="5"/>
        <v>0.97298271773743628</v>
      </c>
      <c r="P13" s="49">
        <f t="shared" si="6"/>
        <v>-44.511199999999995</v>
      </c>
      <c r="Q13" s="49">
        <f t="shared" si="7"/>
        <v>9.1420999999999992</v>
      </c>
      <c r="R13" s="46">
        <f t="shared" si="8"/>
        <v>0</v>
      </c>
      <c r="S13" s="49">
        <f t="shared" si="9"/>
        <v>23.629075461824822</v>
      </c>
    </row>
    <row r="14" spans="1:19" ht="14.25" customHeight="1" x14ac:dyDescent="0.45">
      <c r="A14" s="67">
        <v>56278362</v>
      </c>
      <c r="B14" s="68" t="s">
        <v>93</v>
      </c>
      <c r="C14" s="75">
        <v>90.972999999999999</v>
      </c>
      <c r="D14" s="75">
        <v>54.798200000000001</v>
      </c>
      <c r="E14" s="75">
        <v>90.988799999999998</v>
      </c>
      <c r="F14" s="75">
        <v>54.954099999999997</v>
      </c>
      <c r="G14" s="75">
        <v>33.827300000000001</v>
      </c>
      <c r="H14" s="75">
        <v>62.117600000000003</v>
      </c>
      <c r="J14" s="69">
        <f t="shared" si="0"/>
        <v>57.608617536788707</v>
      </c>
      <c r="K14" s="69">
        <f t="shared" si="1"/>
        <v>57.612538955074697</v>
      </c>
      <c r="L14">
        <f t="shared" si="2"/>
        <v>0.15669859603710096</v>
      </c>
      <c r="M14" s="49">
        <f t="shared" si="3"/>
        <v>367.66467863843519</v>
      </c>
      <c r="N14" s="48">
        <f t="shared" si="4"/>
        <v>-366.66467863843519</v>
      </c>
      <c r="O14" s="49">
        <f t="shared" si="5"/>
        <v>-2.366605356985638E-2</v>
      </c>
      <c r="P14" s="49">
        <f t="shared" si="6"/>
        <v>-57.145699999999998</v>
      </c>
      <c r="Q14" s="49">
        <f t="shared" si="7"/>
        <v>7.3194000000000017</v>
      </c>
      <c r="R14" s="46">
        <f t="shared" si="8"/>
        <v>0</v>
      </c>
      <c r="S14" s="49">
        <f t="shared" si="9"/>
        <v>367.6396534092043</v>
      </c>
    </row>
    <row r="15" spans="1:19" ht="14.25" customHeight="1" x14ac:dyDescent="0.45">
      <c r="A15" s="67">
        <v>56278363</v>
      </c>
      <c r="B15" s="68" t="s">
        <v>93</v>
      </c>
      <c r="C15" s="75">
        <v>107.0385</v>
      </c>
      <c r="D15" s="75">
        <v>49.037199999999999</v>
      </c>
      <c r="E15" s="75">
        <v>104.0609</v>
      </c>
      <c r="F15" s="75">
        <v>47.818199999999997</v>
      </c>
      <c r="G15" s="75">
        <v>40.963200000000001</v>
      </c>
      <c r="H15" s="75">
        <v>75.189700000000002</v>
      </c>
      <c r="J15" s="69">
        <f t="shared" si="0"/>
        <v>68.778766763733131</v>
      </c>
      <c r="K15" s="69">
        <f t="shared" si="1"/>
        <v>71.062638047992564</v>
      </c>
      <c r="L15">
        <f t="shared" si="2"/>
        <v>3.2174621613936623</v>
      </c>
      <c r="M15" s="49">
        <f t="shared" si="3"/>
        <v>22.086549734966074</v>
      </c>
      <c r="N15" s="48">
        <f t="shared" si="4"/>
        <v>-21.086549734966074</v>
      </c>
      <c r="O15" s="49">
        <f t="shared" si="5"/>
        <v>-0.69823174461893123</v>
      </c>
      <c r="P15" s="49">
        <f t="shared" si="6"/>
        <v>-66.075299999999999</v>
      </c>
      <c r="Q15" s="49">
        <f t="shared" si="7"/>
        <v>26.152500000000003</v>
      </c>
      <c r="R15" s="46">
        <f t="shared" si="8"/>
        <v>0</v>
      </c>
      <c r="S15" s="49">
        <f t="shared" si="9"/>
        <v>21.376713482138111</v>
      </c>
    </row>
    <row r="16" spans="1:19" ht="14.25" customHeight="1" x14ac:dyDescent="0.45">
      <c r="A16" s="70">
        <v>56278364</v>
      </c>
      <c r="B16" s="71" t="s">
        <v>55</v>
      </c>
      <c r="C16" s="78">
        <v>42.9377</v>
      </c>
      <c r="D16" s="78">
        <v>18.7302</v>
      </c>
      <c r="E16" s="78">
        <v>44.095399999999998</v>
      </c>
      <c r="F16" s="78">
        <v>21.651900000000001</v>
      </c>
      <c r="G16" s="78">
        <v>67.129499999999993</v>
      </c>
      <c r="H16" s="78">
        <v>15.2242</v>
      </c>
      <c r="J16" s="69">
        <f t="shared" si="0"/>
        <v>23.914119053396046</v>
      </c>
      <c r="K16" s="69">
        <f t="shared" si="1"/>
        <v>24.444533606514149</v>
      </c>
      <c r="L16">
        <f t="shared" si="2"/>
        <v>3.1427058691516145</v>
      </c>
      <c r="M16" s="49">
        <f t="shared" si="3"/>
        <v>7.7781805311335246</v>
      </c>
      <c r="N16" s="48">
        <f t="shared" si="4"/>
        <v>-6.7781805311335237</v>
      </c>
      <c r="O16" s="49">
        <f t="shared" si="5"/>
        <v>-0.10493995130792329</v>
      </c>
      <c r="P16" s="49">
        <f t="shared" si="6"/>
        <v>24.191799999999994</v>
      </c>
      <c r="Q16" s="49">
        <f t="shared" si="7"/>
        <v>-3.5060000000000002</v>
      </c>
      <c r="R16" s="46">
        <f t="shared" si="8"/>
        <v>0</v>
      </c>
      <c r="S16" s="49">
        <f t="shared" si="9"/>
        <v>7.6094041405954904</v>
      </c>
    </row>
    <row r="17" spans="1:19" ht="14.25" customHeight="1" x14ac:dyDescent="0.45">
      <c r="A17" s="70">
        <v>56278365</v>
      </c>
      <c r="B17" s="71" t="s">
        <v>55</v>
      </c>
      <c r="C17" s="78">
        <v>112.7312</v>
      </c>
      <c r="D17" s="78">
        <v>11.504799999999999</v>
      </c>
      <c r="E17" s="78">
        <v>114</v>
      </c>
      <c r="F17" s="78">
        <v>11.504799999999999</v>
      </c>
      <c r="G17" s="78">
        <v>77.276600000000002</v>
      </c>
      <c r="H17" s="78">
        <v>85.128799999999998</v>
      </c>
      <c r="J17" s="69">
        <f t="shared" si="0"/>
        <v>82.274549427875925</v>
      </c>
      <c r="K17" s="69">
        <f t="shared" si="1"/>
        <v>81.716106350951392</v>
      </c>
      <c r="L17">
        <f t="shared" si="2"/>
        <v>1.2687999999999988</v>
      </c>
      <c r="M17" s="49">
        <f t="shared" si="3"/>
        <v>64.404245232464902</v>
      </c>
      <c r="N17" s="48">
        <f t="shared" si="4"/>
        <v>-63.404245232464902</v>
      </c>
      <c r="O17" s="49">
        <f t="shared" si="5"/>
        <v>0.44635188226940958</v>
      </c>
      <c r="P17" s="49">
        <f t="shared" si="6"/>
        <v>-35.454599999999999</v>
      </c>
      <c r="Q17" s="49">
        <f t="shared" si="7"/>
        <v>73.623999999999995</v>
      </c>
      <c r="R17" s="46">
        <f t="shared" si="8"/>
        <v>0</v>
      </c>
      <c r="S17" s="49">
        <f t="shared" si="9"/>
        <v>64.844380066106552</v>
      </c>
    </row>
    <row r="18" spans="1:19" ht="14.25" customHeight="1" x14ac:dyDescent="0.45">
      <c r="A18" s="70">
        <v>56278366</v>
      </c>
      <c r="B18" s="71" t="s">
        <v>55</v>
      </c>
      <c r="C18" s="78">
        <v>112.7312</v>
      </c>
      <c r="D18" s="78">
        <v>11.504799999999999</v>
      </c>
      <c r="E18" s="78">
        <v>114</v>
      </c>
      <c r="F18" s="78">
        <v>11.504799999999999</v>
      </c>
      <c r="G18" s="78">
        <v>77.276600000000002</v>
      </c>
      <c r="H18" s="78">
        <v>85.128799999999998</v>
      </c>
      <c r="J18" s="69">
        <f t="shared" si="0"/>
        <v>82.274549427875925</v>
      </c>
      <c r="K18" s="69">
        <f t="shared" si="1"/>
        <v>81.716106350951392</v>
      </c>
      <c r="L18">
        <f t="shared" si="2"/>
        <v>1.2687999999999988</v>
      </c>
      <c r="M18" s="49">
        <f t="shared" si="3"/>
        <v>64.404245232464902</v>
      </c>
      <c r="N18" s="48">
        <f t="shared" si="4"/>
        <v>-63.404245232464902</v>
      </c>
      <c r="O18" s="49">
        <f t="shared" si="5"/>
        <v>0.44635188226940958</v>
      </c>
      <c r="P18" s="49">
        <f t="shared" si="6"/>
        <v>-35.454599999999999</v>
      </c>
      <c r="Q18" s="49">
        <f t="shared" si="7"/>
        <v>73.623999999999995</v>
      </c>
      <c r="R18" s="46">
        <f t="shared" si="8"/>
        <v>0</v>
      </c>
      <c r="S18" s="49">
        <f t="shared" si="9"/>
        <v>64.844380066106552</v>
      </c>
    </row>
    <row r="19" spans="1:19" ht="14.25" customHeight="1" x14ac:dyDescent="0.45">
      <c r="A19" s="76">
        <v>56278382</v>
      </c>
      <c r="B19" s="77" t="s">
        <v>94</v>
      </c>
      <c r="C19">
        <v>70.703199999999995</v>
      </c>
      <c r="D19">
        <v>45.51</v>
      </c>
      <c r="E19">
        <v>73.162700000000001</v>
      </c>
      <c r="F19">
        <v>44.619399999999999</v>
      </c>
      <c r="G19">
        <v>73.494100000000003</v>
      </c>
      <c r="H19">
        <v>45.755600000000001</v>
      </c>
      <c r="J19" s="69">
        <f t="shared" si="0"/>
        <v>1.1835440000270403</v>
      </c>
      <c r="K19" s="69">
        <f t="shared" si="1"/>
        <v>2.8016855944234793</v>
      </c>
      <c r="L19">
        <f t="shared" si="2"/>
        <v>2.6157806884370154</v>
      </c>
      <c r="M19" s="49">
        <f t="shared" si="3"/>
        <v>1.071070524684371</v>
      </c>
      <c r="N19" s="48">
        <f t="shared" si="4"/>
        <v>-7.1070524684371014E-2</v>
      </c>
      <c r="O19" s="49">
        <f t="shared" si="5"/>
        <v>6.3575037273989693E-2</v>
      </c>
      <c r="P19" s="49">
        <f t="shared" si="6"/>
        <v>2.7909000000000077</v>
      </c>
      <c r="Q19" s="49">
        <f t="shared" si="7"/>
        <v>0.24560000000000315</v>
      </c>
      <c r="R19" s="46">
        <f t="shared" si="8"/>
        <v>0</v>
      </c>
      <c r="S19" s="49">
        <f t="shared" si="9"/>
        <v>0.45246300856140698</v>
      </c>
    </row>
    <row r="20" spans="1:19" ht="14.25" customHeight="1" x14ac:dyDescent="0.45">
      <c r="A20" s="76">
        <v>56278384</v>
      </c>
      <c r="B20" s="77" t="s">
        <v>94</v>
      </c>
      <c r="C20">
        <v>70.703199999999995</v>
      </c>
      <c r="D20">
        <v>43.84</v>
      </c>
      <c r="E20">
        <v>73.162700000000001</v>
      </c>
      <c r="F20">
        <v>44.619399999999999</v>
      </c>
      <c r="G20">
        <v>73.494100000000003</v>
      </c>
      <c r="H20">
        <v>45.755600000000001</v>
      </c>
      <c r="J20" s="69">
        <f t="shared" si="0"/>
        <v>1.1835440000270403</v>
      </c>
      <c r="K20" s="69">
        <f t="shared" si="1"/>
        <v>3.385062210654338</v>
      </c>
      <c r="L20">
        <f t="shared" si="2"/>
        <v>2.5800396527960614</v>
      </c>
      <c r="M20" s="49">
        <f t="shared" si="3"/>
        <v>1.3120194517110817</v>
      </c>
      <c r="N20" s="48">
        <f t="shared" si="4"/>
        <v>-0.31201945171108164</v>
      </c>
      <c r="O20" s="49">
        <f t="shared" si="5"/>
        <v>-0.5569288374934277</v>
      </c>
      <c r="P20" s="49">
        <f t="shared" si="6"/>
        <v>2.7909000000000077</v>
      </c>
      <c r="Q20" s="49">
        <f t="shared" si="7"/>
        <v>1.9155999999999977</v>
      </c>
      <c r="R20" s="46">
        <f t="shared" si="8"/>
        <v>0</v>
      </c>
      <c r="S20" s="49">
        <f t="shared" si="9"/>
        <v>0.45873093413289229</v>
      </c>
    </row>
    <row r="21" spans="1:19" ht="14.25" customHeight="1" x14ac:dyDescent="0.45">
      <c r="A21" s="76">
        <v>56278385</v>
      </c>
      <c r="B21" s="77" t="s">
        <v>94</v>
      </c>
      <c r="C21">
        <v>94.206800000000001</v>
      </c>
      <c r="D21">
        <v>45.51</v>
      </c>
      <c r="E21">
        <v>93.799199999999999</v>
      </c>
      <c r="F21">
        <v>44.619399999999999</v>
      </c>
      <c r="G21">
        <v>94.130600000000001</v>
      </c>
      <c r="H21">
        <v>45.755600000000001</v>
      </c>
      <c r="J21" s="69">
        <f t="shared" si="0"/>
        <v>1.1835440000270403</v>
      </c>
      <c r="K21" s="69">
        <f t="shared" si="1"/>
        <v>0.25714937293332363</v>
      </c>
      <c r="L21">
        <f t="shared" si="2"/>
        <v>0.97944173895132747</v>
      </c>
      <c r="M21" s="49">
        <f t="shared" si="3"/>
        <v>0.26254688023470324</v>
      </c>
      <c r="N21" s="48">
        <f t="shared" si="4"/>
        <v>0.73745311976529682</v>
      </c>
      <c r="O21" s="49">
        <f t="shared" si="5"/>
        <v>0.98944625369745387</v>
      </c>
      <c r="P21" s="49">
        <f t="shared" si="6"/>
        <v>-7.6200000000000045E-2</v>
      </c>
      <c r="Q21" s="49">
        <f t="shared" si="7"/>
        <v>0.24560000000000315</v>
      </c>
      <c r="R21" s="46">
        <f t="shared" si="8"/>
        <v>1</v>
      </c>
      <c r="S21" s="49">
        <f t="shared" si="9"/>
        <v>1.2083863214714965</v>
      </c>
    </row>
    <row r="22" spans="1:19" ht="14.25" customHeight="1" x14ac:dyDescent="0.45">
      <c r="A22" s="76">
        <v>56278386</v>
      </c>
      <c r="B22" s="77" t="s">
        <v>94</v>
      </c>
      <c r="C22">
        <v>94.206800000000001</v>
      </c>
      <c r="D22">
        <v>43.84</v>
      </c>
      <c r="E22">
        <v>93.799199999999999</v>
      </c>
      <c r="F22">
        <v>44.619399999999999</v>
      </c>
      <c r="G22">
        <v>94.130600000000001</v>
      </c>
      <c r="H22">
        <v>45.755600000000001</v>
      </c>
      <c r="J22" s="69">
        <f t="shared" si="0"/>
        <v>1.1835440000270403</v>
      </c>
      <c r="K22" s="69">
        <f t="shared" si="1"/>
        <v>1.9171149678618629</v>
      </c>
      <c r="L22">
        <f t="shared" si="2"/>
        <v>0.87954654225913176</v>
      </c>
      <c r="M22" s="49">
        <f t="shared" si="3"/>
        <v>2.1796629009963668</v>
      </c>
      <c r="N22" s="48">
        <f t="shared" si="4"/>
        <v>-1.1796629009963671</v>
      </c>
      <c r="O22" s="49">
        <f t="shared" si="5"/>
        <v>-0.7209304448376721</v>
      </c>
      <c r="P22" s="49">
        <f t="shared" si="6"/>
        <v>-7.6200000000000045E-2</v>
      </c>
      <c r="Q22" s="49">
        <f t="shared" si="7"/>
        <v>1.9155999999999977</v>
      </c>
      <c r="R22" s="46">
        <f t="shared" si="8"/>
        <v>0</v>
      </c>
      <c r="S22" s="49">
        <f t="shared" si="9"/>
        <v>1.3456297571099369</v>
      </c>
    </row>
    <row r="23" spans="1:19" ht="14.25" customHeight="1" x14ac:dyDescent="0.45">
      <c r="A23" s="76">
        <v>56278387</v>
      </c>
      <c r="B23" s="77" t="s">
        <v>94</v>
      </c>
      <c r="C23">
        <v>52.753399999999999</v>
      </c>
      <c r="D23">
        <v>45.51</v>
      </c>
      <c r="E23">
        <v>52.493400000000001</v>
      </c>
      <c r="F23">
        <v>44.619399999999999</v>
      </c>
      <c r="G23">
        <v>52.753399999999999</v>
      </c>
      <c r="H23">
        <v>45.755600000000001</v>
      </c>
      <c r="J23" s="69">
        <f t="shared" si="0"/>
        <v>1.1655687195528217</v>
      </c>
      <c r="K23" s="69">
        <f t="shared" si="1"/>
        <v>0.24560000000000315</v>
      </c>
      <c r="L23">
        <f t="shared" si="2"/>
        <v>0.92777602900699996</v>
      </c>
      <c r="M23" s="49">
        <f t="shared" si="3"/>
        <v>0.26471906184391203</v>
      </c>
      <c r="N23" s="48">
        <f t="shared" si="4"/>
        <v>0.73528093815608797</v>
      </c>
      <c r="O23" s="49">
        <f t="shared" si="5"/>
        <v>0.99825502003141064</v>
      </c>
      <c r="P23" s="49">
        <f t="shared" si="6"/>
        <v>0</v>
      </c>
      <c r="Q23" s="49">
        <f t="shared" si="7"/>
        <v>0.24560000000000315</v>
      </c>
      <c r="R23" s="46">
        <f t="shared" si="8"/>
        <v>1</v>
      </c>
      <c r="S23" s="49">
        <f t="shared" si="9"/>
        <v>1.2563039818999544</v>
      </c>
    </row>
    <row r="24" spans="1:19" ht="14.25" customHeight="1" x14ac:dyDescent="0.45">
      <c r="A24" s="76">
        <v>56278388</v>
      </c>
      <c r="B24" s="77" t="s">
        <v>94</v>
      </c>
      <c r="C24">
        <v>52.753399999999999</v>
      </c>
      <c r="D24">
        <v>43.84</v>
      </c>
      <c r="E24">
        <v>52.493400000000001</v>
      </c>
      <c r="F24">
        <v>44.619399999999999</v>
      </c>
      <c r="G24">
        <v>52.753399999999999</v>
      </c>
      <c r="H24">
        <v>45.755600000000001</v>
      </c>
      <c r="J24" s="69">
        <f t="shared" si="0"/>
        <v>1.1655687195528217</v>
      </c>
      <c r="K24" s="69">
        <f t="shared" si="1"/>
        <v>1.9155999999999977</v>
      </c>
      <c r="L24">
        <f t="shared" si="2"/>
        <v>0.8216230035728016</v>
      </c>
      <c r="M24" s="49">
        <f t="shared" si="3"/>
        <v>2.3314829205974905</v>
      </c>
      <c r="N24" s="48">
        <f t="shared" si="4"/>
        <v>-1.3314829205974903</v>
      </c>
      <c r="O24" s="49">
        <f t="shared" si="5"/>
        <v>-0.85411933937521545</v>
      </c>
      <c r="P24" s="49">
        <f t="shared" si="6"/>
        <v>0</v>
      </c>
      <c r="Q24" s="49">
        <f t="shared" si="7"/>
        <v>1.9155999999999977</v>
      </c>
      <c r="R24" s="46">
        <f t="shared" si="8"/>
        <v>0</v>
      </c>
      <c r="S24" s="49">
        <f t="shared" si="9"/>
        <v>1.4186174370537132</v>
      </c>
    </row>
    <row r="25" spans="1:19" ht="14.25" customHeight="1" x14ac:dyDescent="0.45">
      <c r="A25" s="76">
        <v>56278389</v>
      </c>
      <c r="B25" s="77" t="s">
        <v>94</v>
      </c>
      <c r="C25">
        <v>101.5172</v>
      </c>
      <c r="D25">
        <v>46.932299999999998</v>
      </c>
      <c r="E25">
        <v>102.26049999999999</v>
      </c>
      <c r="F25">
        <v>47.143999999999998</v>
      </c>
      <c r="G25">
        <v>103.4556</v>
      </c>
      <c r="H25">
        <v>46.824800000000003</v>
      </c>
      <c r="J25" s="69">
        <f t="shared" si="0"/>
        <v>1.2369933912515549</v>
      </c>
      <c r="K25" s="69">
        <f t="shared" si="1"/>
        <v>1.9413785849236116</v>
      </c>
      <c r="L25">
        <f t="shared" si="2"/>
        <v>0.77285948270043658</v>
      </c>
      <c r="M25" s="49">
        <f t="shared" si="3"/>
        <v>2.5119425049172848</v>
      </c>
      <c r="N25" s="48">
        <f t="shared" si="4"/>
        <v>-1.511942504917285</v>
      </c>
      <c r="O25" s="49">
        <f t="shared" si="5"/>
        <v>-0.85849815986202238</v>
      </c>
      <c r="P25" s="49">
        <f t="shared" si="6"/>
        <v>1.9384000000000015</v>
      </c>
      <c r="Q25" s="49">
        <f t="shared" si="7"/>
        <v>-0.1074999999999946</v>
      </c>
      <c r="R25" s="46">
        <f t="shared" si="8"/>
        <v>0</v>
      </c>
      <c r="S25" s="49">
        <f t="shared" si="9"/>
        <v>1.6005411319136502</v>
      </c>
    </row>
    <row r="26" spans="1:19" ht="14.25" customHeight="1" x14ac:dyDescent="0.45">
      <c r="A26" s="76">
        <v>56278390</v>
      </c>
      <c r="B26" s="77" t="s">
        <v>94</v>
      </c>
      <c r="C26">
        <v>100.45699999999999</v>
      </c>
      <c r="D26">
        <v>57.3095</v>
      </c>
      <c r="E26">
        <v>100.80500000000001</v>
      </c>
      <c r="F26">
        <v>56.430399999999999</v>
      </c>
      <c r="G26">
        <v>101.0348</v>
      </c>
      <c r="H26">
        <v>55.055599999999998</v>
      </c>
      <c r="J26" s="69">
        <f t="shared" si="0"/>
        <v>1.3938734088861873</v>
      </c>
      <c r="K26" s="69">
        <f t="shared" si="1"/>
        <v>2.3267827681156699</v>
      </c>
      <c r="L26">
        <f t="shared" si="2"/>
        <v>0.94547385474163759</v>
      </c>
      <c r="M26" s="49">
        <f t="shared" si="3"/>
        <v>2.4609699744172113</v>
      </c>
      <c r="N26" s="48">
        <f t="shared" si="4"/>
        <v>-1.4609699744172111</v>
      </c>
      <c r="O26" s="49">
        <f t="shared" si="5"/>
        <v>-0.9777567091725391</v>
      </c>
      <c r="P26" s="49">
        <f t="shared" si="6"/>
        <v>0.57780000000001053</v>
      </c>
      <c r="Q26" s="49">
        <f t="shared" si="7"/>
        <v>-2.2539000000000016</v>
      </c>
      <c r="R26" s="46">
        <f t="shared" si="8"/>
        <v>0</v>
      </c>
      <c r="S26" s="49">
        <f t="shared" si="9"/>
        <v>1.4742590732634064</v>
      </c>
    </row>
    <row r="27" spans="1:19" ht="14.25" customHeight="1" x14ac:dyDescent="0.45">
      <c r="A27" s="76">
        <v>56278391</v>
      </c>
      <c r="B27" s="77" t="s">
        <v>94</v>
      </c>
      <c r="C27">
        <v>100.6152</v>
      </c>
      <c r="D27">
        <v>54.851999999999997</v>
      </c>
      <c r="E27">
        <v>100.80500000000001</v>
      </c>
      <c r="F27">
        <v>56.430399999999999</v>
      </c>
      <c r="G27">
        <v>101.0348</v>
      </c>
      <c r="H27">
        <v>55.055599999999998</v>
      </c>
      <c r="J27" s="69">
        <f t="shared" si="0"/>
        <v>1.3938734088861873</v>
      </c>
      <c r="K27" s="69">
        <f t="shared" si="1"/>
        <v>0.46638730685987034</v>
      </c>
      <c r="L27">
        <f t="shared" si="2"/>
        <v>1.589770612384066</v>
      </c>
      <c r="M27" s="49">
        <f t="shared" si="3"/>
        <v>0.29336767406994801</v>
      </c>
      <c r="N27" s="48">
        <f t="shared" si="4"/>
        <v>0.70663232593005199</v>
      </c>
      <c r="O27" s="49">
        <f t="shared" si="5"/>
        <v>0.95957889475980485</v>
      </c>
      <c r="P27" s="49">
        <f t="shared" si="6"/>
        <v>0.41960000000000264</v>
      </c>
      <c r="Q27" s="49">
        <f t="shared" si="7"/>
        <v>0.20360000000000156</v>
      </c>
      <c r="R27" s="46">
        <f t="shared" si="8"/>
        <v>1</v>
      </c>
      <c r="S27" s="49">
        <f t="shared" si="9"/>
        <v>0.87677643430324481</v>
      </c>
    </row>
    <row r="28" spans="1:19" ht="14.25" customHeight="1" x14ac:dyDescent="0.45">
      <c r="A28" s="76">
        <v>56278392</v>
      </c>
      <c r="B28" s="77" t="s">
        <v>94</v>
      </c>
      <c r="C28">
        <v>92.572000000000003</v>
      </c>
      <c r="D28">
        <v>51.682899999999997</v>
      </c>
      <c r="E28">
        <v>93.3399</v>
      </c>
      <c r="F28">
        <v>52.262500000000003</v>
      </c>
      <c r="G28">
        <v>94.555599999999998</v>
      </c>
      <c r="H28">
        <v>51.964300000000001</v>
      </c>
      <c r="J28" s="69">
        <f t="shared" si="0"/>
        <v>1.2517386827928569</v>
      </c>
      <c r="K28" s="69">
        <f t="shared" si="1"/>
        <v>2.0034607358268803</v>
      </c>
      <c r="L28">
        <f t="shared" si="2"/>
        <v>0.96208449213154001</v>
      </c>
      <c r="M28" s="49">
        <f t="shared" si="3"/>
        <v>2.0824166195508735</v>
      </c>
      <c r="N28" s="48">
        <f t="shared" si="4"/>
        <v>-1.0824166195508735</v>
      </c>
      <c r="O28" s="49">
        <f t="shared" si="5"/>
        <v>-0.63166401211260315</v>
      </c>
      <c r="P28" s="49">
        <f t="shared" si="6"/>
        <v>1.9835999999999956</v>
      </c>
      <c r="Q28" s="49">
        <f t="shared" si="7"/>
        <v>0.28140000000000498</v>
      </c>
      <c r="R28" s="46">
        <f t="shared" si="8"/>
        <v>0</v>
      </c>
      <c r="S28" s="49">
        <f t="shared" si="9"/>
        <v>1.3010693894665899</v>
      </c>
    </row>
    <row r="29" spans="1:19" ht="14.25" customHeight="1" x14ac:dyDescent="0.45">
      <c r="A29" s="76">
        <v>56278393</v>
      </c>
      <c r="B29" s="77" t="s">
        <v>94</v>
      </c>
      <c r="C29">
        <v>94.218999999999994</v>
      </c>
      <c r="D29">
        <v>51.682899999999997</v>
      </c>
      <c r="E29">
        <v>93.3399</v>
      </c>
      <c r="F29">
        <v>52.262500000000003</v>
      </c>
      <c r="G29">
        <v>94.555599999999998</v>
      </c>
      <c r="H29">
        <v>51.964300000000001</v>
      </c>
      <c r="J29" s="69">
        <f t="shared" si="0"/>
        <v>1.2517386827928569</v>
      </c>
      <c r="K29" s="69">
        <f t="shared" si="1"/>
        <v>0.43873171756781576</v>
      </c>
      <c r="L29">
        <f t="shared" si="2"/>
        <v>1.0529733947256201</v>
      </c>
      <c r="M29" s="49">
        <f t="shared" si="3"/>
        <v>0.41665983182997596</v>
      </c>
      <c r="N29" s="48">
        <f t="shared" si="4"/>
        <v>0.58334016817002399</v>
      </c>
      <c r="O29" s="49">
        <f t="shared" si="5"/>
        <v>0.94196799555305422</v>
      </c>
      <c r="P29" s="49">
        <f t="shared" si="6"/>
        <v>0.33660000000000423</v>
      </c>
      <c r="Q29" s="49">
        <f t="shared" si="7"/>
        <v>0.28140000000000498</v>
      </c>
      <c r="R29" s="46">
        <f t="shared" si="8"/>
        <v>1</v>
      </c>
      <c r="S29" s="49">
        <f t="shared" si="9"/>
        <v>1.1887657267152798</v>
      </c>
    </row>
    <row r="30" spans="1:19" ht="14.25" customHeight="1" x14ac:dyDescent="0.45">
      <c r="A30" s="76">
        <v>56278394</v>
      </c>
      <c r="B30" s="77" t="s">
        <v>94</v>
      </c>
      <c r="C30">
        <v>94.449799999999996</v>
      </c>
      <c r="D30">
        <v>57.3095</v>
      </c>
      <c r="E30">
        <v>92.6661</v>
      </c>
      <c r="F30">
        <v>56.430399999999999</v>
      </c>
      <c r="G30">
        <v>92.895899999999997</v>
      </c>
      <c r="H30">
        <v>55.055599999999998</v>
      </c>
      <c r="J30" s="69">
        <f t="shared" si="0"/>
        <v>1.3938734088861873</v>
      </c>
      <c r="K30" s="69">
        <f t="shared" si="1"/>
        <v>2.7376395708712282</v>
      </c>
      <c r="L30">
        <f t="shared" si="2"/>
        <v>1.9885679520700288</v>
      </c>
      <c r="M30" s="49">
        <f t="shared" si="3"/>
        <v>1.3766889725953002</v>
      </c>
      <c r="N30" s="48">
        <f t="shared" si="4"/>
        <v>-0.37668897259530026</v>
      </c>
      <c r="O30" s="49">
        <f t="shared" si="5"/>
        <v>-0.28814812218043923</v>
      </c>
      <c r="P30" s="49">
        <f t="shared" si="6"/>
        <v>-1.5538999999999987</v>
      </c>
      <c r="Q30" s="49">
        <f t="shared" si="7"/>
        <v>-2.2539000000000016</v>
      </c>
      <c r="R30" s="46">
        <f t="shared" si="8"/>
        <v>0</v>
      </c>
      <c r="S30" s="49">
        <f t="shared" si="9"/>
        <v>0.70094331321955305</v>
      </c>
    </row>
    <row r="31" spans="1:19" ht="14.25" customHeight="1" x14ac:dyDescent="0.45">
      <c r="A31" s="76">
        <v>56278395</v>
      </c>
      <c r="B31" s="77" t="s">
        <v>94</v>
      </c>
      <c r="C31">
        <v>94.449799999999996</v>
      </c>
      <c r="D31">
        <v>55.840600000000002</v>
      </c>
      <c r="E31">
        <v>92.6661</v>
      </c>
      <c r="F31">
        <v>56.430399999999999</v>
      </c>
      <c r="G31">
        <v>92.895899999999997</v>
      </c>
      <c r="H31">
        <v>55.055599999999998</v>
      </c>
      <c r="J31" s="69">
        <f t="shared" si="0"/>
        <v>1.3938734088861873</v>
      </c>
      <c r="K31" s="69">
        <f t="shared" si="1"/>
        <v>1.7409279738116685</v>
      </c>
      <c r="L31">
        <f t="shared" si="2"/>
        <v>1.8786829775137641</v>
      </c>
      <c r="M31" s="49">
        <f t="shared" si="3"/>
        <v>0.92667469426672533</v>
      </c>
      <c r="N31" s="48">
        <f t="shared" si="4"/>
        <v>7.3325305733274698E-2</v>
      </c>
      <c r="O31" s="49">
        <f t="shared" si="5"/>
        <v>0.46617648406146533</v>
      </c>
      <c r="P31" s="49">
        <f t="shared" si="6"/>
        <v>-1.5538999999999987</v>
      </c>
      <c r="Q31" s="49">
        <f t="shared" si="7"/>
        <v>-0.78500000000000369</v>
      </c>
      <c r="R31" s="46">
        <f t="shared" si="8"/>
        <v>1</v>
      </c>
      <c r="S31" s="49">
        <f t="shared" si="9"/>
        <v>0.74194178877951489</v>
      </c>
    </row>
    <row r="32" spans="1:19" ht="14.25" customHeight="1" x14ac:dyDescent="0.45">
      <c r="A32" s="76">
        <v>56278396</v>
      </c>
      <c r="B32" s="77" t="s">
        <v>94</v>
      </c>
      <c r="C32">
        <v>97.211399999999998</v>
      </c>
      <c r="D32">
        <v>51.896099999999997</v>
      </c>
      <c r="E32">
        <v>98.097099999999998</v>
      </c>
      <c r="F32">
        <v>51.047400000000003</v>
      </c>
      <c r="G32">
        <v>98.243300000000005</v>
      </c>
      <c r="H32">
        <v>52.055599999999998</v>
      </c>
      <c r="J32" s="69">
        <f t="shared" si="0"/>
        <v>1.0187451496817015</v>
      </c>
      <c r="K32" s="69">
        <f t="shared" si="1"/>
        <v>1.044154136131259</v>
      </c>
      <c r="L32">
        <f t="shared" si="2"/>
        <v>1.2266850370001214</v>
      </c>
      <c r="M32" s="49">
        <f t="shared" si="3"/>
        <v>0.85119986356461574</v>
      </c>
      <c r="N32" s="48">
        <f t="shared" si="4"/>
        <v>0.14880013643538428</v>
      </c>
      <c r="O32" s="49">
        <f t="shared" si="5"/>
        <v>0.5810850219821877</v>
      </c>
      <c r="P32" s="49">
        <f t="shared" si="6"/>
        <v>1.0319000000000074</v>
      </c>
      <c r="Q32" s="49">
        <f t="shared" si="7"/>
        <v>0.15950000000000131</v>
      </c>
      <c r="R32" s="46">
        <f t="shared" si="8"/>
        <v>1</v>
      </c>
      <c r="S32" s="49">
        <f t="shared" si="9"/>
        <v>0.83048632611763129</v>
      </c>
    </row>
    <row r="33" spans="1:19" ht="14.25" customHeight="1" x14ac:dyDescent="0.45">
      <c r="A33" s="76">
        <v>56278397</v>
      </c>
      <c r="B33" s="77" t="s">
        <v>94</v>
      </c>
      <c r="C33">
        <v>60.408799999999999</v>
      </c>
      <c r="D33">
        <v>58.179200000000002</v>
      </c>
      <c r="E33">
        <v>59.705500000000001</v>
      </c>
      <c r="F33">
        <v>58.027799999999999</v>
      </c>
      <c r="G33">
        <v>58.555599999999998</v>
      </c>
      <c r="H33">
        <v>57.798000000000002</v>
      </c>
      <c r="J33" s="69">
        <f t="shared" si="0"/>
        <v>1.1726372201154134</v>
      </c>
      <c r="K33" s="69">
        <f t="shared" si="1"/>
        <v>1.8919999154334028</v>
      </c>
      <c r="L33">
        <f t="shared" si="2"/>
        <v>0.71941146084837904</v>
      </c>
      <c r="M33" s="49">
        <f t="shared" si="3"/>
        <v>2.6299274037172378</v>
      </c>
      <c r="N33" s="48">
        <f t="shared" si="4"/>
        <v>-1.629927403717238</v>
      </c>
      <c r="O33" s="49">
        <f t="shared" si="5"/>
        <v>-0.99989062989360966</v>
      </c>
      <c r="P33" s="49">
        <f t="shared" si="6"/>
        <v>-1.8532000000000011</v>
      </c>
      <c r="Q33" s="49">
        <f t="shared" si="7"/>
        <v>-0.38119999999999976</v>
      </c>
      <c r="R33" s="46">
        <f t="shared" si="8"/>
        <v>0</v>
      </c>
      <c r="S33" s="49">
        <f t="shared" si="9"/>
        <v>1.6299951890293207</v>
      </c>
    </row>
    <row r="34" spans="1:19" ht="14.25" customHeight="1" x14ac:dyDescent="0.45">
      <c r="A34" s="76">
        <v>56278398</v>
      </c>
      <c r="B34" s="77" t="s">
        <v>94</v>
      </c>
      <c r="C34">
        <v>79.285399999999996</v>
      </c>
      <c r="D34">
        <v>52.305399999999999</v>
      </c>
      <c r="E34">
        <v>78.1738</v>
      </c>
      <c r="F34">
        <v>49.698999999999998</v>
      </c>
      <c r="G34">
        <v>77.855599999999995</v>
      </c>
      <c r="H34">
        <v>51.261299999999999</v>
      </c>
      <c r="J34" s="69">
        <f t="shared" ref="J34:J65" si="10">IFERROR(SQRT((F34-H34)^2+(E34-G34)^2),"")</f>
        <v>1.5943752789102084</v>
      </c>
      <c r="K34" s="69">
        <f t="shared" ref="K34:K65" si="11">IFERROR(SQRT((D34-H34)^2+(C34-G34)^2),"")</f>
        <v>1.770444252158198</v>
      </c>
      <c r="L34">
        <f t="shared" ref="L34:L65" si="12">IFERROR(SQRT((D34-F34)^2+(C34-E34)^2),"")</f>
        <v>2.8335446917244829</v>
      </c>
      <c r="M34" s="49">
        <f t="shared" ref="M34:M65" si="13">IF(AND(AND(ISNUMBER(E34),ISNUMBER(F34)),ISNUMBER(L34),L34&gt;0),K34/L34,"")</f>
        <v>0.62481606777859344</v>
      </c>
      <c r="N34" s="48">
        <f t="shared" ref="N34:N65" si="14">IF(AND(AND(ISNUMBER(E34),ISNUMBER(F34)),ISNUMBER(L34),L34&gt;0),(L34-K34)/L34,"")</f>
        <v>0.37518393222140661</v>
      </c>
      <c r="O34" s="49">
        <f t="shared" ref="O34:O65" si="15">IFERROR(IF(AND(AND(ISNUMBER(E34),ISNUMBER(F34)),SQRT((G34-E34)^2+(H34-F34)^2)&gt;0,SQRT((C34-E34)^2+(D34-F34)^2)&gt;0),((G34-E34)*(C34-E34)+(H34-F34)*(D34-F34))/(SQRT((G34-E34)^2+(H34-F34)^2)*SQRT((C34-E34)^2+(D34-F34)^2)),""),"")</f>
        <v>0.82303825822609433</v>
      </c>
      <c r="P34" s="49">
        <f t="shared" ref="P34:P65" si="16">IF(AND(ISNUMBER(G34),ISNUMBER(C34)),G34-C34,"")</f>
        <v>-1.4298000000000002</v>
      </c>
      <c r="Q34" s="49">
        <f t="shared" ref="Q34:Q65" si="17">IF(AND(ISNUMBER(H34),ISNUMBER(D34)),H34-D34,"")</f>
        <v>-1.0441000000000003</v>
      </c>
      <c r="R34" s="46">
        <f t="shared" ref="R34:R65" si="18">IF(M34="","",IF(M34&lt;1,1,0))</f>
        <v>1</v>
      </c>
      <c r="S34" s="49">
        <f t="shared" ref="S34:S65" si="19">IF(AND(ISNUMBER(J34),ISNUMBER(L34),L34&gt;0),J34/L34,"")</f>
        <v>0.56267871248569523</v>
      </c>
    </row>
    <row r="35" spans="1:19" ht="14.25" customHeight="1" x14ac:dyDescent="0.45">
      <c r="A35" s="76">
        <v>56278399</v>
      </c>
      <c r="B35" s="77" t="s">
        <v>94</v>
      </c>
      <c r="C35">
        <v>80.549300000000002</v>
      </c>
      <c r="D35">
        <v>52.386299999999999</v>
      </c>
      <c r="E35">
        <v>81.605999999999995</v>
      </c>
      <c r="F35">
        <v>49.704700000000003</v>
      </c>
      <c r="G35">
        <v>82.055599999999998</v>
      </c>
      <c r="H35">
        <v>54.665599999999998</v>
      </c>
      <c r="J35" s="69">
        <f t="shared" si="10"/>
        <v>4.981231671986353</v>
      </c>
      <c r="K35" s="69">
        <f t="shared" si="11"/>
        <v>2.7320593295168361</v>
      </c>
      <c r="L35">
        <f t="shared" si="12"/>
        <v>2.882289619382473</v>
      </c>
      <c r="M35" s="49">
        <f t="shared" si="13"/>
        <v>0.94787814213554866</v>
      </c>
      <c r="N35" s="48">
        <f t="shared" si="14"/>
        <v>5.2121857864451379E-2</v>
      </c>
      <c r="O35" s="49">
        <f t="shared" si="15"/>
        <v>0.89348347914713311</v>
      </c>
      <c r="P35" s="49">
        <f t="shared" si="16"/>
        <v>1.506299999999996</v>
      </c>
      <c r="Q35" s="49">
        <f t="shared" si="17"/>
        <v>2.2792999999999992</v>
      </c>
      <c r="R35" s="46">
        <f t="shared" si="18"/>
        <v>1</v>
      </c>
      <c r="S35" s="49">
        <f t="shared" si="19"/>
        <v>1.7282203837147967</v>
      </c>
    </row>
    <row r="36" spans="1:19" ht="14.25" customHeight="1" x14ac:dyDescent="0.45">
      <c r="A36" s="76">
        <v>56278400</v>
      </c>
      <c r="B36" s="77" t="s">
        <v>94</v>
      </c>
      <c r="C36">
        <v>91.847200000000001</v>
      </c>
      <c r="D36">
        <v>50.583799999999997</v>
      </c>
      <c r="E36">
        <v>91.607200000000006</v>
      </c>
      <c r="F36">
        <v>49.698999999999998</v>
      </c>
      <c r="G36">
        <v>91.905500000000004</v>
      </c>
      <c r="H36">
        <v>48.555599999999998</v>
      </c>
      <c r="J36" s="69">
        <f t="shared" si="10"/>
        <v>1.1816710413647269</v>
      </c>
      <c r="K36" s="69">
        <f t="shared" si="11"/>
        <v>2.0290377349867086</v>
      </c>
      <c r="L36">
        <f t="shared" si="12"/>
        <v>0.91677207636358282</v>
      </c>
      <c r="M36" s="49">
        <f t="shared" si="13"/>
        <v>2.2132412049840968</v>
      </c>
      <c r="N36" s="48">
        <f t="shared" si="14"/>
        <v>-1.2132412049840968</v>
      </c>
      <c r="O36" s="49">
        <f t="shared" si="15"/>
        <v>-0.8677820998012199</v>
      </c>
      <c r="P36" s="49">
        <f t="shared" si="16"/>
        <v>5.8300000000002683E-2</v>
      </c>
      <c r="Q36" s="49">
        <f t="shared" si="17"/>
        <v>-2.0281999999999982</v>
      </c>
      <c r="R36" s="46">
        <f t="shared" si="18"/>
        <v>0</v>
      </c>
      <c r="S36" s="49">
        <f t="shared" si="19"/>
        <v>1.2889474623309618</v>
      </c>
    </row>
    <row r="37" spans="1:19" ht="14.25" customHeight="1" x14ac:dyDescent="0.45">
      <c r="A37" s="76">
        <v>56278401</v>
      </c>
      <c r="B37" s="77" t="s">
        <v>94</v>
      </c>
      <c r="C37">
        <v>78.395799999999994</v>
      </c>
      <c r="D37">
        <v>50.583799999999997</v>
      </c>
      <c r="E37">
        <v>78.1738</v>
      </c>
      <c r="F37">
        <v>49.698999999999998</v>
      </c>
      <c r="G37">
        <v>77.855599999999995</v>
      </c>
      <c r="H37">
        <v>51.261299999999999</v>
      </c>
      <c r="J37" s="69">
        <f t="shared" si="10"/>
        <v>1.5943752789102084</v>
      </c>
      <c r="K37" s="69">
        <f t="shared" si="11"/>
        <v>0.8665000230813622</v>
      </c>
      <c r="L37">
        <f t="shared" si="12"/>
        <v>0.9122253230425007</v>
      </c>
      <c r="M37" s="49">
        <f t="shared" si="13"/>
        <v>0.94987499381333429</v>
      </c>
      <c r="N37" s="48">
        <f t="shared" si="14"/>
        <v>5.0125006186665738E-2</v>
      </c>
      <c r="O37" s="49">
        <f t="shared" si="15"/>
        <v>0.90185370726012859</v>
      </c>
      <c r="P37" s="49">
        <f t="shared" si="16"/>
        <v>-0.54019999999999868</v>
      </c>
      <c r="Q37" s="49">
        <f t="shared" si="17"/>
        <v>0.67750000000000199</v>
      </c>
      <c r="R37" s="46">
        <f t="shared" si="18"/>
        <v>1</v>
      </c>
      <c r="S37" s="49">
        <f t="shared" si="19"/>
        <v>1.7477866911132944</v>
      </c>
    </row>
    <row r="38" spans="1:19" ht="14.25" customHeight="1" x14ac:dyDescent="0.45">
      <c r="A38" s="76">
        <v>56278402</v>
      </c>
      <c r="B38" s="77" t="s">
        <v>94</v>
      </c>
      <c r="C38">
        <v>78.395799999999994</v>
      </c>
      <c r="D38">
        <v>50.583799999999997</v>
      </c>
      <c r="E38">
        <v>78.1738</v>
      </c>
      <c r="F38">
        <v>49.698999999999998</v>
      </c>
      <c r="G38">
        <v>77.855599999999995</v>
      </c>
      <c r="H38">
        <v>51.261299999999999</v>
      </c>
      <c r="J38" s="69">
        <f t="shared" si="10"/>
        <v>1.5943752789102084</v>
      </c>
      <c r="K38" s="69">
        <f t="shared" si="11"/>
        <v>0.8665000230813622</v>
      </c>
      <c r="L38">
        <f t="shared" si="12"/>
        <v>0.9122253230425007</v>
      </c>
      <c r="M38" s="49">
        <f t="shared" si="13"/>
        <v>0.94987499381333429</v>
      </c>
      <c r="N38" s="48">
        <f t="shared" si="14"/>
        <v>5.0125006186665738E-2</v>
      </c>
      <c r="O38" s="49">
        <f t="shared" si="15"/>
        <v>0.90185370726012859</v>
      </c>
      <c r="P38" s="49">
        <f t="shared" si="16"/>
        <v>-0.54019999999999868</v>
      </c>
      <c r="Q38" s="49">
        <f t="shared" si="17"/>
        <v>0.67750000000000199</v>
      </c>
      <c r="R38" s="46">
        <f t="shared" si="18"/>
        <v>1</v>
      </c>
      <c r="S38" s="49">
        <f t="shared" si="19"/>
        <v>1.7477866911132944</v>
      </c>
    </row>
    <row r="39" spans="1:19" ht="14.25" customHeight="1" x14ac:dyDescent="0.45">
      <c r="A39" s="76">
        <v>56278403</v>
      </c>
      <c r="B39" s="77" t="s">
        <v>94</v>
      </c>
      <c r="C39">
        <v>82.517499999999998</v>
      </c>
      <c r="D39">
        <v>52.305399999999999</v>
      </c>
      <c r="E39">
        <v>83.317700000000002</v>
      </c>
      <c r="F39">
        <v>51.5092</v>
      </c>
      <c r="G39">
        <v>83.3733</v>
      </c>
      <c r="H39">
        <v>52.270200000000003</v>
      </c>
      <c r="J39" s="69">
        <f t="shared" si="10"/>
        <v>0.76302841362560281</v>
      </c>
      <c r="K39" s="69">
        <f t="shared" si="11"/>
        <v>0.85652360154288998</v>
      </c>
      <c r="L39">
        <f t="shared" si="12"/>
        <v>1.1288288089874408</v>
      </c>
      <c r="M39" s="49">
        <f t="shared" si="13"/>
        <v>0.75877191893356399</v>
      </c>
      <c r="N39" s="48">
        <f t="shared" si="14"/>
        <v>0.24122808106643601</v>
      </c>
      <c r="O39" s="49">
        <f t="shared" si="15"/>
        <v>0.65180370681537003</v>
      </c>
      <c r="P39" s="49">
        <f t="shared" si="16"/>
        <v>0.85580000000000211</v>
      </c>
      <c r="Q39" s="49">
        <f t="shared" si="17"/>
        <v>-3.5199999999996123E-2</v>
      </c>
      <c r="R39" s="46">
        <f t="shared" si="18"/>
        <v>1</v>
      </c>
      <c r="S39" s="49">
        <f t="shared" si="19"/>
        <v>0.67594697047999608</v>
      </c>
    </row>
    <row r="40" spans="1:19" ht="14.25" customHeight="1" x14ac:dyDescent="0.45">
      <c r="A40" s="76">
        <v>56278404</v>
      </c>
      <c r="B40" s="77" t="s">
        <v>94</v>
      </c>
      <c r="C40">
        <v>83.977099999999993</v>
      </c>
      <c r="D40">
        <v>54.5685</v>
      </c>
      <c r="E40">
        <v>83.333299999999994</v>
      </c>
      <c r="F40">
        <v>54.805999999999997</v>
      </c>
      <c r="G40">
        <v>82.055599999999998</v>
      </c>
      <c r="H40">
        <v>54.665599999999998</v>
      </c>
      <c r="J40" s="69">
        <f t="shared" si="10"/>
        <v>1.2853907771568882</v>
      </c>
      <c r="K40" s="69">
        <f t="shared" si="11"/>
        <v>1.923951834116431</v>
      </c>
      <c r="L40">
        <f t="shared" si="12"/>
        <v>0.68621038319162531</v>
      </c>
      <c r="M40" s="49">
        <f t="shared" si="13"/>
        <v>2.8037346581203866</v>
      </c>
      <c r="N40" s="48">
        <f t="shared" si="14"/>
        <v>-1.8037346581203866</v>
      </c>
      <c r="O40" s="49">
        <f t="shared" si="15"/>
        <v>-0.89477875878569924</v>
      </c>
      <c r="P40" s="49">
        <f t="shared" si="16"/>
        <v>-1.9214999999999947</v>
      </c>
      <c r="Q40" s="49">
        <f t="shared" si="17"/>
        <v>9.7099999999997522E-2</v>
      </c>
      <c r="R40" s="46">
        <f t="shared" si="18"/>
        <v>0</v>
      </c>
      <c r="S40" s="49">
        <f t="shared" si="19"/>
        <v>1.8731730219213847</v>
      </c>
    </row>
    <row r="41" spans="1:19" ht="14.25" customHeight="1" x14ac:dyDescent="0.45">
      <c r="A41" s="76">
        <v>56278405</v>
      </c>
      <c r="B41" s="77" t="s">
        <v>94</v>
      </c>
      <c r="C41">
        <v>85.188400000000001</v>
      </c>
      <c r="D41">
        <v>57.173400000000001</v>
      </c>
      <c r="E41">
        <v>84.955699999999993</v>
      </c>
      <c r="F41">
        <v>56.282800000000002</v>
      </c>
      <c r="G41">
        <v>85.111699999999999</v>
      </c>
      <c r="H41">
        <v>57.455599999999997</v>
      </c>
      <c r="J41" s="69">
        <f t="shared" si="10"/>
        <v>1.1831296801280875</v>
      </c>
      <c r="K41" s="69">
        <f t="shared" si="11"/>
        <v>0.29243756598631121</v>
      </c>
      <c r="L41">
        <f t="shared" si="12"/>
        <v>0.92049858772298099</v>
      </c>
      <c r="M41" s="49">
        <f t="shared" si="13"/>
        <v>0.31769474704975725</v>
      </c>
      <c r="N41" s="48">
        <f t="shared" si="14"/>
        <v>0.6823052529502428</v>
      </c>
      <c r="O41" s="49">
        <f t="shared" si="15"/>
        <v>0.99240422954418317</v>
      </c>
      <c r="P41" s="49">
        <f t="shared" si="16"/>
        <v>-7.6700000000002433E-2</v>
      </c>
      <c r="Q41" s="49">
        <f t="shared" si="17"/>
        <v>0.28219999999999601</v>
      </c>
      <c r="R41" s="46">
        <f t="shared" si="18"/>
        <v>1</v>
      </c>
      <c r="S41" s="49">
        <f t="shared" si="19"/>
        <v>1.2853139547500794</v>
      </c>
    </row>
    <row r="42" spans="1:19" ht="14.25" customHeight="1" x14ac:dyDescent="0.45">
      <c r="A42" s="76">
        <v>56278406</v>
      </c>
      <c r="B42" s="77" t="s">
        <v>94</v>
      </c>
      <c r="C42">
        <v>85.834800000000001</v>
      </c>
      <c r="D42">
        <v>60.457900000000002</v>
      </c>
      <c r="E42">
        <v>86.578100000000006</v>
      </c>
      <c r="F42">
        <v>58.306699999999999</v>
      </c>
      <c r="G42">
        <v>85.111699999999999</v>
      </c>
      <c r="H42">
        <v>57.455599999999997</v>
      </c>
      <c r="J42" s="69">
        <f t="shared" si="10"/>
        <v>1.695494078432604</v>
      </c>
      <c r="K42" s="69">
        <f t="shared" si="11"/>
        <v>3.0881513725852292</v>
      </c>
      <c r="L42">
        <f t="shared" si="12"/>
        <v>2.2759956788183979</v>
      </c>
      <c r="M42" s="49">
        <f t="shared" si="13"/>
        <v>1.3568353408247544</v>
      </c>
      <c r="N42" s="48">
        <f t="shared" si="14"/>
        <v>-0.35683534082475438</v>
      </c>
      <c r="O42" s="49">
        <f t="shared" si="15"/>
        <v>-0.19199877126086182</v>
      </c>
      <c r="P42" s="49">
        <f t="shared" si="16"/>
        <v>-0.7231000000000023</v>
      </c>
      <c r="Q42" s="49">
        <f t="shared" si="17"/>
        <v>-3.0023000000000053</v>
      </c>
      <c r="R42" s="46">
        <f t="shared" si="18"/>
        <v>0</v>
      </c>
      <c r="S42" s="49">
        <f t="shared" si="19"/>
        <v>0.74494608852369781</v>
      </c>
    </row>
    <row r="43" spans="1:19" ht="14.25" customHeight="1" x14ac:dyDescent="0.45">
      <c r="A43" s="76">
        <v>56278407</v>
      </c>
      <c r="B43" s="77" t="s">
        <v>94</v>
      </c>
      <c r="C43">
        <v>81.822599999999994</v>
      </c>
      <c r="D43">
        <v>50.595300000000002</v>
      </c>
      <c r="E43">
        <v>81.605999999999995</v>
      </c>
      <c r="F43">
        <v>49.704700000000003</v>
      </c>
      <c r="G43">
        <v>81.835800000000006</v>
      </c>
      <c r="H43">
        <v>48.555599999999998</v>
      </c>
      <c r="J43" s="69">
        <f t="shared" si="10"/>
        <v>1.1718527424553031</v>
      </c>
      <c r="K43" s="69">
        <f t="shared" si="11"/>
        <v>2.0397427117163613</v>
      </c>
      <c r="L43">
        <f t="shared" si="12"/>
        <v>0.91656091996113298</v>
      </c>
      <c r="M43" s="49">
        <f t="shared" si="13"/>
        <v>2.2254305930945182</v>
      </c>
      <c r="N43" s="48">
        <f t="shared" si="14"/>
        <v>-1.225430593094518</v>
      </c>
      <c r="O43" s="49">
        <f t="shared" si="15"/>
        <v>-0.9064677036390788</v>
      </c>
      <c r="P43" s="49">
        <f t="shared" si="16"/>
        <v>1.3200000000011869E-2</v>
      </c>
      <c r="Q43" s="49">
        <f t="shared" si="17"/>
        <v>-2.0397000000000034</v>
      </c>
      <c r="R43" s="46">
        <f t="shared" si="18"/>
        <v>0</v>
      </c>
      <c r="S43" s="49">
        <f t="shared" si="19"/>
        <v>1.2785323014917502</v>
      </c>
    </row>
    <row r="44" spans="1:19" ht="14.25" customHeight="1" x14ac:dyDescent="0.45">
      <c r="A44" s="76">
        <v>56278408</v>
      </c>
      <c r="B44" s="77" t="s">
        <v>94</v>
      </c>
      <c r="C44">
        <v>55.573500000000003</v>
      </c>
      <c r="D44">
        <v>68.380700000000004</v>
      </c>
      <c r="E44">
        <v>54.730200000000004</v>
      </c>
      <c r="F44">
        <v>69.123999999999995</v>
      </c>
      <c r="G44">
        <v>54.96</v>
      </c>
      <c r="H44">
        <v>67.855599999999995</v>
      </c>
      <c r="J44" s="69">
        <f t="shared" si="10"/>
        <v>1.2890487190172442</v>
      </c>
      <c r="K44" s="69">
        <f t="shared" si="11"/>
        <v>0.80753468036983511</v>
      </c>
      <c r="L44">
        <f t="shared" si="12"/>
        <v>1.1241217816589024</v>
      </c>
      <c r="M44" s="49">
        <f t="shared" si="13"/>
        <v>0.71836939159574897</v>
      </c>
      <c r="N44" s="48">
        <f t="shared" si="14"/>
        <v>0.28163060840425103</v>
      </c>
      <c r="O44" s="49">
        <f t="shared" si="15"/>
        <v>0.78437171290728536</v>
      </c>
      <c r="P44" s="49">
        <f t="shared" si="16"/>
        <v>-0.61350000000000193</v>
      </c>
      <c r="Q44" s="49">
        <f t="shared" si="17"/>
        <v>-0.525100000000009</v>
      </c>
      <c r="R44" s="46">
        <f t="shared" si="18"/>
        <v>1</v>
      </c>
      <c r="S44" s="49">
        <f t="shared" si="19"/>
        <v>1.1467162544568381</v>
      </c>
    </row>
    <row r="45" spans="1:19" ht="14.25" customHeight="1" x14ac:dyDescent="0.45">
      <c r="A45" s="76">
        <v>56278409</v>
      </c>
      <c r="B45" s="77" t="s">
        <v>94</v>
      </c>
      <c r="C45">
        <v>50.988999999999997</v>
      </c>
      <c r="D45">
        <v>65.119900000000001</v>
      </c>
      <c r="E45">
        <v>54.730200000000004</v>
      </c>
      <c r="F45">
        <v>69.123999999999995</v>
      </c>
      <c r="G45">
        <v>54.96</v>
      </c>
      <c r="H45">
        <v>67.855599999999995</v>
      </c>
      <c r="J45" s="69">
        <f t="shared" si="10"/>
        <v>1.2890487190172442</v>
      </c>
      <c r="K45" s="69">
        <f t="shared" si="11"/>
        <v>4.8221256194752948</v>
      </c>
      <c r="L45">
        <f t="shared" si="12"/>
        <v>5.4799082337207068</v>
      </c>
      <c r="M45" s="49">
        <f t="shared" si="13"/>
        <v>0.87996466616033175</v>
      </c>
      <c r="N45" s="48">
        <f t="shared" si="14"/>
        <v>0.12003533383966827</v>
      </c>
      <c r="O45" s="49">
        <f t="shared" si="15"/>
        <v>0.59727507202451491</v>
      </c>
      <c r="P45" s="49">
        <f t="shared" si="16"/>
        <v>3.9710000000000036</v>
      </c>
      <c r="Q45" s="49">
        <f t="shared" si="17"/>
        <v>2.7356999999999942</v>
      </c>
      <c r="R45" s="46">
        <f t="shared" si="18"/>
        <v>1</v>
      </c>
      <c r="S45" s="49">
        <f t="shared" si="19"/>
        <v>0.23523180754835663</v>
      </c>
    </row>
    <row r="46" spans="1:19" ht="14.25" customHeight="1" x14ac:dyDescent="0.45">
      <c r="A46" s="76">
        <v>56278410</v>
      </c>
      <c r="B46" s="77" t="s">
        <v>94</v>
      </c>
      <c r="C46">
        <v>64.632300000000001</v>
      </c>
      <c r="D46">
        <v>52.565399999999997</v>
      </c>
      <c r="E46">
        <v>64.412700000000001</v>
      </c>
      <c r="F46">
        <v>53.323500000000003</v>
      </c>
      <c r="G46">
        <v>64.642499999999998</v>
      </c>
      <c r="H46">
        <v>52.055599999999998</v>
      </c>
      <c r="J46" s="69">
        <f t="shared" si="10"/>
        <v>1.2885567313859372</v>
      </c>
      <c r="K46" s="69">
        <f t="shared" si="11"/>
        <v>0.50990202980572497</v>
      </c>
      <c r="L46">
        <f t="shared" si="12"/>
        <v>0.78926533561281464</v>
      </c>
      <c r="M46" s="49">
        <f t="shared" si="13"/>
        <v>0.64604640137884461</v>
      </c>
      <c r="N46" s="48">
        <f t="shared" si="14"/>
        <v>0.35395359862115539</v>
      </c>
      <c r="O46" s="49">
        <f t="shared" si="15"/>
        <v>0.99473547515558514</v>
      </c>
      <c r="P46" s="49">
        <f t="shared" si="16"/>
        <v>1.0199999999997544E-2</v>
      </c>
      <c r="Q46" s="49">
        <f t="shared" si="17"/>
        <v>-0.50979999999999848</v>
      </c>
      <c r="R46" s="46">
        <f t="shared" si="18"/>
        <v>1</v>
      </c>
      <c r="S46" s="49">
        <f t="shared" si="19"/>
        <v>1.6326027170386932</v>
      </c>
    </row>
    <row r="47" spans="1:19" ht="14.25" customHeight="1" x14ac:dyDescent="0.45">
      <c r="A47" s="76">
        <v>56278411</v>
      </c>
      <c r="B47" s="77" t="s">
        <v>94</v>
      </c>
      <c r="C47">
        <v>60.570700000000002</v>
      </c>
      <c r="D47">
        <v>51.266300000000001</v>
      </c>
      <c r="E47">
        <v>59.695700000000002</v>
      </c>
      <c r="F47">
        <v>51.506300000000003</v>
      </c>
      <c r="G47">
        <v>58.555599999999998</v>
      </c>
      <c r="H47">
        <v>51.194899999999997</v>
      </c>
      <c r="J47" s="69">
        <f t="shared" si="10"/>
        <v>1.1818620774015944</v>
      </c>
      <c r="K47" s="69">
        <f t="shared" si="11"/>
        <v>2.0163645429336472</v>
      </c>
      <c r="L47">
        <f t="shared" si="12"/>
        <v>0.9073174747573205</v>
      </c>
      <c r="M47" s="49">
        <f t="shared" si="13"/>
        <v>2.222336281435517</v>
      </c>
      <c r="N47" s="48">
        <f t="shared" si="14"/>
        <v>-1.222336281435517</v>
      </c>
      <c r="O47" s="49">
        <f t="shared" si="15"/>
        <v>-0.86060873442290975</v>
      </c>
      <c r="P47" s="49">
        <f t="shared" si="16"/>
        <v>-2.0151000000000039</v>
      </c>
      <c r="Q47" s="49">
        <f t="shared" si="17"/>
        <v>-7.1400000000004127E-2</v>
      </c>
      <c r="R47" s="46">
        <f t="shared" si="18"/>
        <v>0</v>
      </c>
      <c r="S47" s="49">
        <f t="shared" si="19"/>
        <v>1.302589347480281</v>
      </c>
    </row>
    <row r="48" spans="1:19" ht="14.25" customHeight="1" x14ac:dyDescent="0.45">
      <c r="A48" s="76">
        <v>56278412</v>
      </c>
      <c r="B48" s="77" t="s">
        <v>94</v>
      </c>
      <c r="C48">
        <v>69.218000000000004</v>
      </c>
      <c r="D48">
        <v>48.9253</v>
      </c>
      <c r="E48">
        <v>68.074600000000004</v>
      </c>
      <c r="F48">
        <v>49.689100000000003</v>
      </c>
      <c r="G48">
        <v>68.238299999999995</v>
      </c>
      <c r="H48">
        <v>48.555599999999998</v>
      </c>
      <c r="J48" s="69">
        <f t="shared" si="10"/>
        <v>1.1452597696592721</v>
      </c>
      <c r="K48" s="69">
        <f t="shared" si="11"/>
        <v>1.0471342702824777</v>
      </c>
      <c r="L48">
        <f t="shared" si="12"/>
        <v>1.3750469082907697</v>
      </c>
      <c r="M48" s="49">
        <f t="shared" si="13"/>
        <v>0.76152621701037193</v>
      </c>
      <c r="N48" s="48">
        <f t="shared" si="14"/>
        <v>0.23847378298962801</v>
      </c>
      <c r="O48" s="49">
        <f t="shared" si="15"/>
        <v>0.66862541527038655</v>
      </c>
      <c r="P48" s="49">
        <f t="shared" si="16"/>
        <v>-0.97970000000000823</v>
      </c>
      <c r="Q48" s="49">
        <f t="shared" si="17"/>
        <v>-0.36970000000000169</v>
      </c>
      <c r="R48" s="46">
        <f t="shared" si="18"/>
        <v>1</v>
      </c>
      <c r="S48" s="49">
        <f t="shared" si="19"/>
        <v>0.83288778204873692</v>
      </c>
    </row>
    <row r="49" spans="1:19" ht="14.25" customHeight="1" x14ac:dyDescent="0.45">
      <c r="A49" s="76">
        <v>56278413</v>
      </c>
      <c r="B49" s="77" t="s">
        <v>94</v>
      </c>
      <c r="C49">
        <v>69.218000000000004</v>
      </c>
      <c r="D49">
        <v>50.564100000000003</v>
      </c>
      <c r="E49">
        <v>68.074600000000004</v>
      </c>
      <c r="F49">
        <v>49.689100000000003</v>
      </c>
      <c r="G49">
        <v>68.238299999999995</v>
      </c>
      <c r="H49">
        <v>48.555599999999998</v>
      </c>
      <c r="J49" s="69">
        <f t="shared" si="10"/>
        <v>1.1452597696592721</v>
      </c>
      <c r="K49" s="69">
        <f t="shared" si="11"/>
        <v>2.2347000559359271</v>
      </c>
      <c r="L49">
        <f t="shared" si="12"/>
        <v>1.439787678791564</v>
      </c>
      <c r="M49" s="49">
        <f t="shared" si="13"/>
        <v>1.552103889242576</v>
      </c>
      <c r="N49" s="48">
        <f t="shared" si="14"/>
        <v>-0.55210388924257592</v>
      </c>
      <c r="O49" s="49">
        <f t="shared" si="15"/>
        <v>-0.48797552243035558</v>
      </c>
      <c r="P49" s="49">
        <f t="shared" si="16"/>
        <v>-0.97970000000000823</v>
      </c>
      <c r="Q49" s="49">
        <f t="shared" si="17"/>
        <v>-2.0085000000000051</v>
      </c>
      <c r="R49" s="46">
        <f t="shared" si="18"/>
        <v>0</v>
      </c>
      <c r="S49" s="49">
        <f t="shared" si="19"/>
        <v>0.79543656785596772</v>
      </c>
    </row>
    <row r="50" spans="1:19" ht="14.25" customHeight="1" x14ac:dyDescent="0.45">
      <c r="A50" s="76">
        <v>56278414</v>
      </c>
      <c r="B50" s="77" t="s">
        <v>94</v>
      </c>
      <c r="C50">
        <v>75.695300000000003</v>
      </c>
      <c r="D50">
        <v>51.261400000000002</v>
      </c>
      <c r="E50">
        <v>76.453400000000002</v>
      </c>
      <c r="F50">
        <v>51.491100000000003</v>
      </c>
      <c r="G50">
        <v>77.855599999999995</v>
      </c>
      <c r="H50">
        <v>51.261299999999999</v>
      </c>
      <c r="J50" s="69">
        <f t="shared" si="10"/>
        <v>1.4209056548553756</v>
      </c>
      <c r="K50" s="69">
        <f t="shared" si="11"/>
        <v>2.1603000023144858</v>
      </c>
      <c r="L50">
        <f t="shared" si="12"/>
        <v>0.79213490012749643</v>
      </c>
      <c r="M50" s="49">
        <f t="shared" si="13"/>
        <v>2.7271870005560661</v>
      </c>
      <c r="N50" s="48">
        <f t="shared" si="14"/>
        <v>-1.7271870005560659</v>
      </c>
      <c r="O50" s="49">
        <f t="shared" si="15"/>
        <v>-0.89753782092075018</v>
      </c>
      <c r="P50" s="49">
        <f t="shared" si="16"/>
        <v>2.1602999999999923</v>
      </c>
      <c r="Q50" s="49">
        <f t="shared" si="17"/>
        <v>-1.0000000000331966E-4</v>
      </c>
      <c r="R50" s="46">
        <f t="shared" si="18"/>
        <v>0</v>
      </c>
      <c r="S50" s="49">
        <f t="shared" si="19"/>
        <v>1.7937672669474312</v>
      </c>
    </row>
    <row r="51" spans="1:19" ht="14.25" customHeight="1" x14ac:dyDescent="0.45">
      <c r="A51" s="76">
        <v>56278415</v>
      </c>
      <c r="B51" s="77" t="s">
        <v>94</v>
      </c>
      <c r="C51">
        <v>90.774100000000004</v>
      </c>
      <c r="D51">
        <v>52.005899999999997</v>
      </c>
      <c r="E51">
        <v>89.904899999999998</v>
      </c>
      <c r="F51">
        <v>51.491100000000003</v>
      </c>
      <c r="G51">
        <v>89.960499999999996</v>
      </c>
      <c r="H51">
        <v>52.270200000000003</v>
      </c>
      <c r="J51" s="69">
        <f t="shared" si="10"/>
        <v>0.78108141060967473</v>
      </c>
      <c r="K51" s="69">
        <f t="shared" si="11"/>
        <v>0.85545277485084836</v>
      </c>
      <c r="L51">
        <f t="shared" si="12"/>
        <v>1.0102117005855777</v>
      </c>
      <c r="M51" s="49">
        <f t="shared" si="13"/>
        <v>0.84680545112967698</v>
      </c>
      <c r="N51" s="48">
        <f t="shared" si="14"/>
        <v>0.15319454887032299</v>
      </c>
      <c r="O51" s="49">
        <f t="shared" si="15"/>
        <v>0.56955057695359446</v>
      </c>
      <c r="P51" s="49">
        <f t="shared" si="16"/>
        <v>-0.81360000000000809</v>
      </c>
      <c r="Q51" s="49">
        <f t="shared" si="17"/>
        <v>0.26430000000000575</v>
      </c>
      <c r="R51" s="46">
        <f t="shared" si="18"/>
        <v>1</v>
      </c>
      <c r="S51" s="49">
        <f t="shared" si="19"/>
        <v>0.77318586802836897</v>
      </c>
    </row>
    <row r="52" spans="1:19" ht="14.25" customHeight="1" x14ac:dyDescent="0.45">
      <c r="A52" s="76">
        <v>56278416</v>
      </c>
      <c r="B52" s="77" t="s">
        <v>94</v>
      </c>
      <c r="C52">
        <v>89.146799999999999</v>
      </c>
      <c r="D52">
        <v>51.261400000000002</v>
      </c>
      <c r="E52">
        <v>89.904899999999998</v>
      </c>
      <c r="F52">
        <v>51.491100000000003</v>
      </c>
      <c r="G52">
        <v>88.410200000000003</v>
      </c>
      <c r="H52">
        <v>52.055599999999998</v>
      </c>
      <c r="J52" s="69">
        <f t="shared" si="10"/>
        <v>1.5977447668510696</v>
      </c>
      <c r="K52" s="69">
        <f t="shared" si="11"/>
        <v>1.0832050590723754</v>
      </c>
      <c r="L52">
        <f t="shared" si="12"/>
        <v>0.79213490012749643</v>
      </c>
      <c r="M52" s="49">
        <f t="shared" si="13"/>
        <v>1.3674502397230957</v>
      </c>
      <c r="N52" s="48">
        <f t="shared" si="14"/>
        <v>-0.36745023972309565</v>
      </c>
      <c r="O52" s="49">
        <f t="shared" si="15"/>
        <v>0.7928596055709245</v>
      </c>
      <c r="P52" s="49">
        <f t="shared" si="16"/>
        <v>-0.7365999999999957</v>
      </c>
      <c r="Q52" s="49">
        <f t="shared" si="17"/>
        <v>0.79419999999999646</v>
      </c>
      <c r="R52" s="46">
        <f t="shared" si="18"/>
        <v>0</v>
      </c>
      <c r="S52" s="49">
        <f t="shared" si="19"/>
        <v>2.0170109492637023</v>
      </c>
    </row>
    <row r="53" spans="1:19" ht="14.25" customHeight="1" x14ac:dyDescent="0.45">
      <c r="A53" s="76">
        <v>56278417</v>
      </c>
      <c r="B53" s="77" t="s">
        <v>94</v>
      </c>
      <c r="C53">
        <v>84.186999999999998</v>
      </c>
      <c r="D53">
        <v>51.261400000000002</v>
      </c>
      <c r="E53">
        <v>83.317700000000002</v>
      </c>
      <c r="F53">
        <v>51.5092</v>
      </c>
      <c r="G53">
        <v>85.177700000000002</v>
      </c>
      <c r="H53">
        <v>52.055599999999998</v>
      </c>
      <c r="J53" s="69">
        <f t="shared" si="10"/>
        <v>1.9385956153875918</v>
      </c>
      <c r="K53" s="69">
        <f t="shared" si="11"/>
        <v>1.2697401820845091</v>
      </c>
      <c r="L53">
        <f t="shared" si="12"/>
        <v>0.90392883016307823</v>
      </c>
      <c r="M53" s="49">
        <f t="shared" si="13"/>
        <v>1.4046904354797873</v>
      </c>
      <c r="N53" s="48">
        <f t="shared" si="14"/>
        <v>-0.40469043547978739</v>
      </c>
      <c r="O53" s="49">
        <f t="shared" si="15"/>
        <v>0.84543498416456464</v>
      </c>
      <c r="P53" s="49">
        <f t="shared" si="16"/>
        <v>0.99070000000000391</v>
      </c>
      <c r="Q53" s="49">
        <f t="shared" si="17"/>
        <v>0.79419999999999646</v>
      </c>
      <c r="R53" s="46">
        <f t="shared" si="18"/>
        <v>0</v>
      </c>
      <c r="S53" s="49">
        <f t="shared" si="19"/>
        <v>2.1446330183293845</v>
      </c>
    </row>
    <row r="54" spans="1:19" ht="14.25" customHeight="1" x14ac:dyDescent="0.45">
      <c r="A54" s="76">
        <v>56278418</v>
      </c>
      <c r="B54" s="77" t="s">
        <v>94</v>
      </c>
      <c r="C54">
        <v>86.843900000000005</v>
      </c>
      <c r="D54">
        <v>48.931100000000001</v>
      </c>
      <c r="E54">
        <v>86.6113</v>
      </c>
      <c r="F54">
        <v>49.689100000000003</v>
      </c>
      <c r="G54">
        <v>86.841099999999997</v>
      </c>
      <c r="H54">
        <v>48.555599999999998</v>
      </c>
      <c r="J54" s="69">
        <f t="shared" si="10"/>
        <v>1.1565596785293919</v>
      </c>
      <c r="K54" s="69">
        <f t="shared" si="11"/>
        <v>0.37551043926900601</v>
      </c>
      <c r="L54">
        <f t="shared" si="12"/>
        <v>0.79288508625147336</v>
      </c>
      <c r="M54" s="49">
        <f t="shared" si="13"/>
        <v>0.47360007872554211</v>
      </c>
      <c r="N54" s="48">
        <f t="shared" si="14"/>
        <v>0.52639992127445789</v>
      </c>
      <c r="O54" s="49">
        <f t="shared" si="15"/>
        <v>0.99522971623799872</v>
      </c>
      <c r="P54" s="49">
        <f t="shared" si="16"/>
        <v>-2.8000000000076852E-3</v>
      </c>
      <c r="Q54" s="49">
        <f t="shared" si="17"/>
        <v>-0.37550000000000239</v>
      </c>
      <c r="R54" s="46">
        <f t="shared" si="18"/>
        <v>1</v>
      </c>
      <c r="S54" s="49">
        <f t="shared" si="19"/>
        <v>1.4586725095275339</v>
      </c>
    </row>
    <row r="55" spans="1:19" ht="14.25" customHeight="1" x14ac:dyDescent="0.45">
      <c r="A55" s="76">
        <v>56278419</v>
      </c>
      <c r="B55" s="77" t="s">
        <v>94</v>
      </c>
      <c r="C55">
        <v>86.843900000000005</v>
      </c>
      <c r="D55">
        <v>50.558399999999999</v>
      </c>
      <c r="E55">
        <v>86.6113</v>
      </c>
      <c r="F55">
        <v>49.689100000000003</v>
      </c>
      <c r="G55">
        <v>86.841099999999997</v>
      </c>
      <c r="H55">
        <v>48.555599999999998</v>
      </c>
      <c r="J55" s="69">
        <f t="shared" si="10"/>
        <v>1.1565596785293919</v>
      </c>
      <c r="K55" s="69">
        <f t="shared" si="11"/>
        <v>2.0028019572588804</v>
      </c>
      <c r="L55">
        <f t="shared" si="12"/>
        <v>0.89988068653571762</v>
      </c>
      <c r="M55" s="49">
        <f t="shared" si="13"/>
        <v>2.2256305610570366</v>
      </c>
      <c r="N55" s="48">
        <f t="shared" si="14"/>
        <v>-1.2256305610570366</v>
      </c>
      <c r="O55" s="49">
        <f t="shared" si="15"/>
        <v>-0.89539850736777893</v>
      </c>
      <c r="P55" s="49">
        <f t="shared" si="16"/>
        <v>-2.8000000000076852E-3</v>
      </c>
      <c r="Q55" s="49">
        <f t="shared" si="17"/>
        <v>-2.0028000000000006</v>
      </c>
      <c r="R55" s="46">
        <f t="shared" si="18"/>
        <v>0</v>
      </c>
      <c r="S55" s="49">
        <f t="shared" si="19"/>
        <v>1.2852366939686357</v>
      </c>
    </row>
    <row r="56" spans="1:19" ht="14.25" customHeight="1" x14ac:dyDescent="0.45">
      <c r="A56" s="76">
        <v>56278420</v>
      </c>
      <c r="B56" s="77" t="s">
        <v>94</v>
      </c>
      <c r="C56">
        <v>41.8964</v>
      </c>
      <c r="D56">
        <v>41.215400000000002</v>
      </c>
      <c r="E56">
        <v>41.666699999999999</v>
      </c>
      <c r="F56">
        <v>41.9587</v>
      </c>
      <c r="G56">
        <v>41.967799999999997</v>
      </c>
      <c r="H56">
        <v>40.555599999999998</v>
      </c>
      <c r="J56" s="69">
        <f t="shared" si="10"/>
        <v>1.4350438390516174</v>
      </c>
      <c r="K56" s="69">
        <f t="shared" si="11"/>
        <v>0.66365201725000811</v>
      </c>
      <c r="L56">
        <f t="shared" si="12"/>
        <v>0.77798263476763885</v>
      </c>
      <c r="M56" s="49">
        <f t="shared" si="13"/>
        <v>0.85304219861953856</v>
      </c>
      <c r="N56" s="48">
        <f t="shared" si="14"/>
        <v>0.14695780138046144</v>
      </c>
      <c r="O56" s="49">
        <f t="shared" si="15"/>
        <v>0.9961016354822847</v>
      </c>
      <c r="P56" s="49">
        <f t="shared" si="16"/>
        <v>7.1399999999997021E-2</v>
      </c>
      <c r="Q56" s="49">
        <f t="shared" si="17"/>
        <v>-0.65980000000000416</v>
      </c>
      <c r="R56" s="46">
        <f t="shared" si="18"/>
        <v>1</v>
      </c>
      <c r="S56" s="49">
        <f t="shared" si="19"/>
        <v>1.8445705275673974</v>
      </c>
    </row>
    <row r="57" spans="1:19" ht="14.25" customHeight="1" x14ac:dyDescent="0.45">
      <c r="A57" s="76">
        <v>56278421</v>
      </c>
      <c r="B57" s="77" t="s">
        <v>94</v>
      </c>
      <c r="C57">
        <v>44.197600000000001</v>
      </c>
      <c r="D57">
        <v>43.077300000000001</v>
      </c>
      <c r="E57">
        <v>43.343200000000003</v>
      </c>
      <c r="F57">
        <v>43.307099999999998</v>
      </c>
      <c r="G57">
        <v>42.055599999999998</v>
      </c>
      <c r="H57">
        <v>43.021500000000003</v>
      </c>
      <c r="J57" s="69">
        <f t="shared" si="10"/>
        <v>1.3188939002057782</v>
      </c>
      <c r="K57" s="69">
        <f t="shared" si="11"/>
        <v>2.1427266834573215</v>
      </c>
      <c r="L57">
        <f t="shared" si="12"/>
        <v>0.88476403633963097</v>
      </c>
      <c r="M57" s="49">
        <f t="shared" si="13"/>
        <v>2.4218058097411199</v>
      </c>
      <c r="N57" s="48">
        <f t="shared" si="14"/>
        <v>-1.4218058097411199</v>
      </c>
      <c r="O57" s="49">
        <f t="shared" si="15"/>
        <v>-0.8865248022055543</v>
      </c>
      <c r="P57" s="49">
        <f t="shared" si="16"/>
        <v>-2.142000000000003</v>
      </c>
      <c r="Q57" s="49">
        <f t="shared" si="17"/>
        <v>-5.5799999999997851E-2</v>
      </c>
      <c r="R57" s="46">
        <f t="shared" si="18"/>
        <v>0</v>
      </c>
      <c r="S57" s="49">
        <f t="shared" si="19"/>
        <v>1.4906730450552574</v>
      </c>
    </row>
    <row r="58" spans="1:19" ht="14.25" customHeight="1" x14ac:dyDescent="0.45">
      <c r="A58" s="76">
        <v>56278422</v>
      </c>
      <c r="B58" s="77" t="s">
        <v>94</v>
      </c>
      <c r="C58">
        <v>60.900399999999998</v>
      </c>
      <c r="D58">
        <v>43.095399999999998</v>
      </c>
      <c r="E58">
        <v>61.643700000000003</v>
      </c>
      <c r="F58">
        <v>43.307099999999998</v>
      </c>
      <c r="G58">
        <v>62.955599999999997</v>
      </c>
      <c r="H58">
        <v>43.005899999999997</v>
      </c>
      <c r="J58" s="69">
        <f t="shared" si="10"/>
        <v>1.3460323361643234</v>
      </c>
      <c r="K58" s="69">
        <f t="shared" si="11"/>
        <v>2.0571478532181389</v>
      </c>
      <c r="L58">
        <f t="shared" si="12"/>
        <v>0.77285948270045024</v>
      </c>
      <c r="M58" s="49">
        <f t="shared" si="13"/>
        <v>2.6617359290595148</v>
      </c>
      <c r="N58" s="48">
        <f t="shared" si="14"/>
        <v>-1.6617359290595146</v>
      </c>
      <c r="O58" s="49">
        <f t="shared" si="15"/>
        <v>-0.87607095398750678</v>
      </c>
      <c r="P58" s="49">
        <f t="shared" si="16"/>
        <v>2.0551999999999992</v>
      </c>
      <c r="Q58" s="49">
        <f t="shared" si="17"/>
        <v>-8.9500000000001023E-2</v>
      </c>
      <c r="R58" s="46">
        <f t="shared" si="18"/>
        <v>0</v>
      </c>
      <c r="S58" s="49">
        <f t="shared" si="19"/>
        <v>1.7416262157528928</v>
      </c>
    </row>
    <row r="59" spans="1:19" ht="14.25" customHeight="1" x14ac:dyDescent="0.45">
      <c r="A59" s="76">
        <v>56278423</v>
      </c>
      <c r="B59" s="77" t="s">
        <v>94</v>
      </c>
      <c r="C59">
        <v>63.203899999999997</v>
      </c>
      <c r="D59">
        <v>41.215400000000002</v>
      </c>
      <c r="E59">
        <v>62.992100000000001</v>
      </c>
      <c r="F59">
        <v>41.9587</v>
      </c>
      <c r="G59">
        <v>63.237499999999997</v>
      </c>
      <c r="H59">
        <v>40.555599999999998</v>
      </c>
      <c r="J59" s="69">
        <f t="shared" si="10"/>
        <v>1.4243983887943723</v>
      </c>
      <c r="K59" s="69">
        <f t="shared" si="11"/>
        <v>0.66065497803316786</v>
      </c>
      <c r="L59">
        <f t="shared" si="12"/>
        <v>0.77288688046828402</v>
      </c>
      <c r="M59" s="49">
        <f t="shared" si="13"/>
        <v>0.85478870806150054</v>
      </c>
      <c r="N59" s="48">
        <f t="shared" si="14"/>
        <v>0.14521129193849949</v>
      </c>
      <c r="O59" s="49">
        <f t="shared" si="15"/>
        <v>0.99455092774122633</v>
      </c>
      <c r="P59" s="49">
        <f t="shared" si="16"/>
        <v>3.3599999999999852E-2</v>
      </c>
      <c r="Q59" s="49">
        <f t="shared" si="17"/>
        <v>-0.65980000000000416</v>
      </c>
      <c r="R59" s="46">
        <f t="shared" si="18"/>
        <v>1</v>
      </c>
      <c r="S59" s="49">
        <f t="shared" si="19"/>
        <v>1.842958426117085</v>
      </c>
    </row>
    <row r="60" spans="1:19" ht="14.25" customHeight="1" x14ac:dyDescent="0.45">
      <c r="A60" s="76">
        <v>56278424</v>
      </c>
      <c r="B60" s="77" t="s">
        <v>94</v>
      </c>
      <c r="C60">
        <v>65.194999999999993</v>
      </c>
      <c r="D60">
        <v>43.077300000000001</v>
      </c>
      <c r="E60">
        <v>64.340599999999995</v>
      </c>
      <c r="F60">
        <v>43.307099999999998</v>
      </c>
      <c r="G60">
        <v>65.655600000000007</v>
      </c>
      <c r="H60">
        <v>43.021500000000003</v>
      </c>
      <c r="J60" s="69">
        <f t="shared" si="10"/>
        <v>1.3456568507610061</v>
      </c>
      <c r="K60" s="69">
        <f t="shared" si="11"/>
        <v>0.46396767128757188</v>
      </c>
      <c r="L60">
        <f t="shared" si="12"/>
        <v>0.88476403633963097</v>
      </c>
      <c r="M60" s="49">
        <f t="shared" si="13"/>
        <v>0.52439707337908836</v>
      </c>
      <c r="N60" s="48">
        <f t="shared" si="14"/>
        <v>0.47560292662091164</v>
      </c>
      <c r="O60" s="49">
        <f t="shared" si="15"/>
        <v>0.99880571123872997</v>
      </c>
      <c r="P60" s="49">
        <f t="shared" si="16"/>
        <v>0.46060000000001367</v>
      </c>
      <c r="Q60" s="49">
        <f t="shared" si="17"/>
        <v>-5.5799999999997851E-2</v>
      </c>
      <c r="R60" s="46">
        <f t="shared" si="18"/>
        <v>1</v>
      </c>
      <c r="S60" s="49">
        <f t="shared" si="19"/>
        <v>1.5209217322260755</v>
      </c>
    </row>
    <row r="61" spans="1:19" ht="14.25" customHeight="1" x14ac:dyDescent="0.45">
      <c r="A61" s="76">
        <v>56278425</v>
      </c>
      <c r="B61" s="77" t="s">
        <v>94</v>
      </c>
      <c r="C61">
        <v>83.891199999999998</v>
      </c>
      <c r="D61">
        <v>41.215400000000002</v>
      </c>
      <c r="E61">
        <v>83.6614</v>
      </c>
      <c r="F61">
        <v>41.9587</v>
      </c>
      <c r="G61">
        <v>83.906800000000004</v>
      </c>
      <c r="H61">
        <v>40.555599999999998</v>
      </c>
      <c r="J61" s="69">
        <f t="shared" si="10"/>
        <v>1.4243983887943736</v>
      </c>
      <c r="K61" s="69">
        <f t="shared" si="11"/>
        <v>0.65998439375488693</v>
      </c>
      <c r="L61">
        <f t="shared" si="12"/>
        <v>0.77801216571464726</v>
      </c>
      <c r="M61" s="49">
        <f t="shared" si="13"/>
        <v>0.8482957244616538</v>
      </c>
      <c r="N61" s="48">
        <f t="shared" si="14"/>
        <v>0.15170427553834623</v>
      </c>
      <c r="O61" s="49">
        <f t="shared" si="15"/>
        <v>0.9919850829139818</v>
      </c>
      <c r="P61" s="49">
        <f t="shared" si="16"/>
        <v>1.5600000000006276E-2</v>
      </c>
      <c r="Q61" s="49">
        <f t="shared" si="17"/>
        <v>-0.65980000000000416</v>
      </c>
      <c r="R61" s="46">
        <f t="shared" si="18"/>
        <v>1</v>
      </c>
      <c r="S61" s="49">
        <f t="shared" si="19"/>
        <v>1.8308176292924478</v>
      </c>
    </row>
    <row r="62" spans="1:19" ht="14.25" customHeight="1" x14ac:dyDescent="0.45">
      <c r="A62" s="76">
        <v>56278426</v>
      </c>
      <c r="B62" s="77" t="s">
        <v>94</v>
      </c>
      <c r="C62">
        <v>86.192400000000006</v>
      </c>
      <c r="D62">
        <v>43.077300000000001</v>
      </c>
      <c r="E62">
        <v>85.337900000000005</v>
      </c>
      <c r="F62">
        <v>43.307099999999998</v>
      </c>
      <c r="G62">
        <v>86.655600000000007</v>
      </c>
      <c r="H62">
        <v>43.021500000000003</v>
      </c>
      <c r="J62" s="69">
        <f t="shared" si="10"/>
        <v>1.3482954609431876</v>
      </c>
      <c r="K62" s="69">
        <f t="shared" si="11"/>
        <v>0.4665489041890466</v>
      </c>
      <c r="L62">
        <f t="shared" si="12"/>
        <v>0.88486060484123796</v>
      </c>
      <c r="M62" s="49">
        <f t="shared" si="13"/>
        <v>0.52725695057105071</v>
      </c>
      <c r="N62" s="48">
        <f t="shared" si="14"/>
        <v>0.47274304942894935</v>
      </c>
      <c r="O62" s="49">
        <f t="shared" si="15"/>
        <v>0.99878630167893978</v>
      </c>
      <c r="P62" s="49">
        <f t="shared" si="16"/>
        <v>0.4632000000000005</v>
      </c>
      <c r="Q62" s="49">
        <f t="shared" si="17"/>
        <v>-5.5799999999997851E-2</v>
      </c>
      <c r="R62" s="46">
        <f t="shared" si="18"/>
        <v>1</v>
      </c>
      <c r="S62" s="49">
        <f t="shared" si="19"/>
        <v>1.523737697854793</v>
      </c>
    </row>
    <row r="63" spans="1:19" ht="14.25" customHeight="1" x14ac:dyDescent="0.45">
      <c r="A63" s="76">
        <v>56278428</v>
      </c>
      <c r="B63" s="77" t="s">
        <v>94</v>
      </c>
      <c r="C63">
        <v>102.7833</v>
      </c>
      <c r="D63">
        <v>42.198</v>
      </c>
      <c r="E63">
        <v>103.63849999999999</v>
      </c>
      <c r="F63">
        <v>43.271000000000001</v>
      </c>
      <c r="G63">
        <v>103.69410000000001</v>
      </c>
      <c r="H63">
        <v>40.270200000000003</v>
      </c>
      <c r="J63" s="69">
        <f t="shared" si="10"/>
        <v>3.0013150451093917</v>
      </c>
      <c r="K63" s="69">
        <f t="shared" si="11"/>
        <v>2.1321279229914905</v>
      </c>
      <c r="L63">
        <f t="shared" si="12"/>
        <v>1.372113712488872</v>
      </c>
      <c r="M63" s="49">
        <f t="shared" si="13"/>
        <v>1.55390030985408</v>
      </c>
      <c r="N63" s="48">
        <f t="shared" si="14"/>
        <v>-0.55390030985408012</v>
      </c>
      <c r="O63" s="49">
        <f t="shared" si="15"/>
        <v>0.77032471478786169</v>
      </c>
      <c r="P63" s="49">
        <f t="shared" si="16"/>
        <v>0.91080000000000894</v>
      </c>
      <c r="Q63" s="49">
        <f t="shared" si="17"/>
        <v>-1.9277999999999977</v>
      </c>
      <c r="R63" s="46">
        <f t="shared" si="18"/>
        <v>0</v>
      </c>
      <c r="S63" s="49">
        <f t="shared" si="19"/>
        <v>2.187366118268228</v>
      </c>
    </row>
    <row r="64" spans="1:19" ht="14.25" customHeight="1" x14ac:dyDescent="0.45">
      <c r="A64" s="76">
        <v>56278429</v>
      </c>
      <c r="B64" s="77" t="s">
        <v>94</v>
      </c>
      <c r="C64">
        <v>105.1986</v>
      </c>
      <c r="D64">
        <v>41.215400000000002</v>
      </c>
      <c r="E64">
        <v>104.98690000000001</v>
      </c>
      <c r="F64">
        <v>41.9587</v>
      </c>
      <c r="G64">
        <v>105.2323</v>
      </c>
      <c r="H64">
        <v>40.555599999999998</v>
      </c>
      <c r="J64" s="69">
        <f t="shared" si="10"/>
        <v>1.4243983887943712</v>
      </c>
      <c r="K64" s="69">
        <f t="shared" si="11"/>
        <v>0.66066007144370786</v>
      </c>
      <c r="L64">
        <f t="shared" si="12"/>
        <v>0.77285948270044158</v>
      </c>
      <c r="M64" s="49">
        <f t="shared" si="13"/>
        <v>0.85482560055458112</v>
      </c>
      <c r="N64" s="48">
        <f t="shared" si="14"/>
        <v>0.14517439944541888</v>
      </c>
      <c r="O64" s="49">
        <f t="shared" si="15"/>
        <v>0.99456389277498169</v>
      </c>
      <c r="P64" s="49">
        <f t="shared" si="16"/>
        <v>3.3699999999996066E-2</v>
      </c>
      <c r="Q64" s="49">
        <f t="shared" si="17"/>
        <v>-0.65980000000000416</v>
      </c>
      <c r="R64" s="46">
        <f t="shared" si="18"/>
        <v>1</v>
      </c>
      <c r="S64" s="49">
        <f t="shared" si="19"/>
        <v>1.8430237587528759</v>
      </c>
    </row>
    <row r="65" spans="1:19" ht="14.25" customHeight="1" x14ac:dyDescent="0.45">
      <c r="A65" s="76">
        <v>56278430</v>
      </c>
      <c r="B65" s="77" t="s">
        <v>94</v>
      </c>
      <c r="C65">
        <v>107.18980000000001</v>
      </c>
      <c r="D65">
        <v>42.813200000000002</v>
      </c>
      <c r="E65">
        <v>106.3353</v>
      </c>
      <c r="F65">
        <v>43.566299999999998</v>
      </c>
      <c r="G65">
        <v>107.5556</v>
      </c>
      <c r="H65">
        <v>43.3521</v>
      </c>
      <c r="J65" s="69">
        <f t="shared" si="10"/>
        <v>1.2389567103010444</v>
      </c>
      <c r="K65" s="69">
        <f t="shared" si="11"/>
        <v>0.65132392094870351</v>
      </c>
      <c r="L65">
        <f t="shared" si="12"/>
        <v>1.1390038893700043</v>
      </c>
      <c r="M65" s="49">
        <f t="shared" si="13"/>
        <v>0.57183643271750195</v>
      </c>
      <c r="N65" s="48">
        <f t="shared" si="14"/>
        <v>0.42816356728249805</v>
      </c>
      <c r="O65" s="49">
        <f t="shared" si="15"/>
        <v>0.85323158367292828</v>
      </c>
      <c r="P65" s="49">
        <f t="shared" si="16"/>
        <v>0.36579999999999302</v>
      </c>
      <c r="Q65" s="49">
        <f t="shared" si="17"/>
        <v>0.53889999999999816</v>
      </c>
      <c r="R65" s="46">
        <f t="shared" si="18"/>
        <v>1</v>
      </c>
      <c r="S65" s="49">
        <f t="shared" si="19"/>
        <v>1.0877545914143674</v>
      </c>
    </row>
    <row r="66" spans="1:19" ht="14.25" customHeight="1" x14ac:dyDescent="0.45">
      <c r="A66" s="76">
        <v>56278431</v>
      </c>
      <c r="B66" s="77" t="s">
        <v>94</v>
      </c>
      <c r="C66">
        <v>42.206499999999998</v>
      </c>
      <c r="D66">
        <v>-2.0916999999999999</v>
      </c>
      <c r="E66">
        <v>41.994799999999998</v>
      </c>
      <c r="F66">
        <v>-1.3484</v>
      </c>
      <c r="G66">
        <v>42.295900000000003</v>
      </c>
      <c r="H66">
        <v>-2.5444</v>
      </c>
      <c r="J66" s="69">
        <f t="shared" ref="J66:J97" si="20">IFERROR(SQRT((F66-H66)^2+(E66-G66)^2),"")</f>
        <v>1.2333195895630633</v>
      </c>
      <c r="K66" s="69">
        <f t="shared" ref="K66:K97" si="21">IFERROR(SQRT((D66-H66)^2+(C66-G66)^2),"")</f>
        <v>0.46144300839865476</v>
      </c>
      <c r="L66">
        <f t="shared" ref="L66:L97" si="22">IFERROR(SQRT((D66-F66)^2+(C66-E66)^2),"")</f>
        <v>0.77285948270044535</v>
      </c>
      <c r="M66" s="49">
        <f t="shared" ref="M66:M97" si="23">IF(AND(AND(ISNUMBER(E66),ISNUMBER(F66)),ISNUMBER(L66),L66&gt;0),K66/L66,"")</f>
        <v>0.59705938625004451</v>
      </c>
      <c r="N66" s="48">
        <f t="shared" ref="N66:N97" si="24">IF(AND(AND(ISNUMBER(E66),ISNUMBER(F66)),ISNUMBER(L66),L66&gt;0),(L66-K66)/L66,"")</f>
        <v>0.40294061374995555</v>
      </c>
      <c r="O66" s="49">
        <f t="shared" ref="O66:O97" si="25">IFERROR(IF(AND(AND(ISNUMBER(E66),ISNUMBER(F66)),SQRT((G66-E66)^2+(H66-F66)^2)&gt;0,SQRT((C66-E66)^2+(D66-F66)^2)&gt;0),((G66-E66)*(C66-E66)+(H66-F66)*(D66-F66))/(SQRT((G66-E66)^2+(H66-F66)^2)*SQRT((C66-E66)^2+(D66-F66)^2)),""),"")</f>
        <v>0.99952467667004063</v>
      </c>
      <c r="P66" s="49">
        <f t="shared" ref="P66:P97" si="26">IF(AND(ISNUMBER(G66),ISNUMBER(C66)),G66-C66,"")</f>
        <v>8.9400000000004809E-2</v>
      </c>
      <c r="Q66" s="49">
        <f t="shared" ref="Q66:Q97" si="27">IF(AND(ISNUMBER(H66),ISNUMBER(D66)),H66-D66,"")</f>
        <v>-0.4527000000000001</v>
      </c>
      <c r="R66" s="46">
        <f t="shared" ref="R66:R97" si="28">IF(M66="","",IF(M66&lt;1,1,0))</f>
        <v>1</v>
      </c>
      <c r="S66" s="49">
        <f t="shared" ref="S66:S97" si="29">IF(AND(ISNUMBER(J66),ISNUMBER(L66),L66&gt;0),J66/L66,"")</f>
        <v>1.5957876136212059</v>
      </c>
    </row>
    <row r="67" spans="1:19" ht="14.25" customHeight="1" x14ac:dyDescent="0.45">
      <c r="A67" s="76">
        <v>56278432</v>
      </c>
      <c r="B67" s="77" t="s">
        <v>94</v>
      </c>
      <c r="C67">
        <v>44.197600000000001</v>
      </c>
      <c r="D67">
        <v>-0.24779999999999999</v>
      </c>
      <c r="E67">
        <v>43.343200000000003</v>
      </c>
      <c r="F67">
        <v>0</v>
      </c>
      <c r="G67">
        <v>42.055599999999998</v>
      </c>
      <c r="H67">
        <v>-0.2298</v>
      </c>
      <c r="J67" s="69">
        <f t="shared" si="20"/>
        <v>1.3079456410722932</v>
      </c>
      <c r="K67" s="69">
        <f t="shared" si="21"/>
        <v>2.1420756289169653</v>
      </c>
      <c r="L67">
        <f t="shared" si="22"/>
        <v>0.8896090152420878</v>
      </c>
      <c r="M67" s="49">
        <f t="shared" si="23"/>
        <v>2.407884353930525</v>
      </c>
      <c r="N67" s="48">
        <f t="shared" si="24"/>
        <v>-1.4078843539305252</v>
      </c>
      <c r="O67" s="49">
        <f t="shared" si="25"/>
        <v>-0.89654232737302775</v>
      </c>
      <c r="P67" s="49">
        <f t="shared" si="26"/>
        <v>-2.142000000000003</v>
      </c>
      <c r="Q67" s="49">
        <f t="shared" si="27"/>
        <v>1.7999999999999988E-2</v>
      </c>
      <c r="R67" s="46">
        <f t="shared" si="28"/>
        <v>0</v>
      </c>
      <c r="S67" s="49">
        <f t="shared" si="29"/>
        <v>1.4702477365479083</v>
      </c>
    </row>
    <row r="68" spans="1:19" ht="14.25" customHeight="1" x14ac:dyDescent="0.45">
      <c r="A68" s="76">
        <v>56278433</v>
      </c>
      <c r="B68" s="77" t="s">
        <v>94</v>
      </c>
      <c r="C68">
        <v>42.224499999999999</v>
      </c>
      <c r="D68">
        <v>2.2029000000000001</v>
      </c>
      <c r="E68">
        <v>41.994799999999998</v>
      </c>
      <c r="F68">
        <v>1.3484</v>
      </c>
      <c r="G68">
        <v>42.224600000000002</v>
      </c>
      <c r="H68">
        <v>2.6556000000000002</v>
      </c>
      <c r="J68" s="69">
        <f t="shared" si="20"/>
        <v>1.3272452222554814</v>
      </c>
      <c r="K68" s="69">
        <f t="shared" si="21"/>
        <v>0.45270001104484203</v>
      </c>
      <c r="L68">
        <f t="shared" si="22"/>
        <v>0.88483463991866895</v>
      </c>
      <c r="M68" s="49">
        <f t="shared" si="23"/>
        <v>0.51162103134485415</v>
      </c>
      <c r="N68" s="48">
        <f t="shared" si="24"/>
        <v>0.48837896865514591</v>
      </c>
      <c r="O68" s="49">
        <f t="shared" si="25"/>
        <v>0.99607874869029445</v>
      </c>
      <c r="P68" s="49">
        <f t="shared" si="26"/>
        <v>1.0000000000331966E-4</v>
      </c>
      <c r="Q68" s="49">
        <f t="shared" si="27"/>
        <v>0.4527000000000001</v>
      </c>
      <c r="R68" s="46">
        <f t="shared" si="28"/>
        <v>1</v>
      </c>
      <c r="S68" s="49">
        <f t="shared" si="29"/>
        <v>1.4999923854444457</v>
      </c>
    </row>
    <row r="69" spans="1:19" ht="14.25" customHeight="1" x14ac:dyDescent="0.45">
      <c r="A69" s="76">
        <v>56278434</v>
      </c>
      <c r="B69" s="77" t="s">
        <v>94</v>
      </c>
      <c r="C69">
        <v>60.900399999999998</v>
      </c>
      <c r="D69">
        <v>-0.2298</v>
      </c>
      <c r="E69">
        <v>61.643700000000003</v>
      </c>
      <c r="F69">
        <v>0</v>
      </c>
      <c r="G69">
        <v>61.699300000000001</v>
      </c>
      <c r="H69">
        <v>-2.8298000000000001</v>
      </c>
      <c r="J69" s="69">
        <f t="shared" si="20"/>
        <v>2.830346162574465</v>
      </c>
      <c r="K69" s="69">
        <f t="shared" si="21"/>
        <v>2.719970810505143</v>
      </c>
      <c r="L69">
        <f t="shared" si="22"/>
        <v>0.77801216571465481</v>
      </c>
      <c r="M69" s="49">
        <f t="shared" si="23"/>
        <v>3.4960517718982875</v>
      </c>
      <c r="N69" s="48">
        <f t="shared" si="24"/>
        <v>-2.4960517718982875</v>
      </c>
      <c r="O69" s="49">
        <f t="shared" si="25"/>
        <v>0.27654335234949512</v>
      </c>
      <c r="P69" s="49">
        <f t="shared" si="26"/>
        <v>0.79890000000000327</v>
      </c>
      <c r="Q69" s="49">
        <f t="shared" si="27"/>
        <v>-2.6</v>
      </c>
      <c r="R69" s="46">
        <f t="shared" si="28"/>
        <v>0</v>
      </c>
      <c r="S69" s="49">
        <f t="shared" si="29"/>
        <v>3.637920185958285</v>
      </c>
    </row>
    <row r="70" spans="1:19" ht="14.25" customHeight="1" x14ac:dyDescent="0.45">
      <c r="A70" s="76">
        <v>56278435</v>
      </c>
      <c r="B70" s="77" t="s">
        <v>94</v>
      </c>
      <c r="C70">
        <v>63.203899999999997</v>
      </c>
      <c r="D70">
        <v>-2.0916999999999999</v>
      </c>
      <c r="E70">
        <v>62.992100000000001</v>
      </c>
      <c r="F70">
        <v>-1.3484</v>
      </c>
      <c r="G70">
        <v>63.237499999999997</v>
      </c>
      <c r="H70">
        <v>-2.5444</v>
      </c>
      <c r="J70" s="69">
        <f t="shared" si="20"/>
        <v>1.2209165245830684</v>
      </c>
      <c r="K70" s="69">
        <f t="shared" si="21"/>
        <v>0.45394520594450616</v>
      </c>
      <c r="L70">
        <f t="shared" si="22"/>
        <v>0.7728868804682858</v>
      </c>
      <c r="M70" s="49">
        <f t="shared" si="23"/>
        <v>0.58733718661321366</v>
      </c>
      <c r="N70" s="48">
        <f t="shared" si="24"/>
        <v>0.41266281338678629</v>
      </c>
      <c r="O70" s="49">
        <f t="shared" si="25"/>
        <v>0.99717278703719336</v>
      </c>
      <c r="P70" s="49">
        <f t="shared" si="26"/>
        <v>3.3599999999999852E-2</v>
      </c>
      <c r="Q70" s="49">
        <f t="shared" si="27"/>
        <v>-0.4527000000000001</v>
      </c>
      <c r="R70" s="46">
        <f t="shared" si="28"/>
        <v>1</v>
      </c>
      <c r="S70" s="49">
        <f t="shared" si="29"/>
        <v>1.5796833345693813</v>
      </c>
    </row>
    <row r="71" spans="1:19" ht="14.25" customHeight="1" x14ac:dyDescent="0.45">
      <c r="A71" s="76">
        <v>56278436</v>
      </c>
      <c r="B71" s="77" t="s">
        <v>94</v>
      </c>
      <c r="C71">
        <v>65.194999999999993</v>
      </c>
      <c r="D71">
        <v>-0.24779999999999999</v>
      </c>
      <c r="E71">
        <v>64.340599999999995</v>
      </c>
      <c r="F71">
        <v>0</v>
      </c>
      <c r="G71">
        <v>65.555599999999998</v>
      </c>
      <c r="H71">
        <v>-0.2298</v>
      </c>
      <c r="J71" s="69">
        <f t="shared" si="20"/>
        <v>1.2365407554949446</v>
      </c>
      <c r="K71" s="69">
        <f t="shared" si="21"/>
        <v>0.36104897174760614</v>
      </c>
      <c r="L71">
        <f t="shared" si="22"/>
        <v>0.8896090152420878</v>
      </c>
      <c r="M71" s="49">
        <f t="shared" si="23"/>
        <v>0.40585129597563091</v>
      </c>
      <c r="N71" s="48">
        <f t="shared" si="24"/>
        <v>0.59414870402436915</v>
      </c>
      <c r="O71" s="49">
        <f t="shared" si="25"/>
        <v>0.9954570981240014</v>
      </c>
      <c r="P71" s="49">
        <f t="shared" si="26"/>
        <v>0.36060000000000514</v>
      </c>
      <c r="Q71" s="49">
        <f t="shared" si="27"/>
        <v>1.7999999999999988E-2</v>
      </c>
      <c r="R71" s="46">
        <f t="shared" si="28"/>
        <v>1</v>
      </c>
      <c r="S71" s="49">
        <f t="shared" si="29"/>
        <v>1.3899822667134807</v>
      </c>
    </row>
    <row r="72" spans="1:19" ht="14.25" customHeight="1" x14ac:dyDescent="0.45">
      <c r="A72" s="76">
        <v>56278437</v>
      </c>
      <c r="B72" s="77" t="s">
        <v>94</v>
      </c>
      <c r="C72">
        <v>63.221899999999998</v>
      </c>
      <c r="D72">
        <v>2.2029000000000001</v>
      </c>
      <c r="E72">
        <v>62.992100000000001</v>
      </c>
      <c r="F72">
        <v>1.3484</v>
      </c>
      <c r="G72">
        <v>63.221899999999998</v>
      </c>
      <c r="H72">
        <v>2.6556000000000002</v>
      </c>
      <c r="J72" s="69">
        <f t="shared" si="20"/>
        <v>1.3272452222554803</v>
      </c>
      <c r="K72" s="69">
        <f t="shared" si="21"/>
        <v>0.4527000000000001</v>
      </c>
      <c r="L72">
        <f t="shared" si="22"/>
        <v>0.88486060484123652</v>
      </c>
      <c r="M72" s="49">
        <f t="shared" si="23"/>
        <v>0.51160600610219786</v>
      </c>
      <c r="N72" s="48">
        <f t="shared" si="24"/>
        <v>0.48839399389780219</v>
      </c>
      <c r="O72" s="49">
        <f t="shared" si="25"/>
        <v>0.99606908722485377</v>
      </c>
      <c r="P72" s="49">
        <f t="shared" si="26"/>
        <v>0</v>
      </c>
      <c r="Q72" s="49">
        <f t="shared" si="27"/>
        <v>0.4527000000000001</v>
      </c>
      <c r="R72" s="46">
        <f t="shared" si="28"/>
        <v>1</v>
      </c>
      <c r="S72" s="49">
        <f t="shared" si="29"/>
        <v>1.4999483703917604</v>
      </c>
    </row>
    <row r="73" spans="1:19" ht="14.25" customHeight="1" x14ac:dyDescent="0.45">
      <c r="A73" s="76">
        <v>56278438</v>
      </c>
      <c r="B73" s="77" t="s">
        <v>94</v>
      </c>
      <c r="C73">
        <v>81.897800000000004</v>
      </c>
      <c r="D73">
        <v>-0.2298</v>
      </c>
      <c r="E73">
        <v>82.641099999999994</v>
      </c>
      <c r="F73">
        <v>0</v>
      </c>
      <c r="G73">
        <v>82.696700000000007</v>
      </c>
      <c r="H73">
        <v>-2.8298000000000001</v>
      </c>
      <c r="J73" s="69">
        <f t="shared" si="20"/>
        <v>2.830346162574465</v>
      </c>
      <c r="K73" s="69">
        <f t="shared" si="21"/>
        <v>2.719970810505143</v>
      </c>
      <c r="L73">
        <f t="shared" si="22"/>
        <v>0.77801216571464105</v>
      </c>
      <c r="M73" s="49">
        <f t="shared" si="23"/>
        <v>3.4960517718983493</v>
      </c>
      <c r="N73" s="48">
        <f t="shared" si="24"/>
        <v>-2.4960517718983493</v>
      </c>
      <c r="O73" s="49">
        <f t="shared" si="25"/>
        <v>0.27654335234949556</v>
      </c>
      <c r="P73" s="49">
        <f t="shared" si="26"/>
        <v>0.79890000000000327</v>
      </c>
      <c r="Q73" s="49">
        <f t="shared" si="27"/>
        <v>-2.6</v>
      </c>
      <c r="R73" s="46">
        <f t="shared" si="28"/>
        <v>0</v>
      </c>
      <c r="S73" s="49">
        <f t="shared" si="29"/>
        <v>3.6379201859583494</v>
      </c>
    </row>
    <row r="74" spans="1:19" ht="14.25" customHeight="1" x14ac:dyDescent="0.45">
      <c r="A74" s="76">
        <v>56278439</v>
      </c>
      <c r="B74" s="77" t="s">
        <v>94</v>
      </c>
      <c r="C74">
        <v>84.2012</v>
      </c>
      <c r="D74">
        <v>-2.0916999999999999</v>
      </c>
      <c r="E74">
        <v>83.989500000000007</v>
      </c>
      <c r="F74">
        <v>-1.3484</v>
      </c>
      <c r="G74">
        <v>84.234899999999996</v>
      </c>
      <c r="H74">
        <v>-2.5444</v>
      </c>
      <c r="J74" s="69">
        <f t="shared" si="20"/>
        <v>1.2209165245830669</v>
      </c>
      <c r="K74" s="69">
        <f t="shared" si="21"/>
        <v>0.45395261867291814</v>
      </c>
      <c r="L74">
        <f t="shared" si="22"/>
        <v>0.77285948270044336</v>
      </c>
      <c r="M74" s="49">
        <f t="shared" si="23"/>
        <v>0.58736759894148571</v>
      </c>
      <c r="N74" s="48">
        <f t="shared" si="24"/>
        <v>0.41263240105851429</v>
      </c>
      <c r="O74" s="49">
        <f t="shared" si="25"/>
        <v>0.9971821298148118</v>
      </c>
      <c r="P74" s="49">
        <f t="shared" si="26"/>
        <v>3.3699999999996066E-2</v>
      </c>
      <c r="Q74" s="49">
        <f t="shared" si="27"/>
        <v>-0.4527000000000001</v>
      </c>
      <c r="R74" s="46">
        <f t="shared" si="28"/>
        <v>1</v>
      </c>
      <c r="S74" s="49">
        <f t="shared" si="29"/>
        <v>1.5797393341375203</v>
      </c>
    </row>
    <row r="75" spans="1:19" ht="14.25" customHeight="1" x14ac:dyDescent="0.45">
      <c r="A75" s="76">
        <v>56278440</v>
      </c>
      <c r="B75" s="77" t="s">
        <v>94</v>
      </c>
      <c r="C75">
        <v>86.192400000000006</v>
      </c>
      <c r="D75">
        <v>-0.24779999999999999</v>
      </c>
      <c r="E75">
        <v>85.337900000000005</v>
      </c>
      <c r="F75">
        <v>0</v>
      </c>
      <c r="G75">
        <v>86.655600000000007</v>
      </c>
      <c r="H75">
        <v>-0.2298</v>
      </c>
      <c r="J75" s="69">
        <f t="shared" si="20"/>
        <v>1.3375878774869356</v>
      </c>
      <c r="K75" s="69">
        <f t="shared" si="21"/>
        <v>0.46354960899562891</v>
      </c>
      <c r="L75">
        <f t="shared" si="22"/>
        <v>0.88970505787030496</v>
      </c>
      <c r="M75" s="49">
        <f t="shared" si="23"/>
        <v>0.52101491937702571</v>
      </c>
      <c r="N75" s="48">
        <f t="shared" si="24"/>
        <v>0.47898508062297429</v>
      </c>
      <c r="O75" s="49">
        <f t="shared" si="25"/>
        <v>0.99400062371171127</v>
      </c>
      <c r="P75" s="49">
        <f t="shared" si="26"/>
        <v>0.4632000000000005</v>
      </c>
      <c r="Q75" s="49">
        <f t="shared" si="27"/>
        <v>1.7999999999999988E-2</v>
      </c>
      <c r="R75" s="46">
        <f t="shared" si="28"/>
        <v>1</v>
      </c>
      <c r="S75" s="49">
        <f t="shared" si="29"/>
        <v>1.5034059497073466</v>
      </c>
    </row>
    <row r="76" spans="1:19" ht="14.25" customHeight="1" x14ac:dyDescent="0.45">
      <c r="A76" s="76">
        <v>56278441</v>
      </c>
      <c r="B76" s="77" t="s">
        <v>94</v>
      </c>
      <c r="C76">
        <v>84.219300000000004</v>
      </c>
      <c r="D76">
        <v>2.2029000000000001</v>
      </c>
      <c r="E76">
        <v>83.989500000000007</v>
      </c>
      <c r="F76">
        <v>1.3484</v>
      </c>
      <c r="G76">
        <v>84.219300000000004</v>
      </c>
      <c r="H76">
        <v>2.6556000000000002</v>
      </c>
      <c r="J76" s="69">
        <f t="shared" si="20"/>
        <v>1.3272452222554803</v>
      </c>
      <c r="K76" s="69">
        <f t="shared" si="21"/>
        <v>0.4527000000000001</v>
      </c>
      <c r="L76">
        <f t="shared" si="22"/>
        <v>0.88486060484123652</v>
      </c>
      <c r="M76" s="49">
        <f t="shared" si="23"/>
        <v>0.51160600610219786</v>
      </c>
      <c r="N76" s="48">
        <f t="shared" si="24"/>
        <v>0.48839399389780219</v>
      </c>
      <c r="O76" s="49">
        <f t="shared" si="25"/>
        <v>0.99606908722485377</v>
      </c>
      <c r="P76" s="49">
        <f t="shared" si="26"/>
        <v>0</v>
      </c>
      <c r="Q76" s="49">
        <f t="shared" si="27"/>
        <v>0.4527000000000001</v>
      </c>
      <c r="R76" s="46">
        <f t="shared" si="28"/>
        <v>1</v>
      </c>
      <c r="S76" s="49">
        <f t="shared" si="29"/>
        <v>1.4999483703917604</v>
      </c>
    </row>
    <row r="77" spans="1:19" ht="14.25" customHeight="1" x14ac:dyDescent="0.45">
      <c r="A77" s="76">
        <v>56278442</v>
      </c>
      <c r="B77" s="77" t="s">
        <v>94</v>
      </c>
      <c r="C77">
        <v>102.8951</v>
      </c>
      <c r="D77">
        <v>-0.2298</v>
      </c>
      <c r="E77">
        <v>103.63849999999999</v>
      </c>
      <c r="F77">
        <v>0</v>
      </c>
      <c r="G77">
        <v>103.69410000000001</v>
      </c>
      <c r="H77">
        <v>-2.8298000000000001</v>
      </c>
      <c r="J77" s="69">
        <f t="shared" si="20"/>
        <v>2.830346162574465</v>
      </c>
      <c r="K77" s="69">
        <f t="shared" si="21"/>
        <v>2.7200001838235255</v>
      </c>
      <c r="L77">
        <f t="shared" si="22"/>
        <v>0.77810770462705947</v>
      </c>
      <c r="M77" s="49">
        <f t="shared" si="23"/>
        <v>3.4956602635456475</v>
      </c>
      <c r="N77" s="48">
        <f t="shared" si="24"/>
        <v>-2.4956602635456475</v>
      </c>
      <c r="O77" s="49">
        <f t="shared" si="25"/>
        <v>0.27650687272723246</v>
      </c>
      <c r="P77" s="49">
        <f t="shared" si="26"/>
        <v>0.79900000000000659</v>
      </c>
      <c r="Q77" s="49">
        <f t="shared" si="27"/>
        <v>-2.6</v>
      </c>
      <c r="R77" s="46">
        <f t="shared" si="28"/>
        <v>0</v>
      </c>
      <c r="S77" s="49">
        <f t="shared" si="29"/>
        <v>3.6374735088004639</v>
      </c>
    </row>
    <row r="78" spans="1:19" ht="14.25" customHeight="1" x14ac:dyDescent="0.45">
      <c r="A78" s="76">
        <v>56278443</v>
      </c>
      <c r="B78" s="77" t="s">
        <v>94</v>
      </c>
      <c r="C78">
        <v>105.1986</v>
      </c>
      <c r="D78">
        <v>-2.0916999999999999</v>
      </c>
      <c r="E78">
        <v>104.98690000000001</v>
      </c>
      <c r="F78">
        <v>-1.3484</v>
      </c>
      <c r="G78">
        <v>105.2323</v>
      </c>
      <c r="H78">
        <v>-2.5444</v>
      </c>
      <c r="J78" s="69">
        <f t="shared" si="20"/>
        <v>1.2209165245830669</v>
      </c>
      <c r="K78" s="69">
        <f t="shared" si="21"/>
        <v>0.45395261867291814</v>
      </c>
      <c r="L78">
        <f t="shared" si="22"/>
        <v>0.77285948270044336</v>
      </c>
      <c r="M78" s="49">
        <f t="shared" si="23"/>
        <v>0.58736759894148571</v>
      </c>
      <c r="N78" s="48">
        <f t="shared" si="24"/>
        <v>0.41263240105851429</v>
      </c>
      <c r="O78" s="49">
        <f t="shared" si="25"/>
        <v>0.9971821298148118</v>
      </c>
      <c r="P78" s="49">
        <f t="shared" si="26"/>
        <v>3.3699999999996066E-2</v>
      </c>
      <c r="Q78" s="49">
        <f t="shared" si="27"/>
        <v>-0.4527000000000001</v>
      </c>
      <c r="R78" s="46">
        <f t="shared" si="28"/>
        <v>1</v>
      </c>
      <c r="S78" s="49">
        <f t="shared" si="29"/>
        <v>1.5797393341375203</v>
      </c>
    </row>
    <row r="79" spans="1:19" ht="14.25" customHeight="1" x14ac:dyDescent="0.45">
      <c r="A79" s="76">
        <v>56278444</v>
      </c>
      <c r="B79" s="77" t="s">
        <v>94</v>
      </c>
      <c r="C79">
        <v>107.18980000000001</v>
      </c>
      <c r="D79">
        <v>-0.24779999999999999</v>
      </c>
      <c r="E79">
        <v>106.3353</v>
      </c>
      <c r="F79">
        <v>0</v>
      </c>
      <c r="G79">
        <v>107.5556</v>
      </c>
      <c r="H79">
        <v>-0.2298</v>
      </c>
      <c r="J79" s="69">
        <f t="shared" si="20"/>
        <v>1.2417488192061978</v>
      </c>
      <c r="K79" s="69">
        <f t="shared" si="21"/>
        <v>0.36624259719480323</v>
      </c>
      <c r="L79">
        <f t="shared" si="22"/>
        <v>0.88970505787030496</v>
      </c>
      <c r="M79" s="49">
        <f t="shared" si="23"/>
        <v>0.41164495352143038</v>
      </c>
      <c r="N79" s="48">
        <f t="shared" si="24"/>
        <v>0.58835504647856962</v>
      </c>
      <c r="O79" s="49">
        <f t="shared" si="25"/>
        <v>0.99538426840777927</v>
      </c>
      <c r="P79" s="49">
        <f t="shared" si="26"/>
        <v>0.36579999999999302</v>
      </c>
      <c r="Q79" s="49">
        <f t="shared" si="27"/>
        <v>1.7999999999999988E-2</v>
      </c>
      <c r="R79" s="46">
        <f t="shared" si="28"/>
        <v>1</v>
      </c>
      <c r="S79" s="49">
        <f t="shared" si="29"/>
        <v>1.3956859166099194</v>
      </c>
    </row>
    <row r="80" spans="1:19" ht="14.25" customHeight="1" x14ac:dyDescent="0.45">
      <c r="A80" s="76">
        <v>56278445</v>
      </c>
      <c r="B80" s="77" t="s">
        <v>94</v>
      </c>
      <c r="C80">
        <v>105.2167</v>
      </c>
      <c r="D80">
        <v>2.2029000000000001</v>
      </c>
      <c r="E80">
        <v>104.98690000000001</v>
      </c>
      <c r="F80">
        <v>1.3484</v>
      </c>
      <c r="G80">
        <v>105.2167</v>
      </c>
      <c r="H80">
        <v>2.6556000000000002</v>
      </c>
      <c r="J80" s="69">
        <f t="shared" si="20"/>
        <v>1.3272452222554803</v>
      </c>
      <c r="K80" s="69">
        <f t="shared" si="21"/>
        <v>0.4527000000000001</v>
      </c>
      <c r="L80">
        <f t="shared" si="22"/>
        <v>0.88486060484123652</v>
      </c>
      <c r="M80" s="49">
        <f t="shared" si="23"/>
        <v>0.51160600610219786</v>
      </c>
      <c r="N80" s="48">
        <f t="shared" si="24"/>
        <v>0.48839399389780219</v>
      </c>
      <c r="O80" s="49">
        <f t="shared" si="25"/>
        <v>0.99606908722485377</v>
      </c>
      <c r="P80" s="49">
        <f t="shared" si="26"/>
        <v>0</v>
      </c>
      <c r="Q80" s="49">
        <f t="shared" si="27"/>
        <v>0.4527000000000001</v>
      </c>
      <c r="R80" s="46">
        <f t="shared" si="28"/>
        <v>1</v>
      </c>
      <c r="S80" s="49">
        <f t="shared" si="29"/>
        <v>1.4999483703917604</v>
      </c>
    </row>
    <row r="81" spans="1:19" ht="14.25" customHeight="1" x14ac:dyDescent="0.45">
      <c r="A81" s="76">
        <v>56278446</v>
      </c>
      <c r="B81" s="77" t="s">
        <v>94</v>
      </c>
      <c r="C81">
        <v>110.2114</v>
      </c>
      <c r="D81">
        <v>29.130500000000001</v>
      </c>
      <c r="E81">
        <v>111.54859999999999</v>
      </c>
      <c r="F81">
        <v>19.750699999999998</v>
      </c>
      <c r="G81">
        <v>109.65560000000001</v>
      </c>
      <c r="H81">
        <v>19.455200000000001</v>
      </c>
      <c r="J81" s="69">
        <f t="shared" si="20"/>
        <v>1.9159251681628766</v>
      </c>
      <c r="K81" s="69">
        <f t="shared" si="21"/>
        <v>9.6912508857216153</v>
      </c>
      <c r="L81">
        <f t="shared" si="22"/>
        <v>9.474637295432478</v>
      </c>
      <c r="M81" s="49">
        <f t="shared" si="23"/>
        <v>1.0228624678217035</v>
      </c>
      <c r="N81" s="48">
        <f t="shared" si="24"/>
        <v>-2.2862467821703539E-2</v>
      </c>
      <c r="O81" s="49">
        <f t="shared" si="25"/>
        <v>-1.3243834375401133E-2</v>
      </c>
      <c r="P81" s="49">
        <f t="shared" si="26"/>
        <v>-0.55579999999999075</v>
      </c>
      <c r="Q81" s="49">
        <f t="shared" si="27"/>
        <v>-9.6753</v>
      </c>
      <c r="R81" s="46">
        <f t="shared" si="28"/>
        <v>0</v>
      </c>
      <c r="S81" s="49">
        <f t="shared" si="29"/>
        <v>0.20221620188949119</v>
      </c>
    </row>
    <row r="82" spans="1:19" ht="14.25" customHeight="1" x14ac:dyDescent="0.45">
      <c r="A82" s="76">
        <v>56278447</v>
      </c>
      <c r="B82" s="77" t="s">
        <v>94</v>
      </c>
      <c r="C82">
        <v>109.01009999999999</v>
      </c>
      <c r="D82">
        <v>44.127000000000002</v>
      </c>
      <c r="E82">
        <v>108.645</v>
      </c>
      <c r="F82">
        <v>45.173900000000003</v>
      </c>
      <c r="G82">
        <v>107.5556</v>
      </c>
      <c r="H82">
        <v>43.3521</v>
      </c>
      <c r="J82" s="69">
        <f t="shared" si="20"/>
        <v>2.1226746335696403</v>
      </c>
      <c r="K82" s="69">
        <f t="shared" si="21"/>
        <v>1.6480413405008965</v>
      </c>
      <c r="L82">
        <f t="shared" si="22"/>
        <v>1.1087369480629752</v>
      </c>
      <c r="M82" s="49">
        <f t="shared" si="23"/>
        <v>1.4864132952185962</v>
      </c>
      <c r="N82" s="48">
        <f t="shared" si="24"/>
        <v>-0.48641329521859616</v>
      </c>
      <c r="O82" s="49">
        <f t="shared" si="25"/>
        <v>0.64138955096177352</v>
      </c>
      <c r="P82" s="49">
        <f t="shared" si="26"/>
        <v>-1.4544999999999959</v>
      </c>
      <c r="Q82" s="49">
        <f t="shared" si="27"/>
        <v>-0.77490000000000236</v>
      </c>
      <c r="R82" s="46">
        <f t="shared" si="28"/>
        <v>0</v>
      </c>
      <c r="S82" s="49">
        <f t="shared" si="29"/>
        <v>1.9144979675098501</v>
      </c>
    </row>
    <row r="83" spans="1:19" ht="14.25" customHeight="1" x14ac:dyDescent="0.45">
      <c r="A83" s="76">
        <v>56278448</v>
      </c>
      <c r="B83" s="77" t="s">
        <v>94</v>
      </c>
      <c r="C83">
        <v>81.241600000000005</v>
      </c>
      <c r="D83">
        <v>43.0593</v>
      </c>
      <c r="E83">
        <v>81.984899999999996</v>
      </c>
      <c r="F83">
        <v>43.289000000000001</v>
      </c>
      <c r="G83">
        <v>82.055599999999998</v>
      </c>
      <c r="H83">
        <v>42.270200000000003</v>
      </c>
      <c r="J83" s="69">
        <f t="shared" si="20"/>
        <v>1.0212501799265439</v>
      </c>
      <c r="K83" s="69">
        <f t="shared" si="21"/>
        <v>1.1336996118901976</v>
      </c>
      <c r="L83">
        <f t="shared" si="22"/>
        <v>0.77798263476763208</v>
      </c>
      <c r="M83" s="49">
        <f t="shared" si="23"/>
        <v>1.4572299704720417</v>
      </c>
      <c r="N83" s="48">
        <f t="shared" si="24"/>
        <v>-0.45722997047204161</v>
      </c>
      <c r="O83" s="49">
        <f t="shared" si="25"/>
        <v>0.22839980557930326</v>
      </c>
      <c r="P83" s="49">
        <f t="shared" si="26"/>
        <v>0.81399999999999295</v>
      </c>
      <c r="Q83" s="49">
        <f t="shared" si="27"/>
        <v>-0.78909999999999769</v>
      </c>
      <c r="R83" s="46">
        <f t="shared" si="28"/>
        <v>0</v>
      </c>
      <c r="S83" s="49">
        <f t="shared" si="29"/>
        <v>1.3126901993533198</v>
      </c>
    </row>
    <row r="84" spans="1:19" ht="14.25" customHeight="1" x14ac:dyDescent="0.45">
      <c r="A84" s="76">
        <v>56278449</v>
      </c>
      <c r="B84" s="77" t="s">
        <v>94</v>
      </c>
      <c r="C84">
        <v>70.773799999999994</v>
      </c>
      <c r="D84">
        <v>62.1586</v>
      </c>
      <c r="E84">
        <v>72.2363</v>
      </c>
      <c r="F84">
        <v>62.732100000000003</v>
      </c>
      <c r="G84">
        <v>72.552599999999998</v>
      </c>
      <c r="H84">
        <v>64.055599999999998</v>
      </c>
      <c r="J84" s="69">
        <f t="shared" si="20"/>
        <v>1.3607710828791106</v>
      </c>
      <c r="K84" s="69">
        <f t="shared" si="21"/>
        <v>2.6005265697546736</v>
      </c>
      <c r="L84">
        <f t="shared" si="22"/>
        <v>1.5709260008033541</v>
      </c>
      <c r="M84" s="49">
        <f t="shared" si="23"/>
        <v>1.6554099737510188</v>
      </c>
      <c r="N84" s="48">
        <f t="shared" si="24"/>
        <v>-0.65540997375101895</v>
      </c>
      <c r="O84" s="49">
        <f t="shared" si="25"/>
        <v>-0.57147062648696278</v>
      </c>
      <c r="P84" s="49">
        <f t="shared" si="26"/>
        <v>1.7788000000000039</v>
      </c>
      <c r="Q84" s="49">
        <f t="shared" si="27"/>
        <v>1.8969999999999985</v>
      </c>
      <c r="R84" s="46">
        <f t="shared" si="28"/>
        <v>0</v>
      </c>
      <c r="S84" s="49">
        <f t="shared" si="29"/>
        <v>0.8662222677473207</v>
      </c>
    </row>
    <row r="85" spans="1:19" ht="14.25" customHeight="1" x14ac:dyDescent="0.45">
      <c r="A85" s="76">
        <v>56278450</v>
      </c>
      <c r="B85" s="77" t="s">
        <v>94</v>
      </c>
      <c r="C85">
        <v>83.625900000000001</v>
      </c>
      <c r="D85">
        <v>61.679299999999998</v>
      </c>
      <c r="E85">
        <v>83.236099999999993</v>
      </c>
      <c r="F85">
        <v>62.726399999999998</v>
      </c>
      <c r="G85">
        <v>83.465900000000005</v>
      </c>
      <c r="H85">
        <v>64.055599999999998</v>
      </c>
      <c r="J85" s="69">
        <f t="shared" si="20"/>
        <v>1.3489183370389795</v>
      </c>
      <c r="K85" s="69">
        <f t="shared" si="21"/>
        <v>2.3816804340633109</v>
      </c>
      <c r="L85">
        <f t="shared" si="22"/>
        <v>1.1173014141224413</v>
      </c>
      <c r="M85" s="49">
        <f t="shared" si="23"/>
        <v>2.1316364626048085</v>
      </c>
      <c r="N85" s="48">
        <f t="shared" si="24"/>
        <v>-1.1316364626048083</v>
      </c>
      <c r="O85" s="49">
        <f t="shared" si="25"/>
        <v>-0.86403522692333179</v>
      </c>
      <c r="P85" s="49">
        <f t="shared" si="26"/>
        <v>-0.15999999999999659</v>
      </c>
      <c r="Q85" s="49">
        <f t="shared" si="27"/>
        <v>2.3763000000000005</v>
      </c>
      <c r="R85" s="46">
        <f t="shared" si="28"/>
        <v>0</v>
      </c>
      <c r="S85" s="49">
        <f t="shared" si="29"/>
        <v>1.2073003040978485</v>
      </c>
    </row>
    <row r="86" spans="1:19" ht="14.25" customHeight="1" x14ac:dyDescent="0.45">
      <c r="A86" s="76">
        <v>56278451</v>
      </c>
      <c r="B86" s="77" t="s">
        <v>94</v>
      </c>
      <c r="C86">
        <v>97.925600000000003</v>
      </c>
      <c r="D86">
        <v>62.1586</v>
      </c>
      <c r="E86">
        <v>96.095799999999997</v>
      </c>
      <c r="F86">
        <v>62.732100000000003</v>
      </c>
      <c r="G86">
        <v>96.325599999999994</v>
      </c>
      <c r="H86">
        <v>64.055599999999998</v>
      </c>
      <c r="J86" s="69">
        <f t="shared" si="20"/>
        <v>1.3433020099739252</v>
      </c>
      <c r="K86" s="69">
        <f t="shared" si="21"/>
        <v>2.4816544884411331</v>
      </c>
      <c r="L86">
        <f t="shared" si="22"/>
        <v>1.9175688488291691</v>
      </c>
      <c r="M86" s="49">
        <f t="shared" si="23"/>
        <v>1.2941670855554332</v>
      </c>
      <c r="N86" s="48">
        <f t="shared" si="24"/>
        <v>-0.29416708555543336</v>
      </c>
      <c r="O86" s="49">
        <f t="shared" si="25"/>
        <v>-0.13142692473184958</v>
      </c>
      <c r="P86" s="49">
        <f t="shared" si="26"/>
        <v>-1.6000000000000085</v>
      </c>
      <c r="Q86" s="49">
        <f t="shared" si="27"/>
        <v>1.8969999999999985</v>
      </c>
      <c r="R86" s="46">
        <f t="shared" si="28"/>
        <v>0</v>
      </c>
      <c r="S86" s="49">
        <f t="shared" si="29"/>
        <v>0.70052348357354666</v>
      </c>
    </row>
    <row r="87" spans="1:19" ht="14.25" customHeight="1" x14ac:dyDescent="0.45">
      <c r="A87" s="76">
        <v>56278452</v>
      </c>
      <c r="B87" s="77" t="s">
        <v>94</v>
      </c>
      <c r="C87">
        <v>97.255099999999999</v>
      </c>
      <c r="D87">
        <v>49.089399999999998</v>
      </c>
      <c r="E87">
        <v>98.081900000000005</v>
      </c>
      <c r="F87">
        <v>49.668599999999998</v>
      </c>
      <c r="G87">
        <v>98.311700000000002</v>
      </c>
      <c r="H87">
        <v>48.555599999999998</v>
      </c>
      <c r="J87" s="69">
        <f t="shared" si="20"/>
        <v>1.1364757102551721</v>
      </c>
      <c r="K87" s="69">
        <f t="shared" si="21"/>
        <v>1.1837846087865842</v>
      </c>
      <c r="L87">
        <f t="shared" si="22"/>
        <v>1.0094904060960708</v>
      </c>
      <c r="M87" s="49">
        <f t="shared" si="23"/>
        <v>1.1726556306409575</v>
      </c>
      <c r="N87" s="48">
        <f t="shared" si="24"/>
        <v>-0.17265563064095754</v>
      </c>
      <c r="O87" s="49">
        <f t="shared" si="25"/>
        <v>0.39629241358690515</v>
      </c>
      <c r="P87" s="49">
        <f t="shared" si="26"/>
        <v>1.0566000000000031</v>
      </c>
      <c r="Q87" s="49">
        <f t="shared" si="27"/>
        <v>-0.53379999999999939</v>
      </c>
      <c r="R87" s="46">
        <f t="shared" si="28"/>
        <v>0</v>
      </c>
      <c r="S87" s="49">
        <f t="shared" si="29"/>
        <v>1.1257914918183149</v>
      </c>
    </row>
    <row r="88" spans="1:19" ht="14.25" customHeight="1" x14ac:dyDescent="0.45">
      <c r="A88" s="76">
        <v>56278453</v>
      </c>
      <c r="B88" s="77" t="s">
        <v>94</v>
      </c>
      <c r="C88">
        <v>44.031500000000001</v>
      </c>
      <c r="D88">
        <v>48.9253</v>
      </c>
      <c r="E88">
        <v>45.357599999999998</v>
      </c>
      <c r="F88">
        <v>49.7014</v>
      </c>
      <c r="G88">
        <v>45.640700000000002</v>
      </c>
      <c r="H88">
        <v>48.355600000000003</v>
      </c>
      <c r="J88" s="69">
        <f t="shared" si="20"/>
        <v>1.3752538856516621</v>
      </c>
      <c r="K88" s="69">
        <f t="shared" si="21"/>
        <v>1.7070684608415683</v>
      </c>
      <c r="L88">
        <f t="shared" si="22"/>
        <v>1.536513071861086</v>
      </c>
      <c r="M88" s="49">
        <f t="shared" si="23"/>
        <v>1.1110015867121121</v>
      </c>
      <c r="N88" s="48">
        <f t="shared" si="24"/>
        <v>-0.11100158671211224</v>
      </c>
      <c r="O88" s="49">
        <f t="shared" si="25"/>
        <v>0.31662385683299288</v>
      </c>
      <c r="P88" s="49">
        <f t="shared" si="26"/>
        <v>1.6092000000000013</v>
      </c>
      <c r="Q88" s="49">
        <f t="shared" si="27"/>
        <v>-0.56969999999999743</v>
      </c>
      <c r="R88" s="46">
        <f t="shared" si="28"/>
        <v>0</v>
      </c>
      <c r="S88" s="49">
        <f t="shared" si="29"/>
        <v>0.89504860768018046</v>
      </c>
    </row>
    <row r="89" spans="1:19" ht="14.25" customHeight="1" x14ac:dyDescent="0.45">
      <c r="A89" s="76">
        <v>56278454</v>
      </c>
      <c r="B89" s="77" t="s">
        <v>94</v>
      </c>
      <c r="C89">
        <v>86.202100000000002</v>
      </c>
      <c r="D89">
        <v>52.729500000000002</v>
      </c>
      <c r="E89">
        <v>84.947900000000004</v>
      </c>
      <c r="F89">
        <v>53.3292</v>
      </c>
      <c r="G89">
        <v>85.177700000000002</v>
      </c>
      <c r="H89">
        <v>52.055599999999998</v>
      </c>
      <c r="J89" s="69">
        <f t="shared" si="20"/>
        <v>1.2941657544534253</v>
      </c>
      <c r="K89" s="69">
        <f t="shared" si="21"/>
        <v>1.2261878200341105</v>
      </c>
      <c r="L89">
        <f t="shared" si="22"/>
        <v>1.3902006078260762</v>
      </c>
      <c r="M89" s="49">
        <f t="shared" si="23"/>
        <v>0.88202221544958148</v>
      </c>
      <c r="N89" s="48">
        <f t="shared" si="24"/>
        <v>0.11797778455041853</v>
      </c>
      <c r="O89" s="49">
        <f t="shared" si="25"/>
        <v>0.58471671022480254</v>
      </c>
      <c r="P89" s="49">
        <f t="shared" si="26"/>
        <v>-1.0244</v>
      </c>
      <c r="Q89" s="49">
        <f t="shared" si="27"/>
        <v>-0.67390000000000327</v>
      </c>
      <c r="R89" s="46">
        <f t="shared" si="28"/>
        <v>1</v>
      </c>
      <c r="S89" s="49">
        <f t="shared" si="29"/>
        <v>0.93092014718449501</v>
      </c>
    </row>
    <row r="90" spans="1:19" ht="14.25" customHeight="1" x14ac:dyDescent="0.45">
      <c r="A90" s="76">
        <v>56278455</v>
      </c>
      <c r="B90" s="77" t="s">
        <v>94</v>
      </c>
      <c r="C90">
        <v>68.556200000000004</v>
      </c>
      <c r="D90">
        <v>56.993600000000001</v>
      </c>
      <c r="E90">
        <v>69.1601</v>
      </c>
      <c r="F90">
        <v>57.593899999999998</v>
      </c>
      <c r="G90">
        <v>67.855599999999995</v>
      </c>
      <c r="H90">
        <v>57.364100000000001</v>
      </c>
      <c r="J90" s="69">
        <f t="shared" si="20"/>
        <v>1.3245860825178597</v>
      </c>
      <c r="K90" s="69">
        <f t="shared" si="21"/>
        <v>0.79253429578789325</v>
      </c>
      <c r="L90">
        <f t="shared" si="22"/>
        <v>0.85150179095524614</v>
      </c>
      <c r="M90" s="49">
        <f t="shared" si="23"/>
        <v>0.93074883013316867</v>
      </c>
      <c r="N90" s="48">
        <f t="shared" si="24"/>
        <v>6.9251169866831372E-2</v>
      </c>
      <c r="O90" s="49">
        <f t="shared" si="25"/>
        <v>0.82077029349025132</v>
      </c>
      <c r="P90" s="49">
        <f t="shared" si="26"/>
        <v>-0.70060000000000855</v>
      </c>
      <c r="Q90" s="49">
        <f t="shared" si="27"/>
        <v>0.37049999999999983</v>
      </c>
      <c r="R90" s="46">
        <f t="shared" si="28"/>
        <v>1</v>
      </c>
      <c r="S90" s="49">
        <f t="shared" si="29"/>
        <v>1.5555881345027944</v>
      </c>
    </row>
    <row r="91" spans="1:19" ht="14.25" customHeight="1" x14ac:dyDescent="0.45">
      <c r="A91" s="76">
        <v>56278456</v>
      </c>
      <c r="B91" s="77" t="s">
        <v>94</v>
      </c>
      <c r="C91">
        <v>72.641300000000001</v>
      </c>
      <c r="D91">
        <v>57.145499999999998</v>
      </c>
      <c r="E91">
        <v>72.8018</v>
      </c>
      <c r="F91">
        <v>56.460799999999999</v>
      </c>
      <c r="G91">
        <v>73.031599999999997</v>
      </c>
      <c r="H91">
        <v>57.6556</v>
      </c>
      <c r="J91" s="69">
        <f t="shared" si="20"/>
        <v>1.2166984342884644</v>
      </c>
      <c r="K91" s="69">
        <f t="shared" si="21"/>
        <v>0.64228973213028906</v>
      </c>
      <c r="L91">
        <f t="shared" si="22"/>
        <v>0.70325979552367335</v>
      </c>
      <c r="M91" s="49">
        <f t="shared" si="23"/>
        <v>0.91330364144023946</v>
      </c>
      <c r="N91" s="48">
        <f t="shared" si="24"/>
        <v>8.6696358559760572E-2</v>
      </c>
      <c r="O91" s="49">
        <f t="shared" si="25"/>
        <v>0.91298078770509983</v>
      </c>
      <c r="P91" s="49">
        <f t="shared" si="26"/>
        <v>0.39029999999999632</v>
      </c>
      <c r="Q91" s="49">
        <f t="shared" si="27"/>
        <v>0.51010000000000133</v>
      </c>
      <c r="R91" s="46">
        <f t="shared" si="28"/>
        <v>1</v>
      </c>
      <c r="S91" s="49">
        <f t="shared" si="29"/>
        <v>1.7300838780104948</v>
      </c>
    </row>
    <row r="92" spans="1:19" ht="14.25" customHeight="1" x14ac:dyDescent="0.45">
      <c r="A92" s="76">
        <v>56278457</v>
      </c>
      <c r="B92" s="77" t="s">
        <v>94</v>
      </c>
      <c r="C92">
        <v>75.839699999999993</v>
      </c>
      <c r="D92">
        <v>57.642699999999998</v>
      </c>
      <c r="E92">
        <v>76.443600000000004</v>
      </c>
      <c r="F92">
        <v>57.593899999999998</v>
      </c>
      <c r="G92">
        <v>77.855599999999995</v>
      </c>
      <c r="H92">
        <v>57.364100000000001</v>
      </c>
      <c r="J92" s="69">
        <f t="shared" si="20"/>
        <v>1.430577519745077</v>
      </c>
      <c r="K92" s="69">
        <f t="shared" si="21"/>
        <v>2.035060384853483</v>
      </c>
      <c r="L92">
        <f t="shared" si="22"/>
        <v>0.60586850883670473</v>
      </c>
      <c r="M92" s="49">
        <f t="shared" si="23"/>
        <v>3.3589142778866194</v>
      </c>
      <c r="N92" s="48">
        <f t="shared" si="24"/>
        <v>-2.358914277886619</v>
      </c>
      <c r="O92" s="49">
        <f t="shared" si="25"/>
        <v>-0.99674548009593389</v>
      </c>
      <c r="P92" s="49">
        <f t="shared" si="26"/>
        <v>2.015900000000002</v>
      </c>
      <c r="Q92" s="49">
        <f t="shared" si="27"/>
        <v>-0.27859999999999729</v>
      </c>
      <c r="R92" s="46">
        <f t="shared" si="28"/>
        <v>0</v>
      </c>
      <c r="S92" s="49">
        <f t="shared" si="29"/>
        <v>2.3612013149385356</v>
      </c>
    </row>
    <row r="93" spans="1:19" ht="14.25" customHeight="1" x14ac:dyDescent="0.45">
      <c r="A93" s="76">
        <v>56278458</v>
      </c>
      <c r="B93" s="77" t="s">
        <v>94</v>
      </c>
      <c r="C93">
        <v>77.158600000000007</v>
      </c>
      <c r="D93">
        <v>57.557099999999998</v>
      </c>
      <c r="E93">
        <v>76.443600000000004</v>
      </c>
      <c r="F93">
        <v>57.593899999999998</v>
      </c>
      <c r="G93">
        <v>77.855599999999995</v>
      </c>
      <c r="H93">
        <v>57.364100000000001</v>
      </c>
      <c r="J93" s="69">
        <f t="shared" si="20"/>
        <v>1.430577519745077</v>
      </c>
      <c r="K93" s="69">
        <f t="shared" si="21"/>
        <v>0.723227488415632</v>
      </c>
      <c r="L93">
        <f t="shared" si="22"/>
        <v>0.71594639464138998</v>
      </c>
      <c r="M93" s="49">
        <f t="shared" si="23"/>
        <v>1.0101698867802653</v>
      </c>
      <c r="N93" s="48">
        <f t="shared" si="24"/>
        <v>-1.0169886780265223E-2</v>
      </c>
      <c r="O93" s="49">
        <f t="shared" si="25"/>
        <v>0.99396594801919325</v>
      </c>
      <c r="P93" s="49">
        <f t="shared" si="26"/>
        <v>0.69699999999998852</v>
      </c>
      <c r="Q93" s="49">
        <f t="shared" si="27"/>
        <v>-0.19299999999999784</v>
      </c>
      <c r="R93" s="46">
        <f t="shared" si="28"/>
        <v>0</v>
      </c>
      <c r="S93" s="49">
        <f t="shared" si="29"/>
        <v>1.9981628938317906</v>
      </c>
    </row>
    <row r="94" spans="1:19" ht="14.25" customHeight="1" x14ac:dyDescent="0.45">
      <c r="A94" s="76">
        <v>56278459</v>
      </c>
      <c r="B94" s="77" t="s">
        <v>94</v>
      </c>
      <c r="C94">
        <v>59.0959</v>
      </c>
      <c r="D94">
        <v>58.179200000000002</v>
      </c>
      <c r="E94">
        <v>59.705500000000001</v>
      </c>
      <c r="F94">
        <v>58.027799999999999</v>
      </c>
      <c r="G94">
        <v>58.555599999999998</v>
      </c>
      <c r="H94">
        <v>57.798000000000002</v>
      </c>
      <c r="J94" s="69">
        <f t="shared" si="20"/>
        <v>1.1726372201154134</v>
      </c>
      <c r="K94" s="69">
        <f t="shared" si="21"/>
        <v>0.66123938932885873</v>
      </c>
      <c r="L94">
        <f t="shared" si="22"/>
        <v>0.62811951092129048</v>
      </c>
      <c r="M94" s="49">
        <f t="shared" si="23"/>
        <v>1.0527286254155517</v>
      </c>
      <c r="N94" s="48">
        <f t="shared" si="24"/>
        <v>-5.2728625415551678E-2</v>
      </c>
      <c r="O94" s="49">
        <f t="shared" si="25"/>
        <v>0.90446216325217088</v>
      </c>
      <c r="P94" s="49">
        <f t="shared" si="26"/>
        <v>-0.540300000000002</v>
      </c>
      <c r="Q94" s="49">
        <f t="shared" si="27"/>
        <v>-0.38119999999999976</v>
      </c>
      <c r="R94" s="46">
        <f t="shared" si="28"/>
        <v>0</v>
      </c>
      <c r="S94" s="49">
        <f t="shared" si="29"/>
        <v>1.8669014410895386</v>
      </c>
    </row>
    <row r="95" spans="1:19" ht="14.25" customHeight="1" x14ac:dyDescent="0.45">
      <c r="A95" s="76">
        <v>56278460</v>
      </c>
      <c r="B95" s="77" t="s">
        <v>94</v>
      </c>
      <c r="C95">
        <v>101.6927</v>
      </c>
      <c r="D95">
        <v>60.356900000000003</v>
      </c>
      <c r="E95">
        <v>102.85429999999999</v>
      </c>
      <c r="F95">
        <v>57.742800000000003</v>
      </c>
      <c r="G95">
        <v>104.0556</v>
      </c>
      <c r="H95">
        <v>57.463799999999999</v>
      </c>
      <c r="J95" s="69">
        <f t="shared" si="20"/>
        <v>1.2332731611447685</v>
      </c>
      <c r="K95" s="69">
        <f t="shared" si="21"/>
        <v>3.7354148390774489</v>
      </c>
      <c r="L95">
        <f t="shared" si="22"/>
        <v>2.8605652186237576</v>
      </c>
      <c r="M95" s="49">
        <f t="shared" si="23"/>
        <v>1.3058310346353819</v>
      </c>
      <c r="N95" s="48">
        <f t="shared" si="24"/>
        <v>-0.30583103463538192</v>
      </c>
      <c r="O95" s="49">
        <f t="shared" si="25"/>
        <v>-0.60228155254360183</v>
      </c>
      <c r="P95" s="49">
        <f t="shared" si="26"/>
        <v>2.3628999999999962</v>
      </c>
      <c r="Q95" s="49">
        <f t="shared" si="27"/>
        <v>-2.893100000000004</v>
      </c>
      <c r="R95" s="46">
        <f t="shared" si="28"/>
        <v>0</v>
      </c>
      <c r="S95" s="49">
        <f t="shared" si="29"/>
        <v>0.43112918842595266</v>
      </c>
    </row>
    <row r="96" spans="1:19" ht="14.25" customHeight="1" x14ac:dyDescent="0.45">
      <c r="A96" s="76">
        <v>56278461</v>
      </c>
      <c r="B96" s="77" t="s">
        <v>94</v>
      </c>
      <c r="C96">
        <v>68.354200000000006</v>
      </c>
      <c r="D96">
        <v>54.028700000000001</v>
      </c>
      <c r="E96">
        <v>69.129800000000003</v>
      </c>
      <c r="F96">
        <v>54.877000000000002</v>
      </c>
      <c r="G96">
        <v>67.655600000000007</v>
      </c>
      <c r="H96">
        <v>54.647199999999998</v>
      </c>
      <c r="J96" s="69">
        <f t="shared" si="20"/>
        <v>1.4920032439642987</v>
      </c>
      <c r="K96" s="69">
        <f t="shared" si="21"/>
        <v>0.93305102218474389</v>
      </c>
      <c r="L96">
        <f t="shared" si="22"/>
        <v>1.1494208324195272</v>
      </c>
      <c r="M96" s="49">
        <f t="shared" si="23"/>
        <v>0.81175753550653373</v>
      </c>
      <c r="N96" s="48">
        <f t="shared" si="24"/>
        <v>0.18824246449346627</v>
      </c>
      <c r="O96" s="49">
        <f t="shared" si="25"/>
        <v>0.78039416180531218</v>
      </c>
      <c r="P96" s="49">
        <f t="shared" si="26"/>
        <v>-0.698599999999999</v>
      </c>
      <c r="Q96" s="49">
        <f t="shared" si="27"/>
        <v>0.61849999999999739</v>
      </c>
      <c r="R96" s="46">
        <f t="shared" si="28"/>
        <v>1</v>
      </c>
      <c r="S96" s="49">
        <f t="shared" si="29"/>
        <v>1.298047853216334</v>
      </c>
    </row>
    <row r="97" spans="1:19" ht="14.25" customHeight="1" x14ac:dyDescent="0.45">
      <c r="A97" s="76">
        <v>56278462</v>
      </c>
      <c r="B97" s="77" t="s">
        <v>94</v>
      </c>
      <c r="C97">
        <v>90.61</v>
      </c>
      <c r="D97">
        <v>58.9878</v>
      </c>
      <c r="E97">
        <v>89.925399999999996</v>
      </c>
      <c r="F97">
        <v>58.306699999999999</v>
      </c>
      <c r="G97">
        <v>91.055599999999998</v>
      </c>
      <c r="H97">
        <v>58.013300000000001</v>
      </c>
      <c r="J97" s="69">
        <f t="shared" si="20"/>
        <v>1.1676624512246694</v>
      </c>
      <c r="K97" s="69">
        <f t="shared" si="21"/>
        <v>1.0715454306747789</v>
      </c>
      <c r="L97">
        <f t="shared" si="22"/>
        <v>0.96569890235000544</v>
      </c>
      <c r="M97" s="49">
        <f t="shared" si="23"/>
        <v>1.1096061392088139</v>
      </c>
      <c r="N97" s="48">
        <f t="shared" si="24"/>
        <v>-0.1096061392088139</v>
      </c>
      <c r="O97" s="49">
        <f t="shared" si="25"/>
        <v>0.50895256618674078</v>
      </c>
      <c r="P97" s="49">
        <f t="shared" si="26"/>
        <v>0.44559999999999889</v>
      </c>
      <c r="Q97" s="49">
        <f t="shared" si="27"/>
        <v>-0.97449999999999903</v>
      </c>
      <c r="R97" s="46">
        <f t="shared" si="28"/>
        <v>0</v>
      </c>
      <c r="S97" s="49">
        <f t="shared" si="29"/>
        <v>1.2091371838397977</v>
      </c>
    </row>
    <row r="98" spans="1:19" ht="14.25" customHeight="1" x14ac:dyDescent="0.45">
      <c r="A98" s="76">
        <v>56278463</v>
      </c>
      <c r="B98" s="77" t="s">
        <v>94</v>
      </c>
      <c r="C98">
        <v>85.974299999999999</v>
      </c>
      <c r="D98">
        <v>54.136899999999997</v>
      </c>
      <c r="E98">
        <v>84.947900000000004</v>
      </c>
      <c r="F98">
        <v>53.3292</v>
      </c>
      <c r="G98">
        <v>85.177700000000002</v>
      </c>
      <c r="H98">
        <v>52.055599999999998</v>
      </c>
      <c r="J98" s="69">
        <f t="shared" ref="J98:J112" si="30">IFERROR(SQRT((F98-H98)^2+(E98-G98)^2),"")</f>
        <v>1.2941657544534253</v>
      </c>
      <c r="K98" s="69">
        <f t="shared" ref="K98:K112" si="31">IFERROR(SQRT((D98-H98)^2+(C98-G98)^2),"")</f>
        <v>2.2285379175594011</v>
      </c>
      <c r="L98">
        <f t="shared" ref="L98:L112" si="32">IFERROR(SQRT((D98-F98)^2+(C98-E98)^2),"")</f>
        <v>1.3060919760874368</v>
      </c>
      <c r="M98" s="49">
        <f t="shared" ref="M98:M129" si="33">IF(AND(AND(ISNUMBER(E98),ISNUMBER(F98)),ISNUMBER(L98),L98&gt;0),K98/L98,"")</f>
        <v>1.7062641516528319</v>
      </c>
      <c r="N98" s="48">
        <f t="shared" ref="N98:N112" si="34">IF(AND(AND(ISNUMBER(E98),ISNUMBER(F98)),ISNUMBER(L98),L98&gt;0),(L98-K98)/L98,"")</f>
        <v>-0.70626415165283196</v>
      </c>
      <c r="O98" s="49">
        <f t="shared" ref="O98:O112" si="35">IFERROR(IF(AND(AND(ISNUMBER(E98),ISNUMBER(F98)),SQRT((G98-E98)^2+(H98-F98)^2)&gt;0,SQRT((C98-E98)^2+(D98-F98)^2)&gt;0),((G98-E98)*(C98-E98)+(H98-F98)*(D98-F98))/(SQRT((G98-E98)^2+(H98-F98)^2)*SQRT((C98-E98)^2+(D98-F98)^2)),""),"")</f>
        <v>-0.46904113527010349</v>
      </c>
      <c r="P98" s="49">
        <f t="shared" ref="P98:P112" si="36">IF(AND(ISNUMBER(G98),ISNUMBER(C98)),G98-C98,"")</f>
        <v>-0.79659999999999798</v>
      </c>
      <c r="Q98" s="49">
        <f t="shared" ref="Q98:Q112" si="37">IF(AND(ISNUMBER(H98),ISNUMBER(D98)),H98-D98,"")</f>
        <v>-2.0812999999999988</v>
      </c>
      <c r="R98" s="46">
        <f t="shared" ref="R98:R112" si="38">IF(M98="","",IF(M98&lt;1,1,0))</f>
        <v>0</v>
      </c>
      <c r="S98" s="49">
        <f t="shared" ref="S98:S112" si="39">IF(AND(ISNUMBER(J98),ISNUMBER(L98),L98&gt;0),J98/L98,"")</f>
        <v>0.99086877352256775</v>
      </c>
    </row>
    <row r="99" spans="1:19" ht="14.25" customHeight="1" x14ac:dyDescent="0.45">
      <c r="A99" s="76">
        <v>56278464</v>
      </c>
      <c r="B99" s="77" t="s">
        <v>94</v>
      </c>
      <c r="C99">
        <v>73.031599999999997</v>
      </c>
      <c r="D99">
        <v>52.565399999999997</v>
      </c>
      <c r="E99">
        <v>72.8018</v>
      </c>
      <c r="F99">
        <v>53.293100000000003</v>
      </c>
      <c r="G99">
        <v>73.031599999999997</v>
      </c>
      <c r="H99">
        <v>52.055599999999998</v>
      </c>
      <c r="J99" s="69">
        <f t="shared" si="30"/>
        <v>1.2586557472160564</v>
      </c>
      <c r="K99" s="69">
        <f t="shared" si="31"/>
        <v>0.50979999999999848</v>
      </c>
      <c r="L99">
        <f t="shared" si="32"/>
        <v>0.76312209377006457</v>
      </c>
      <c r="M99" s="49">
        <f t="shared" si="33"/>
        <v>0.6680451321772447</v>
      </c>
      <c r="N99" s="48">
        <f t="shared" si="34"/>
        <v>0.33195486782275535</v>
      </c>
      <c r="O99" s="49">
        <f t="shared" si="35"/>
        <v>0.99253393091685949</v>
      </c>
      <c r="P99" s="49">
        <f t="shared" si="36"/>
        <v>0</v>
      </c>
      <c r="Q99" s="49">
        <f t="shared" si="37"/>
        <v>-0.50979999999999848</v>
      </c>
      <c r="R99" s="46">
        <f t="shared" si="38"/>
        <v>1</v>
      </c>
      <c r="S99" s="49">
        <f t="shared" si="39"/>
        <v>1.6493504217626551</v>
      </c>
    </row>
    <row r="100" spans="1:19" ht="14.25" customHeight="1" x14ac:dyDescent="0.45">
      <c r="A100" s="76">
        <v>56278465</v>
      </c>
      <c r="B100" s="77" t="s">
        <v>94</v>
      </c>
      <c r="C100">
        <v>101.6927</v>
      </c>
      <c r="D100">
        <v>53.7241</v>
      </c>
      <c r="E100">
        <v>100.80500000000001</v>
      </c>
      <c r="F100">
        <v>56.430399999999999</v>
      </c>
      <c r="G100">
        <v>101.0348</v>
      </c>
      <c r="H100">
        <v>55.055599999999998</v>
      </c>
      <c r="J100" s="69">
        <f t="shared" si="30"/>
        <v>1.3938734088861873</v>
      </c>
      <c r="K100" s="69">
        <f t="shared" si="31"/>
        <v>1.4851682261615997</v>
      </c>
      <c r="L100">
        <f t="shared" si="32"/>
        <v>2.8481697596877869</v>
      </c>
      <c r="M100" s="49">
        <f t="shared" si="33"/>
        <v>0.5214465258294162</v>
      </c>
      <c r="N100" s="48">
        <f t="shared" si="34"/>
        <v>0.4785534741705838</v>
      </c>
      <c r="O100" s="49">
        <f t="shared" si="35"/>
        <v>0.98857089971787404</v>
      </c>
      <c r="P100" s="49">
        <f t="shared" si="36"/>
        <v>-0.65789999999999793</v>
      </c>
      <c r="Q100" s="49">
        <f t="shared" si="37"/>
        <v>1.3314999999999984</v>
      </c>
      <c r="R100" s="46">
        <f t="shared" si="38"/>
        <v>1</v>
      </c>
      <c r="S100" s="49">
        <f t="shared" si="39"/>
        <v>0.48939267195891517</v>
      </c>
    </row>
    <row r="101" spans="1:19" ht="14.25" customHeight="1" x14ac:dyDescent="0.45">
      <c r="A101" s="76">
        <v>56278466</v>
      </c>
      <c r="B101" s="77" t="s">
        <v>94</v>
      </c>
      <c r="C101">
        <v>69.875100000000003</v>
      </c>
      <c r="D101">
        <v>57.631999999999998</v>
      </c>
      <c r="E101">
        <v>69.1601</v>
      </c>
      <c r="F101">
        <v>57.593899999999998</v>
      </c>
      <c r="G101">
        <v>67.855599999999995</v>
      </c>
      <c r="H101">
        <v>57.364100000000001</v>
      </c>
      <c r="J101" s="69">
        <f t="shared" si="30"/>
        <v>1.3245860825178597</v>
      </c>
      <c r="K101" s="69">
        <f t="shared" si="31"/>
        <v>2.0371918564533948</v>
      </c>
      <c r="L101">
        <f t="shared" si="32"/>
        <v>0.7160143923134541</v>
      </c>
      <c r="M101" s="49">
        <f t="shared" si="33"/>
        <v>2.8451828319696131</v>
      </c>
      <c r="N101" s="48">
        <f t="shared" si="34"/>
        <v>-1.8451828319696131</v>
      </c>
      <c r="O101" s="49">
        <f t="shared" si="35"/>
        <v>-0.99267223470227195</v>
      </c>
      <c r="P101" s="49">
        <f t="shared" si="36"/>
        <v>-2.0195000000000078</v>
      </c>
      <c r="Q101" s="49">
        <f t="shared" si="37"/>
        <v>-0.26789999999999736</v>
      </c>
      <c r="R101" s="46">
        <f t="shared" si="38"/>
        <v>0</v>
      </c>
      <c r="S101" s="49">
        <f t="shared" si="39"/>
        <v>1.8499433764705491</v>
      </c>
    </row>
    <row r="102" spans="1:19" ht="14.25" customHeight="1" x14ac:dyDescent="0.45">
      <c r="A102">
        <v>56278337</v>
      </c>
      <c r="B102" t="s">
        <v>50</v>
      </c>
      <c r="C102">
        <v>71.250900000000001</v>
      </c>
      <c r="D102">
        <v>20.357299999999999</v>
      </c>
      <c r="E102">
        <v>51.533799999999999</v>
      </c>
      <c r="F102">
        <v>29.0534</v>
      </c>
      <c r="G102">
        <v>58.737499999999997</v>
      </c>
      <c r="H102">
        <v>47.2515</v>
      </c>
      <c r="J102" s="69">
        <f t="shared" si="30"/>
        <v>19.572024353653354</v>
      </c>
      <c r="K102" s="69">
        <f t="shared" si="31"/>
        <v>29.662824767712198</v>
      </c>
      <c r="L102">
        <f t="shared" si="32"/>
        <v>21.549621519182189</v>
      </c>
      <c r="M102" s="49">
        <f t="shared" si="33"/>
        <v>1.3764893616023892</v>
      </c>
      <c r="N102" s="48">
        <f t="shared" si="34"/>
        <v>-0.37648936160238916</v>
      </c>
      <c r="O102" s="49">
        <f t="shared" si="35"/>
        <v>-3.8448526480790252E-2</v>
      </c>
      <c r="P102" s="49">
        <f t="shared" si="36"/>
        <v>-12.513400000000004</v>
      </c>
      <c r="Q102" s="49">
        <f t="shared" si="37"/>
        <v>26.894200000000001</v>
      </c>
      <c r="R102" s="46">
        <f t="shared" si="38"/>
        <v>0</v>
      </c>
      <c r="S102" s="49">
        <f t="shared" si="39"/>
        <v>0.90823053835221679</v>
      </c>
    </row>
    <row r="103" spans="1:19" ht="14.25" customHeight="1" x14ac:dyDescent="0.45">
      <c r="A103">
        <v>56278338</v>
      </c>
      <c r="B103" t="s">
        <v>50</v>
      </c>
      <c r="C103">
        <v>72.9315</v>
      </c>
      <c r="D103">
        <v>61.287300000000002</v>
      </c>
      <c r="E103">
        <v>71.3142</v>
      </c>
      <c r="F103">
        <v>60.128300000000003</v>
      </c>
      <c r="G103">
        <v>70.402500000000003</v>
      </c>
      <c r="H103">
        <v>53.590899999999998</v>
      </c>
      <c r="J103" s="69">
        <f t="shared" si="30"/>
        <v>6.6006663034878583</v>
      </c>
      <c r="K103" s="69">
        <f t="shared" si="31"/>
        <v>8.1012600229840821</v>
      </c>
      <c r="L103">
        <f t="shared" si="32"/>
        <v>1.98970859424188</v>
      </c>
      <c r="M103" s="49">
        <f t="shared" si="33"/>
        <v>4.0715811583810488</v>
      </c>
      <c r="N103" s="48">
        <f t="shared" si="34"/>
        <v>-3.0715811583810488</v>
      </c>
      <c r="O103" s="49">
        <f t="shared" si="35"/>
        <v>-0.68918462138458791</v>
      </c>
      <c r="P103" s="49">
        <f t="shared" si="36"/>
        <v>-2.5289999999999964</v>
      </c>
      <c r="Q103" s="49">
        <f t="shared" si="37"/>
        <v>-7.6964000000000041</v>
      </c>
      <c r="R103" s="46">
        <f t="shared" si="38"/>
        <v>0</v>
      </c>
      <c r="S103" s="49">
        <f t="shared" si="39"/>
        <v>3.3174035246115268</v>
      </c>
    </row>
    <row r="104" spans="1:19" ht="14.25" customHeight="1" x14ac:dyDescent="0.45">
      <c r="A104">
        <v>56278339</v>
      </c>
      <c r="B104" t="s">
        <v>50</v>
      </c>
      <c r="C104">
        <v>68.111900000000006</v>
      </c>
      <c r="D104">
        <v>51.938200000000002</v>
      </c>
      <c r="E104">
        <v>68.046000000000006</v>
      </c>
      <c r="F104">
        <v>51.762599999999999</v>
      </c>
      <c r="G104">
        <v>68.655900000000003</v>
      </c>
      <c r="H104">
        <v>53.575499999999998</v>
      </c>
      <c r="J104" s="69">
        <f t="shared" si="30"/>
        <v>1.9127426434311523</v>
      </c>
      <c r="K104" s="69">
        <f t="shared" si="31"/>
        <v>1.7253078826690569</v>
      </c>
      <c r="L104">
        <f t="shared" si="32"/>
        <v>0.18755844422472931</v>
      </c>
      <c r="M104" s="49">
        <f t="shared" si="33"/>
        <v>9.1987747595188125</v>
      </c>
      <c r="N104" s="48">
        <f t="shared" si="34"/>
        <v>-8.1987747595188125</v>
      </c>
      <c r="O104" s="49">
        <f t="shared" si="35"/>
        <v>0.99940520198194505</v>
      </c>
      <c r="P104" s="49">
        <f t="shared" si="36"/>
        <v>0.54399999999999693</v>
      </c>
      <c r="Q104" s="49">
        <f t="shared" si="37"/>
        <v>1.6372999999999962</v>
      </c>
      <c r="R104" s="46">
        <f t="shared" si="38"/>
        <v>0</v>
      </c>
      <c r="S104" s="49">
        <f t="shared" si="39"/>
        <v>10.198115319933754</v>
      </c>
    </row>
    <row r="105" spans="1:19" ht="14.25" customHeight="1" x14ac:dyDescent="0.45">
      <c r="A105">
        <v>56278340</v>
      </c>
      <c r="B105" t="s">
        <v>50</v>
      </c>
      <c r="C105">
        <v>81.558899999999994</v>
      </c>
      <c r="D105">
        <v>59.521900000000002</v>
      </c>
      <c r="E105">
        <v>82.757199999999997</v>
      </c>
      <c r="F105">
        <v>58.532699999999998</v>
      </c>
      <c r="G105">
        <v>86.334000000000003</v>
      </c>
      <c r="H105">
        <v>53.656199999999998</v>
      </c>
      <c r="J105" s="69">
        <f t="shared" si="30"/>
        <v>6.0476235406976215</v>
      </c>
      <c r="K105" s="69">
        <f t="shared" si="31"/>
        <v>7.5635981186205372</v>
      </c>
      <c r="L105">
        <f t="shared" si="32"/>
        <v>1.5538466880616038</v>
      </c>
      <c r="M105" s="49">
        <f t="shared" si="33"/>
        <v>4.8676604820363529</v>
      </c>
      <c r="N105" s="48">
        <f t="shared" si="34"/>
        <v>-3.8676604820363534</v>
      </c>
      <c r="O105" s="49">
        <f t="shared" si="35"/>
        <v>-0.96944087150665381</v>
      </c>
      <c r="P105" s="49">
        <f t="shared" si="36"/>
        <v>4.775100000000009</v>
      </c>
      <c r="Q105" s="49">
        <f t="shared" si="37"/>
        <v>-5.8657000000000039</v>
      </c>
      <c r="R105" s="46">
        <f t="shared" si="38"/>
        <v>0</v>
      </c>
      <c r="S105" s="49">
        <f t="shared" si="39"/>
        <v>3.8920336138450859</v>
      </c>
    </row>
    <row r="106" spans="1:19" ht="14.25" customHeight="1" x14ac:dyDescent="0.45">
      <c r="A106">
        <v>56278341</v>
      </c>
      <c r="B106" t="s">
        <v>50</v>
      </c>
      <c r="C106">
        <v>88.666399999999996</v>
      </c>
      <c r="D106">
        <v>58.3733</v>
      </c>
      <c r="E106">
        <v>88.666399999999996</v>
      </c>
      <c r="F106">
        <v>57.3964</v>
      </c>
      <c r="G106">
        <v>89.332899999999995</v>
      </c>
      <c r="H106">
        <v>53.588000000000001</v>
      </c>
      <c r="J106" s="69">
        <f t="shared" si="30"/>
        <v>3.8662815223415885</v>
      </c>
      <c r="K106" s="69">
        <f t="shared" si="31"/>
        <v>4.8314923512306205</v>
      </c>
      <c r="L106">
        <f t="shared" si="32"/>
        <v>0.97690000000000055</v>
      </c>
      <c r="M106" s="49">
        <f t="shared" si="33"/>
        <v>4.9457389202893003</v>
      </c>
      <c r="N106" s="48">
        <f t="shared" si="34"/>
        <v>-3.9457389202893007</v>
      </c>
      <c r="O106" s="49">
        <f t="shared" si="35"/>
        <v>-0.98502914958284404</v>
      </c>
      <c r="P106" s="49">
        <f t="shared" si="36"/>
        <v>0.6664999999999992</v>
      </c>
      <c r="Q106" s="49">
        <f t="shared" si="37"/>
        <v>-4.7852999999999994</v>
      </c>
      <c r="R106" s="46">
        <f t="shared" si="38"/>
        <v>0</v>
      </c>
      <c r="S106" s="49">
        <f t="shared" si="39"/>
        <v>3.9577044962038963</v>
      </c>
    </row>
    <row r="107" spans="1:19" ht="14.25" customHeight="1" x14ac:dyDescent="0.45">
      <c r="A107">
        <v>56278342</v>
      </c>
      <c r="B107" t="s">
        <v>50</v>
      </c>
      <c r="C107">
        <v>87.174800000000005</v>
      </c>
      <c r="D107">
        <v>51.604500000000002</v>
      </c>
      <c r="E107">
        <v>87.174800000000005</v>
      </c>
      <c r="F107">
        <v>51.604500000000002</v>
      </c>
      <c r="G107">
        <v>86.334000000000003</v>
      </c>
      <c r="H107">
        <v>53.656199999999998</v>
      </c>
      <c r="J107" s="69">
        <f t="shared" si="30"/>
        <v>2.2172996031208747</v>
      </c>
      <c r="K107" s="69">
        <f t="shared" si="31"/>
        <v>2.2172996031208747</v>
      </c>
      <c r="L107">
        <f t="shared" si="32"/>
        <v>0</v>
      </c>
      <c r="M107" s="49" t="str">
        <f t="shared" si="33"/>
        <v/>
      </c>
      <c r="N107" s="48" t="str">
        <f t="shared" si="34"/>
        <v/>
      </c>
      <c r="O107" s="49" t="str">
        <f t="shared" si="35"/>
        <v/>
      </c>
      <c r="P107" s="49">
        <f t="shared" si="36"/>
        <v>-0.84080000000000155</v>
      </c>
      <c r="Q107" s="49">
        <f t="shared" si="37"/>
        <v>2.0516999999999967</v>
      </c>
      <c r="R107" s="46" t="str">
        <f t="shared" si="38"/>
        <v/>
      </c>
      <c r="S107" s="49" t="str">
        <f t="shared" si="39"/>
        <v/>
      </c>
    </row>
    <row r="108" spans="1:19" ht="14.25" customHeight="1" x14ac:dyDescent="0.45">
      <c r="A108">
        <v>56278343</v>
      </c>
      <c r="B108" t="s">
        <v>50</v>
      </c>
      <c r="C108">
        <v>96.917100000000005</v>
      </c>
      <c r="D108">
        <v>54.533900000000003</v>
      </c>
      <c r="E108">
        <v>96.908199999999994</v>
      </c>
      <c r="F108">
        <v>55.986499999999999</v>
      </c>
      <c r="G108">
        <v>97.955799999999996</v>
      </c>
      <c r="H108">
        <v>50.360900000000001</v>
      </c>
      <c r="J108" s="69">
        <f t="shared" si="30"/>
        <v>5.7223108199397901</v>
      </c>
      <c r="K108" s="69">
        <f t="shared" si="31"/>
        <v>4.3003286723226166</v>
      </c>
      <c r="L108">
        <f t="shared" si="32"/>
        <v>1.4526272646484337</v>
      </c>
      <c r="M108" s="49">
        <f t="shared" si="33"/>
        <v>2.9603799797626587</v>
      </c>
      <c r="N108" s="48">
        <f t="shared" si="34"/>
        <v>-1.9603799797626589</v>
      </c>
      <c r="O108" s="49">
        <f t="shared" si="35"/>
        <v>0.98420254615758007</v>
      </c>
      <c r="P108" s="49">
        <f t="shared" si="36"/>
        <v>1.0386999999999915</v>
      </c>
      <c r="Q108" s="49">
        <f t="shared" si="37"/>
        <v>-4.1730000000000018</v>
      </c>
      <c r="R108" s="46">
        <f t="shared" si="38"/>
        <v>0</v>
      </c>
      <c r="S108" s="49">
        <f t="shared" si="39"/>
        <v>3.939283640889605</v>
      </c>
    </row>
    <row r="109" spans="1:19" ht="14.25" customHeight="1" x14ac:dyDescent="0.45">
      <c r="A109">
        <v>56278344</v>
      </c>
      <c r="B109" t="s">
        <v>50</v>
      </c>
      <c r="C109">
        <v>89.279600000000002</v>
      </c>
      <c r="D109">
        <v>65.458100000000002</v>
      </c>
      <c r="E109">
        <v>89.475300000000004</v>
      </c>
      <c r="F109">
        <v>67.251900000000006</v>
      </c>
      <c r="G109">
        <v>95.671899999999994</v>
      </c>
      <c r="H109">
        <v>63.7624</v>
      </c>
      <c r="J109" s="69">
        <f t="shared" si="30"/>
        <v>7.1115723866104261</v>
      </c>
      <c r="K109" s="69">
        <f t="shared" si="31"/>
        <v>6.6133877687611742</v>
      </c>
      <c r="L109">
        <f t="shared" si="32"/>
        <v>1.8044436621851114</v>
      </c>
      <c r="M109" s="49">
        <f t="shared" si="33"/>
        <v>3.665056386827072</v>
      </c>
      <c r="N109" s="48">
        <f t="shared" si="34"/>
        <v>-2.665056386827072</v>
      </c>
      <c r="O109" s="49">
        <f t="shared" si="35"/>
        <v>0.39328403140196677</v>
      </c>
      <c r="P109" s="49">
        <f t="shared" si="36"/>
        <v>6.3922999999999917</v>
      </c>
      <c r="Q109" s="49">
        <f t="shared" si="37"/>
        <v>-1.6957000000000022</v>
      </c>
      <c r="R109" s="46">
        <f t="shared" si="38"/>
        <v>0</v>
      </c>
      <c r="S109" s="49">
        <f t="shared" si="39"/>
        <v>3.9411440410384371</v>
      </c>
    </row>
    <row r="110" spans="1:19" ht="14.25" customHeight="1" x14ac:dyDescent="0.45">
      <c r="A110">
        <v>56278345</v>
      </c>
      <c r="B110" t="s">
        <v>50</v>
      </c>
      <c r="C110">
        <v>62.444299999999998</v>
      </c>
      <c r="D110">
        <v>65.317999999999998</v>
      </c>
      <c r="E110">
        <v>63.040799999999997</v>
      </c>
      <c r="F110">
        <v>65.19</v>
      </c>
      <c r="G110">
        <v>64.431600000000003</v>
      </c>
      <c r="H110">
        <v>63.190399999999997</v>
      </c>
      <c r="J110" s="69">
        <f t="shared" si="30"/>
        <v>2.4357185387478619</v>
      </c>
      <c r="K110" s="69">
        <f t="shared" si="31"/>
        <v>2.9113644653323676</v>
      </c>
      <c r="L110">
        <f t="shared" si="32"/>
        <v>0.61007888834149859</v>
      </c>
      <c r="M110" s="49">
        <f t="shared" si="33"/>
        <v>4.7721114776597515</v>
      </c>
      <c r="N110" s="48">
        <f t="shared" si="34"/>
        <v>-3.7721114776597515</v>
      </c>
      <c r="O110" s="49">
        <f t="shared" si="35"/>
        <v>-0.730535178871347</v>
      </c>
      <c r="P110" s="49">
        <f t="shared" si="36"/>
        <v>1.9873000000000047</v>
      </c>
      <c r="Q110" s="49">
        <f t="shared" si="37"/>
        <v>-2.127600000000001</v>
      </c>
      <c r="R110" s="46">
        <f t="shared" si="38"/>
        <v>0</v>
      </c>
      <c r="S110" s="49">
        <f t="shared" si="39"/>
        <v>3.9924648849419633</v>
      </c>
    </row>
    <row r="111" spans="1:19" ht="14.25" customHeight="1" x14ac:dyDescent="0.45">
      <c r="A111">
        <v>56278346</v>
      </c>
      <c r="B111" t="s">
        <v>50</v>
      </c>
      <c r="C111">
        <v>72.552099999999996</v>
      </c>
      <c r="D111">
        <v>54.763599999999997</v>
      </c>
      <c r="E111">
        <v>72.493300000000005</v>
      </c>
      <c r="F111">
        <v>54.9741</v>
      </c>
      <c r="G111">
        <v>70.402500000000003</v>
      </c>
      <c r="H111">
        <v>53.590899999999998</v>
      </c>
      <c r="J111" s="69">
        <f t="shared" si="30"/>
        <v>2.5069277771806693</v>
      </c>
      <c r="K111" s="69">
        <f t="shared" si="31"/>
        <v>2.4486742229214493</v>
      </c>
      <c r="L111">
        <f t="shared" si="32"/>
        <v>0.21855820734989634</v>
      </c>
      <c r="M111" s="49">
        <f t="shared" si="33"/>
        <v>11.203762387203762</v>
      </c>
      <c r="N111" s="48">
        <f t="shared" si="34"/>
        <v>-10.203762387203762</v>
      </c>
      <c r="O111" s="49">
        <f t="shared" si="35"/>
        <v>0.30702974985539955</v>
      </c>
      <c r="P111" s="49">
        <f t="shared" si="36"/>
        <v>-2.1495999999999924</v>
      </c>
      <c r="Q111" s="49">
        <f t="shared" si="37"/>
        <v>-1.172699999999999</v>
      </c>
      <c r="R111" s="46">
        <f t="shared" si="38"/>
        <v>0</v>
      </c>
      <c r="S111" s="49">
        <f t="shared" si="39"/>
        <v>11.470298039035679</v>
      </c>
    </row>
    <row r="112" spans="1:19" ht="14.25" customHeight="1" x14ac:dyDescent="0.45">
      <c r="A112">
        <v>56278347</v>
      </c>
      <c r="B112" t="s">
        <v>50</v>
      </c>
      <c r="C112">
        <v>97.389300000000006</v>
      </c>
      <c r="D112">
        <v>50.454500000000003</v>
      </c>
      <c r="E112">
        <v>97.491600000000005</v>
      </c>
      <c r="F112">
        <v>50.454500000000003</v>
      </c>
      <c r="G112">
        <v>97.955799999999996</v>
      </c>
      <c r="H112">
        <v>50.360900000000001</v>
      </c>
      <c r="J112" s="69">
        <f t="shared" si="30"/>
        <v>0.47354260631963424</v>
      </c>
      <c r="K112" s="69">
        <f t="shared" si="31"/>
        <v>0.57418046814567791</v>
      </c>
      <c r="L112">
        <f t="shared" si="32"/>
        <v>0.10229999999999961</v>
      </c>
      <c r="M112" s="49">
        <f t="shared" si="33"/>
        <v>5.6127122985892477</v>
      </c>
      <c r="N112" s="48">
        <f t="shared" si="34"/>
        <v>-4.6127122985892477</v>
      </c>
      <c r="O112" s="49">
        <f t="shared" si="35"/>
        <v>-0.98027082210774275</v>
      </c>
      <c r="P112" s="49">
        <f t="shared" si="36"/>
        <v>0.56649999999999068</v>
      </c>
      <c r="Q112" s="49">
        <f t="shared" si="37"/>
        <v>-9.3600000000002126E-2</v>
      </c>
      <c r="R112" s="46">
        <f t="shared" si="38"/>
        <v>0</v>
      </c>
      <c r="S112" s="49">
        <f t="shared" si="39"/>
        <v>4.6289599835741546</v>
      </c>
    </row>
    <row r="113" spans="1:12" ht="14.25" customHeight="1" x14ac:dyDescent="0.45">
      <c r="J113" s="10" t="s">
        <v>43</v>
      </c>
      <c r="K113" s="10"/>
      <c r="L113" s="10"/>
    </row>
    <row r="114" spans="1:12" ht="26.25" customHeight="1" x14ac:dyDescent="0.45">
      <c r="B114" s="20" t="s">
        <v>59</v>
      </c>
      <c r="J114" s="20" t="s">
        <v>40</v>
      </c>
      <c r="K114" s="20" t="s">
        <v>41</v>
      </c>
      <c r="L114" s="20" t="s">
        <v>42</v>
      </c>
    </row>
    <row r="115" spans="1:12" ht="14.25" customHeight="1" x14ac:dyDescent="0.45">
      <c r="A115" s="20" t="s">
        <v>46</v>
      </c>
      <c r="B115">
        <f>SUM(B116:B120)</f>
        <v>111</v>
      </c>
      <c r="I115" s="20" t="s">
        <v>46</v>
      </c>
      <c r="J115">
        <f>_xlfn.AGGREGATE(1,6,J2:J112)</f>
        <v>9.129525759110475</v>
      </c>
      <c r="K115">
        <f>_xlfn.AGGREGATE(1,6,K2:K112)</f>
        <v>9.3406986988609582</v>
      </c>
      <c r="L115">
        <f>_xlfn.AGGREGATE(1,6,L2:L112)</f>
        <v>1.5232513607141527</v>
      </c>
    </row>
    <row r="116" spans="1:12" ht="26.25" customHeight="1" x14ac:dyDescent="0.45">
      <c r="A116" s="20" t="s">
        <v>47</v>
      </c>
      <c r="B116">
        <f>COUNTIF(B2:B112,"Doors")</f>
        <v>14</v>
      </c>
      <c r="I116" s="20" t="s">
        <v>47</v>
      </c>
      <c r="J116">
        <f>_xlfn.AGGREGATE(1,6,J2:J15)</f>
        <v>46.261002135174309</v>
      </c>
      <c r="K116">
        <f>_xlfn.AGGREGATE(1,6,K2:K15)</f>
        <v>46.473756764987925</v>
      </c>
      <c r="L116">
        <f>_xlfn.AGGREGATE(1,6,L2:L15)</f>
        <v>1.9101124827806788</v>
      </c>
    </row>
    <row r="117" spans="1:12" ht="26.25" customHeight="1" x14ac:dyDescent="0.45">
      <c r="A117" s="20" t="s">
        <v>55</v>
      </c>
      <c r="B117">
        <f>COUNTIF(B2:B112,"Windows")</f>
        <v>3</v>
      </c>
      <c r="I117" s="20" t="s">
        <v>48</v>
      </c>
      <c r="J117">
        <f>_xlfn.AGGREGATE(1,6,J16:J18)</f>
        <v>62.821072636382631</v>
      </c>
      <c r="K117">
        <f>_xlfn.AGGREGATE(1,6,K16:K18)</f>
        <v>62.625582102805652</v>
      </c>
      <c r="L117">
        <f>_xlfn.AGGREGATE(1,6,L16:L18)</f>
        <v>1.893435289717204</v>
      </c>
    </row>
    <row r="118" spans="1:12" ht="26.25" customHeight="1" x14ac:dyDescent="0.45">
      <c r="A118" s="20" t="s">
        <v>49</v>
      </c>
      <c r="B118">
        <f>COUNTIF(B2:B112,"Walls")</f>
        <v>83</v>
      </c>
      <c r="I118" s="20" t="s">
        <v>49</v>
      </c>
      <c r="J118">
        <f>_xlfn.AGGREGATE(1,6,J19:J101)</f>
        <v>1.4312457995680012</v>
      </c>
      <c r="K118">
        <f>_xlfn.AGGREGATE(1,6,K19:K101)</f>
        <v>1.5344397133915348</v>
      </c>
      <c r="L118">
        <f>_xlfn.AGGREGATE(1,6,L19:L101)</f>
        <v>1.2796792426861994</v>
      </c>
    </row>
    <row r="119" spans="1:12" ht="26.25" customHeight="1" x14ac:dyDescent="0.45">
      <c r="A119" s="20" t="s">
        <v>50</v>
      </c>
      <c r="B119">
        <f>COUNTIF(B2:B112,"Room Tags")</f>
        <v>11</v>
      </c>
      <c r="I119" s="20" t="s">
        <v>50</v>
      </c>
      <c r="J119">
        <f>_xlfn.AGGREGATE(1,6,J102:J112)</f>
        <v>5.3151554632300764</v>
      </c>
      <c r="K119">
        <f>_xlfn.AGGREGATE(1,6,K102:K112)</f>
        <v>6.4499743948927888</v>
      </c>
      <c r="L119">
        <f>_xlfn.AGGREGATE(1,6,L102:L112)</f>
        <v>2.7677857516577586</v>
      </c>
    </row>
    <row r="120" spans="1:12" ht="14.25" customHeight="1" x14ac:dyDescent="0.45">
      <c r="A120" s="72" t="s">
        <v>56</v>
      </c>
      <c r="B120">
        <f>COUNTIF(B2:B112,"Stairs")</f>
        <v>0</v>
      </c>
    </row>
    <row r="122" spans="1:12" ht="14.25" customHeight="1" x14ac:dyDescent="0.45">
      <c r="J122" s="10" t="s">
        <v>117</v>
      </c>
      <c r="K122" s="10"/>
      <c r="L122" s="10"/>
    </row>
    <row r="123" spans="1:12" ht="26.25" customHeight="1" x14ac:dyDescent="0.45">
      <c r="J123" s="20" t="s">
        <v>40</v>
      </c>
      <c r="K123" s="20" t="s">
        <v>41</v>
      </c>
      <c r="L123" s="20" t="s">
        <v>42</v>
      </c>
    </row>
    <row r="124" spans="1:12" ht="14.25" customHeight="1" x14ac:dyDescent="0.45">
      <c r="I124" s="20" t="s">
        <v>46</v>
      </c>
      <c r="J124">
        <f>_xlfn.AGGREGATE(12,6,J49:J112)</f>
        <v>1.3458445934626648</v>
      </c>
      <c r="K124">
        <f>_xlfn.AGGREGATE(12,6,K49:K112)</f>
        <v>1.2479640010593098</v>
      </c>
      <c r="L124">
        <f>_xlfn.AGGREGATE(12,6,L49:L112)</f>
        <v>0.88486060484123652</v>
      </c>
    </row>
    <row r="125" spans="1:12" ht="26.25" customHeight="1" x14ac:dyDescent="0.45">
      <c r="I125" s="20" t="s">
        <v>47</v>
      </c>
      <c r="J125">
        <f>_xlfn.AGGREGATE(12,6,J2:J15)</f>
        <v>45.225184766846105</v>
      </c>
      <c r="K125">
        <f>_xlfn.AGGREGATE(12,6,K2:K15)</f>
        <v>44.880161906108441</v>
      </c>
      <c r="L125">
        <f>_xlfn.AGGREGATE(12,6,L2:L15)</f>
        <v>1.9582398460770643</v>
      </c>
    </row>
    <row r="126" spans="1:12" ht="26.25" customHeight="1" x14ac:dyDescent="0.45">
      <c r="I126" s="20" t="s">
        <v>48</v>
      </c>
      <c r="J126">
        <f>_xlfn.AGGREGATE(12,6,J16:J18)</f>
        <v>82.274549427875925</v>
      </c>
      <c r="K126">
        <f>_xlfn.AGGREGATE(12,6,K16:K18)</f>
        <v>81.716106350951392</v>
      </c>
      <c r="L126">
        <f>_xlfn.AGGREGATE(12,6,L16:L18)</f>
        <v>1.2687999999999988</v>
      </c>
    </row>
    <row r="127" spans="1:12" ht="26.25" customHeight="1" x14ac:dyDescent="0.45">
      <c r="I127" s="20" t="s">
        <v>49</v>
      </c>
      <c r="J127">
        <f>_xlfn.AGGREGATE(12,6,J19:J101)</f>
        <v>1.3079456410722932</v>
      </c>
      <c r="K127">
        <f>_xlfn.AGGREGATE(12,6,K19:K101)</f>
        <v>1.1837846087865842</v>
      </c>
      <c r="L127">
        <f>_xlfn.AGGREGATE(12,6,L19:L101)</f>
        <v>0.90392883016307823</v>
      </c>
    </row>
    <row r="128" spans="1:12" ht="26.25" customHeight="1" x14ac:dyDescent="0.45">
      <c r="I128" s="20" t="s">
        <v>50</v>
      </c>
      <c r="J128">
        <f>_xlfn.AGGREGATE(12,6,J102:J112)</f>
        <v>3.8662815223415885</v>
      </c>
      <c r="K128">
        <f>_xlfn.AGGREGATE(12,6,K102:K112)</f>
        <v>4.3003286723226166</v>
      </c>
      <c r="L128">
        <f>_xlfn.AGGREGATE(12,6,L102:L112)</f>
        <v>0.97690000000000055</v>
      </c>
    </row>
    <row r="131" spans="9:20" ht="18" customHeight="1" x14ac:dyDescent="0.45">
      <c r="I131" s="73" t="s">
        <v>118</v>
      </c>
      <c r="M131" s="19" t="s">
        <v>119</v>
      </c>
    </row>
    <row r="132" spans="9:20" ht="42" customHeight="1" x14ac:dyDescent="0.45">
      <c r="I132" s="34" t="s">
        <v>120</v>
      </c>
      <c r="J132" s="34" t="s">
        <v>59</v>
      </c>
      <c r="K132" s="34" t="s">
        <v>63</v>
      </c>
      <c r="L132" s="34" t="s">
        <v>64</v>
      </c>
      <c r="M132" s="34" t="s">
        <v>65</v>
      </c>
      <c r="N132" s="34" t="s">
        <v>121</v>
      </c>
      <c r="O132" s="34" t="s">
        <v>122</v>
      </c>
      <c r="P132" s="34" t="s">
        <v>123</v>
      </c>
      <c r="Q132" s="34" t="s">
        <v>124</v>
      </c>
      <c r="R132" s="34" t="s">
        <v>68</v>
      </c>
      <c r="S132" s="34" t="s">
        <v>125</v>
      </c>
      <c r="T132" s="34" t="s">
        <v>126</v>
      </c>
    </row>
    <row r="133" spans="9:20" ht="14.25" customHeight="1" x14ac:dyDescent="0.45">
      <c r="I133" s="22" t="s">
        <v>46</v>
      </c>
      <c r="J133" s="23">
        <f>COUNTA($B$2:$B$112)</f>
        <v>111</v>
      </c>
      <c r="K133" s="25">
        <f>IF(COUNT($M$2:$M$112)=0,"N/A",COUNTIF($R$2:$R$112,1)/COUNT($M$2:$M$112))</f>
        <v>0.38181818181818183</v>
      </c>
      <c r="L133" s="25">
        <f t="array" ref="L133">IF(COUNT($N$2:$N$112)=0,"N/A",AVERAGE($N$2:$N$112))</f>
        <v>-8.143829786939925</v>
      </c>
      <c r="M133" s="24">
        <f t="array" ref="M133">IF(COUNT($O$2:$O$112)=0,"N/A",AVERAGE($O$2:$O$112))</f>
        <v>0.21613928481855968</v>
      </c>
      <c r="N133" s="24">
        <f t="array" ref="N133">IF(COUNT($K$2:$K$112)=0,"N/A",SQRT(SUMPRODUCT(ISNUMBER($K$2:$K$112)*(IF(ISNUMBER($K$2:$K$112),$K$2:$K$112,0))^2)/COUNT($K$2:$K$112)))</f>
        <v>20.845739431395131</v>
      </c>
      <c r="O133" s="24">
        <f>IF(COUNT($K$2:$K$112)&lt;2,"N/A",_xlfn.STDEV.S($K$2:$K$112))</f>
        <v>18.720401663503086</v>
      </c>
      <c r="P133" s="24">
        <f>IF(COUNT($K$2:$K$112)=0,"N/A",_xlfn.PERCENTILE.INC($K$2:$K$112,0.9))</f>
        <v>41.747199969459032</v>
      </c>
      <c r="Q133" s="24">
        <f>IF(COUNT($K$2:$K$112)=0,"N/A",_xlfn.PERCENTILE.INC($K$2:$K$112,0.95))</f>
        <v>56.484369165557837</v>
      </c>
      <c r="R133" s="23">
        <f>COUNTIF($K$2:$K$112,"&gt;15")</f>
        <v>18</v>
      </c>
      <c r="S133" s="24">
        <f>IF(COUNT($S$2:$S$112)=0,"N/A",AVERAGE($S$2:$S$112))</f>
        <v>9.19582503539824</v>
      </c>
      <c r="T133" s="25">
        <f>IF(COUNT($S$2:$S$112)=0,"N/A",COUNTIF($S$2:$S$112,"&gt;1")/COUNT($S$2:$S$112))</f>
        <v>0.8</v>
      </c>
    </row>
    <row r="134" spans="9:20" ht="14.25" customHeight="1" x14ac:dyDescent="0.45">
      <c r="I134" s="27" t="s">
        <v>47</v>
      </c>
      <c r="J134" s="28">
        <f>COUNTIF($B$2:$B$112,"Doors")</f>
        <v>14</v>
      </c>
      <c r="K134" s="30">
        <f>IF(SUMPRODUCT(($B$2:$B$112="Doors")*ISNUMBER($M$2:$M$112))=0,"N/A",SUMPRODUCT(($B$2:$B$112="Doors")*($R$2:$R$112=1))/SUMPRODUCT(($B$2:$B$112="Doors")*ISNUMBER($M$2:$M$112)))</f>
        <v>0</v>
      </c>
      <c r="L134" s="30">
        <f t="array" ref="L134">IF(SUMPRODUCT(($B$2:$B$112="Doors")*ISNUMBER($N$2:$N$112))=0,"N/A",SUMPRODUCT(($B$2:$B$112="Doors")*ISNUMBER($N$2:$N$112)*(IF(ISNUMBER($N$2:$N$112),$N$2:$N$112,0)))/SUMPRODUCT(($B$2:$B$112="Doors")*ISNUMBER($N$2:$N$112)))</f>
        <v>-49.561150972428024</v>
      </c>
      <c r="M134" s="29">
        <f t="array" ref="M134">IF(SUMPRODUCT(($B$2:$B$112="Doors")*ISNUMBER($O$2:$O$112))=0,"N/A",SUMPRODUCT(($B$2:$B$112="Doors")*ISNUMBER($O$2:$O$112)*(IF(ISNUMBER($O$2:$O$112),$O$2:$O$112,0)))/SUMPRODUCT(($B$2:$B$112="Doors")*ISNUMBER($O$2:$O$112)))</f>
        <v>-7.0264726017102805E-2</v>
      </c>
      <c r="N134" s="29">
        <f t="array" ref="N134">IF(SUMPRODUCT(($B$2:$B$112="Doors")*ISNUMBER($K$2:$K$112))=0,"N/A",SQRT(SUMPRODUCT(($B$2:$B$112="Doors")*ISNUMBER($K$2:$K$112)*(IF(ISNUMBER($K$2:$K$112),$K$2:$K$112,0))^2)/SUMPRODUCT(($B$2:$B$112="Doors")*ISNUMBER($K$2:$K$112))))</f>
        <v>48.427645272944496</v>
      </c>
      <c r="O134" s="29">
        <f t="array" ref="O134">IFERROR(IF(SUMPRODUCT(($B$2:$B$112="Doors")*ISNUMBER($K$2:$K$112))&lt;2,"N/A",_xlfn.STDEV.S(IF($B$2:$B$112="Doors",$K$2:$K$112))),"N/A")</f>
        <v>14.131183802641122</v>
      </c>
      <c r="P134" s="29">
        <f t="array" ref="P134">IFERROR(_xlfn.PERCENTILE.INC(IF(($B$2:$B$112="Doors")*ISNUMBER($K$2:$K$112),$K$2:$K$112),0.9),"N/A")</f>
        <v>63.34155139572556</v>
      </c>
      <c r="Q134" s="29">
        <f t="array" ref="Q134">IFERROR(_xlfn.PERCENTILE.INC(IF(($B$2:$B$112="Doors")*ISNUMBER($K$2:$K$112),$K$2:$K$112),0.95),"N/A")</f>
        <v>67.0092843105773</v>
      </c>
      <c r="R134" s="28">
        <f>COUNTIFS($B$2:$B$112,"Doors",$K$2:$K$112,"&gt;15")</f>
        <v>14</v>
      </c>
      <c r="S134" s="37">
        <f t="array" ref="S134">IF(SUMPRODUCT(($B$2:$B$112="Doors")*ISNUMBER($S$2:$S$112))=0,"N/A",SUMPRODUCT(($B$2:$B$112="Doors")*ISNUMBER($S$2:$S$112)*(IF(ISNUMBER($S$2:$S$112),$S$2:$S$112,0)))/SUMPRODUCT(($B$2:$B$112="Doors")*ISNUMBER($S$2:$S$112)))</f>
        <v>50.475346304072033</v>
      </c>
      <c r="T134" s="38">
        <f t="array" ref="T134">IF(SUMPRODUCT(($B$2:$B$112="Doors")*ISNUMBER($S$2:$S$112))=0,"N/A",SUMPRODUCT(($B$2:$B$112="Doors")*ISNUMBER($S$2:$S$112)*(IF(ISNUMBER($S$2:$S$112),$S$2:$S$112,0)&gt;1))/SUMPRODUCT(($B$2:$B$112="Doors")*ISNUMBER($S$2:$S$112)))</f>
        <v>1</v>
      </c>
    </row>
    <row r="135" spans="9:20" ht="14.25" customHeight="1" x14ac:dyDescent="0.45">
      <c r="I135" s="27" t="s">
        <v>48</v>
      </c>
      <c r="J135" s="28">
        <f>COUNTIF($B$2:$B$112,"Windows")</f>
        <v>3</v>
      </c>
      <c r="K135" s="30">
        <f>IF(SUMPRODUCT(($B$2:$B$112="Windows")*ISNUMBER($M$2:$M$112))=0,"N/A",SUMPRODUCT(($B$2:$B$112="Windows")*($R$2:$R$112=1))/SUMPRODUCT(($B$2:$B$112="Windows")*ISNUMBER($M$2:$M$112)))</f>
        <v>0</v>
      </c>
      <c r="L135" s="30">
        <f t="array" ref="L135">IF(SUMPRODUCT(($B$2:$B$112="Windows")*ISNUMBER($N$2:$N$112))=0,"N/A",SUMPRODUCT(($B$2:$B$112="Windows")*ISNUMBER($N$2:$N$112)*(IF(ISNUMBER($N$2:$N$112),$N$2:$N$112,0)))/SUMPRODUCT(($B$2:$B$112="Windows")*ISNUMBER($N$2:$N$112)))</f>
        <v>-44.528890332021113</v>
      </c>
      <c r="M135" s="29">
        <f t="array" ref="M135">IF(SUMPRODUCT(($B$2:$B$112="Windows")*ISNUMBER($O$2:$O$112))=0,"N/A",SUMPRODUCT(($B$2:$B$112="Windows")*ISNUMBER($O$2:$O$112)*(IF(ISNUMBER($O$2:$O$112),$O$2:$O$112,0)))/SUMPRODUCT(($B$2:$B$112="Windows")*ISNUMBER($O$2:$O$112)))</f>
        <v>0.26258793774363198</v>
      </c>
      <c r="N135" s="29">
        <f t="array" ref="N135">IF(SUMPRODUCT(($B$2:$B$112="Windows")*ISNUMBER($K$2:$K$112))=0,"N/A",SQRT(SUMPRODUCT(($B$2:$B$112="Windows")*ISNUMBER($K$2:$K$112)*(IF(ISNUMBER($K$2:$K$112),$K$2:$K$112,0))^2)/SUMPRODUCT(($B$2:$B$112="Windows")*ISNUMBER($K$2:$K$112))))</f>
        <v>68.197212302654506</v>
      </c>
      <c r="O135" s="29">
        <f t="array" ref="O135">IFERROR(IF(SUMPRODUCT(($B$2:$B$112="Windows")*ISNUMBER($K$2:$K$112))&lt;2,"N/A",_xlfn.STDEV.S(IF($B$2:$B$112="Windows",$K$2:$K$112))),"N/A")</f>
        <v>33.065757940914054</v>
      </c>
      <c r="P135" s="29">
        <f t="array" ref="P135">IFERROR(_xlfn.PERCENTILE.INC(IF(($B$2:$B$112="Windows")*ISNUMBER($K$2:$K$112),$K$2:$K$112),0.9),"N/A")</f>
        <v>81.716106350951392</v>
      </c>
      <c r="Q135" s="29">
        <f t="array" ref="Q135">IFERROR(_xlfn.PERCENTILE.INC(IF(($B$2:$B$112="Windows")*ISNUMBER($K$2:$K$112),$K$2:$K$112),0.95),"N/A")</f>
        <v>81.716106350951392</v>
      </c>
      <c r="R135" s="28">
        <f>COUNTIFS($B$2:$B$112,"Windows",$K$2:$K$112,"&gt;15")</f>
        <v>3</v>
      </c>
      <c r="S135" s="37">
        <f t="array" ref="S135">IF(SUMPRODUCT(($B$2:$B$112="Windows")*ISNUMBER($S$2:$S$112))=0,"N/A",SUMPRODUCT(($B$2:$B$112="Windows")*ISNUMBER($S$2:$S$112)*(IF(ISNUMBER($S$2:$S$112),$S$2:$S$112,0)))/SUMPRODUCT(($B$2:$B$112="Windows")*ISNUMBER($S$2:$S$112)))</f>
        <v>45.766054757602866</v>
      </c>
      <c r="T135" s="38">
        <f t="array" ref="T135">IF(SUMPRODUCT(($B$2:$B$112="Windows")*ISNUMBER($S$2:$S$112))=0,"N/A",SUMPRODUCT(($B$2:$B$112="Windows")*ISNUMBER($S$2:$S$112)*(IF(ISNUMBER($S$2:$S$112),$S$2:$S$112,0)&gt;1))/SUMPRODUCT(($B$2:$B$112="Windows")*ISNUMBER($S$2:$S$112)))</f>
        <v>1</v>
      </c>
    </row>
    <row r="136" spans="9:20" ht="14.25" customHeight="1" x14ac:dyDescent="0.45">
      <c r="I136" s="27" t="s">
        <v>49</v>
      </c>
      <c r="J136" s="28">
        <f>COUNTIF($B$2:$B$112,"Walls")</f>
        <v>83</v>
      </c>
      <c r="K136" s="30">
        <f>IF(SUMPRODUCT(($B$2:$B$112="Walls")*ISNUMBER($M$2:$M$112))=0,"N/A",SUMPRODUCT(($B$2:$B$112="Walls")*($R$2:$R$112=1))/SUMPRODUCT(($B$2:$B$112="Walls")*ISNUMBER($M$2:$M$112)))</f>
        <v>0.50602409638554213</v>
      </c>
      <c r="L136" s="30">
        <f t="array" ref="L136">IF(SUMPRODUCT(($B$2:$B$112="Walls")*ISNUMBER($N$2:$N$112))=0,"N/A",SUMPRODUCT(($B$2:$B$112="Walls")*ISNUMBER($N$2:$N$112)*(IF(ISNUMBER($N$2:$N$112),$N$2:$N$112,0)))/SUMPRODUCT(($B$2:$B$112="Walls")*ISNUMBER($N$2:$N$112)))</f>
        <v>-0.30968945471645454</v>
      </c>
      <c r="M136" s="29">
        <f t="array" ref="M136">IF(SUMPRODUCT(($B$2:$B$112="Walls")*ISNUMBER($O$2:$O$112))=0,"N/A",SUMPRODUCT(($B$2:$B$112="Walls")*ISNUMBER($O$2:$O$112)*(IF(ISNUMBER($O$2:$O$112),$O$2:$O$112,0)))/SUMPRODUCT(($B$2:$B$112="Walls")*ISNUMBER($O$2:$O$112)))</f>
        <v>0.30940061833237553</v>
      </c>
      <c r="N136" s="29">
        <f t="array" ref="N136">IF(SUMPRODUCT(($B$2:$B$112="Walls")*ISNUMBER($K$2:$K$112))=0,"N/A",SQRT(SUMPRODUCT(($B$2:$B$112="Walls")*ISNUMBER($K$2:$K$112)*(IF(ISNUMBER($K$2:$K$112),$K$2:$K$112,0))^2)/SUMPRODUCT(($B$2:$B$112="Walls")*ISNUMBER($K$2:$K$112))))</f>
        <v>2.016779811021665</v>
      </c>
      <c r="O136" s="29">
        <f t="array" ref="O136">IFERROR(IF(SUMPRODUCT(($B$2:$B$112="Walls")*ISNUMBER($K$2:$K$112))&lt;2,"N/A",_xlfn.STDEV.S(IF($B$2:$B$112="Walls",$K$2:$K$112))),"N/A")</f>
        <v>1.3167325250418513</v>
      </c>
      <c r="P136" s="29">
        <f t="array" ref="P136">IFERROR(_xlfn.PERCENTILE.INC(IF(($B$2:$B$112="Walls")*ISNUMBER($K$2:$K$112),$K$2:$K$112),0.9),"N/A")</f>
        <v>2.7199943091598491</v>
      </c>
      <c r="Q136" s="29">
        <f t="array" ref="Q136">IFERROR(_xlfn.PERCENTILE.INC(IF(($B$2:$B$112="Walls")*ISNUMBER($K$2:$K$112),$K$2:$K$112),0.95),"N/A")</f>
        <v>3.0595047947690519</v>
      </c>
      <c r="R136" s="28">
        <f>COUNTIFS($B$2:$B$112,"Walls",$K$2:$K$112,"&gt;15")</f>
        <v>0</v>
      </c>
      <c r="S136" s="37">
        <f t="array" ref="S136">IF(SUMPRODUCT(($B$2:$B$112="Walls")*ISNUMBER($S$2:$S$112))=0,"N/A",SUMPRODUCT(($B$2:$B$112="Walls")*ISNUMBER($S$2:$S$112)*(IF(ISNUMBER($S$2:$S$112),$S$2:$S$112,0)))/SUMPRODUCT(($B$2:$B$112="Walls")*ISNUMBER($S$2:$S$112)))</f>
        <v>1.4137602805007625</v>
      </c>
      <c r="T136" s="38">
        <f t="array" ref="T136">IF(SUMPRODUCT(($B$2:$B$112="Walls")*ISNUMBER($S$2:$S$112))=0,"N/A",SUMPRODUCT(($B$2:$B$112="Walls")*ISNUMBER($S$2:$S$112)*(IF(ISNUMBER($S$2:$S$112),$S$2:$S$112,0)&gt;1))/SUMPRODUCT(($B$2:$B$112="Walls")*ISNUMBER($S$2:$S$112)))</f>
        <v>0.74698795180722888</v>
      </c>
    </row>
    <row r="137" spans="9:20" ht="14.25" customHeight="1" x14ac:dyDescent="0.45">
      <c r="I137" s="27" t="s">
        <v>50</v>
      </c>
      <c r="J137" s="28">
        <f>COUNTIF($B$2:$B$112,"Room Tags")</f>
        <v>11</v>
      </c>
      <c r="K137" s="30">
        <f>IF(SUMPRODUCT(($B$2:$B$112="Room Tags")*ISNUMBER($M$2:$M$112))=0,"N/A",SUMPRODUCT(($B$2:$B$112="Room Tags")*($R$2:$R$112=1))/SUMPRODUCT(($B$2:$B$112="Room Tags")*ISNUMBER($M$2:$M$112)))</f>
        <v>0</v>
      </c>
      <c r="L137" s="30">
        <f t="array" ref="L137">IF(SUMPRODUCT(($B$2:$B$112="Room Tags")*ISNUMBER($N$2:$N$112))=0,"N/A",SUMPRODUCT(($B$2:$B$112="Room Tags")*ISNUMBER($N$2:$N$112)*(IF(ISNUMBER($N$2:$N$112),$N$2:$N$112,0)))/SUMPRODUCT(($B$2:$B$112="Room Tags")*ISNUMBER($N$2:$N$112)))</f>
        <v>-4.2674267211870403</v>
      </c>
      <c r="M137" s="29">
        <f t="array" ref="M137">IF(SUMPRODUCT(($B$2:$B$112="Room Tags")*ISNUMBER($O$2:$O$112))=0,"N/A",SUMPRODUCT(($B$2:$B$112="Room Tags")*ISNUMBER($O$2:$O$112)*(IF(ISNUMBER($O$2:$O$112),$O$2:$O$112,0)))/SUMPRODUCT(($B$2:$B$112="Room Tags")*ISNUMBER($O$2:$O$112)))</f>
        <v>-0.17089876405370744</v>
      </c>
      <c r="N137" s="29">
        <f t="array" ref="N137">IF(SUMPRODUCT(($B$2:$B$112="Room Tags")*ISNUMBER($K$2:$K$112))=0,"N/A",SQRT(SUMPRODUCT(($B$2:$B$112="Room Tags")*ISNUMBER($K$2:$K$112)*(IF(ISNUMBER($K$2:$K$112),$K$2:$K$112,0))^2)/SUMPRODUCT(($B$2:$B$112="Room Tags")*ISNUMBER($K$2:$K$112))))</f>
        <v>10.049828053707731</v>
      </c>
      <c r="O137" s="29">
        <f t="array" ref="O137">IFERROR(IF(SUMPRODUCT(($B$2:$B$112="Room Tags")*ISNUMBER($K$2:$K$112))&lt;2,"N/A",_xlfn.STDEV.S(IF($B$2:$B$112="Room Tags",$K$2:$K$112))),"N/A")</f>
        <v>8.0831034656096143</v>
      </c>
      <c r="P137" s="29">
        <f t="array" ref="P137">IFERROR(_xlfn.PERCENTILE.INC(IF(($B$2:$B$112="Room Tags")*ISNUMBER($K$2:$K$112),$K$2:$K$112),0.9),"N/A")</f>
        <v>8.1012600229840821</v>
      </c>
      <c r="Q137" s="29">
        <f t="array" ref="Q137">IFERROR(_xlfn.PERCENTILE.INC(IF(($B$2:$B$112="Room Tags")*ISNUMBER($K$2:$K$112),$K$2:$K$112),0.95),"N/A")</f>
        <v>18.88204239534814</v>
      </c>
      <c r="R137" s="28">
        <f>COUNTIFS($B$2:$B$112,"Room Tags",$K$2:$K$112,"&gt;15")</f>
        <v>1</v>
      </c>
      <c r="S137" s="37">
        <f t="array" ref="S137">IF(SUMPRODUCT(($B$2:$B$112="Room Tags")*ISNUMBER($S$2:$S$112))=0,"N/A",SUMPRODUCT(($B$2:$B$112="Room Tags")*ISNUMBER($S$2:$S$112)*(IF(ISNUMBER($S$2:$S$112),$S$2:$S$112,0)))/SUMPRODUCT(($B$2:$B$112="Room Tags")*ISNUMBER($S$2:$S$112)))</f>
        <v>5.0245638082426316</v>
      </c>
      <c r="T137" s="38">
        <f t="array" ref="T137">IF(SUMPRODUCT(($B$2:$B$112="Room Tags")*ISNUMBER($S$2:$S$112))=0,"N/A",SUMPRODUCT(($B$2:$B$112="Room Tags")*ISNUMBER($S$2:$S$112)*(IF(ISNUMBER($S$2:$S$112),$S$2:$S$112,0)&gt;1))/SUMPRODUCT(($B$2:$B$112="Room Tags")*ISNUMBER($S$2:$S$112)))</f>
        <v>0.9</v>
      </c>
    </row>
  </sheetData>
  <autoFilter ref="A1:H101" xr:uid="{00000000-0009-0000-0000-000008000000}"/>
  <mergeCells count="2">
    <mergeCell ref="J113:L113"/>
    <mergeCell ref="J122:L12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10"/>
  <sheetViews>
    <sheetView topLeftCell="F1" zoomScaleNormal="100" workbookViewId="0">
      <pane ySplit="1" topLeftCell="A88" activePane="bottomLeft" state="frozen"/>
      <selection pane="bottomLeft" activeCell="I107" sqref="I107:T110"/>
    </sheetView>
  </sheetViews>
  <sheetFormatPr defaultColWidth="8.6640625" defaultRowHeight="14.25" x14ac:dyDescent="0.45"/>
  <cols>
    <col min="1" max="1" width="10" customWidth="1"/>
    <col min="2" max="2" width="17" customWidth="1"/>
    <col min="3" max="4" width="16" customWidth="1"/>
    <col min="5" max="6" width="15" customWidth="1"/>
    <col min="7" max="8" width="11" customWidth="1"/>
    <col min="10" max="10" width="22.6640625" customWidth="1"/>
    <col min="11" max="11" width="24.796875" customWidth="1"/>
    <col min="12" max="12" width="26.86328125" customWidth="1"/>
    <col min="13" max="13" width="16" customWidth="1"/>
    <col min="14" max="14" width="17" customWidth="1"/>
    <col min="15" max="15" width="19" customWidth="1"/>
    <col min="16" max="17" width="12" customWidth="1"/>
    <col min="18" max="18" width="14" customWidth="1"/>
    <col min="19" max="19" width="17" customWidth="1"/>
    <col min="20" max="20" width="16" customWidth="1"/>
  </cols>
  <sheetData>
    <row r="1" spans="1:19" ht="33.75" customHeight="1" x14ac:dyDescent="0.45">
      <c r="A1" s="20" t="s">
        <v>106</v>
      </c>
      <c r="B1" s="20" t="s">
        <v>107</v>
      </c>
      <c r="C1" s="20" t="s">
        <v>108</v>
      </c>
      <c r="D1" s="20" t="s">
        <v>109</v>
      </c>
      <c r="E1" s="20" t="s">
        <v>110</v>
      </c>
      <c r="F1" s="20" t="s">
        <v>111</v>
      </c>
      <c r="G1" s="20" t="s">
        <v>112</v>
      </c>
      <c r="H1" s="20" t="s">
        <v>113</v>
      </c>
      <c r="J1" s="20" t="s">
        <v>40</v>
      </c>
      <c r="K1" s="20" t="s">
        <v>41</v>
      </c>
      <c r="L1" s="20" t="s">
        <v>42</v>
      </c>
      <c r="M1" s="20" t="s">
        <v>100</v>
      </c>
      <c r="N1" s="20" t="s">
        <v>101</v>
      </c>
      <c r="O1" s="20" t="s">
        <v>114</v>
      </c>
      <c r="P1" s="20" t="s">
        <v>115</v>
      </c>
      <c r="Q1" s="20" t="s">
        <v>116</v>
      </c>
      <c r="R1" s="20" t="s">
        <v>102</v>
      </c>
      <c r="S1" s="20" t="s">
        <v>103</v>
      </c>
    </row>
    <row r="2" spans="1:19" ht="14.25" customHeight="1" x14ac:dyDescent="0.45">
      <c r="A2" s="76">
        <v>2662817</v>
      </c>
      <c r="B2" s="77" t="s">
        <v>94</v>
      </c>
      <c r="C2">
        <v>-29.6053</v>
      </c>
      <c r="D2">
        <v>33.369300000000003</v>
      </c>
      <c r="E2">
        <v>-31.9115</v>
      </c>
      <c r="F2">
        <v>28.385400000000001</v>
      </c>
      <c r="G2" s="79">
        <v>-30.708300000000001</v>
      </c>
      <c r="H2" s="79">
        <v>33.369300000000003</v>
      </c>
      <c r="J2" s="69">
        <f t="shared" ref="J2:J33" si="0">IFERROR(SQRT((F2-H2)^2+(E2-G2)^2),"")</f>
        <v>5.1270800120536464</v>
      </c>
      <c r="K2" s="69">
        <f t="shared" ref="K2:K33" si="1">IFERROR(SQRT((D2-H2)^2+(C2-G2)^2),"")</f>
        <v>1.1030000000000015</v>
      </c>
      <c r="L2">
        <f t="shared" ref="L2:L33" si="2">IFERROR(SQRT((D2-F2)^2+(C2-E2)^2),"")</f>
        <v>5.4916133922555055</v>
      </c>
      <c r="M2" s="49">
        <f t="shared" ref="M2:M33" si="3">IF(AND(AND(ISNUMBER(E2),ISNUMBER(F2)),ISNUMBER(L2),L2&gt;0),K2/L2,"")</f>
        <v>0.20085172083590164</v>
      </c>
      <c r="N2" s="48">
        <f t="shared" ref="N2:N33" si="4">IF(AND(AND(ISNUMBER(E2),ISNUMBER(F2)),ISNUMBER(L2),L2&gt;0),(L2-K2)/L2,"")</f>
        <v>0.79914827916409836</v>
      </c>
      <c r="O2" s="49">
        <f t="shared" ref="O2:O33" si="5">IFERROR(IF(AND(AND(ISNUMBER(E2),ISNUMBER(F2)),SQRT((G2-E2)^2+(H2-F2)^2)&gt;0,SQRT((C2-E2)^2+(D2-F2)^2)&gt;0),((G2-E2)*(C2-E2)+(H2-F2)*(D2-F2))/(SQRT((G2-E2)^2+(H2-F2)^2)*SQRT((C2-E2)^2+(D2-F2)^2)),""),"")</f>
        <v>0.98075496029749409</v>
      </c>
      <c r="P2" s="49">
        <f t="shared" ref="P2:P33" si="6">IF(AND(ISNUMBER(G2),ISNUMBER(C2)),G2-C2,"")</f>
        <v>-1.1030000000000015</v>
      </c>
      <c r="Q2" s="49">
        <f t="shared" ref="Q2:Q33" si="7">IF(AND(ISNUMBER(H2),ISNUMBER(D2)),H2-D2,"")</f>
        <v>0</v>
      </c>
      <c r="R2" s="46">
        <f t="shared" ref="R2:R33" si="8">IF(M2="","",IF(M2&lt;1,1,0))</f>
        <v>1</v>
      </c>
      <c r="S2" s="49">
        <f t="shared" ref="S2:S33" si="9">IF(AND(ISNUMBER(J2),ISNUMBER(L2),L2&gt;0),J2/L2,"")</f>
        <v>0.93361998484526632</v>
      </c>
    </row>
    <row r="3" spans="1:19" ht="14.25" customHeight="1" x14ac:dyDescent="0.45">
      <c r="A3" s="76">
        <v>2662818</v>
      </c>
      <c r="B3" s="77" t="s">
        <v>94</v>
      </c>
      <c r="C3">
        <v>-47.011800000000001</v>
      </c>
      <c r="D3">
        <v>-3.4136000000000002</v>
      </c>
      <c r="E3">
        <v>-49.640599999999999</v>
      </c>
      <c r="F3">
        <v>-8.6719000000000008</v>
      </c>
      <c r="G3" s="79">
        <v>-45.520800000000001</v>
      </c>
      <c r="H3" s="79">
        <v>-3.4136000000000002</v>
      </c>
      <c r="J3" s="69">
        <f t="shared" si="0"/>
        <v>6.6800053091296254</v>
      </c>
      <c r="K3" s="69">
        <f t="shared" si="1"/>
        <v>1.4909999999999997</v>
      </c>
      <c r="L3">
        <f t="shared" si="2"/>
        <v>5.8788016066201783</v>
      </c>
      <c r="M3" s="49">
        <f t="shared" si="3"/>
        <v>0.25362311909300861</v>
      </c>
      <c r="N3" s="48">
        <f t="shared" si="4"/>
        <v>0.74637688090699139</v>
      </c>
      <c r="O3" s="49">
        <f t="shared" si="5"/>
        <v>0.97986839219215116</v>
      </c>
      <c r="P3" s="49">
        <f t="shared" si="6"/>
        <v>1.4909999999999997</v>
      </c>
      <c r="Q3" s="49">
        <f t="shared" si="7"/>
        <v>0</v>
      </c>
      <c r="R3" s="46">
        <f t="shared" si="8"/>
        <v>1</v>
      </c>
      <c r="S3" s="49">
        <f t="shared" si="9"/>
        <v>1.1362869094965211</v>
      </c>
    </row>
    <row r="4" spans="1:19" ht="14.25" customHeight="1" x14ac:dyDescent="0.45">
      <c r="A4" s="76">
        <v>2662819</v>
      </c>
      <c r="B4" s="77" t="s">
        <v>94</v>
      </c>
      <c r="C4">
        <v>-41.961199999999998</v>
      </c>
      <c r="D4">
        <v>21.523099999999999</v>
      </c>
      <c r="E4">
        <v>-43.816600000000001</v>
      </c>
      <c r="F4">
        <v>18.578099999999999</v>
      </c>
      <c r="G4" s="79">
        <v>-40.875</v>
      </c>
      <c r="H4" s="79">
        <v>22.837800000000001</v>
      </c>
      <c r="J4" s="69">
        <f t="shared" si="0"/>
        <v>5.1766837502401115</v>
      </c>
      <c r="K4" s="69">
        <f t="shared" si="1"/>
        <v>1.7053640461789972</v>
      </c>
      <c r="L4">
        <f t="shared" si="2"/>
        <v>3.4807375885004621</v>
      </c>
      <c r="M4" s="49">
        <f t="shared" si="3"/>
        <v>0.48994329587301227</v>
      </c>
      <c r="N4" s="48">
        <f t="shared" si="4"/>
        <v>0.51005670412698767</v>
      </c>
      <c r="O4" s="49">
        <f t="shared" si="5"/>
        <v>0.99911111273006969</v>
      </c>
      <c r="P4" s="49">
        <f t="shared" si="6"/>
        <v>1.0861999999999981</v>
      </c>
      <c r="Q4" s="49">
        <f t="shared" si="7"/>
        <v>1.314700000000002</v>
      </c>
      <c r="R4" s="46">
        <f t="shared" si="8"/>
        <v>1</v>
      </c>
      <c r="S4" s="49">
        <f t="shared" si="9"/>
        <v>1.4872375807192868</v>
      </c>
    </row>
    <row r="5" spans="1:19" ht="14.25" customHeight="1" x14ac:dyDescent="0.45">
      <c r="A5" s="76">
        <v>2662820</v>
      </c>
      <c r="B5" s="77" t="s">
        <v>94</v>
      </c>
      <c r="C5">
        <v>-46.75</v>
      </c>
      <c r="D5">
        <v>39.749600000000001</v>
      </c>
      <c r="E5">
        <v>-49.25</v>
      </c>
      <c r="F5">
        <v>39.737000000000002</v>
      </c>
      <c r="G5" s="79">
        <v>-45.25</v>
      </c>
      <c r="H5" s="79">
        <v>40.749600000000001</v>
      </c>
      <c r="J5" s="69">
        <f t="shared" si="0"/>
        <v>4.1261796810124496</v>
      </c>
      <c r="K5" s="69">
        <f t="shared" si="1"/>
        <v>1.8027756377319946</v>
      </c>
      <c r="L5">
        <f t="shared" si="2"/>
        <v>2.5000317517983648</v>
      </c>
      <c r="M5" s="49">
        <f t="shared" si="3"/>
        <v>0.72110109659014998</v>
      </c>
      <c r="N5" s="48">
        <f t="shared" si="4"/>
        <v>0.27889890340985002</v>
      </c>
      <c r="O5" s="49">
        <f t="shared" si="5"/>
        <v>0.97064426335591958</v>
      </c>
      <c r="P5" s="49">
        <f t="shared" si="6"/>
        <v>1.5</v>
      </c>
      <c r="Q5" s="49">
        <f t="shared" si="7"/>
        <v>1</v>
      </c>
      <c r="R5" s="46">
        <f t="shared" si="8"/>
        <v>1</v>
      </c>
      <c r="S5" s="49">
        <f t="shared" si="9"/>
        <v>1.6504509104911715</v>
      </c>
    </row>
    <row r="6" spans="1:19" ht="14.25" customHeight="1" x14ac:dyDescent="0.45">
      <c r="A6" s="76">
        <v>2662821</v>
      </c>
      <c r="B6" s="77" t="s">
        <v>94</v>
      </c>
      <c r="C6">
        <v>-40.830500000000001</v>
      </c>
      <c r="D6">
        <v>16.489699999999999</v>
      </c>
      <c r="E6">
        <v>-43.816600000000001</v>
      </c>
      <c r="F6">
        <v>18.578099999999999</v>
      </c>
      <c r="G6" s="79">
        <v>-40.830500000000001</v>
      </c>
      <c r="H6" s="79">
        <v>15.401300000000001</v>
      </c>
      <c r="J6" s="69">
        <f t="shared" si="0"/>
        <v>4.3599141562650052</v>
      </c>
      <c r="K6" s="69">
        <f t="shared" si="1"/>
        <v>1.0883999999999983</v>
      </c>
      <c r="L6">
        <f t="shared" si="2"/>
        <v>3.643927519860954</v>
      </c>
      <c r="M6" s="49">
        <f t="shared" si="3"/>
        <v>0.29868870718963414</v>
      </c>
      <c r="N6" s="48">
        <f t="shared" si="4"/>
        <v>0.70131129281036586</v>
      </c>
      <c r="O6" s="49">
        <f t="shared" si="5"/>
        <v>0.97885161565010981</v>
      </c>
      <c r="P6" s="49">
        <f t="shared" si="6"/>
        <v>0</v>
      </c>
      <c r="Q6" s="49">
        <f t="shared" si="7"/>
        <v>-1.0883999999999983</v>
      </c>
      <c r="R6" s="46">
        <f t="shared" si="8"/>
        <v>1</v>
      </c>
      <c r="S6" s="49">
        <f t="shared" si="9"/>
        <v>1.1964876174132497</v>
      </c>
    </row>
    <row r="7" spans="1:19" ht="14.25" customHeight="1" x14ac:dyDescent="0.45">
      <c r="A7" s="67">
        <v>2662823</v>
      </c>
      <c r="B7" s="68" t="s">
        <v>93</v>
      </c>
      <c r="C7">
        <v>-98.916700000000006</v>
      </c>
      <c r="D7">
        <v>21.875</v>
      </c>
      <c r="E7">
        <v>-100.125</v>
      </c>
      <c r="F7">
        <v>21.875</v>
      </c>
      <c r="G7" s="75">
        <v>-98.6875</v>
      </c>
      <c r="H7" s="75">
        <v>20.708300000000001</v>
      </c>
      <c r="J7" s="69">
        <f t="shared" si="0"/>
        <v>1.8513765527304262</v>
      </c>
      <c r="K7" s="69">
        <f t="shared" si="1"/>
        <v>1.1890002228763457</v>
      </c>
      <c r="L7">
        <f t="shared" si="2"/>
        <v>1.2082999999999942</v>
      </c>
      <c r="M7" s="49">
        <f t="shared" si="3"/>
        <v>0.98402733003091236</v>
      </c>
      <c r="N7" s="48">
        <f t="shared" si="4"/>
        <v>1.5972669969087638E-2</v>
      </c>
      <c r="O7" s="49">
        <f t="shared" si="5"/>
        <v>0.77644928465792795</v>
      </c>
      <c r="P7" s="49">
        <f t="shared" si="6"/>
        <v>0.22920000000000584</v>
      </c>
      <c r="Q7" s="49">
        <f t="shared" si="7"/>
        <v>-1.1666999999999987</v>
      </c>
      <c r="R7" s="46">
        <f t="shared" si="8"/>
        <v>1</v>
      </c>
      <c r="S7" s="49">
        <f t="shared" si="9"/>
        <v>1.5322159668380659</v>
      </c>
    </row>
    <row r="8" spans="1:19" ht="14.25" customHeight="1" x14ac:dyDescent="0.45">
      <c r="A8" s="67">
        <v>2662824</v>
      </c>
      <c r="B8" s="68" t="s">
        <v>93</v>
      </c>
      <c r="C8">
        <v>55.536499999999997</v>
      </c>
      <c r="D8">
        <v>38.75</v>
      </c>
      <c r="E8">
        <v>54.536499999999997</v>
      </c>
      <c r="F8">
        <v>38.75</v>
      </c>
      <c r="G8" s="75">
        <v>55.973999999999997</v>
      </c>
      <c r="H8" s="75">
        <v>40.916699999999999</v>
      </c>
      <c r="J8" s="69">
        <f t="shared" si="0"/>
        <v>2.60019136603443</v>
      </c>
      <c r="K8" s="69">
        <f t="shared" si="1"/>
        <v>2.2104287231213755</v>
      </c>
      <c r="L8">
        <f t="shared" si="2"/>
        <v>1</v>
      </c>
      <c r="M8" s="49">
        <f t="shared" si="3"/>
        <v>2.2104287231213755</v>
      </c>
      <c r="N8" s="48">
        <f t="shared" si="4"/>
        <v>-1.2104287231213755</v>
      </c>
      <c r="O8" s="49">
        <f t="shared" si="5"/>
        <v>0.55284392478863631</v>
      </c>
      <c r="P8" s="49">
        <f t="shared" si="6"/>
        <v>0.4375</v>
      </c>
      <c r="Q8" s="49">
        <f t="shared" si="7"/>
        <v>2.1666999999999987</v>
      </c>
      <c r="R8" s="46">
        <f t="shared" si="8"/>
        <v>0</v>
      </c>
      <c r="S8" s="49">
        <f t="shared" si="9"/>
        <v>2.60019136603443</v>
      </c>
    </row>
    <row r="9" spans="1:19" ht="14.25" customHeight="1" x14ac:dyDescent="0.45">
      <c r="A9" s="67">
        <v>2662825</v>
      </c>
      <c r="B9" s="68" t="s">
        <v>93</v>
      </c>
      <c r="C9">
        <v>-67.489599999999996</v>
      </c>
      <c r="D9">
        <v>28.7865</v>
      </c>
      <c r="E9">
        <v>-67.489599999999996</v>
      </c>
      <c r="F9">
        <v>28.744800000000001</v>
      </c>
      <c r="G9" s="75">
        <v>-67.489599999999996</v>
      </c>
      <c r="H9" s="75">
        <v>30.808800000000002</v>
      </c>
      <c r="J9" s="69">
        <f t="shared" si="0"/>
        <v>2.0640000000000001</v>
      </c>
      <c r="K9" s="69">
        <f t="shared" si="1"/>
        <v>2.0223000000000013</v>
      </c>
      <c r="L9">
        <f t="shared" si="2"/>
        <v>4.1699999999998738E-2</v>
      </c>
      <c r="M9" s="49">
        <f t="shared" si="3"/>
        <v>48.496402877699339</v>
      </c>
      <c r="N9" s="48">
        <f t="shared" si="4"/>
        <v>-47.496402877699339</v>
      </c>
      <c r="O9" s="49">
        <f t="shared" si="5"/>
        <v>1</v>
      </c>
      <c r="P9" s="49">
        <f t="shared" si="6"/>
        <v>0</v>
      </c>
      <c r="Q9" s="49">
        <f t="shared" si="7"/>
        <v>2.0223000000000013</v>
      </c>
      <c r="R9" s="46">
        <f t="shared" si="8"/>
        <v>0</v>
      </c>
      <c r="S9" s="49">
        <f t="shared" si="9"/>
        <v>49.496402877699339</v>
      </c>
    </row>
    <row r="10" spans="1:19" ht="14.25" customHeight="1" x14ac:dyDescent="0.45">
      <c r="A10" s="67">
        <v>2662826</v>
      </c>
      <c r="B10" s="68" t="s">
        <v>93</v>
      </c>
      <c r="C10">
        <v>-64.192700000000002</v>
      </c>
      <c r="D10">
        <v>39</v>
      </c>
      <c r="E10">
        <v>-65.025999999999996</v>
      </c>
      <c r="F10">
        <v>39</v>
      </c>
      <c r="G10" s="75">
        <v>-63.338500000000003</v>
      </c>
      <c r="H10" s="75">
        <v>40.916699999999999</v>
      </c>
      <c r="J10" s="69">
        <f t="shared" si="0"/>
        <v>2.5537022418441762</v>
      </c>
      <c r="K10" s="69">
        <f t="shared" si="1"/>
        <v>2.0984271562291585</v>
      </c>
      <c r="L10">
        <f t="shared" si="2"/>
        <v>0.83329999999999416</v>
      </c>
      <c r="M10" s="49">
        <f t="shared" si="3"/>
        <v>2.5182133160076483</v>
      </c>
      <c r="N10" s="48">
        <f t="shared" si="4"/>
        <v>-1.5182133160076483</v>
      </c>
      <c r="O10" s="49">
        <f t="shared" si="5"/>
        <v>0.66080530938538529</v>
      </c>
      <c r="P10" s="49">
        <f t="shared" si="6"/>
        <v>0.85419999999999874</v>
      </c>
      <c r="Q10" s="49">
        <f t="shared" si="7"/>
        <v>1.9166999999999987</v>
      </c>
      <c r="R10" s="46">
        <f t="shared" si="8"/>
        <v>0</v>
      </c>
      <c r="S10" s="49">
        <f t="shared" si="9"/>
        <v>3.0645652728239456</v>
      </c>
    </row>
    <row r="11" spans="1:19" ht="14.25" customHeight="1" x14ac:dyDescent="0.45">
      <c r="A11" s="67">
        <v>2662827</v>
      </c>
      <c r="B11" s="68" t="s">
        <v>93</v>
      </c>
      <c r="C11">
        <v>-91.645799999999994</v>
      </c>
      <c r="D11">
        <v>13.854200000000001</v>
      </c>
      <c r="E11">
        <v>-90.479200000000006</v>
      </c>
      <c r="F11">
        <v>13.854200000000001</v>
      </c>
      <c r="G11" s="75">
        <v>-91.958299999999994</v>
      </c>
      <c r="H11" s="75">
        <v>12.1875</v>
      </c>
      <c r="J11" s="69">
        <f t="shared" si="0"/>
        <v>2.2283683941395251</v>
      </c>
      <c r="K11" s="69">
        <f t="shared" si="1"/>
        <v>1.6957432411777444</v>
      </c>
      <c r="L11">
        <f t="shared" si="2"/>
        <v>1.1665999999999883</v>
      </c>
      <c r="M11" s="49">
        <f t="shared" si="3"/>
        <v>1.453577268281983</v>
      </c>
      <c r="N11" s="48">
        <f t="shared" si="4"/>
        <v>-0.45357726828198308</v>
      </c>
      <c r="O11" s="49">
        <f t="shared" si="5"/>
        <v>0.66375918985834315</v>
      </c>
      <c r="P11" s="49">
        <f t="shared" si="6"/>
        <v>-0.3125</v>
      </c>
      <c r="Q11" s="49">
        <f t="shared" si="7"/>
        <v>-1.6667000000000005</v>
      </c>
      <c r="R11" s="46">
        <f t="shared" si="8"/>
        <v>0</v>
      </c>
      <c r="S11" s="49">
        <f t="shared" si="9"/>
        <v>1.9101392029312081</v>
      </c>
    </row>
    <row r="12" spans="1:19" ht="14.25" customHeight="1" x14ac:dyDescent="0.45">
      <c r="A12" s="67">
        <v>2662828</v>
      </c>
      <c r="B12" s="68" t="s">
        <v>93</v>
      </c>
      <c r="C12">
        <v>-8.3125</v>
      </c>
      <c r="D12">
        <v>18.083300000000001</v>
      </c>
      <c r="E12">
        <v>-8.3125</v>
      </c>
      <c r="F12">
        <v>18.916699999999999</v>
      </c>
      <c r="G12" s="75">
        <v>-8.3125</v>
      </c>
      <c r="H12" s="75">
        <v>18.083300000000001</v>
      </c>
      <c r="J12" s="69">
        <f t="shared" si="0"/>
        <v>0.83339999999999748</v>
      </c>
      <c r="K12" s="69">
        <f t="shared" si="1"/>
        <v>0</v>
      </c>
      <c r="L12">
        <f t="shared" si="2"/>
        <v>0.83339999999999748</v>
      </c>
      <c r="M12" s="49">
        <f t="shared" si="3"/>
        <v>0</v>
      </c>
      <c r="N12" s="48">
        <f t="shared" si="4"/>
        <v>1</v>
      </c>
      <c r="O12" s="49">
        <f t="shared" si="5"/>
        <v>1</v>
      </c>
      <c r="P12" s="49">
        <f t="shared" si="6"/>
        <v>0</v>
      </c>
      <c r="Q12" s="49">
        <f t="shared" si="7"/>
        <v>0</v>
      </c>
      <c r="R12" s="46">
        <f t="shared" si="8"/>
        <v>1</v>
      </c>
      <c r="S12" s="49">
        <f t="shared" si="9"/>
        <v>1</v>
      </c>
    </row>
    <row r="13" spans="1:19" ht="14.25" customHeight="1" x14ac:dyDescent="0.45">
      <c r="A13" s="67">
        <v>2662829</v>
      </c>
      <c r="B13" s="68" t="s">
        <v>93</v>
      </c>
      <c r="C13">
        <v>-22.916699999999999</v>
      </c>
      <c r="D13">
        <v>35.302100000000003</v>
      </c>
      <c r="E13">
        <v>-22.916699999999999</v>
      </c>
      <c r="F13">
        <v>36.302100000000003</v>
      </c>
      <c r="G13" s="75">
        <v>-22.885400000000001</v>
      </c>
      <c r="H13" s="75">
        <v>35.302100000000003</v>
      </c>
      <c r="J13" s="69">
        <f t="shared" si="0"/>
        <v>1.0004897250846707</v>
      </c>
      <c r="K13" s="69">
        <f t="shared" si="1"/>
        <v>3.1299999999998107E-2</v>
      </c>
      <c r="L13">
        <f t="shared" si="2"/>
        <v>1</v>
      </c>
      <c r="M13" s="49">
        <f t="shared" si="3"/>
        <v>3.1299999999998107E-2</v>
      </c>
      <c r="N13" s="48">
        <f t="shared" si="4"/>
        <v>0.96870000000000189</v>
      </c>
      <c r="O13" s="49">
        <f t="shared" si="5"/>
        <v>0.99951051462859419</v>
      </c>
      <c r="P13" s="49">
        <f t="shared" si="6"/>
        <v>3.1299999999998107E-2</v>
      </c>
      <c r="Q13" s="49">
        <f t="shared" si="7"/>
        <v>0</v>
      </c>
      <c r="R13" s="46">
        <f t="shared" si="8"/>
        <v>1</v>
      </c>
      <c r="S13" s="49">
        <f t="shared" si="9"/>
        <v>1.0004897250846707</v>
      </c>
    </row>
    <row r="14" spans="1:19" ht="14.25" customHeight="1" x14ac:dyDescent="0.45">
      <c r="A14" s="67">
        <v>2662830</v>
      </c>
      <c r="B14" s="68" t="s">
        <v>93</v>
      </c>
      <c r="C14">
        <v>-17.75</v>
      </c>
      <c r="D14">
        <v>35.260399999999997</v>
      </c>
      <c r="E14">
        <v>-17.75</v>
      </c>
      <c r="F14">
        <v>36.302100000000003</v>
      </c>
      <c r="G14" s="75">
        <v>-17.781199999999998</v>
      </c>
      <c r="H14" s="75">
        <v>35.260399999999997</v>
      </c>
      <c r="J14" s="69">
        <f t="shared" si="0"/>
        <v>1.0421671315101104</v>
      </c>
      <c r="K14" s="69">
        <f t="shared" si="1"/>
        <v>3.119999999999834E-2</v>
      </c>
      <c r="L14">
        <f t="shared" si="2"/>
        <v>1.0417000000000058</v>
      </c>
      <c r="M14" s="49">
        <f t="shared" si="3"/>
        <v>2.9951041566668106E-2</v>
      </c>
      <c r="N14" s="48">
        <f t="shared" si="4"/>
        <v>0.97004895843333194</v>
      </c>
      <c r="O14" s="49">
        <f t="shared" si="5"/>
        <v>0.99955176910115395</v>
      </c>
      <c r="P14" s="49">
        <f t="shared" si="6"/>
        <v>-3.119999999999834E-2</v>
      </c>
      <c r="Q14" s="49">
        <f t="shared" si="7"/>
        <v>0</v>
      </c>
      <c r="R14" s="46">
        <f t="shared" si="8"/>
        <v>1</v>
      </c>
      <c r="S14" s="49">
        <f t="shared" si="9"/>
        <v>1.0004484318998796</v>
      </c>
    </row>
    <row r="15" spans="1:19" ht="14.25" customHeight="1" x14ac:dyDescent="0.45">
      <c r="A15" s="67">
        <v>2662831</v>
      </c>
      <c r="B15" s="68" t="s">
        <v>93</v>
      </c>
      <c r="C15">
        <v>2.4009999999999998</v>
      </c>
      <c r="D15">
        <v>38.828099999999999</v>
      </c>
      <c r="E15">
        <v>3.2759999999999998</v>
      </c>
      <c r="F15">
        <v>38.828099999999999</v>
      </c>
      <c r="G15" s="75">
        <v>1.8385</v>
      </c>
      <c r="H15" s="75">
        <v>38.828099999999999</v>
      </c>
      <c r="J15" s="69">
        <f t="shared" si="0"/>
        <v>1.4374999999999998</v>
      </c>
      <c r="K15" s="69">
        <f t="shared" si="1"/>
        <v>0.56249999999999978</v>
      </c>
      <c r="L15">
        <f t="shared" si="2"/>
        <v>0.875</v>
      </c>
      <c r="M15" s="49">
        <f t="shared" si="3"/>
        <v>0.64285714285714257</v>
      </c>
      <c r="N15" s="48">
        <f t="shared" si="4"/>
        <v>0.35714285714285737</v>
      </c>
      <c r="O15" s="49">
        <f t="shared" si="5"/>
        <v>1</v>
      </c>
      <c r="P15" s="49">
        <f t="shared" si="6"/>
        <v>-0.56249999999999978</v>
      </c>
      <c r="Q15" s="49">
        <f t="shared" si="7"/>
        <v>0</v>
      </c>
      <c r="R15" s="46">
        <f t="shared" si="8"/>
        <v>1</v>
      </c>
      <c r="S15" s="49">
        <f t="shared" si="9"/>
        <v>1.6428571428571426</v>
      </c>
    </row>
    <row r="16" spans="1:19" ht="14.25" customHeight="1" x14ac:dyDescent="0.45">
      <c r="A16" s="67">
        <v>2662832</v>
      </c>
      <c r="B16" s="68" t="s">
        <v>93</v>
      </c>
      <c r="C16">
        <v>34.697899999999997</v>
      </c>
      <c r="D16">
        <v>33.588500000000003</v>
      </c>
      <c r="E16">
        <v>34.697899999999997</v>
      </c>
      <c r="F16">
        <v>34.463500000000003</v>
      </c>
      <c r="G16" s="75">
        <v>34.697899999999997</v>
      </c>
      <c r="H16" s="75">
        <v>33.588500000000003</v>
      </c>
      <c r="J16" s="69">
        <f t="shared" si="0"/>
        <v>0.875</v>
      </c>
      <c r="K16" s="69">
        <f t="shared" si="1"/>
        <v>0</v>
      </c>
      <c r="L16">
        <f t="shared" si="2"/>
        <v>0.875</v>
      </c>
      <c r="M16" s="49">
        <f t="shared" si="3"/>
        <v>0</v>
      </c>
      <c r="N16" s="48">
        <f t="shared" si="4"/>
        <v>1</v>
      </c>
      <c r="O16" s="49">
        <f t="shared" si="5"/>
        <v>1</v>
      </c>
      <c r="P16" s="49">
        <f t="shared" si="6"/>
        <v>0</v>
      </c>
      <c r="Q16" s="49">
        <f t="shared" si="7"/>
        <v>0</v>
      </c>
      <c r="R16" s="46">
        <f t="shared" si="8"/>
        <v>1</v>
      </c>
      <c r="S16" s="49">
        <f t="shared" si="9"/>
        <v>1</v>
      </c>
    </row>
    <row r="17" spans="1:19" ht="14.25" customHeight="1" x14ac:dyDescent="0.45">
      <c r="A17" s="67">
        <v>2662833</v>
      </c>
      <c r="B17" s="68" t="s">
        <v>93</v>
      </c>
      <c r="C17">
        <v>-46.062600000000003</v>
      </c>
      <c r="D17">
        <v>42.25</v>
      </c>
      <c r="E17">
        <v>-46.0625</v>
      </c>
      <c r="F17">
        <v>44.718800000000002</v>
      </c>
      <c r="G17" s="75">
        <v>-46.062600000000003</v>
      </c>
      <c r="H17" s="75">
        <v>42.25</v>
      </c>
      <c r="J17" s="69">
        <f t="shared" si="0"/>
        <v>2.4688000020252772</v>
      </c>
      <c r="K17" s="69">
        <f t="shared" si="1"/>
        <v>0</v>
      </c>
      <c r="L17">
        <f t="shared" si="2"/>
        <v>2.4688000020252772</v>
      </c>
      <c r="M17" s="49">
        <f t="shared" si="3"/>
        <v>0</v>
      </c>
      <c r="N17" s="48">
        <f t="shared" si="4"/>
        <v>1</v>
      </c>
      <c r="O17" s="49">
        <f t="shared" si="5"/>
        <v>1</v>
      </c>
      <c r="P17" s="49">
        <f t="shared" si="6"/>
        <v>0</v>
      </c>
      <c r="Q17" s="49">
        <f t="shared" si="7"/>
        <v>0</v>
      </c>
      <c r="R17" s="46">
        <f t="shared" si="8"/>
        <v>1</v>
      </c>
      <c r="S17" s="49">
        <f t="shared" si="9"/>
        <v>1</v>
      </c>
    </row>
    <row r="18" spans="1:19" ht="14.25" customHeight="1" x14ac:dyDescent="0.45">
      <c r="A18" s="67">
        <v>2662834</v>
      </c>
      <c r="B18" s="68" t="s">
        <v>93</v>
      </c>
      <c r="C18">
        <v>-57.348999999999997</v>
      </c>
      <c r="D18">
        <v>25.989599999999999</v>
      </c>
      <c r="E18">
        <v>-57.765599999999999</v>
      </c>
      <c r="F18">
        <v>25.989599999999999</v>
      </c>
      <c r="G18" s="75">
        <v>-57.348999999999997</v>
      </c>
      <c r="H18" s="75">
        <v>25.989599999999999</v>
      </c>
      <c r="J18" s="69">
        <f t="shared" si="0"/>
        <v>0.41660000000000252</v>
      </c>
      <c r="K18" s="69">
        <f t="shared" si="1"/>
        <v>0</v>
      </c>
      <c r="L18">
        <f t="shared" si="2"/>
        <v>0.41660000000000252</v>
      </c>
      <c r="M18" s="49">
        <f t="shared" si="3"/>
        <v>0</v>
      </c>
      <c r="N18" s="48">
        <f t="shared" si="4"/>
        <v>1</v>
      </c>
      <c r="O18" s="49">
        <f t="shared" si="5"/>
        <v>1</v>
      </c>
      <c r="P18" s="49">
        <f t="shared" si="6"/>
        <v>0</v>
      </c>
      <c r="Q18" s="49">
        <f t="shared" si="7"/>
        <v>0</v>
      </c>
      <c r="R18" s="46">
        <f t="shared" si="8"/>
        <v>1</v>
      </c>
      <c r="S18" s="49">
        <f t="shared" si="9"/>
        <v>1</v>
      </c>
    </row>
    <row r="19" spans="1:19" ht="14.25" customHeight="1" x14ac:dyDescent="0.45">
      <c r="A19" s="67">
        <v>2662835</v>
      </c>
      <c r="B19" s="68" t="s">
        <v>93</v>
      </c>
      <c r="C19">
        <v>-57.307299999999998</v>
      </c>
      <c r="D19">
        <v>30.270800000000001</v>
      </c>
      <c r="E19">
        <v>-57.765599999999999</v>
      </c>
      <c r="F19">
        <v>30.270800000000001</v>
      </c>
      <c r="G19" s="75">
        <v>-57.307299999999998</v>
      </c>
      <c r="H19" s="75">
        <v>30.270800000000001</v>
      </c>
      <c r="J19" s="69">
        <f t="shared" si="0"/>
        <v>0.45830000000000126</v>
      </c>
      <c r="K19" s="69">
        <f t="shared" si="1"/>
        <v>0</v>
      </c>
      <c r="L19">
        <f t="shared" si="2"/>
        <v>0.45830000000000126</v>
      </c>
      <c r="M19" s="49">
        <f t="shared" si="3"/>
        <v>0</v>
      </c>
      <c r="N19" s="48">
        <f t="shared" si="4"/>
        <v>1</v>
      </c>
      <c r="O19" s="49">
        <f t="shared" si="5"/>
        <v>1</v>
      </c>
      <c r="P19" s="49">
        <f t="shared" si="6"/>
        <v>0</v>
      </c>
      <c r="Q19" s="49">
        <f t="shared" si="7"/>
        <v>0</v>
      </c>
      <c r="R19" s="46">
        <f t="shared" si="8"/>
        <v>1</v>
      </c>
      <c r="S19" s="49">
        <f t="shared" si="9"/>
        <v>1</v>
      </c>
    </row>
    <row r="20" spans="1:19" ht="14.25" customHeight="1" x14ac:dyDescent="0.45">
      <c r="A20" s="67">
        <v>2662836</v>
      </c>
      <c r="B20" s="68" t="s">
        <v>93</v>
      </c>
      <c r="C20">
        <v>-56.125</v>
      </c>
      <c r="D20">
        <v>32.255200000000002</v>
      </c>
      <c r="E20">
        <v>-56.125</v>
      </c>
      <c r="F20">
        <v>33.380200000000002</v>
      </c>
      <c r="G20" s="75">
        <v>-56.125</v>
      </c>
      <c r="H20" s="75">
        <v>32.255200000000002</v>
      </c>
      <c r="J20" s="69">
        <f t="shared" si="0"/>
        <v>1.125</v>
      </c>
      <c r="K20" s="69">
        <f t="shared" si="1"/>
        <v>0</v>
      </c>
      <c r="L20">
        <f t="shared" si="2"/>
        <v>1.125</v>
      </c>
      <c r="M20" s="49">
        <f t="shared" si="3"/>
        <v>0</v>
      </c>
      <c r="N20" s="48">
        <f t="shared" si="4"/>
        <v>1</v>
      </c>
      <c r="O20" s="49">
        <f t="shared" si="5"/>
        <v>1</v>
      </c>
      <c r="P20" s="49">
        <f t="shared" si="6"/>
        <v>0</v>
      </c>
      <c r="Q20" s="49">
        <f t="shared" si="7"/>
        <v>0</v>
      </c>
      <c r="R20" s="46">
        <f t="shared" si="8"/>
        <v>1</v>
      </c>
      <c r="S20" s="49">
        <f t="shared" si="9"/>
        <v>1</v>
      </c>
    </row>
    <row r="21" spans="1:19" ht="14.25" customHeight="1" x14ac:dyDescent="0.45">
      <c r="A21" s="67">
        <v>2662837</v>
      </c>
      <c r="B21" s="68" t="s">
        <v>93</v>
      </c>
      <c r="C21">
        <v>-95.760400000000004</v>
      </c>
      <c r="D21">
        <v>19.6875</v>
      </c>
      <c r="E21">
        <v>-95.760400000000004</v>
      </c>
      <c r="F21">
        <v>18.6875</v>
      </c>
      <c r="G21" s="75">
        <v>-95.760400000000004</v>
      </c>
      <c r="H21" s="75">
        <v>19.6875</v>
      </c>
      <c r="J21" s="69">
        <f t="shared" si="0"/>
        <v>1</v>
      </c>
      <c r="K21" s="69">
        <f t="shared" si="1"/>
        <v>0</v>
      </c>
      <c r="L21">
        <f t="shared" si="2"/>
        <v>1</v>
      </c>
      <c r="M21" s="49">
        <f t="shared" si="3"/>
        <v>0</v>
      </c>
      <c r="N21" s="48">
        <f t="shared" si="4"/>
        <v>1</v>
      </c>
      <c r="O21" s="49">
        <f t="shared" si="5"/>
        <v>1</v>
      </c>
      <c r="P21" s="49">
        <f t="shared" si="6"/>
        <v>0</v>
      </c>
      <c r="Q21" s="49">
        <f t="shared" si="7"/>
        <v>0</v>
      </c>
      <c r="R21" s="46">
        <f t="shared" si="8"/>
        <v>1</v>
      </c>
      <c r="S21" s="49">
        <f t="shared" si="9"/>
        <v>1</v>
      </c>
    </row>
    <row r="22" spans="1:19" ht="14.25" customHeight="1" x14ac:dyDescent="0.45">
      <c r="A22" s="67">
        <v>2662838</v>
      </c>
      <c r="B22" s="68" t="s">
        <v>93</v>
      </c>
      <c r="C22">
        <v>-4.25</v>
      </c>
      <c r="D22">
        <v>36.885399999999997</v>
      </c>
      <c r="E22">
        <v>-4.25</v>
      </c>
      <c r="F22">
        <v>36.302100000000003</v>
      </c>
      <c r="G22" s="75">
        <v>-4.25</v>
      </c>
      <c r="H22" s="75">
        <v>36.885399999999997</v>
      </c>
      <c r="J22" s="69">
        <f t="shared" si="0"/>
        <v>0.58329999999999416</v>
      </c>
      <c r="K22" s="69">
        <f t="shared" si="1"/>
        <v>0</v>
      </c>
      <c r="L22">
        <f t="shared" si="2"/>
        <v>0.58329999999999416</v>
      </c>
      <c r="M22" s="49">
        <f t="shared" si="3"/>
        <v>0</v>
      </c>
      <c r="N22" s="48">
        <f t="shared" si="4"/>
        <v>1</v>
      </c>
      <c r="O22" s="49">
        <f t="shared" si="5"/>
        <v>1</v>
      </c>
      <c r="P22" s="49">
        <f t="shared" si="6"/>
        <v>0</v>
      </c>
      <c r="Q22" s="49">
        <f t="shared" si="7"/>
        <v>0</v>
      </c>
      <c r="R22" s="46">
        <f t="shared" si="8"/>
        <v>1</v>
      </c>
      <c r="S22" s="49">
        <f t="shared" si="9"/>
        <v>1</v>
      </c>
    </row>
    <row r="23" spans="1:19" ht="14.25" customHeight="1" x14ac:dyDescent="0.45">
      <c r="A23" s="67">
        <v>2662839</v>
      </c>
      <c r="B23" s="68" t="s">
        <v>93</v>
      </c>
      <c r="C23">
        <v>-31.078099999999999</v>
      </c>
      <c r="D23">
        <v>26.067699999999999</v>
      </c>
      <c r="E23">
        <v>-31.9115</v>
      </c>
      <c r="F23">
        <v>26.067699999999999</v>
      </c>
      <c r="G23" s="75">
        <v>-31.078099999999999</v>
      </c>
      <c r="H23" s="75">
        <v>26.067699999999999</v>
      </c>
      <c r="J23" s="69">
        <f t="shared" si="0"/>
        <v>0.83340000000000103</v>
      </c>
      <c r="K23" s="69">
        <f t="shared" si="1"/>
        <v>0</v>
      </c>
      <c r="L23">
        <f t="shared" si="2"/>
        <v>0.83340000000000103</v>
      </c>
      <c r="M23" s="49">
        <f t="shared" si="3"/>
        <v>0</v>
      </c>
      <c r="N23" s="48">
        <f t="shared" si="4"/>
        <v>1</v>
      </c>
      <c r="O23" s="49">
        <f t="shared" si="5"/>
        <v>1</v>
      </c>
      <c r="P23" s="49">
        <f t="shared" si="6"/>
        <v>0</v>
      </c>
      <c r="Q23" s="49">
        <f t="shared" si="7"/>
        <v>0</v>
      </c>
      <c r="R23" s="46">
        <f t="shared" si="8"/>
        <v>1</v>
      </c>
      <c r="S23" s="49">
        <f t="shared" si="9"/>
        <v>1</v>
      </c>
    </row>
    <row r="24" spans="1:19" ht="14.25" customHeight="1" x14ac:dyDescent="0.45">
      <c r="A24" s="67">
        <v>2662840</v>
      </c>
      <c r="B24" s="68" t="s">
        <v>93</v>
      </c>
      <c r="C24">
        <v>-31.0365</v>
      </c>
      <c r="D24">
        <v>30.349</v>
      </c>
      <c r="E24">
        <v>-31.9115</v>
      </c>
      <c r="F24">
        <v>30.349</v>
      </c>
      <c r="G24" s="75">
        <v>-31.0365</v>
      </c>
      <c r="H24" s="75">
        <v>30.349</v>
      </c>
      <c r="J24" s="69">
        <f t="shared" si="0"/>
        <v>0.875</v>
      </c>
      <c r="K24" s="69">
        <f t="shared" si="1"/>
        <v>0</v>
      </c>
      <c r="L24">
        <f t="shared" si="2"/>
        <v>0.875</v>
      </c>
      <c r="M24" s="49">
        <f t="shared" si="3"/>
        <v>0</v>
      </c>
      <c r="N24" s="48">
        <f t="shared" si="4"/>
        <v>1</v>
      </c>
      <c r="O24" s="49">
        <f t="shared" si="5"/>
        <v>1</v>
      </c>
      <c r="P24" s="49">
        <f t="shared" si="6"/>
        <v>0</v>
      </c>
      <c r="Q24" s="49">
        <f t="shared" si="7"/>
        <v>0</v>
      </c>
      <c r="R24" s="46">
        <f t="shared" si="8"/>
        <v>1</v>
      </c>
      <c r="S24" s="49">
        <f t="shared" si="9"/>
        <v>1</v>
      </c>
    </row>
    <row r="25" spans="1:19" ht="14.25" customHeight="1" x14ac:dyDescent="0.45">
      <c r="A25" s="67">
        <v>2662841</v>
      </c>
      <c r="B25" s="68" t="s">
        <v>93</v>
      </c>
      <c r="C25">
        <v>30.416699999999999</v>
      </c>
      <c r="D25">
        <v>33.630200000000002</v>
      </c>
      <c r="E25">
        <v>30.416699999999999</v>
      </c>
      <c r="F25">
        <v>34.463500000000003</v>
      </c>
      <c r="G25" s="75">
        <v>30.416699999999999</v>
      </c>
      <c r="H25" s="75">
        <v>33.630200000000002</v>
      </c>
      <c r="J25" s="69">
        <f t="shared" si="0"/>
        <v>0.83330000000000126</v>
      </c>
      <c r="K25" s="69">
        <f t="shared" si="1"/>
        <v>0</v>
      </c>
      <c r="L25">
        <f t="shared" si="2"/>
        <v>0.83330000000000126</v>
      </c>
      <c r="M25" s="49">
        <f t="shared" si="3"/>
        <v>0</v>
      </c>
      <c r="N25" s="48">
        <f t="shared" si="4"/>
        <v>1</v>
      </c>
      <c r="O25" s="49">
        <f t="shared" si="5"/>
        <v>1</v>
      </c>
      <c r="P25" s="49">
        <f t="shared" si="6"/>
        <v>0</v>
      </c>
      <c r="Q25" s="49">
        <f t="shared" si="7"/>
        <v>0</v>
      </c>
      <c r="R25" s="46">
        <f t="shared" si="8"/>
        <v>1</v>
      </c>
      <c r="S25" s="49">
        <f t="shared" si="9"/>
        <v>1</v>
      </c>
    </row>
    <row r="26" spans="1:19" ht="14.25" customHeight="1" x14ac:dyDescent="0.45">
      <c r="A26" s="67">
        <v>2662842</v>
      </c>
      <c r="B26" s="68" t="s">
        <v>93</v>
      </c>
      <c r="C26">
        <v>50.630200000000002</v>
      </c>
      <c r="D26">
        <v>31.989599999999999</v>
      </c>
      <c r="E26">
        <v>49.463500000000003</v>
      </c>
      <c r="F26">
        <v>31.989599999999999</v>
      </c>
      <c r="G26" s="75">
        <v>50.630200000000002</v>
      </c>
      <c r="H26" s="75">
        <v>31.989599999999999</v>
      </c>
      <c r="J26" s="69">
        <f t="shared" si="0"/>
        <v>1.1666999999999987</v>
      </c>
      <c r="K26" s="69">
        <f t="shared" si="1"/>
        <v>0</v>
      </c>
      <c r="L26">
        <f t="shared" si="2"/>
        <v>1.1666999999999987</v>
      </c>
      <c r="M26" s="49">
        <f t="shared" si="3"/>
        <v>0</v>
      </c>
      <c r="N26" s="48">
        <f t="shared" si="4"/>
        <v>1</v>
      </c>
      <c r="O26" s="49">
        <f t="shared" si="5"/>
        <v>1</v>
      </c>
      <c r="P26" s="49">
        <f t="shared" si="6"/>
        <v>0</v>
      </c>
      <c r="Q26" s="49">
        <f t="shared" si="7"/>
        <v>0</v>
      </c>
      <c r="R26" s="46">
        <f t="shared" si="8"/>
        <v>1</v>
      </c>
      <c r="S26" s="49">
        <f t="shared" si="9"/>
        <v>1</v>
      </c>
    </row>
    <row r="27" spans="1:19" ht="14.25" customHeight="1" x14ac:dyDescent="0.45">
      <c r="A27" s="67">
        <v>2662843</v>
      </c>
      <c r="B27" s="68" t="s">
        <v>93</v>
      </c>
      <c r="C27">
        <v>50.671900000000001</v>
      </c>
      <c r="D27">
        <v>36.270800000000001</v>
      </c>
      <c r="E27">
        <v>49.463500000000003</v>
      </c>
      <c r="F27">
        <v>36.270800000000001</v>
      </c>
      <c r="G27" s="75">
        <v>50.671900000000001</v>
      </c>
      <c r="H27" s="75">
        <v>36.270800000000001</v>
      </c>
      <c r="J27" s="69">
        <f t="shared" si="0"/>
        <v>1.2083999999999975</v>
      </c>
      <c r="K27" s="69">
        <f t="shared" si="1"/>
        <v>0</v>
      </c>
      <c r="L27">
        <f t="shared" si="2"/>
        <v>1.2083999999999975</v>
      </c>
      <c r="M27" s="49">
        <f t="shared" si="3"/>
        <v>0</v>
      </c>
      <c r="N27" s="48">
        <f t="shared" si="4"/>
        <v>1</v>
      </c>
      <c r="O27" s="49">
        <f t="shared" si="5"/>
        <v>1</v>
      </c>
      <c r="P27" s="49">
        <f t="shared" si="6"/>
        <v>0</v>
      </c>
      <c r="Q27" s="49">
        <f t="shared" si="7"/>
        <v>0</v>
      </c>
      <c r="R27" s="46">
        <f t="shared" si="8"/>
        <v>1</v>
      </c>
      <c r="S27" s="49">
        <f t="shared" si="9"/>
        <v>1</v>
      </c>
    </row>
    <row r="28" spans="1:19" ht="14.25" customHeight="1" x14ac:dyDescent="0.45">
      <c r="A28" s="67">
        <v>2662844</v>
      </c>
      <c r="B28" s="68" t="s">
        <v>93</v>
      </c>
      <c r="C28">
        <v>-11.5573</v>
      </c>
      <c r="D28">
        <v>16.677099999999999</v>
      </c>
      <c r="E28">
        <v>-12.5573</v>
      </c>
      <c r="F28">
        <v>16.677099999999999</v>
      </c>
      <c r="G28" s="75">
        <v>-11.5573</v>
      </c>
      <c r="H28" s="75">
        <v>16.677099999999999</v>
      </c>
      <c r="J28" s="69">
        <f t="shared" si="0"/>
        <v>1</v>
      </c>
      <c r="K28" s="69">
        <f t="shared" si="1"/>
        <v>0</v>
      </c>
      <c r="L28">
        <f t="shared" si="2"/>
        <v>1</v>
      </c>
      <c r="M28" s="49">
        <f t="shared" si="3"/>
        <v>0</v>
      </c>
      <c r="N28" s="48">
        <f t="shared" si="4"/>
        <v>1</v>
      </c>
      <c r="O28" s="49">
        <f t="shared" si="5"/>
        <v>1</v>
      </c>
      <c r="P28" s="49">
        <f t="shared" si="6"/>
        <v>0</v>
      </c>
      <c r="Q28" s="49">
        <f t="shared" si="7"/>
        <v>0</v>
      </c>
      <c r="R28" s="46">
        <f t="shared" si="8"/>
        <v>1</v>
      </c>
      <c r="S28" s="49">
        <f t="shared" si="9"/>
        <v>1</v>
      </c>
    </row>
    <row r="29" spans="1:19" ht="14.25" customHeight="1" x14ac:dyDescent="0.45">
      <c r="A29" s="67">
        <v>2662845</v>
      </c>
      <c r="B29" s="68" t="s">
        <v>93</v>
      </c>
      <c r="C29">
        <v>-11.515599999999999</v>
      </c>
      <c r="D29">
        <v>5.4791999999999996</v>
      </c>
      <c r="E29">
        <v>-12.5573</v>
      </c>
      <c r="F29">
        <v>5.4791999999999996</v>
      </c>
      <c r="G29" s="75">
        <v>-11.515599999999999</v>
      </c>
      <c r="H29" s="75">
        <v>5.4791999999999996</v>
      </c>
      <c r="J29" s="69">
        <f t="shared" si="0"/>
        <v>1.0417000000000005</v>
      </c>
      <c r="K29" s="69">
        <f t="shared" si="1"/>
        <v>0</v>
      </c>
      <c r="L29">
        <f t="shared" si="2"/>
        <v>1.0417000000000005</v>
      </c>
      <c r="M29" s="49">
        <f t="shared" si="3"/>
        <v>0</v>
      </c>
      <c r="N29" s="48">
        <f t="shared" si="4"/>
        <v>1</v>
      </c>
      <c r="O29" s="49">
        <f t="shared" si="5"/>
        <v>1</v>
      </c>
      <c r="P29" s="49">
        <f t="shared" si="6"/>
        <v>0</v>
      </c>
      <c r="Q29" s="49">
        <f t="shared" si="7"/>
        <v>0</v>
      </c>
      <c r="R29" s="46">
        <f t="shared" si="8"/>
        <v>1</v>
      </c>
      <c r="S29" s="49">
        <f t="shared" si="9"/>
        <v>1</v>
      </c>
    </row>
    <row r="30" spans="1:19" ht="14.25" customHeight="1" x14ac:dyDescent="0.45">
      <c r="A30" s="67">
        <v>2662846</v>
      </c>
      <c r="B30" s="68" t="s">
        <v>93</v>
      </c>
      <c r="C30">
        <v>-35.239699999999999</v>
      </c>
      <c r="D30">
        <v>-24.956199999999999</v>
      </c>
      <c r="E30">
        <v>-35.239600000000003</v>
      </c>
      <c r="F30">
        <v>-27.5916</v>
      </c>
      <c r="G30" s="75">
        <v>-35.239699999999999</v>
      </c>
      <c r="H30" s="75">
        <v>-24.956199999999999</v>
      </c>
      <c r="J30" s="69">
        <f t="shared" si="0"/>
        <v>2.6354000018972457</v>
      </c>
      <c r="K30" s="69">
        <f t="shared" si="1"/>
        <v>0</v>
      </c>
      <c r="L30">
        <f t="shared" si="2"/>
        <v>2.6354000018972457</v>
      </c>
      <c r="M30" s="49">
        <f t="shared" si="3"/>
        <v>0</v>
      </c>
      <c r="N30" s="48">
        <f t="shared" si="4"/>
        <v>1</v>
      </c>
      <c r="O30" s="49">
        <f t="shared" si="5"/>
        <v>1.0000000000000002</v>
      </c>
      <c r="P30" s="49">
        <f t="shared" si="6"/>
        <v>0</v>
      </c>
      <c r="Q30" s="49">
        <f t="shared" si="7"/>
        <v>0</v>
      </c>
      <c r="R30" s="46">
        <f t="shared" si="8"/>
        <v>1</v>
      </c>
      <c r="S30" s="49">
        <f t="shared" si="9"/>
        <v>1</v>
      </c>
    </row>
    <row r="31" spans="1:19" ht="14.25" customHeight="1" x14ac:dyDescent="0.45">
      <c r="A31" s="67">
        <v>2662847</v>
      </c>
      <c r="B31" s="68" t="s">
        <v>93</v>
      </c>
      <c r="C31">
        <v>-7.25</v>
      </c>
      <c r="D31">
        <v>-27.557300000000001</v>
      </c>
      <c r="E31">
        <v>-8.3332999999999995</v>
      </c>
      <c r="F31">
        <v>-28.724</v>
      </c>
      <c r="G31" s="75">
        <v>-7.25</v>
      </c>
      <c r="H31" s="75">
        <v>-27.557300000000001</v>
      </c>
      <c r="J31" s="69">
        <f t="shared" si="0"/>
        <v>1.5920828433219159</v>
      </c>
      <c r="K31" s="69">
        <f t="shared" si="1"/>
        <v>0</v>
      </c>
      <c r="L31">
        <f t="shared" si="2"/>
        <v>1.5920828433219159</v>
      </c>
      <c r="M31" s="49">
        <f t="shared" si="3"/>
        <v>0</v>
      </c>
      <c r="N31" s="48">
        <f t="shared" si="4"/>
        <v>1</v>
      </c>
      <c r="O31" s="49">
        <f t="shared" si="5"/>
        <v>1</v>
      </c>
      <c r="P31" s="49">
        <f t="shared" si="6"/>
        <v>0</v>
      </c>
      <c r="Q31" s="49">
        <f t="shared" si="7"/>
        <v>0</v>
      </c>
      <c r="R31" s="46">
        <f t="shared" si="8"/>
        <v>1</v>
      </c>
      <c r="S31" s="49">
        <f t="shared" si="9"/>
        <v>1</v>
      </c>
    </row>
    <row r="32" spans="1:19" ht="14.25" customHeight="1" x14ac:dyDescent="0.45">
      <c r="A32" s="67">
        <v>2662848</v>
      </c>
      <c r="B32" s="68" t="s">
        <v>93</v>
      </c>
      <c r="C32">
        <v>-17.375</v>
      </c>
      <c r="D32">
        <v>-27.557300000000001</v>
      </c>
      <c r="E32">
        <v>-17.375</v>
      </c>
      <c r="F32">
        <v>-28.724</v>
      </c>
      <c r="G32" s="75">
        <v>-17.375</v>
      </c>
      <c r="H32" s="75">
        <v>-27.557300000000001</v>
      </c>
      <c r="J32" s="69">
        <f t="shared" si="0"/>
        <v>1.1666999999999987</v>
      </c>
      <c r="K32" s="69">
        <f t="shared" si="1"/>
        <v>0</v>
      </c>
      <c r="L32">
        <f t="shared" si="2"/>
        <v>1.1666999999999987</v>
      </c>
      <c r="M32" s="49">
        <f t="shared" si="3"/>
        <v>0</v>
      </c>
      <c r="N32" s="48">
        <f t="shared" si="4"/>
        <v>1</v>
      </c>
      <c r="O32" s="49">
        <f t="shared" si="5"/>
        <v>1</v>
      </c>
      <c r="P32" s="49">
        <f t="shared" si="6"/>
        <v>0</v>
      </c>
      <c r="Q32" s="49">
        <f t="shared" si="7"/>
        <v>0</v>
      </c>
      <c r="R32" s="46">
        <f t="shared" si="8"/>
        <v>1</v>
      </c>
      <c r="S32" s="49">
        <f t="shared" si="9"/>
        <v>1</v>
      </c>
    </row>
    <row r="33" spans="1:19" ht="14.25" customHeight="1" x14ac:dyDescent="0.45">
      <c r="A33" s="67">
        <v>2662849</v>
      </c>
      <c r="B33" s="68" t="s">
        <v>93</v>
      </c>
      <c r="C33">
        <v>0.70730000000000004</v>
      </c>
      <c r="D33">
        <v>-27.515599999999999</v>
      </c>
      <c r="E33">
        <v>0.70730000000000004</v>
      </c>
      <c r="F33">
        <v>-28.724</v>
      </c>
      <c r="G33" s="75">
        <v>0.70730000000000004</v>
      </c>
      <c r="H33" s="75">
        <v>-27.515599999999999</v>
      </c>
      <c r="J33" s="69">
        <f t="shared" si="0"/>
        <v>1.208400000000001</v>
      </c>
      <c r="K33" s="69">
        <f t="shared" si="1"/>
        <v>0</v>
      </c>
      <c r="L33">
        <f t="shared" si="2"/>
        <v>1.208400000000001</v>
      </c>
      <c r="M33" s="49">
        <f t="shared" si="3"/>
        <v>0</v>
      </c>
      <c r="N33" s="48">
        <f t="shared" si="4"/>
        <v>1</v>
      </c>
      <c r="O33" s="49">
        <f t="shared" si="5"/>
        <v>1</v>
      </c>
      <c r="P33" s="49">
        <f t="shared" si="6"/>
        <v>0</v>
      </c>
      <c r="Q33" s="49">
        <f t="shared" si="7"/>
        <v>0</v>
      </c>
      <c r="R33" s="46">
        <f t="shared" si="8"/>
        <v>1</v>
      </c>
      <c r="S33" s="49">
        <f t="shared" si="9"/>
        <v>1</v>
      </c>
    </row>
    <row r="34" spans="1:19" ht="14.25" customHeight="1" x14ac:dyDescent="0.45">
      <c r="A34" s="67">
        <v>2662850</v>
      </c>
      <c r="B34" s="68" t="s">
        <v>93</v>
      </c>
      <c r="C34">
        <v>2.6667000000000001</v>
      </c>
      <c r="D34">
        <v>15.958299999999999</v>
      </c>
      <c r="E34">
        <v>3.5832999999999999</v>
      </c>
      <c r="F34">
        <v>15.958299999999999</v>
      </c>
      <c r="G34" s="75">
        <v>2.6667000000000001</v>
      </c>
      <c r="H34" s="75">
        <v>15.958299999999999</v>
      </c>
      <c r="J34" s="69">
        <f t="shared" ref="J34:J65" si="10">IFERROR(SQRT((F34-H34)^2+(E34-G34)^2),"")</f>
        <v>0.91659999999999986</v>
      </c>
      <c r="K34" s="69">
        <f t="shared" ref="K34:K65" si="11">IFERROR(SQRT((D34-H34)^2+(C34-G34)^2),"")</f>
        <v>0</v>
      </c>
      <c r="L34">
        <f t="shared" ref="L34:L65" si="12">IFERROR(SQRT((D34-F34)^2+(C34-E34)^2),"")</f>
        <v>0.91659999999999986</v>
      </c>
      <c r="M34" s="49">
        <f t="shared" ref="M34:M65" si="13">IF(AND(AND(ISNUMBER(E34),ISNUMBER(F34)),ISNUMBER(L34),L34&gt;0),K34/L34,"")</f>
        <v>0</v>
      </c>
      <c r="N34" s="48">
        <f t="shared" ref="N34:N65" si="14">IF(AND(AND(ISNUMBER(E34),ISNUMBER(F34)),ISNUMBER(L34),L34&gt;0),(L34-K34)/L34,"")</f>
        <v>1</v>
      </c>
      <c r="O34" s="49">
        <f t="shared" ref="O34:O65" si="15">IFERROR(IF(AND(AND(ISNUMBER(E34),ISNUMBER(F34)),SQRT((G34-E34)^2+(H34-F34)^2)&gt;0,SQRT((C34-E34)^2+(D34-F34)^2)&gt;0),((G34-E34)*(C34-E34)+(H34-F34)*(D34-F34))/(SQRT((G34-E34)^2+(H34-F34)^2)*SQRT((C34-E34)^2+(D34-F34)^2)),""),"")</f>
        <v>1</v>
      </c>
      <c r="P34" s="49">
        <f t="shared" ref="P34:P65" si="16">IF(AND(ISNUMBER(G34),ISNUMBER(C34)),G34-C34,"")</f>
        <v>0</v>
      </c>
      <c r="Q34" s="49">
        <f t="shared" ref="Q34:Q65" si="17">IF(AND(ISNUMBER(H34),ISNUMBER(D34)),H34-D34,"")</f>
        <v>0</v>
      </c>
      <c r="R34" s="46">
        <f t="shared" ref="R34:R65" si="18">IF(M34="","",IF(M34&lt;1,1,0))</f>
        <v>1</v>
      </c>
      <c r="S34" s="49">
        <f t="shared" ref="S34:S65" si="19">IF(AND(ISNUMBER(J34),ISNUMBER(L34),L34&gt;0),J34/L34,"")</f>
        <v>1</v>
      </c>
    </row>
    <row r="35" spans="1:19" ht="14.25" customHeight="1" x14ac:dyDescent="0.45">
      <c r="A35" s="67">
        <v>2662851</v>
      </c>
      <c r="B35" s="68" t="s">
        <v>93</v>
      </c>
      <c r="C35">
        <v>60.601300000000002</v>
      </c>
      <c r="D35">
        <v>-24.299600000000002</v>
      </c>
      <c r="E35">
        <v>61.126399999999997</v>
      </c>
      <c r="F35">
        <v>-26.922499999999999</v>
      </c>
      <c r="G35" s="75">
        <v>60.601300000000002</v>
      </c>
      <c r="H35" s="75">
        <v>-24.299600000000002</v>
      </c>
      <c r="J35" s="69">
        <f t="shared" si="10"/>
        <v>2.6749456854298899</v>
      </c>
      <c r="K35" s="69">
        <f t="shared" si="11"/>
        <v>0</v>
      </c>
      <c r="L35">
        <f t="shared" si="12"/>
        <v>2.6749456854298899</v>
      </c>
      <c r="M35" s="49">
        <f t="shared" si="13"/>
        <v>0</v>
      </c>
      <c r="N35" s="48">
        <f t="shared" si="14"/>
        <v>1</v>
      </c>
      <c r="O35" s="49">
        <f t="shared" si="15"/>
        <v>1</v>
      </c>
      <c r="P35" s="49">
        <f t="shared" si="16"/>
        <v>0</v>
      </c>
      <c r="Q35" s="49">
        <f t="shared" si="17"/>
        <v>0</v>
      </c>
      <c r="R35" s="46">
        <f t="shared" si="18"/>
        <v>1</v>
      </c>
      <c r="S35" s="49">
        <f t="shared" si="19"/>
        <v>1</v>
      </c>
    </row>
    <row r="36" spans="1:19" ht="14.25" customHeight="1" x14ac:dyDescent="0.45">
      <c r="A36" s="67">
        <v>2662852</v>
      </c>
      <c r="B36" s="68" t="s">
        <v>93</v>
      </c>
      <c r="C36">
        <v>14.916600000000001</v>
      </c>
      <c r="D36">
        <v>-26.921900000000001</v>
      </c>
      <c r="E36">
        <v>14.916700000000001</v>
      </c>
      <c r="F36">
        <v>-29.557300000000001</v>
      </c>
      <c r="G36" s="75">
        <v>14.916600000000001</v>
      </c>
      <c r="H36" s="75">
        <v>-26.921900000000001</v>
      </c>
      <c r="J36" s="69">
        <f t="shared" si="10"/>
        <v>2.6354000018972457</v>
      </c>
      <c r="K36" s="69">
        <f t="shared" si="11"/>
        <v>0</v>
      </c>
      <c r="L36">
        <f t="shared" si="12"/>
        <v>2.6354000018972457</v>
      </c>
      <c r="M36" s="49">
        <f t="shared" si="13"/>
        <v>0</v>
      </c>
      <c r="N36" s="48">
        <f t="shared" si="14"/>
        <v>1</v>
      </c>
      <c r="O36" s="49">
        <f t="shared" si="15"/>
        <v>1.0000000000000002</v>
      </c>
      <c r="P36" s="49">
        <f t="shared" si="16"/>
        <v>0</v>
      </c>
      <c r="Q36" s="49">
        <f t="shared" si="17"/>
        <v>0</v>
      </c>
      <c r="R36" s="46">
        <f t="shared" si="18"/>
        <v>1</v>
      </c>
      <c r="S36" s="49">
        <f t="shared" si="19"/>
        <v>1</v>
      </c>
    </row>
    <row r="37" spans="1:19" ht="14.25" customHeight="1" x14ac:dyDescent="0.45">
      <c r="A37" s="67">
        <v>2662853</v>
      </c>
      <c r="B37" s="68" t="s">
        <v>93</v>
      </c>
      <c r="C37">
        <v>33.249899999999997</v>
      </c>
      <c r="D37">
        <v>-26.921900000000001</v>
      </c>
      <c r="E37">
        <v>33.25</v>
      </c>
      <c r="F37">
        <v>-29.557300000000001</v>
      </c>
      <c r="G37" s="75">
        <v>33.249899999999997</v>
      </c>
      <c r="H37" s="75">
        <v>-26.921900000000001</v>
      </c>
      <c r="J37" s="69">
        <f t="shared" si="10"/>
        <v>2.6354000018972457</v>
      </c>
      <c r="K37" s="69">
        <f t="shared" si="11"/>
        <v>0</v>
      </c>
      <c r="L37">
        <f t="shared" si="12"/>
        <v>2.6354000018972457</v>
      </c>
      <c r="M37" s="49">
        <f t="shared" si="13"/>
        <v>0</v>
      </c>
      <c r="N37" s="48">
        <f t="shared" si="14"/>
        <v>1</v>
      </c>
      <c r="O37" s="49">
        <f t="shared" si="15"/>
        <v>1.0000000000000002</v>
      </c>
      <c r="P37" s="49">
        <f t="shared" si="16"/>
        <v>0</v>
      </c>
      <c r="Q37" s="49">
        <f t="shared" si="17"/>
        <v>0</v>
      </c>
      <c r="R37" s="46">
        <f t="shared" si="18"/>
        <v>1</v>
      </c>
      <c r="S37" s="49">
        <f t="shared" si="19"/>
        <v>1</v>
      </c>
    </row>
    <row r="38" spans="1:19" ht="14.25" customHeight="1" x14ac:dyDescent="0.45">
      <c r="A38" s="67">
        <v>2662854</v>
      </c>
      <c r="B38" s="68" t="s">
        <v>93</v>
      </c>
      <c r="C38">
        <v>45.666600000000003</v>
      </c>
      <c r="D38">
        <v>-25.083300000000001</v>
      </c>
      <c r="E38">
        <v>45.666699999999999</v>
      </c>
      <c r="F38">
        <v>-27.385400000000001</v>
      </c>
      <c r="G38" s="75">
        <v>45.666600000000003</v>
      </c>
      <c r="H38" s="75">
        <v>-25.083300000000001</v>
      </c>
      <c r="J38" s="69">
        <f t="shared" si="10"/>
        <v>2.3021000021719296</v>
      </c>
      <c r="K38" s="69">
        <f t="shared" si="11"/>
        <v>0</v>
      </c>
      <c r="L38">
        <f t="shared" si="12"/>
        <v>2.3021000021719296</v>
      </c>
      <c r="M38" s="49">
        <f t="shared" si="13"/>
        <v>0</v>
      </c>
      <c r="N38" s="48">
        <f t="shared" si="14"/>
        <v>1</v>
      </c>
      <c r="O38" s="49">
        <f t="shared" si="15"/>
        <v>0.99999999999999978</v>
      </c>
      <c r="P38" s="49">
        <f t="shared" si="16"/>
        <v>0</v>
      </c>
      <c r="Q38" s="49">
        <f t="shared" si="17"/>
        <v>0</v>
      </c>
      <c r="R38" s="46">
        <f t="shared" si="18"/>
        <v>1</v>
      </c>
      <c r="S38" s="49">
        <f t="shared" si="19"/>
        <v>1</v>
      </c>
    </row>
    <row r="39" spans="1:19" ht="14.25" customHeight="1" x14ac:dyDescent="0.45">
      <c r="A39" s="67">
        <v>2662855</v>
      </c>
      <c r="B39" s="68" t="s">
        <v>93</v>
      </c>
      <c r="C39">
        <v>43.833300000000001</v>
      </c>
      <c r="D39">
        <v>-19.125</v>
      </c>
      <c r="E39">
        <v>43.833300000000001</v>
      </c>
      <c r="F39">
        <v>-20.125</v>
      </c>
      <c r="G39" s="75">
        <v>43.833300000000001</v>
      </c>
      <c r="H39" s="75">
        <v>-19.125</v>
      </c>
      <c r="J39" s="69">
        <f t="shared" si="10"/>
        <v>1</v>
      </c>
      <c r="K39" s="69">
        <f t="shared" si="11"/>
        <v>0</v>
      </c>
      <c r="L39">
        <f t="shared" si="12"/>
        <v>1</v>
      </c>
      <c r="M39" s="49">
        <f t="shared" si="13"/>
        <v>0</v>
      </c>
      <c r="N39" s="48">
        <f t="shared" si="14"/>
        <v>1</v>
      </c>
      <c r="O39" s="49">
        <f t="shared" si="15"/>
        <v>1</v>
      </c>
      <c r="P39" s="49">
        <f t="shared" si="16"/>
        <v>0</v>
      </c>
      <c r="Q39" s="49">
        <f t="shared" si="17"/>
        <v>0</v>
      </c>
      <c r="R39" s="46">
        <f t="shared" si="18"/>
        <v>1</v>
      </c>
      <c r="S39" s="49">
        <f t="shared" si="19"/>
        <v>1</v>
      </c>
    </row>
    <row r="40" spans="1:19" ht="14.25" customHeight="1" x14ac:dyDescent="0.45">
      <c r="A40" s="76">
        <v>2662856</v>
      </c>
      <c r="B40" s="77" t="s">
        <v>94</v>
      </c>
      <c r="C40">
        <v>-33.693399999999997</v>
      </c>
      <c r="D40">
        <v>17.968800000000002</v>
      </c>
      <c r="E40">
        <v>-35.578099999999999</v>
      </c>
      <c r="F40">
        <v>20.468800000000002</v>
      </c>
      <c r="G40" s="79">
        <v>-33.693399999999997</v>
      </c>
      <c r="H40" s="79">
        <v>17.468800000000002</v>
      </c>
      <c r="J40" s="69">
        <f t="shared" si="10"/>
        <v>3.5428934629762732</v>
      </c>
      <c r="K40" s="69">
        <f t="shared" si="11"/>
        <v>0.5</v>
      </c>
      <c r="L40">
        <f t="shared" si="12"/>
        <v>3.1308296168907064</v>
      </c>
      <c r="M40" s="49">
        <f t="shared" si="13"/>
        <v>0.15970207937938208</v>
      </c>
      <c r="N40" s="48">
        <f t="shared" si="14"/>
        <v>0.84029792062061792</v>
      </c>
      <c r="O40" s="49">
        <f t="shared" si="15"/>
        <v>0.99638469297172949</v>
      </c>
      <c r="P40" s="49">
        <f t="shared" si="16"/>
        <v>0</v>
      </c>
      <c r="Q40" s="49">
        <f t="shared" si="17"/>
        <v>-0.5</v>
      </c>
      <c r="R40" s="46">
        <f t="shared" si="18"/>
        <v>1</v>
      </c>
      <c r="S40" s="49">
        <f t="shared" si="19"/>
        <v>1.1316149061138614</v>
      </c>
    </row>
    <row r="41" spans="1:19" ht="14.25" customHeight="1" x14ac:dyDescent="0.45">
      <c r="A41" s="76">
        <v>2662857</v>
      </c>
      <c r="B41" s="77" t="s">
        <v>94</v>
      </c>
      <c r="C41">
        <v>-16.052600000000002</v>
      </c>
      <c r="D41">
        <v>21.416699999999999</v>
      </c>
      <c r="E41">
        <v>-12.958299999999999</v>
      </c>
      <c r="F41">
        <v>18.916699999999999</v>
      </c>
      <c r="G41" s="79">
        <v>-13.458299999999999</v>
      </c>
      <c r="H41" s="79">
        <v>21.916699999999999</v>
      </c>
      <c r="J41" s="69">
        <f t="shared" si="10"/>
        <v>3.0413812651491097</v>
      </c>
      <c r="K41" s="69">
        <f t="shared" si="11"/>
        <v>2.6420432415083619</v>
      </c>
      <c r="L41">
        <f t="shared" si="12"/>
        <v>3.9780262052932751</v>
      </c>
      <c r="M41" s="49">
        <f t="shared" si="13"/>
        <v>0.66415933560034968</v>
      </c>
      <c r="N41" s="48">
        <f t="shared" si="14"/>
        <v>0.33584066439965032</v>
      </c>
      <c r="O41" s="49">
        <f t="shared" si="15"/>
        <v>0.7477790347487222</v>
      </c>
      <c r="P41" s="49">
        <f t="shared" si="16"/>
        <v>2.5943000000000023</v>
      </c>
      <c r="Q41" s="49">
        <f t="shared" si="17"/>
        <v>0.5</v>
      </c>
      <c r="R41" s="46">
        <f t="shared" si="18"/>
        <v>1</v>
      </c>
      <c r="S41" s="49">
        <f t="shared" si="19"/>
        <v>0.76454530669057963</v>
      </c>
    </row>
    <row r="42" spans="1:19" ht="14.25" customHeight="1" x14ac:dyDescent="0.45">
      <c r="A42" s="76">
        <v>2662858</v>
      </c>
      <c r="B42" s="77" t="s">
        <v>94</v>
      </c>
      <c r="C42">
        <v>-1.0832999999999999</v>
      </c>
      <c r="D42">
        <v>25.664999999999999</v>
      </c>
      <c r="E42">
        <v>-1.0832999999999999</v>
      </c>
      <c r="F42">
        <v>27.541699999999999</v>
      </c>
      <c r="G42" s="79">
        <v>-1.6667000000000001</v>
      </c>
      <c r="H42" s="79">
        <v>25.7883</v>
      </c>
      <c r="J42" s="69">
        <f t="shared" si="10"/>
        <v>1.8479088505659573</v>
      </c>
      <c r="K42" s="69">
        <f t="shared" si="11"/>
        <v>0.59628722106045529</v>
      </c>
      <c r="L42">
        <f t="shared" si="12"/>
        <v>1.8766999999999996</v>
      </c>
      <c r="M42" s="49">
        <f t="shared" si="13"/>
        <v>0.31773177442343231</v>
      </c>
      <c r="N42" s="48">
        <f t="shared" si="14"/>
        <v>0.68226822557656774</v>
      </c>
      <c r="O42" s="49">
        <f t="shared" si="15"/>
        <v>0.94885632452216839</v>
      </c>
      <c r="P42" s="49">
        <f t="shared" si="16"/>
        <v>-0.58340000000000014</v>
      </c>
      <c r="Q42" s="49">
        <f t="shared" si="17"/>
        <v>0.12330000000000041</v>
      </c>
      <c r="R42" s="46">
        <f t="shared" si="18"/>
        <v>1</v>
      </c>
      <c r="S42" s="49">
        <f t="shared" si="19"/>
        <v>0.98465862981081564</v>
      </c>
    </row>
    <row r="43" spans="1:19" ht="14.25" customHeight="1" x14ac:dyDescent="0.45">
      <c r="A43" s="76">
        <v>2662859</v>
      </c>
      <c r="B43" s="77" t="s">
        <v>94</v>
      </c>
      <c r="C43">
        <v>6.7435</v>
      </c>
      <c r="D43">
        <v>33.531300000000002</v>
      </c>
      <c r="E43">
        <v>6.2240000000000002</v>
      </c>
      <c r="F43">
        <v>36.031300000000002</v>
      </c>
      <c r="G43" s="79">
        <v>6.3516000000000004</v>
      </c>
      <c r="H43" s="79">
        <v>34.031300000000002</v>
      </c>
      <c r="J43" s="69">
        <f t="shared" si="10"/>
        <v>2.0040663062882924</v>
      </c>
      <c r="K43" s="69">
        <f t="shared" si="11"/>
        <v>0.63528388142624848</v>
      </c>
      <c r="L43">
        <f t="shared" si="12"/>
        <v>2.5534056179933495</v>
      </c>
      <c r="M43" s="49">
        <f t="shared" si="13"/>
        <v>0.24879865421675559</v>
      </c>
      <c r="N43" s="48">
        <f t="shared" si="14"/>
        <v>0.75120134578324438</v>
      </c>
      <c r="O43" s="49">
        <f t="shared" si="15"/>
        <v>0.99005197698910341</v>
      </c>
      <c r="P43" s="49">
        <f t="shared" si="16"/>
        <v>-0.39189999999999969</v>
      </c>
      <c r="Q43" s="49">
        <f t="shared" si="17"/>
        <v>0.5</v>
      </c>
      <c r="R43" s="46">
        <f t="shared" si="18"/>
        <v>1</v>
      </c>
      <c r="S43" s="49">
        <f t="shared" si="19"/>
        <v>0.78486014605984633</v>
      </c>
    </row>
    <row r="44" spans="1:19" ht="14.25" customHeight="1" x14ac:dyDescent="0.45">
      <c r="A44" s="76">
        <v>2662860</v>
      </c>
      <c r="B44" s="77" t="s">
        <v>94</v>
      </c>
      <c r="C44">
        <v>7.3276000000000003</v>
      </c>
      <c r="D44">
        <v>16.125</v>
      </c>
      <c r="E44">
        <v>6.3776000000000002</v>
      </c>
      <c r="F44">
        <v>13.541700000000001</v>
      </c>
      <c r="G44" s="79">
        <v>7.3276000000000003</v>
      </c>
      <c r="H44" s="79">
        <v>17.541699999999999</v>
      </c>
      <c r="J44" s="69">
        <f t="shared" si="10"/>
        <v>4.111265012134341</v>
      </c>
      <c r="K44" s="69">
        <f t="shared" si="11"/>
        <v>1.4166999999999987</v>
      </c>
      <c r="L44">
        <f t="shared" si="12"/>
        <v>2.7524423499866439</v>
      </c>
      <c r="M44" s="49">
        <f t="shared" si="13"/>
        <v>0.51470651147584368</v>
      </c>
      <c r="N44" s="48">
        <f t="shared" si="14"/>
        <v>0.48529348852415632</v>
      </c>
      <c r="O44" s="49">
        <f t="shared" si="15"/>
        <v>0.99290210410517854</v>
      </c>
      <c r="P44" s="49">
        <f t="shared" si="16"/>
        <v>0</v>
      </c>
      <c r="Q44" s="49">
        <f t="shared" si="17"/>
        <v>1.4166999999999987</v>
      </c>
      <c r="R44" s="46">
        <f t="shared" si="18"/>
        <v>1</v>
      </c>
      <c r="S44" s="49">
        <f t="shared" si="19"/>
        <v>1.4936788820133837</v>
      </c>
    </row>
    <row r="45" spans="1:19" ht="14.25" customHeight="1" x14ac:dyDescent="0.45">
      <c r="A45" s="76">
        <v>2662861</v>
      </c>
      <c r="B45" s="77" t="s">
        <v>94</v>
      </c>
      <c r="C45">
        <v>1.0719000000000001</v>
      </c>
      <c r="D45">
        <v>-3.8593000000000002</v>
      </c>
      <c r="E45">
        <v>3.5832999999999999</v>
      </c>
      <c r="F45">
        <v>-4.3818000000000001</v>
      </c>
      <c r="G45" s="79">
        <v>-0.41670000000000001</v>
      </c>
      <c r="H45" s="79">
        <v>-3.8593000000000002</v>
      </c>
      <c r="J45" s="69">
        <f t="shared" si="10"/>
        <v>4.0339814389756432</v>
      </c>
      <c r="K45" s="69">
        <f t="shared" si="11"/>
        <v>1.4886000000000001</v>
      </c>
      <c r="L45">
        <f t="shared" si="12"/>
        <v>2.5651776176319645</v>
      </c>
      <c r="M45" s="49">
        <f t="shared" si="13"/>
        <v>0.58031069262727952</v>
      </c>
      <c r="N45" s="48">
        <f t="shared" si="14"/>
        <v>0.41968930737272048</v>
      </c>
      <c r="O45" s="49">
        <f t="shared" si="15"/>
        <v>0.99717114516956551</v>
      </c>
      <c r="P45" s="49">
        <f t="shared" si="16"/>
        <v>-1.4886000000000001</v>
      </c>
      <c r="Q45" s="49">
        <f t="shared" si="17"/>
        <v>0</v>
      </c>
      <c r="R45" s="46">
        <f t="shared" si="18"/>
        <v>1</v>
      </c>
      <c r="S45" s="49">
        <f t="shared" si="19"/>
        <v>1.572593418579568</v>
      </c>
    </row>
    <row r="46" spans="1:19" ht="14.25" customHeight="1" x14ac:dyDescent="0.45">
      <c r="A46" s="76">
        <v>2662862</v>
      </c>
      <c r="B46" s="77" t="s">
        <v>94</v>
      </c>
      <c r="C46">
        <v>-22.761399999999998</v>
      </c>
      <c r="D46">
        <v>-3.5363000000000002</v>
      </c>
      <c r="E46">
        <v>-20.25</v>
      </c>
      <c r="F46">
        <v>4.2016</v>
      </c>
      <c r="G46" s="79">
        <v>-18.25</v>
      </c>
      <c r="H46" s="79">
        <v>-3.5363000000000002</v>
      </c>
      <c r="J46" s="69">
        <f t="shared" si="10"/>
        <v>7.9921897130886475</v>
      </c>
      <c r="K46" s="69">
        <f t="shared" si="11"/>
        <v>4.5113999999999983</v>
      </c>
      <c r="L46">
        <f t="shared" si="12"/>
        <v>8.1352459317466241</v>
      </c>
      <c r="M46" s="49">
        <f t="shared" si="13"/>
        <v>0.55454992238094614</v>
      </c>
      <c r="N46" s="48">
        <f t="shared" si="14"/>
        <v>0.44545007761905386</v>
      </c>
      <c r="O46" s="49">
        <f t="shared" si="15"/>
        <v>0.84364229312987649</v>
      </c>
      <c r="P46" s="49">
        <f t="shared" si="16"/>
        <v>4.5113999999999983</v>
      </c>
      <c r="Q46" s="49">
        <f t="shared" si="17"/>
        <v>0</v>
      </c>
      <c r="R46" s="46">
        <f t="shared" si="18"/>
        <v>1</v>
      </c>
      <c r="S46" s="49">
        <f t="shared" si="19"/>
        <v>0.98241525580686873</v>
      </c>
    </row>
    <row r="47" spans="1:19" ht="14.25" customHeight="1" x14ac:dyDescent="0.45">
      <c r="A47" s="76">
        <v>2662863</v>
      </c>
      <c r="B47" s="77" t="s">
        <v>94</v>
      </c>
      <c r="C47">
        <v>-11.1755</v>
      </c>
      <c r="D47">
        <v>12.608700000000001</v>
      </c>
      <c r="E47">
        <v>-12.5573</v>
      </c>
      <c r="F47">
        <v>11.127599999999999</v>
      </c>
      <c r="G47" s="79">
        <v>-11.0573</v>
      </c>
      <c r="H47" s="79">
        <v>13.1394</v>
      </c>
      <c r="J47" s="69">
        <f t="shared" si="10"/>
        <v>2.5094499875470726</v>
      </c>
      <c r="K47" s="69">
        <f t="shared" si="11"/>
        <v>0.54370371527146977</v>
      </c>
      <c r="L47">
        <f t="shared" si="12"/>
        <v>2.0255933575128067</v>
      </c>
      <c r="M47" s="49">
        <f t="shared" si="13"/>
        <v>0.26841701136849833</v>
      </c>
      <c r="N47" s="48">
        <f t="shared" si="14"/>
        <v>0.73158298863150162</v>
      </c>
      <c r="O47" s="49">
        <f t="shared" si="15"/>
        <v>0.99395091711887018</v>
      </c>
      <c r="P47" s="49">
        <f t="shared" si="16"/>
        <v>0.11819999999999986</v>
      </c>
      <c r="Q47" s="49">
        <f t="shared" si="17"/>
        <v>0.53069999999999951</v>
      </c>
      <c r="R47" s="46">
        <f t="shared" si="18"/>
        <v>1</v>
      </c>
      <c r="S47" s="49">
        <f t="shared" si="19"/>
        <v>1.2388715524958009</v>
      </c>
    </row>
    <row r="48" spans="1:19" ht="14.25" customHeight="1" x14ac:dyDescent="0.45">
      <c r="A48" s="76">
        <v>2662864</v>
      </c>
      <c r="B48" s="77" t="s">
        <v>94</v>
      </c>
      <c r="C48">
        <v>-13.6426</v>
      </c>
      <c r="D48">
        <v>0.83850000000000002</v>
      </c>
      <c r="E48">
        <v>-16.403600000000001</v>
      </c>
      <c r="F48">
        <v>3.3384999999999998</v>
      </c>
      <c r="G48" s="79">
        <v>-16.302099999999999</v>
      </c>
      <c r="H48" s="79">
        <v>1.3385</v>
      </c>
      <c r="J48" s="69">
        <f t="shared" si="10"/>
        <v>2.0025739062516519</v>
      </c>
      <c r="K48" s="69">
        <f t="shared" si="11"/>
        <v>2.7060931709754557</v>
      </c>
      <c r="L48">
        <f t="shared" si="12"/>
        <v>3.7246638774525689</v>
      </c>
      <c r="M48" s="49">
        <f t="shared" si="13"/>
        <v>0.72653352356354095</v>
      </c>
      <c r="N48" s="48">
        <f t="shared" si="14"/>
        <v>0.2734664764364591</v>
      </c>
      <c r="O48" s="49">
        <f t="shared" si="15"/>
        <v>0.70791016107123017</v>
      </c>
      <c r="P48" s="49">
        <f t="shared" si="16"/>
        <v>-2.6594999999999995</v>
      </c>
      <c r="Q48" s="49">
        <f t="shared" si="17"/>
        <v>0.5</v>
      </c>
      <c r="R48" s="46">
        <f t="shared" si="18"/>
        <v>1</v>
      </c>
      <c r="S48" s="49">
        <f t="shared" si="19"/>
        <v>0.53765224786438559</v>
      </c>
    </row>
    <row r="49" spans="1:19" ht="14.25" customHeight="1" x14ac:dyDescent="0.45">
      <c r="A49" s="76">
        <v>2662865</v>
      </c>
      <c r="B49" s="77" t="s">
        <v>94</v>
      </c>
      <c r="C49">
        <v>-4.0518999999999998</v>
      </c>
      <c r="D49">
        <v>16.244800000000001</v>
      </c>
      <c r="E49">
        <v>-1.0443</v>
      </c>
      <c r="F49">
        <v>18.744800000000001</v>
      </c>
      <c r="G49" s="79">
        <v>-3.0518999999999998</v>
      </c>
      <c r="H49" s="79">
        <v>14.7448</v>
      </c>
      <c r="J49" s="69">
        <f t="shared" si="10"/>
        <v>4.4755399406105196</v>
      </c>
      <c r="K49" s="69">
        <f t="shared" si="11"/>
        <v>1.8027756377319961</v>
      </c>
      <c r="L49">
        <f t="shared" si="12"/>
        <v>3.9109663460582222</v>
      </c>
      <c r="M49" s="49">
        <f t="shared" si="13"/>
        <v>0.46095401448518586</v>
      </c>
      <c r="N49" s="48">
        <f t="shared" si="14"/>
        <v>0.5390459855148142</v>
      </c>
      <c r="O49" s="49">
        <f t="shared" si="15"/>
        <v>0.91626744670895655</v>
      </c>
      <c r="P49" s="49">
        <f t="shared" si="16"/>
        <v>1</v>
      </c>
      <c r="Q49" s="49">
        <f t="shared" si="17"/>
        <v>-1.5000000000000018</v>
      </c>
      <c r="R49" s="46">
        <f t="shared" si="18"/>
        <v>1</v>
      </c>
      <c r="S49" s="49">
        <f t="shared" si="19"/>
        <v>1.1443565463357461</v>
      </c>
    </row>
    <row r="50" spans="1:19" ht="14.25" customHeight="1" x14ac:dyDescent="0.45">
      <c r="A50" s="76">
        <v>2662866</v>
      </c>
      <c r="B50" s="77" t="s">
        <v>94</v>
      </c>
      <c r="C50">
        <v>-8.7134999999999998</v>
      </c>
      <c r="D50">
        <v>26.005800000000001</v>
      </c>
      <c r="E50">
        <v>-6.2134999999999998</v>
      </c>
      <c r="F50">
        <v>23.369800000000001</v>
      </c>
      <c r="G50" s="79">
        <v>-8.2134999999999998</v>
      </c>
      <c r="H50" s="79">
        <v>26.005800000000001</v>
      </c>
      <c r="J50" s="69">
        <f t="shared" si="10"/>
        <v>3.3088511601460704</v>
      </c>
      <c r="K50" s="69">
        <f t="shared" si="11"/>
        <v>0.5</v>
      </c>
      <c r="L50">
        <f t="shared" si="12"/>
        <v>3.6329734378329821</v>
      </c>
      <c r="M50" s="49">
        <f t="shared" si="13"/>
        <v>0.13762831150734839</v>
      </c>
      <c r="N50" s="48">
        <f t="shared" si="14"/>
        <v>0.86237168849265167</v>
      </c>
      <c r="O50" s="49">
        <f t="shared" si="15"/>
        <v>0.99397117001763868</v>
      </c>
      <c r="P50" s="49">
        <f t="shared" si="16"/>
        <v>0.5</v>
      </c>
      <c r="Q50" s="49">
        <f t="shared" si="17"/>
        <v>0</v>
      </c>
      <c r="R50" s="46">
        <f t="shared" si="18"/>
        <v>1</v>
      </c>
      <c r="S50" s="49">
        <f t="shared" si="19"/>
        <v>0.91078319640006888</v>
      </c>
    </row>
    <row r="51" spans="1:19" ht="14.25" customHeight="1" x14ac:dyDescent="0.45">
      <c r="A51" s="76">
        <v>2662867</v>
      </c>
      <c r="B51" s="77" t="s">
        <v>94</v>
      </c>
      <c r="C51">
        <v>-4.9215</v>
      </c>
      <c r="D51">
        <v>30.5885</v>
      </c>
      <c r="E51">
        <v>-1.1484000000000001</v>
      </c>
      <c r="F51">
        <v>28.0885</v>
      </c>
      <c r="G51" s="79">
        <v>-4.9215</v>
      </c>
      <c r="H51" s="79">
        <v>30.0885</v>
      </c>
      <c r="J51" s="69">
        <f t="shared" si="10"/>
        <v>4.2703961888799027</v>
      </c>
      <c r="K51" s="69">
        <f t="shared" si="11"/>
        <v>0.5</v>
      </c>
      <c r="L51">
        <f t="shared" si="12"/>
        <v>4.5261775937318234</v>
      </c>
      <c r="M51" s="49">
        <f t="shared" si="13"/>
        <v>0.11046848906071119</v>
      </c>
      <c r="N51" s="48">
        <f t="shared" si="14"/>
        <v>0.88953151093928884</v>
      </c>
      <c r="O51" s="49">
        <f t="shared" si="15"/>
        <v>0.99522531004196946</v>
      </c>
      <c r="P51" s="49">
        <f t="shared" si="16"/>
        <v>0</v>
      </c>
      <c r="Q51" s="49">
        <f t="shared" si="17"/>
        <v>-0.5</v>
      </c>
      <c r="R51" s="46">
        <f t="shared" si="18"/>
        <v>1</v>
      </c>
      <c r="S51" s="49">
        <f t="shared" si="19"/>
        <v>0.94348842935236454</v>
      </c>
    </row>
    <row r="52" spans="1:19" ht="14.25" customHeight="1" x14ac:dyDescent="0.45">
      <c r="A52" s="76">
        <v>2662868</v>
      </c>
      <c r="B52" s="77" t="s">
        <v>94</v>
      </c>
      <c r="C52">
        <v>-22.761399999999998</v>
      </c>
      <c r="D52">
        <v>29.1861</v>
      </c>
      <c r="E52">
        <v>-19.677099999999999</v>
      </c>
      <c r="F52">
        <v>30.765599999999999</v>
      </c>
      <c r="G52" s="79">
        <v>-18.25</v>
      </c>
      <c r="H52" s="79">
        <v>29.1861</v>
      </c>
      <c r="J52" s="69">
        <f t="shared" si="10"/>
        <v>2.1287166697331981</v>
      </c>
      <c r="K52" s="69">
        <f t="shared" si="11"/>
        <v>4.5113999999999983</v>
      </c>
      <c r="L52">
        <f t="shared" si="12"/>
        <v>3.465216694522868</v>
      </c>
      <c r="M52" s="49">
        <f t="shared" si="13"/>
        <v>1.3019099230159923</v>
      </c>
      <c r="N52" s="48">
        <f t="shared" si="14"/>
        <v>-0.30190992301599229</v>
      </c>
      <c r="O52" s="49">
        <f t="shared" si="15"/>
        <v>-0.25849568843951537</v>
      </c>
      <c r="P52" s="49">
        <f t="shared" si="16"/>
        <v>4.5113999999999983</v>
      </c>
      <c r="Q52" s="49">
        <f t="shared" si="17"/>
        <v>0</v>
      </c>
      <c r="R52" s="46">
        <f t="shared" si="18"/>
        <v>0</v>
      </c>
      <c r="S52" s="49">
        <f t="shared" si="19"/>
        <v>0.61430982746269636</v>
      </c>
    </row>
    <row r="53" spans="1:19" ht="14.25" customHeight="1" x14ac:dyDescent="0.45">
      <c r="A53" s="76">
        <v>2662869</v>
      </c>
      <c r="B53" s="77" t="s">
        <v>94</v>
      </c>
      <c r="C53">
        <v>-16.604199999999999</v>
      </c>
      <c r="D53">
        <v>28.1922</v>
      </c>
      <c r="E53">
        <v>-19.104199999999999</v>
      </c>
      <c r="F53">
        <v>26.942699999999999</v>
      </c>
      <c r="G53" s="79">
        <v>-17.104199999999999</v>
      </c>
      <c r="H53" s="79">
        <v>28.1922</v>
      </c>
      <c r="J53" s="69">
        <f t="shared" si="10"/>
        <v>2.3582303216607157</v>
      </c>
      <c r="K53" s="69">
        <f t="shared" si="11"/>
        <v>0.5</v>
      </c>
      <c r="L53">
        <f t="shared" si="12"/>
        <v>2.7948614008569375</v>
      </c>
      <c r="M53" s="49">
        <f t="shared" si="13"/>
        <v>0.17889974788971436</v>
      </c>
      <c r="N53" s="48">
        <f t="shared" si="14"/>
        <v>0.8211002521102857</v>
      </c>
      <c r="O53" s="49">
        <f t="shared" si="15"/>
        <v>0.9954973479771958</v>
      </c>
      <c r="P53" s="49">
        <f t="shared" si="16"/>
        <v>-0.5</v>
      </c>
      <c r="Q53" s="49">
        <f t="shared" si="17"/>
        <v>0</v>
      </c>
      <c r="R53" s="46">
        <f t="shared" si="18"/>
        <v>1</v>
      </c>
      <c r="S53" s="49">
        <f t="shared" si="19"/>
        <v>0.84377362002196399</v>
      </c>
    </row>
    <row r="54" spans="1:19" ht="14.25" customHeight="1" x14ac:dyDescent="0.45">
      <c r="A54" s="76">
        <v>2662870</v>
      </c>
      <c r="B54" s="77" t="s">
        <v>94</v>
      </c>
      <c r="C54">
        <v>22.317699999999999</v>
      </c>
      <c r="D54">
        <v>35.82</v>
      </c>
      <c r="E54">
        <v>24.817699999999999</v>
      </c>
      <c r="F54">
        <v>38.343800000000002</v>
      </c>
      <c r="G54" s="79">
        <v>22.817699999999999</v>
      </c>
      <c r="H54" s="79">
        <v>38.242199999999997</v>
      </c>
      <c r="J54" s="69">
        <f t="shared" si="10"/>
        <v>2.0025789772191258</v>
      </c>
      <c r="K54" s="69">
        <f t="shared" si="11"/>
        <v>2.4732676442310049</v>
      </c>
      <c r="L54">
        <f t="shared" si="12"/>
        <v>3.552402910707062</v>
      </c>
      <c r="M54" s="49">
        <f t="shared" si="13"/>
        <v>0.69622385365592765</v>
      </c>
      <c r="N54" s="48">
        <f t="shared" si="14"/>
        <v>0.30377614634407241</v>
      </c>
      <c r="O54" s="49">
        <f t="shared" si="15"/>
        <v>0.73888700827707599</v>
      </c>
      <c r="P54" s="49">
        <f t="shared" si="16"/>
        <v>0.5</v>
      </c>
      <c r="Q54" s="49">
        <f t="shared" si="17"/>
        <v>2.4221999999999966</v>
      </c>
      <c r="R54" s="46">
        <f t="shared" si="18"/>
        <v>1</v>
      </c>
      <c r="S54" s="49">
        <f t="shared" si="19"/>
        <v>0.56372518195593335</v>
      </c>
    </row>
    <row r="55" spans="1:19" ht="14.25" customHeight="1" x14ac:dyDescent="0.45">
      <c r="A55" s="76">
        <v>2662871</v>
      </c>
      <c r="B55" s="77" t="s">
        <v>94</v>
      </c>
      <c r="C55">
        <v>26.657900000000001</v>
      </c>
      <c r="D55">
        <v>31.467600000000001</v>
      </c>
      <c r="E55">
        <v>33.033900000000003</v>
      </c>
      <c r="F55">
        <v>34.463500000000003</v>
      </c>
      <c r="G55" s="79">
        <v>30.033899999999999</v>
      </c>
      <c r="H55" s="79">
        <v>33.463500000000003</v>
      </c>
      <c r="J55" s="69">
        <f t="shared" si="10"/>
        <v>3.1622776601683826</v>
      </c>
      <c r="K55" s="69">
        <f t="shared" si="11"/>
        <v>3.921860886110061</v>
      </c>
      <c r="L55">
        <f t="shared" si="12"/>
        <v>7.0447706002395867</v>
      </c>
      <c r="M55" s="49">
        <f t="shared" si="13"/>
        <v>0.55670526531789155</v>
      </c>
      <c r="N55" s="48">
        <f t="shared" si="14"/>
        <v>0.4432947346821085</v>
      </c>
      <c r="O55" s="49">
        <f t="shared" si="15"/>
        <v>0.99310422859503589</v>
      </c>
      <c r="P55" s="49">
        <f t="shared" si="16"/>
        <v>3.3759999999999977</v>
      </c>
      <c r="Q55" s="49">
        <f t="shared" si="17"/>
        <v>1.9959000000000024</v>
      </c>
      <c r="R55" s="46">
        <f t="shared" si="18"/>
        <v>1</v>
      </c>
      <c r="S55" s="49">
        <f t="shared" si="19"/>
        <v>0.44888298563772061</v>
      </c>
    </row>
    <row r="56" spans="1:19" ht="14.25" customHeight="1" x14ac:dyDescent="0.45">
      <c r="A56" s="76">
        <v>2662872</v>
      </c>
      <c r="B56" s="77" t="s">
        <v>94</v>
      </c>
      <c r="C56">
        <v>35.377600000000001</v>
      </c>
      <c r="D56">
        <v>36.242400000000004</v>
      </c>
      <c r="E56">
        <v>33.033900000000003</v>
      </c>
      <c r="F56">
        <v>34.463500000000003</v>
      </c>
      <c r="G56" s="79">
        <v>32.557299999999998</v>
      </c>
      <c r="H56" s="79">
        <v>38.343800000000002</v>
      </c>
      <c r="J56" s="69">
        <f t="shared" si="10"/>
        <v>3.9094597644687421</v>
      </c>
      <c r="K56" s="69">
        <f t="shared" si="11"/>
        <v>3.5170973898941171</v>
      </c>
      <c r="L56">
        <f t="shared" si="12"/>
        <v>2.9423485347592648</v>
      </c>
      <c r="M56" s="49">
        <f t="shared" si="13"/>
        <v>1.195336768688376</v>
      </c>
      <c r="N56" s="48">
        <f t="shared" si="14"/>
        <v>-0.19533676868837591</v>
      </c>
      <c r="O56" s="49">
        <f t="shared" si="15"/>
        <v>0.50296980486164</v>
      </c>
      <c r="P56" s="49">
        <f t="shared" si="16"/>
        <v>-2.8203000000000031</v>
      </c>
      <c r="Q56" s="49">
        <f t="shared" si="17"/>
        <v>2.1013999999999982</v>
      </c>
      <c r="R56" s="46">
        <f t="shared" si="18"/>
        <v>0</v>
      </c>
      <c r="S56" s="49">
        <f t="shared" si="19"/>
        <v>1.3286868357995543</v>
      </c>
    </row>
    <row r="57" spans="1:19" ht="14.25" customHeight="1" x14ac:dyDescent="0.45">
      <c r="A57" s="76">
        <v>2662873</v>
      </c>
      <c r="B57" s="77" t="s">
        <v>94</v>
      </c>
      <c r="C57">
        <v>51.305100000000003</v>
      </c>
      <c r="D57">
        <v>27.471699999999998</v>
      </c>
      <c r="E57">
        <v>45.3568</v>
      </c>
      <c r="F57">
        <v>26.390599999999999</v>
      </c>
      <c r="G57" s="79">
        <v>48.463500000000003</v>
      </c>
      <c r="H57" s="79">
        <v>28.471699999999998</v>
      </c>
      <c r="J57" s="69">
        <f t="shared" si="10"/>
        <v>3.7393264233013972</v>
      </c>
      <c r="K57" s="69">
        <f t="shared" si="11"/>
        <v>3.0124227060623481</v>
      </c>
      <c r="L57">
        <f t="shared" si="12"/>
        <v>6.0457464468831343</v>
      </c>
      <c r="M57" s="49">
        <f t="shared" si="13"/>
        <v>0.49827142645312111</v>
      </c>
      <c r="N57" s="48">
        <f t="shared" si="14"/>
        <v>0.50172857354687883</v>
      </c>
      <c r="O57" s="49">
        <f t="shared" si="15"/>
        <v>0.91694798057705984</v>
      </c>
      <c r="P57" s="49">
        <f t="shared" si="16"/>
        <v>-2.8415999999999997</v>
      </c>
      <c r="Q57" s="49">
        <f t="shared" si="17"/>
        <v>1</v>
      </c>
      <c r="R57" s="46">
        <f t="shared" si="18"/>
        <v>1</v>
      </c>
      <c r="S57" s="49">
        <f t="shared" si="19"/>
        <v>0.61850533365142946</v>
      </c>
    </row>
    <row r="58" spans="1:19" ht="14.25" customHeight="1" x14ac:dyDescent="0.45">
      <c r="A58" s="76">
        <v>2662874</v>
      </c>
      <c r="B58" s="77" t="s">
        <v>94</v>
      </c>
      <c r="C58">
        <v>47.926299999999998</v>
      </c>
      <c r="D58">
        <v>23.890599999999999</v>
      </c>
      <c r="E58">
        <v>45.3568</v>
      </c>
      <c r="F58">
        <v>26.390599999999999</v>
      </c>
      <c r="G58" s="79">
        <v>45.3568</v>
      </c>
      <c r="H58" s="79">
        <v>25.390599999999999</v>
      </c>
      <c r="J58" s="69">
        <f t="shared" si="10"/>
        <v>1</v>
      </c>
      <c r="K58" s="69">
        <f t="shared" si="11"/>
        <v>2.9752865828353392</v>
      </c>
      <c r="L58">
        <f t="shared" si="12"/>
        <v>3.5850146791889137</v>
      </c>
      <c r="M58" s="49">
        <f t="shared" si="13"/>
        <v>0.82992312419442549</v>
      </c>
      <c r="N58" s="48">
        <f t="shared" si="14"/>
        <v>0.17007687580557454</v>
      </c>
      <c r="O58" s="49">
        <f t="shared" si="15"/>
        <v>0.69734721436778291</v>
      </c>
      <c r="P58" s="49">
        <f t="shared" si="16"/>
        <v>-2.5694999999999979</v>
      </c>
      <c r="Q58" s="49">
        <f t="shared" si="17"/>
        <v>1.5</v>
      </c>
      <c r="R58" s="46">
        <f t="shared" si="18"/>
        <v>1</v>
      </c>
      <c r="S58" s="49">
        <f t="shared" si="19"/>
        <v>0.27893888574711317</v>
      </c>
    </row>
    <row r="59" spans="1:19" ht="14.25" customHeight="1" x14ac:dyDescent="0.45">
      <c r="A59" s="76">
        <v>2662875</v>
      </c>
      <c r="B59" s="77" t="s">
        <v>94</v>
      </c>
      <c r="C59">
        <v>57.334200000000003</v>
      </c>
      <c r="D59">
        <v>39.085599999999999</v>
      </c>
      <c r="E59">
        <v>54.536499999999997</v>
      </c>
      <c r="F59">
        <v>39.223999999999997</v>
      </c>
      <c r="G59" s="79">
        <v>58.546799999999998</v>
      </c>
      <c r="H59" s="79">
        <v>37.75</v>
      </c>
      <c r="J59" s="69">
        <f t="shared" si="10"/>
        <v>4.2726083473681502</v>
      </c>
      <c r="K59" s="69">
        <f t="shared" si="11"/>
        <v>1.8039473717378747</v>
      </c>
      <c r="L59">
        <f t="shared" si="12"/>
        <v>2.8011211773145468</v>
      </c>
      <c r="M59" s="49">
        <f t="shared" si="13"/>
        <v>0.64400904407403425</v>
      </c>
      <c r="N59" s="48">
        <f t="shared" si="14"/>
        <v>0.35599095592596575</v>
      </c>
      <c r="O59" s="49">
        <f t="shared" si="15"/>
        <v>0.95450605361791308</v>
      </c>
      <c r="P59" s="49">
        <f t="shared" si="16"/>
        <v>1.2125999999999948</v>
      </c>
      <c r="Q59" s="49">
        <f t="shared" si="17"/>
        <v>-1.3355999999999995</v>
      </c>
      <c r="R59" s="46">
        <f t="shared" si="18"/>
        <v>1</v>
      </c>
      <c r="S59" s="49">
        <f t="shared" si="19"/>
        <v>1.5253207829674573</v>
      </c>
    </row>
    <row r="60" spans="1:19" ht="14.25" customHeight="1" x14ac:dyDescent="0.45">
      <c r="A60" s="76">
        <v>2662876</v>
      </c>
      <c r="B60" s="77" t="s">
        <v>94</v>
      </c>
      <c r="C60">
        <v>61.663499999999999</v>
      </c>
      <c r="D60">
        <v>27.6907</v>
      </c>
      <c r="E60">
        <v>58.809800000000003</v>
      </c>
      <c r="F60">
        <v>36.223999999999997</v>
      </c>
      <c r="G60" s="79">
        <v>67.420699999999997</v>
      </c>
      <c r="H60" s="79">
        <v>29.6907</v>
      </c>
      <c r="J60" s="69">
        <f t="shared" si="10"/>
        <v>10.808867086794983</v>
      </c>
      <c r="K60" s="69">
        <f t="shared" si="11"/>
        <v>6.0946986668743488</v>
      </c>
      <c r="L60">
        <f t="shared" si="12"/>
        <v>8.9978226577322538</v>
      </c>
      <c r="M60" s="49">
        <f t="shared" si="13"/>
        <v>0.6773526105937292</v>
      </c>
      <c r="N60" s="48">
        <f t="shared" si="14"/>
        <v>0.3226473894062708</v>
      </c>
      <c r="O60" s="49">
        <f t="shared" si="15"/>
        <v>0.82589569699621856</v>
      </c>
      <c r="P60" s="49">
        <f t="shared" si="16"/>
        <v>5.7571999999999974</v>
      </c>
      <c r="Q60" s="49">
        <f t="shared" si="17"/>
        <v>2</v>
      </c>
      <c r="R60" s="46">
        <f t="shared" si="18"/>
        <v>1</v>
      </c>
      <c r="S60" s="49">
        <f t="shared" si="19"/>
        <v>1.2012758528316196</v>
      </c>
    </row>
    <row r="61" spans="1:19" ht="14.25" customHeight="1" x14ac:dyDescent="0.45">
      <c r="A61" s="76">
        <v>2662877</v>
      </c>
      <c r="B61" s="77" t="s">
        <v>94</v>
      </c>
      <c r="C61">
        <v>50.907800000000002</v>
      </c>
      <c r="D61">
        <v>39.723999999999997</v>
      </c>
      <c r="E61">
        <v>51.592199999999998</v>
      </c>
      <c r="F61">
        <v>41.75</v>
      </c>
      <c r="G61" s="79">
        <v>51.526899999999998</v>
      </c>
      <c r="H61" s="79">
        <v>43.75</v>
      </c>
      <c r="J61" s="69">
        <f t="shared" si="10"/>
        <v>2.0010657385503356</v>
      </c>
      <c r="K61" s="69">
        <f t="shared" si="11"/>
        <v>4.0733230672265641</v>
      </c>
      <c r="L61">
        <f t="shared" si="12"/>
        <v>2.138475943282975</v>
      </c>
      <c r="M61" s="49">
        <f t="shared" si="13"/>
        <v>1.9047785316552235</v>
      </c>
      <c r="N61" s="48">
        <f t="shared" si="14"/>
        <v>-0.90477853165522348</v>
      </c>
      <c r="O61" s="49">
        <f t="shared" si="15"/>
        <v>-0.93645534292229216</v>
      </c>
      <c r="P61" s="49">
        <f t="shared" si="16"/>
        <v>0.61909999999999599</v>
      </c>
      <c r="Q61" s="49">
        <f t="shared" si="17"/>
        <v>4.0260000000000034</v>
      </c>
      <c r="R61" s="46">
        <f t="shared" si="18"/>
        <v>0</v>
      </c>
      <c r="S61" s="49">
        <f t="shared" si="19"/>
        <v>0.93574386227525752</v>
      </c>
    </row>
    <row r="62" spans="1:19" ht="14.25" customHeight="1" x14ac:dyDescent="0.45">
      <c r="A62" s="76">
        <v>2662878</v>
      </c>
      <c r="B62" s="77" t="s">
        <v>94</v>
      </c>
      <c r="C62">
        <v>11.501799999999999</v>
      </c>
      <c r="D62">
        <v>39.723999999999997</v>
      </c>
      <c r="E62">
        <v>6.2240000000000002</v>
      </c>
      <c r="F62">
        <v>36.031300000000002</v>
      </c>
      <c r="G62" s="79">
        <v>22.291399999999999</v>
      </c>
      <c r="H62" s="79">
        <v>43.75</v>
      </c>
      <c r="J62" s="69">
        <f t="shared" si="10"/>
        <v>17.825253783607121</v>
      </c>
      <c r="K62" s="69">
        <f t="shared" si="11"/>
        <v>11.51625564843018</v>
      </c>
      <c r="L62">
        <f t="shared" si="12"/>
        <v>6.4413667905189156</v>
      </c>
      <c r="M62" s="49">
        <f t="shared" si="13"/>
        <v>1.7878590092681916</v>
      </c>
      <c r="N62" s="48">
        <f t="shared" si="14"/>
        <v>-0.78785900926819163</v>
      </c>
      <c r="O62" s="49">
        <f t="shared" si="15"/>
        <v>0.98679982778161934</v>
      </c>
      <c r="P62" s="49">
        <f t="shared" si="16"/>
        <v>10.7896</v>
      </c>
      <c r="Q62" s="49">
        <f t="shared" si="17"/>
        <v>4.0260000000000034</v>
      </c>
      <c r="R62" s="46">
        <f t="shared" si="18"/>
        <v>0</v>
      </c>
      <c r="S62" s="49">
        <f t="shared" si="19"/>
        <v>2.7673092316128018</v>
      </c>
    </row>
    <row r="63" spans="1:19" ht="14.25" customHeight="1" x14ac:dyDescent="0.45">
      <c r="A63" s="76">
        <v>2662879</v>
      </c>
      <c r="B63" s="77" t="s">
        <v>94</v>
      </c>
      <c r="C63">
        <v>38.738599999999998</v>
      </c>
      <c r="D63">
        <v>22.9497</v>
      </c>
      <c r="E63">
        <v>41.25</v>
      </c>
      <c r="F63">
        <v>22.549499999999998</v>
      </c>
      <c r="G63" s="79">
        <v>41.25</v>
      </c>
      <c r="H63" s="79">
        <v>22.9497</v>
      </c>
      <c r="J63" s="69">
        <f t="shared" si="10"/>
        <v>0.40020000000000167</v>
      </c>
      <c r="K63" s="69">
        <f t="shared" si="11"/>
        <v>2.5114000000000019</v>
      </c>
      <c r="L63">
        <f t="shared" si="12"/>
        <v>2.5430867071336771</v>
      </c>
      <c r="M63" s="49">
        <f t="shared" si="13"/>
        <v>0.98754006025638441</v>
      </c>
      <c r="N63" s="48">
        <f t="shared" si="14"/>
        <v>1.2459939743615539E-2</v>
      </c>
      <c r="O63" s="49">
        <f t="shared" si="15"/>
        <v>0.15736781560667612</v>
      </c>
      <c r="P63" s="49">
        <f t="shared" si="16"/>
        <v>2.5114000000000019</v>
      </c>
      <c r="Q63" s="49">
        <f t="shared" si="17"/>
        <v>0</v>
      </c>
      <c r="R63" s="46">
        <f t="shared" si="18"/>
        <v>1</v>
      </c>
      <c r="S63" s="49">
        <f t="shared" si="19"/>
        <v>0.15736781560667612</v>
      </c>
    </row>
    <row r="64" spans="1:19" ht="14.25" customHeight="1" x14ac:dyDescent="0.45">
      <c r="A64" s="76">
        <v>2662880</v>
      </c>
      <c r="B64" s="77" t="s">
        <v>94</v>
      </c>
      <c r="C64">
        <v>46.186999999999998</v>
      </c>
      <c r="D64">
        <v>11.583299999999999</v>
      </c>
      <c r="E64">
        <v>46.229199999999999</v>
      </c>
      <c r="F64">
        <v>9.0832999999999995</v>
      </c>
      <c r="G64" s="79">
        <v>46.317700000000002</v>
      </c>
      <c r="H64" s="79">
        <v>10.083299999999999</v>
      </c>
      <c r="J64" s="69">
        <f t="shared" si="10"/>
        <v>1.0039084868652124</v>
      </c>
      <c r="K64" s="69">
        <f t="shared" si="11"/>
        <v>1.5056833963353655</v>
      </c>
      <c r="L64">
        <f t="shared" si="12"/>
        <v>2.500356142632485</v>
      </c>
      <c r="M64" s="49">
        <f t="shared" si="13"/>
        <v>0.60218757266719447</v>
      </c>
      <c r="N64" s="48">
        <f t="shared" si="14"/>
        <v>0.39781242733280558</v>
      </c>
      <c r="O64" s="49">
        <f t="shared" si="15"/>
        <v>0.99447699574592829</v>
      </c>
      <c r="P64" s="49">
        <f t="shared" si="16"/>
        <v>0.13070000000000448</v>
      </c>
      <c r="Q64" s="49">
        <f t="shared" si="17"/>
        <v>-1.5</v>
      </c>
      <c r="R64" s="46">
        <f t="shared" si="18"/>
        <v>1</v>
      </c>
      <c r="S64" s="49">
        <f t="shared" si="19"/>
        <v>0.40150619735645071</v>
      </c>
    </row>
    <row r="65" spans="1:19" ht="14.25" customHeight="1" x14ac:dyDescent="0.45">
      <c r="A65" s="76">
        <v>2662881</v>
      </c>
      <c r="B65" s="77" t="s">
        <v>94</v>
      </c>
      <c r="C65">
        <v>53.708300000000001</v>
      </c>
      <c r="D65">
        <v>8.1414000000000009</v>
      </c>
      <c r="E65">
        <v>51.208300000000001</v>
      </c>
      <c r="F65">
        <v>5.7291999999999996</v>
      </c>
      <c r="G65" s="79">
        <v>52.208300000000001</v>
      </c>
      <c r="H65" s="79">
        <v>5.7291999999999996</v>
      </c>
      <c r="J65" s="69">
        <f t="shared" si="10"/>
        <v>1</v>
      </c>
      <c r="K65" s="69">
        <f t="shared" si="11"/>
        <v>2.8405472782546686</v>
      </c>
      <c r="L65">
        <f t="shared" si="12"/>
        <v>3.4740047265367973</v>
      </c>
      <c r="M65" s="49">
        <f t="shared" si="13"/>
        <v>0.81765786228114423</v>
      </c>
      <c r="N65" s="48">
        <f t="shared" si="14"/>
        <v>0.1823421377188558</v>
      </c>
      <c r="O65" s="49">
        <f t="shared" si="15"/>
        <v>0.71963056955660121</v>
      </c>
      <c r="P65" s="49">
        <f t="shared" si="16"/>
        <v>-1.5</v>
      </c>
      <c r="Q65" s="49">
        <f t="shared" si="17"/>
        <v>-2.4122000000000012</v>
      </c>
      <c r="R65" s="46">
        <f t="shared" si="18"/>
        <v>1</v>
      </c>
      <c r="S65" s="49">
        <f t="shared" si="19"/>
        <v>0.28785222782264047</v>
      </c>
    </row>
    <row r="66" spans="1:19" ht="14.25" customHeight="1" x14ac:dyDescent="0.45">
      <c r="A66" s="76">
        <v>2662882</v>
      </c>
      <c r="B66" s="77" t="s">
        <v>94</v>
      </c>
      <c r="C66">
        <v>64.598100000000002</v>
      </c>
      <c r="D66">
        <v>5.8228999999999997</v>
      </c>
      <c r="E66">
        <v>65.423699999999997</v>
      </c>
      <c r="F66">
        <v>3.3229000000000002</v>
      </c>
      <c r="G66" s="79">
        <v>65.423699999999997</v>
      </c>
      <c r="H66" s="79">
        <v>4.5</v>
      </c>
      <c r="J66" s="69">
        <f t="shared" ref="J66:J86" si="20">IFERROR(SQRT((F66-H66)^2+(E66-G66)^2),"")</f>
        <v>1.1770999999999998</v>
      </c>
      <c r="K66" s="69">
        <f t="shared" ref="K66:K86" si="21">IFERROR(SQRT((D66-H66)^2+(C66-G66)^2),"")</f>
        <v>1.5593844202120239</v>
      </c>
      <c r="L66">
        <f t="shared" ref="L66:L86" si="22">IFERROR(SQRT((D66-F66)^2+(C66-E66)^2),"")</f>
        <v>2.6327961106018045</v>
      </c>
      <c r="M66" s="49">
        <f t="shared" ref="M66:M97" si="23">IF(AND(AND(ISNUMBER(E66),ISNUMBER(F66)),ISNUMBER(L66),L66&gt;0),K66/L66,"")</f>
        <v>0.59229213152232285</v>
      </c>
      <c r="N66" s="48">
        <f t="shared" ref="N66:N86" si="24">IF(AND(AND(ISNUMBER(E66),ISNUMBER(F66)),ISNUMBER(L66),L66&gt;0),(L66-K66)/L66,"")</f>
        <v>0.4077078684776772</v>
      </c>
      <c r="O66" s="49">
        <f t="shared" ref="O66:O86" si="25">IFERROR(IF(AND(AND(ISNUMBER(E66),ISNUMBER(F66)),SQRT((G66-E66)^2+(H66-F66)^2)&gt;0,SQRT((C66-E66)^2+(D66-F66)^2)&gt;0),((G66-E66)*(C66-E66)+(H66-F66)*(D66-F66))/(SQRT((G66-E66)^2+(H66-F66)^2)*SQRT((C66-E66)^2+(D66-F66)^2)),""),"")</f>
        <v>0.94956080720908898</v>
      </c>
      <c r="P66" s="49">
        <f t="shared" ref="P66:P86" si="26">IF(AND(ISNUMBER(G66),ISNUMBER(C66)),G66-C66,"")</f>
        <v>0.82559999999999434</v>
      </c>
      <c r="Q66" s="49">
        <f t="shared" ref="Q66:Q86" si="27">IF(AND(ISNUMBER(H66),ISNUMBER(D66)),H66-D66,"")</f>
        <v>-1.3228999999999997</v>
      </c>
      <c r="R66" s="46">
        <f t="shared" ref="R66:R86" si="28">IF(M66="","",IF(M66&lt;1,1,0))</f>
        <v>1</v>
      </c>
      <c r="S66" s="49">
        <f t="shared" ref="S66:S86" si="29">IF(AND(ISNUMBER(J66),ISNUMBER(L66),L66&gt;0),J66/L66,"")</f>
        <v>0.44709121046632749</v>
      </c>
    </row>
    <row r="67" spans="1:19" ht="14.25" customHeight="1" x14ac:dyDescent="0.45">
      <c r="A67" s="76">
        <v>2662883</v>
      </c>
      <c r="B67" s="77" t="s">
        <v>94</v>
      </c>
      <c r="C67">
        <v>60.932699999999997</v>
      </c>
      <c r="D67">
        <v>0.46389999999999998</v>
      </c>
      <c r="E67">
        <v>63.432699999999997</v>
      </c>
      <c r="F67">
        <v>0.83330000000000004</v>
      </c>
      <c r="G67" s="79">
        <v>62.432699999999997</v>
      </c>
      <c r="H67" s="79">
        <v>0.83330000000000004</v>
      </c>
      <c r="J67" s="69">
        <f t="shared" si="20"/>
        <v>1</v>
      </c>
      <c r="K67" s="69">
        <f t="shared" si="21"/>
        <v>1.5448159631490088</v>
      </c>
      <c r="L67">
        <f t="shared" si="22"/>
        <v>2.5271439135909932</v>
      </c>
      <c r="M67" s="49">
        <f t="shared" si="23"/>
        <v>0.61128927198842153</v>
      </c>
      <c r="N67" s="48">
        <f t="shared" si="24"/>
        <v>0.38871072801157841</v>
      </c>
      <c r="O67" s="49">
        <f t="shared" si="25"/>
        <v>0.98925905507596412</v>
      </c>
      <c r="P67" s="49">
        <f t="shared" si="26"/>
        <v>1.5</v>
      </c>
      <c r="Q67" s="49">
        <f t="shared" si="27"/>
        <v>0.36940000000000006</v>
      </c>
      <c r="R67" s="46">
        <f t="shared" si="28"/>
        <v>1</v>
      </c>
      <c r="S67" s="49">
        <f t="shared" si="29"/>
        <v>0.39570362203038567</v>
      </c>
    </row>
    <row r="68" spans="1:19" ht="14.25" customHeight="1" x14ac:dyDescent="0.45">
      <c r="A68" s="76">
        <v>2662884</v>
      </c>
      <c r="B68" s="77" t="s">
        <v>94</v>
      </c>
      <c r="C68">
        <v>65.666399999999996</v>
      </c>
      <c r="D68">
        <v>-4.1562999999999999</v>
      </c>
      <c r="E68">
        <v>65.751499999999993</v>
      </c>
      <c r="F68">
        <v>-1.6563000000000001</v>
      </c>
      <c r="G68" s="79">
        <v>65.751499999999993</v>
      </c>
      <c r="H68" s="79">
        <v>-0.65629999999999999</v>
      </c>
      <c r="J68" s="69">
        <f t="shared" si="20"/>
        <v>1</v>
      </c>
      <c r="K68" s="69">
        <f t="shared" si="21"/>
        <v>3.5010344199964671</v>
      </c>
      <c r="L68">
        <f t="shared" si="22"/>
        <v>2.5014479826692377</v>
      </c>
      <c r="M68" s="49">
        <f t="shared" si="23"/>
        <v>1.3996031275695742</v>
      </c>
      <c r="N68" s="48">
        <f t="shared" si="24"/>
        <v>-0.39960312756957417</v>
      </c>
      <c r="O68" s="49">
        <f t="shared" si="25"/>
        <v>-0.99942114220272826</v>
      </c>
      <c r="P68" s="49">
        <f t="shared" si="26"/>
        <v>8.5099999999997067E-2</v>
      </c>
      <c r="Q68" s="49">
        <f t="shared" si="27"/>
        <v>3.5</v>
      </c>
      <c r="R68" s="46">
        <f t="shared" si="28"/>
        <v>0</v>
      </c>
      <c r="S68" s="49">
        <f t="shared" si="29"/>
        <v>0.39976845688109131</v>
      </c>
    </row>
    <row r="69" spans="1:19" ht="14.25" customHeight="1" x14ac:dyDescent="0.45">
      <c r="A69" s="76">
        <v>2662885</v>
      </c>
      <c r="B69" s="77" t="s">
        <v>94</v>
      </c>
      <c r="C69">
        <v>48.750799999999998</v>
      </c>
      <c r="D69">
        <v>-16.8796</v>
      </c>
      <c r="E69">
        <v>45.8125</v>
      </c>
      <c r="F69">
        <v>-20.125</v>
      </c>
      <c r="G69" s="79">
        <v>49.125</v>
      </c>
      <c r="H69" s="79">
        <v>-14.6342</v>
      </c>
      <c r="J69" s="69">
        <f t="shared" si="20"/>
        <v>6.4126079632236994</v>
      </c>
      <c r="K69" s="69">
        <f t="shared" si="21"/>
        <v>2.2763670178598181</v>
      </c>
      <c r="L69">
        <f t="shared" si="22"/>
        <v>4.3779250850145877</v>
      </c>
      <c r="M69" s="49">
        <f t="shared" si="23"/>
        <v>0.51996481750035084</v>
      </c>
      <c r="N69" s="48">
        <f t="shared" si="24"/>
        <v>0.48003518249964916</v>
      </c>
      <c r="O69" s="49">
        <f t="shared" si="25"/>
        <v>0.98144340927954232</v>
      </c>
      <c r="P69" s="49">
        <f t="shared" si="26"/>
        <v>0.37420000000000186</v>
      </c>
      <c r="Q69" s="49">
        <f t="shared" si="27"/>
        <v>2.2454000000000001</v>
      </c>
      <c r="R69" s="46">
        <f t="shared" si="28"/>
        <v>1</v>
      </c>
      <c r="S69" s="49">
        <f t="shared" si="29"/>
        <v>1.4647596381157197</v>
      </c>
    </row>
    <row r="70" spans="1:19" ht="14.25" customHeight="1" x14ac:dyDescent="0.45">
      <c r="A70" s="76">
        <v>2662886</v>
      </c>
      <c r="B70" s="77" t="s">
        <v>94</v>
      </c>
      <c r="C70">
        <v>53.755200000000002</v>
      </c>
      <c r="D70">
        <v>-18.145900000000001</v>
      </c>
      <c r="E70">
        <v>51.255200000000002</v>
      </c>
      <c r="F70">
        <v>-11.875</v>
      </c>
      <c r="G70" s="79">
        <v>52.255200000000002</v>
      </c>
      <c r="H70" s="79">
        <v>-18.145900000000001</v>
      </c>
      <c r="J70" s="69">
        <f t="shared" si="20"/>
        <v>6.3501328182960091</v>
      </c>
      <c r="K70" s="69">
        <f t="shared" si="21"/>
        <v>1.5</v>
      </c>
      <c r="L70">
        <f t="shared" si="22"/>
        <v>6.7508656341242652</v>
      </c>
      <c r="M70" s="49">
        <f t="shared" si="23"/>
        <v>0.22219372763365372</v>
      </c>
      <c r="N70" s="48">
        <f t="shared" si="24"/>
        <v>0.77780627236634625</v>
      </c>
      <c r="O70" s="49">
        <f t="shared" si="25"/>
        <v>0.97563019425199926</v>
      </c>
      <c r="P70" s="49">
        <f t="shared" si="26"/>
        <v>-1.5</v>
      </c>
      <c r="Q70" s="49">
        <f t="shared" si="27"/>
        <v>0</v>
      </c>
      <c r="R70" s="46">
        <f t="shared" si="28"/>
        <v>1</v>
      </c>
      <c r="S70" s="49">
        <f t="shared" si="29"/>
        <v>0.94063978791065961</v>
      </c>
    </row>
    <row r="71" spans="1:19" ht="14.25" customHeight="1" x14ac:dyDescent="0.45">
      <c r="A71" s="76">
        <v>2662887</v>
      </c>
      <c r="B71" s="77" t="s">
        <v>94</v>
      </c>
      <c r="C71">
        <v>37.619799999999998</v>
      </c>
      <c r="D71">
        <v>-17.6738</v>
      </c>
      <c r="E71">
        <v>41</v>
      </c>
      <c r="F71">
        <v>-14.066700000000001</v>
      </c>
      <c r="G71" s="79">
        <v>38.989600000000003</v>
      </c>
      <c r="H71" s="79">
        <v>-17.6738</v>
      </c>
      <c r="J71" s="69">
        <f t="shared" si="20"/>
        <v>4.129513115368443</v>
      </c>
      <c r="K71" s="69">
        <f t="shared" si="21"/>
        <v>1.369800000000005</v>
      </c>
      <c r="L71">
        <f t="shared" si="22"/>
        <v>4.9433715670582572</v>
      </c>
      <c r="M71" s="49">
        <f t="shared" si="23"/>
        <v>0.27709832882644447</v>
      </c>
      <c r="N71" s="48">
        <f t="shared" si="24"/>
        <v>0.72290167117355553</v>
      </c>
      <c r="O71" s="49">
        <f t="shared" si="25"/>
        <v>0.97026542452369013</v>
      </c>
      <c r="P71" s="49">
        <f t="shared" si="26"/>
        <v>1.369800000000005</v>
      </c>
      <c r="Q71" s="49">
        <f t="shared" si="27"/>
        <v>0</v>
      </c>
      <c r="R71" s="46">
        <f t="shared" si="28"/>
        <v>1</v>
      </c>
      <c r="S71" s="49">
        <f t="shared" si="29"/>
        <v>0.83536369041865655</v>
      </c>
    </row>
    <row r="72" spans="1:19" ht="14.25" customHeight="1" x14ac:dyDescent="0.45">
      <c r="A72" s="76">
        <v>2662888</v>
      </c>
      <c r="B72" s="77" t="s">
        <v>94</v>
      </c>
      <c r="C72">
        <v>42.981900000000003</v>
      </c>
      <c r="D72">
        <v>4.875</v>
      </c>
      <c r="E72">
        <v>40.684899999999999</v>
      </c>
      <c r="F72">
        <v>3.0051999999999999</v>
      </c>
      <c r="G72" s="79">
        <v>45.9375</v>
      </c>
      <c r="H72" s="79">
        <v>3.875</v>
      </c>
      <c r="J72" s="69">
        <f t="shared" si="20"/>
        <v>5.3241298631795235</v>
      </c>
      <c r="K72" s="69">
        <f t="shared" si="21"/>
        <v>3.1201877123019348</v>
      </c>
      <c r="L72">
        <f t="shared" si="22"/>
        <v>2.9618171854454522</v>
      </c>
      <c r="M72" s="49">
        <f t="shared" si="23"/>
        <v>1.0534707299406341</v>
      </c>
      <c r="N72" s="48">
        <f t="shared" si="24"/>
        <v>-5.3470729940634031E-2</v>
      </c>
      <c r="O72" s="49">
        <f t="shared" si="25"/>
        <v>0.86825340856072974</v>
      </c>
      <c r="P72" s="49">
        <f t="shared" si="26"/>
        <v>2.9555999999999969</v>
      </c>
      <c r="Q72" s="49">
        <f t="shared" si="27"/>
        <v>-1</v>
      </c>
      <c r="R72" s="46">
        <f t="shared" si="28"/>
        <v>0</v>
      </c>
      <c r="S72" s="49">
        <f t="shared" si="29"/>
        <v>1.7975889563145957</v>
      </c>
    </row>
    <row r="73" spans="1:19" ht="14.25" customHeight="1" x14ac:dyDescent="0.45">
      <c r="A73">
        <v>2662781</v>
      </c>
      <c r="B73" t="s">
        <v>50</v>
      </c>
      <c r="C73">
        <v>-104.85339999999999</v>
      </c>
      <c r="D73">
        <v>21.9404</v>
      </c>
      <c r="E73">
        <v>-104.8125</v>
      </c>
      <c r="F73">
        <v>30.729199999999999</v>
      </c>
      <c r="G73">
        <v>-104.85339999999999</v>
      </c>
      <c r="H73">
        <v>21.9404</v>
      </c>
      <c r="J73" s="69">
        <f t="shared" si="20"/>
        <v>8.788895166629306</v>
      </c>
      <c r="K73" s="69">
        <f t="shared" si="21"/>
        <v>0</v>
      </c>
      <c r="L73">
        <f t="shared" si="22"/>
        <v>8.788895166629306</v>
      </c>
      <c r="M73" s="49">
        <f t="shared" si="23"/>
        <v>0</v>
      </c>
      <c r="N73" s="48">
        <f t="shared" si="24"/>
        <v>1</v>
      </c>
      <c r="O73" s="49">
        <f t="shared" si="25"/>
        <v>1</v>
      </c>
      <c r="P73" s="49">
        <f t="shared" si="26"/>
        <v>0</v>
      </c>
      <c r="Q73" s="49">
        <f t="shared" si="27"/>
        <v>0</v>
      </c>
      <c r="R73" s="46">
        <f t="shared" si="28"/>
        <v>1</v>
      </c>
      <c r="S73" s="49">
        <f t="shared" si="29"/>
        <v>1</v>
      </c>
    </row>
    <row r="74" spans="1:19" ht="14.25" customHeight="1" x14ac:dyDescent="0.45">
      <c r="A74">
        <v>2662782</v>
      </c>
      <c r="B74" t="s">
        <v>50</v>
      </c>
      <c r="C74">
        <v>46.3309</v>
      </c>
      <c r="D74">
        <v>-0.37</v>
      </c>
      <c r="E74">
        <v>45.9375</v>
      </c>
      <c r="F74">
        <v>-8.875</v>
      </c>
      <c r="G74">
        <v>46.3309</v>
      </c>
      <c r="H74">
        <v>-0.37</v>
      </c>
      <c r="J74" s="69">
        <f t="shared" si="20"/>
        <v>8.514093525443565</v>
      </c>
      <c r="K74" s="69">
        <f t="shared" si="21"/>
        <v>0</v>
      </c>
      <c r="L74">
        <f t="shared" si="22"/>
        <v>8.514093525443565</v>
      </c>
      <c r="M74" s="49">
        <f t="shared" si="23"/>
        <v>0</v>
      </c>
      <c r="N74" s="48">
        <f t="shared" si="24"/>
        <v>1</v>
      </c>
      <c r="O74" s="49">
        <f t="shared" si="25"/>
        <v>0.99999999999999978</v>
      </c>
      <c r="P74" s="49">
        <f t="shared" si="26"/>
        <v>0</v>
      </c>
      <c r="Q74" s="49">
        <f t="shared" si="27"/>
        <v>0</v>
      </c>
      <c r="R74" s="46">
        <f t="shared" si="28"/>
        <v>1</v>
      </c>
      <c r="S74" s="49">
        <f t="shared" si="29"/>
        <v>1</v>
      </c>
    </row>
    <row r="75" spans="1:19" ht="14.25" customHeight="1" x14ac:dyDescent="0.45">
      <c r="A75">
        <v>2662783</v>
      </c>
      <c r="B75" t="s">
        <v>50</v>
      </c>
      <c r="C75">
        <v>-44.695900000000002</v>
      </c>
      <c r="D75">
        <v>21.6617</v>
      </c>
      <c r="E75">
        <v>-44.5625</v>
      </c>
      <c r="F75">
        <v>31.229199999999999</v>
      </c>
      <c r="G75">
        <v>-45.877000000000002</v>
      </c>
      <c r="H75">
        <v>21.6617</v>
      </c>
      <c r="J75" s="69">
        <f t="shared" si="20"/>
        <v>9.6573788628177972</v>
      </c>
      <c r="K75" s="69">
        <f t="shared" si="21"/>
        <v>1.1811000000000007</v>
      </c>
      <c r="L75">
        <f t="shared" si="22"/>
        <v>9.5684299553270478</v>
      </c>
      <c r="M75" s="49">
        <f t="shared" si="23"/>
        <v>0.12343717888037053</v>
      </c>
      <c r="N75" s="48">
        <f t="shared" si="24"/>
        <v>0.87656282111962947</v>
      </c>
      <c r="O75" s="49">
        <f t="shared" si="25"/>
        <v>0.99249461071604295</v>
      </c>
      <c r="P75" s="49">
        <f t="shared" si="26"/>
        <v>-1.1811000000000007</v>
      </c>
      <c r="Q75" s="49">
        <f t="shared" si="27"/>
        <v>0</v>
      </c>
      <c r="R75" s="46">
        <f t="shared" si="28"/>
        <v>1</v>
      </c>
      <c r="S75" s="49">
        <f t="shared" si="29"/>
        <v>1.0092960817925232</v>
      </c>
    </row>
    <row r="76" spans="1:19" ht="14.25" customHeight="1" x14ac:dyDescent="0.45">
      <c r="A76">
        <v>2662784</v>
      </c>
      <c r="B76" t="s">
        <v>50</v>
      </c>
      <c r="C76">
        <v>-1.0178</v>
      </c>
      <c r="D76">
        <v>22.182099999999998</v>
      </c>
      <c r="E76">
        <v>-95.458299999999994</v>
      </c>
      <c r="F76">
        <v>29.75</v>
      </c>
      <c r="G76">
        <v>-1.0178</v>
      </c>
      <c r="H76">
        <v>22.182099999999998</v>
      </c>
      <c r="J76" s="69">
        <f t="shared" si="20"/>
        <v>94.743238020768544</v>
      </c>
      <c r="K76" s="69">
        <f t="shared" si="21"/>
        <v>0</v>
      </c>
      <c r="L76">
        <f t="shared" si="22"/>
        <v>94.743238020768544</v>
      </c>
      <c r="M76" s="49">
        <f t="shared" si="23"/>
        <v>0</v>
      </c>
      <c r="N76" s="48">
        <f t="shared" si="24"/>
        <v>1</v>
      </c>
      <c r="O76" s="49">
        <f t="shared" si="25"/>
        <v>0.99999999999999978</v>
      </c>
      <c r="P76" s="49">
        <f t="shared" si="26"/>
        <v>0</v>
      </c>
      <c r="Q76" s="49">
        <f t="shared" si="27"/>
        <v>0</v>
      </c>
      <c r="R76" s="46">
        <f t="shared" si="28"/>
        <v>1</v>
      </c>
      <c r="S76" s="49">
        <f t="shared" si="29"/>
        <v>1</v>
      </c>
    </row>
    <row r="77" spans="1:19" ht="14.25" customHeight="1" x14ac:dyDescent="0.45">
      <c r="A77">
        <v>2662785</v>
      </c>
      <c r="B77" t="s">
        <v>50</v>
      </c>
      <c r="C77">
        <v>-81.046700000000001</v>
      </c>
      <c r="D77">
        <v>16.416899999999998</v>
      </c>
      <c r="E77">
        <v>-1.0832999999999999</v>
      </c>
      <c r="F77">
        <v>23.416699999999999</v>
      </c>
      <c r="G77">
        <v>-79.261600000000001</v>
      </c>
      <c r="H77">
        <v>19.0107</v>
      </c>
      <c r="J77" s="69">
        <f t="shared" si="20"/>
        <v>78.302359012292868</v>
      </c>
      <c r="K77" s="69">
        <f t="shared" si="21"/>
        <v>3.1487109187729523</v>
      </c>
      <c r="L77">
        <f t="shared" si="22"/>
        <v>80.269187983933165</v>
      </c>
      <c r="M77" s="49">
        <f t="shared" si="23"/>
        <v>3.9226893878672404E-2</v>
      </c>
      <c r="N77" s="48">
        <f t="shared" si="24"/>
        <v>0.9607731061213276</v>
      </c>
      <c r="O77" s="49">
        <f t="shared" si="25"/>
        <v>0.99951903678375065</v>
      </c>
      <c r="P77" s="49">
        <f t="shared" si="26"/>
        <v>1.7850999999999999</v>
      </c>
      <c r="Q77" s="49">
        <f t="shared" si="27"/>
        <v>2.5938000000000017</v>
      </c>
      <c r="R77" s="46">
        <f t="shared" si="28"/>
        <v>1</v>
      </c>
      <c r="S77" s="49">
        <f t="shared" si="29"/>
        <v>0.97549708647813926</v>
      </c>
    </row>
    <row r="78" spans="1:19" ht="14.25" customHeight="1" x14ac:dyDescent="0.45">
      <c r="A78">
        <v>2662786</v>
      </c>
      <c r="B78" t="s">
        <v>50</v>
      </c>
      <c r="C78">
        <v>-79.351100000000002</v>
      </c>
      <c r="D78">
        <v>4.0632000000000001</v>
      </c>
      <c r="E78">
        <v>-70.328100000000006</v>
      </c>
      <c r="F78">
        <v>22.599</v>
      </c>
      <c r="G78">
        <v>-79.262500000000003</v>
      </c>
      <c r="H78">
        <v>0.1021</v>
      </c>
      <c r="J78" s="69">
        <f t="shared" si="20"/>
        <v>24.20607388590723</v>
      </c>
      <c r="K78" s="69">
        <f t="shared" si="21"/>
        <v>3.9620907574158371</v>
      </c>
      <c r="L78">
        <f t="shared" si="22"/>
        <v>20.615295550634244</v>
      </c>
      <c r="M78" s="49">
        <f t="shared" si="23"/>
        <v>0.19219179990334606</v>
      </c>
      <c r="N78" s="48">
        <f t="shared" si="24"/>
        <v>0.80780820009665399</v>
      </c>
      <c r="O78" s="49">
        <f t="shared" si="25"/>
        <v>0.99718999223187321</v>
      </c>
      <c r="P78" s="49">
        <f t="shared" si="26"/>
        <v>8.8599999999999568E-2</v>
      </c>
      <c r="Q78" s="49">
        <f t="shared" si="27"/>
        <v>-3.9611000000000001</v>
      </c>
      <c r="R78" s="46">
        <f t="shared" si="28"/>
        <v>1</v>
      </c>
      <c r="S78" s="49">
        <f t="shared" si="29"/>
        <v>1.1741802986260128</v>
      </c>
    </row>
    <row r="79" spans="1:19" ht="14.25" customHeight="1" x14ac:dyDescent="0.45">
      <c r="A79">
        <v>2662787</v>
      </c>
      <c r="B79" t="s">
        <v>50</v>
      </c>
      <c r="C79">
        <v>-84.957300000000004</v>
      </c>
      <c r="D79">
        <v>-19.318000000000001</v>
      </c>
      <c r="E79">
        <v>-82.3125</v>
      </c>
      <c r="F79">
        <v>33.572899999999997</v>
      </c>
      <c r="G79">
        <v>-84.957300000000004</v>
      </c>
      <c r="H79">
        <v>-23.460799999999999</v>
      </c>
      <c r="J79" s="69">
        <f t="shared" si="20"/>
        <v>57.094990171905621</v>
      </c>
      <c r="K79" s="69">
        <f t="shared" si="21"/>
        <v>4.1427999999999976</v>
      </c>
      <c r="L79">
        <f t="shared" si="22"/>
        <v>52.956985090259813</v>
      </c>
      <c r="M79" s="49">
        <f t="shared" si="23"/>
        <v>7.8229528983551747E-2</v>
      </c>
      <c r="N79" s="48">
        <f t="shared" si="24"/>
        <v>0.92177047101644816</v>
      </c>
      <c r="O79" s="49">
        <f t="shared" si="25"/>
        <v>0.99999343397505558</v>
      </c>
      <c r="P79" s="49">
        <f t="shared" si="26"/>
        <v>0</v>
      </c>
      <c r="Q79" s="49">
        <f t="shared" si="27"/>
        <v>-4.1427999999999976</v>
      </c>
      <c r="R79" s="46">
        <f t="shared" si="28"/>
        <v>1</v>
      </c>
      <c r="S79" s="49">
        <f t="shared" si="29"/>
        <v>1.0781389853405174</v>
      </c>
    </row>
    <row r="80" spans="1:19" ht="14.25" customHeight="1" x14ac:dyDescent="0.45">
      <c r="A80">
        <v>2662788</v>
      </c>
      <c r="B80" t="s">
        <v>50</v>
      </c>
      <c r="C80">
        <v>-35.517499999999998</v>
      </c>
      <c r="D80">
        <v>0.1021</v>
      </c>
      <c r="E80">
        <v>-70.114599999999996</v>
      </c>
      <c r="F80">
        <v>0.36459999999999998</v>
      </c>
      <c r="G80">
        <v>-35.527900000000002</v>
      </c>
      <c r="H80">
        <v>0.1021</v>
      </c>
      <c r="J80" s="69">
        <f t="shared" si="20"/>
        <v>34.587696123621754</v>
      </c>
      <c r="K80" s="69">
        <f t="shared" si="21"/>
        <v>1.0400000000004184E-2</v>
      </c>
      <c r="L80">
        <f t="shared" si="22"/>
        <v>34.598095824192406</v>
      </c>
      <c r="M80" s="49">
        <f t="shared" si="23"/>
        <v>3.005945775990388E-4</v>
      </c>
      <c r="N80" s="48">
        <f t="shared" si="24"/>
        <v>0.99969940542240099</v>
      </c>
      <c r="O80" s="49">
        <f t="shared" si="25"/>
        <v>0.99999999999739786</v>
      </c>
      <c r="P80" s="49">
        <f t="shared" si="26"/>
        <v>-1.0400000000004184E-2</v>
      </c>
      <c r="Q80" s="49">
        <f t="shared" si="27"/>
        <v>0</v>
      </c>
      <c r="R80" s="46">
        <f t="shared" si="28"/>
        <v>1</v>
      </c>
      <c r="S80" s="49">
        <f t="shared" si="29"/>
        <v>0.99969941407690477</v>
      </c>
    </row>
    <row r="81" spans="1:19" ht="14.25" customHeight="1" x14ac:dyDescent="0.45">
      <c r="A81">
        <v>2662789</v>
      </c>
      <c r="B81" t="s">
        <v>50</v>
      </c>
      <c r="C81">
        <v>-8.7829999999999995</v>
      </c>
      <c r="D81">
        <v>-8.9245000000000001</v>
      </c>
      <c r="E81">
        <v>-80.625</v>
      </c>
      <c r="F81">
        <v>-5.4573</v>
      </c>
      <c r="G81">
        <v>-8.1851000000000003</v>
      </c>
      <c r="H81">
        <v>-4.6367000000000003</v>
      </c>
      <c r="J81" s="69">
        <f t="shared" si="20"/>
        <v>72.444547733904713</v>
      </c>
      <c r="K81" s="69">
        <f t="shared" si="21"/>
        <v>4.3292855357437441</v>
      </c>
      <c r="L81">
        <f t="shared" si="22"/>
        <v>71.925617410210663</v>
      </c>
      <c r="M81" s="49">
        <f t="shared" si="23"/>
        <v>6.0191148739852908E-2</v>
      </c>
      <c r="N81" s="48">
        <f t="shared" si="24"/>
        <v>0.93980885126014702</v>
      </c>
      <c r="O81" s="49">
        <f t="shared" si="25"/>
        <v>0.99822732911445222</v>
      </c>
      <c r="P81" s="49">
        <f t="shared" si="26"/>
        <v>0.59789999999999921</v>
      </c>
      <c r="Q81" s="49">
        <f t="shared" si="27"/>
        <v>4.2877999999999998</v>
      </c>
      <c r="R81" s="46">
        <f t="shared" si="28"/>
        <v>1</v>
      </c>
      <c r="S81" s="49">
        <f t="shared" si="29"/>
        <v>1.0072148191754053</v>
      </c>
    </row>
    <row r="82" spans="1:19" ht="14.25" customHeight="1" x14ac:dyDescent="0.45">
      <c r="A82">
        <v>2662790</v>
      </c>
      <c r="B82" t="s">
        <v>50</v>
      </c>
      <c r="C82">
        <v>-8.5281000000000002</v>
      </c>
      <c r="D82">
        <v>30.984200000000001</v>
      </c>
      <c r="E82">
        <v>-34.885399999999997</v>
      </c>
      <c r="F82">
        <v>4.0766</v>
      </c>
      <c r="G82">
        <v>-1.0178</v>
      </c>
      <c r="H82">
        <v>30.952999999999999</v>
      </c>
      <c r="J82" s="69">
        <f t="shared" si="20"/>
        <v>43.236040599481356</v>
      </c>
      <c r="K82" s="69">
        <f t="shared" si="21"/>
        <v>7.5103648067187789</v>
      </c>
      <c r="L82">
        <f t="shared" si="22"/>
        <v>37.665982013615412</v>
      </c>
      <c r="M82" s="49">
        <f t="shared" si="23"/>
        <v>0.19939384041557578</v>
      </c>
      <c r="N82" s="48">
        <f t="shared" si="24"/>
        <v>0.80060615958442416</v>
      </c>
      <c r="O82" s="49">
        <f t="shared" si="25"/>
        <v>0.99220767834235191</v>
      </c>
      <c r="P82" s="49">
        <f t="shared" si="26"/>
        <v>7.5103</v>
      </c>
      <c r="Q82" s="49">
        <f t="shared" si="27"/>
        <v>-3.1200000000001893E-2</v>
      </c>
      <c r="R82" s="46">
        <f t="shared" si="28"/>
        <v>1</v>
      </c>
      <c r="S82" s="49">
        <f t="shared" si="29"/>
        <v>1.1478803495380125</v>
      </c>
    </row>
    <row r="83" spans="1:19" ht="14.25" customHeight="1" x14ac:dyDescent="0.45">
      <c r="A83">
        <v>2662791</v>
      </c>
      <c r="B83" t="s">
        <v>50</v>
      </c>
      <c r="C83">
        <v>23.784300000000002</v>
      </c>
      <c r="D83">
        <v>0</v>
      </c>
      <c r="E83">
        <v>-8.3332999999999995</v>
      </c>
      <c r="F83">
        <v>-4.8697999999999997</v>
      </c>
      <c r="G83">
        <v>20.519200000000001</v>
      </c>
      <c r="H83">
        <v>-0.65780000000000005</v>
      </c>
      <c r="J83" s="69">
        <f t="shared" si="20"/>
        <v>29.158321286555577</v>
      </c>
      <c r="K83" s="69">
        <f t="shared" si="21"/>
        <v>3.3307024559392877</v>
      </c>
      <c r="L83">
        <f t="shared" si="22"/>
        <v>32.484691499227758</v>
      </c>
      <c r="M83" s="49">
        <f t="shared" si="23"/>
        <v>0.1025314479596787</v>
      </c>
      <c r="N83" s="48">
        <f t="shared" si="24"/>
        <v>0.89746855204032128</v>
      </c>
      <c r="O83" s="49">
        <f t="shared" si="25"/>
        <v>0.99998477613676406</v>
      </c>
      <c r="P83" s="49">
        <f t="shared" si="26"/>
        <v>-3.2651000000000003</v>
      </c>
      <c r="Q83" s="49">
        <f t="shared" si="27"/>
        <v>-0.65780000000000005</v>
      </c>
      <c r="R83" s="46">
        <f t="shared" si="28"/>
        <v>1</v>
      </c>
      <c r="S83" s="49">
        <f t="shared" si="29"/>
        <v>0.89760191465105166</v>
      </c>
    </row>
    <row r="84" spans="1:19" ht="14.25" customHeight="1" x14ac:dyDescent="0.45">
      <c r="A84">
        <v>2662792</v>
      </c>
      <c r="B84" t="s">
        <v>50</v>
      </c>
      <c r="C84">
        <v>55.464799999999997</v>
      </c>
      <c r="D84">
        <v>-3.5861000000000001</v>
      </c>
      <c r="E84">
        <v>-5.4218999999999999</v>
      </c>
      <c r="F84">
        <v>27.497399999999999</v>
      </c>
      <c r="G84">
        <v>59.168199999999999</v>
      </c>
      <c r="H84">
        <v>-3.5861000000000001</v>
      </c>
      <c r="J84" s="69">
        <f t="shared" si="20"/>
        <v>71.680297085461348</v>
      </c>
      <c r="K84" s="69">
        <f t="shared" si="21"/>
        <v>3.703400000000002</v>
      </c>
      <c r="L84">
        <f t="shared" si="22"/>
        <v>68.362081661839412</v>
      </c>
      <c r="M84" s="49">
        <f t="shared" si="23"/>
        <v>5.4173306458385501E-2</v>
      </c>
      <c r="N84" s="48">
        <f t="shared" si="24"/>
        <v>0.94582669354161453</v>
      </c>
      <c r="O84" s="49">
        <f t="shared" si="25"/>
        <v>0.99972403064598647</v>
      </c>
      <c r="P84" s="49">
        <f t="shared" si="26"/>
        <v>3.703400000000002</v>
      </c>
      <c r="Q84" s="49">
        <f t="shared" si="27"/>
        <v>0</v>
      </c>
      <c r="R84" s="46">
        <f t="shared" si="28"/>
        <v>1</v>
      </c>
      <c r="S84" s="49">
        <f t="shared" si="29"/>
        <v>1.0485388294644955</v>
      </c>
    </row>
    <row r="85" spans="1:19" ht="14.25" customHeight="1" x14ac:dyDescent="0.45">
      <c r="A85">
        <v>2662793</v>
      </c>
      <c r="B85" t="s">
        <v>50</v>
      </c>
      <c r="C85">
        <v>-79.295199999999994</v>
      </c>
      <c r="D85">
        <v>29.2395</v>
      </c>
      <c r="E85">
        <v>22.2865</v>
      </c>
      <c r="F85">
        <v>5.6379999999999999</v>
      </c>
      <c r="G85">
        <v>-79.261600000000001</v>
      </c>
      <c r="H85">
        <v>29.2395</v>
      </c>
      <c r="J85" s="69">
        <f t="shared" si="20"/>
        <v>104.25472371005546</v>
      </c>
      <c r="K85" s="69">
        <f t="shared" si="21"/>
        <v>3.3599999999992747E-2</v>
      </c>
      <c r="L85">
        <f t="shared" si="22"/>
        <v>104.28745167631625</v>
      </c>
      <c r="M85" s="49">
        <f t="shared" si="23"/>
        <v>3.2218641322523877E-4</v>
      </c>
      <c r="N85" s="48">
        <f t="shared" si="24"/>
        <v>0.99967781358677477</v>
      </c>
      <c r="O85" s="49">
        <f t="shared" si="25"/>
        <v>0.99999999734005807</v>
      </c>
      <c r="P85" s="49">
        <f t="shared" si="26"/>
        <v>3.3599999999992747E-2</v>
      </c>
      <c r="Q85" s="49">
        <f t="shared" si="27"/>
        <v>0</v>
      </c>
      <c r="R85" s="46">
        <f t="shared" si="28"/>
        <v>1</v>
      </c>
      <c r="S85" s="49">
        <f t="shared" si="29"/>
        <v>0.99968617541482963</v>
      </c>
    </row>
    <row r="86" spans="1:19" ht="14.25" customHeight="1" x14ac:dyDescent="0.45">
      <c r="A86">
        <v>2241991</v>
      </c>
      <c r="B86" t="s">
        <v>50</v>
      </c>
      <c r="C86">
        <v>-95.412099999999995</v>
      </c>
      <c r="D86">
        <v>28.355</v>
      </c>
      <c r="E86">
        <v>56.1569</v>
      </c>
      <c r="F86">
        <v>6.4207000000000001</v>
      </c>
      <c r="G86">
        <v>-95.412099999999995</v>
      </c>
      <c r="H86">
        <v>28.355</v>
      </c>
      <c r="J86" s="69">
        <f t="shared" si="20"/>
        <v>153.1478869507836</v>
      </c>
      <c r="K86" s="69">
        <f t="shared" si="21"/>
        <v>0</v>
      </c>
      <c r="L86">
        <f t="shared" si="22"/>
        <v>153.1478869507836</v>
      </c>
      <c r="M86" s="49">
        <f t="shared" si="23"/>
        <v>0</v>
      </c>
      <c r="N86" s="48">
        <f t="shared" si="24"/>
        <v>1</v>
      </c>
      <c r="O86" s="49">
        <f t="shared" si="25"/>
        <v>1.0000000000000002</v>
      </c>
      <c r="P86" s="49">
        <f t="shared" si="26"/>
        <v>0</v>
      </c>
      <c r="Q86" s="49">
        <f t="shared" si="27"/>
        <v>0</v>
      </c>
      <c r="R86" s="46">
        <f t="shared" si="28"/>
        <v>1</v>
      </c>
      <c r="S86" s="49">
        <f t="shared" si="29"/>
        <v>1</v>
      </c>
    </row>
    <row r="87" spans="1:19" ht="14.25" customHeight="1" x14ac:dyDescent="0.45">
      <c r="J87" s="10" t="s">
        <v>43</v>
      </c>
      <c r="K87" s="10"/>
      <c r="L87" s="10"/>
    </row>
    <row r="88" spans="1:19" ht="14.25" customHeight="1" x14ac:dyDescent="0.45">
      <c r="B88" s="20" t="s">
        <v>59</v>
      </c>
      <c r="J88" s="20" t="s">
        <v>40</v>
      </c>
      <c r="K88" s="20" t="s">
        <v>41</v>
      </c>
      <c r="L88" s="20" t="s">
        <v>42</v>
      </c>
    </row>
    <row r="89" spans="1:19" ht="14.25" customHeight="1" x14ac:dyDescent="0.45">
      <c r="A89" s="20" t="s">
        <v>46</v>
      </c>
      <c r="B89">
        <f>SUM(B90:B93)</f>
        <v>85</v>
      </c>
      <c r="I89" s="20" t="s">
        <v>46</v>
      </c>
      <c r="J89">
        <f>_xlfn.AGGREGATE(1,6,J2:J86)</f>
        <v>11.619960038196851</v>
      </c>
      <c r="K89">
        <f>_xlfn.AGGREGATE(1,6,K2:K86)</f>
        <v>1.557124241663427</v>
      </c>
      <c r="L89">
        <f>_xlfn.AGGREGATE(1,6,L2:L86)</f>
        <v>11.381291030232969</v>
      </c>
    </row>
    <row r="90" spans="1:19" ht="26.25" customHeight="1" x14ac:dyDescent="0.45">
      <c r="A90" s="20" t="s">
        <v>47</v>
      </c>
      <c r="B90">
        <f>COUNTIF(B2:B86,"Doors")</f>
        <v>33</v>
      </c>
      <c r="I90" s="20" t="s">
        <v>47</v>
      </c>
      <c r="J90">
        <f>_xlfn.AGGREGATE(1,6,J7:J39)</f>
        <v>1.4625370893934571</v>
      </c>
      <c r="K90">
        <f>_xlfn.AGGREGATE(1,6,K7:K39)</f>
        <v>0.2982090710122613</v>
      </c>
      <c r="L90">
        <f>_xlfn.AGGREGATE(1,6,L7:L39)</f>
        <v>1.2318948042012341</v>
      </c>
    </row>
    <row r="91" spans="1:19" ht="26.25" customHeight="1" x14ac:dyDescent="0.45">
      <c r="A91" s="20"/>
      <c r="I91" s="20" t="s">
        <v>48</v>
      </c>
      <c r="J91" t="s">
        <v>13</v>
      </c>
      <c r="K91" t="s">
        <v>13</v>
      </c>
      <c r="L91" t="s">
        <v>13</v>
      </c>
    </row>
    <row r="92" spans="1:19" ht="26.25" customHeight="1" x14ac:dyDescent="0.45">
      <c r="A92" s="20" t="s">
        <v>49</v>
      </c>
      <c r="B92">
        <f>COUNTIF(B2:B86,"Walls")</f>
        <v>38</v>
      </c>
      <c r="I92" s="20" t="s">
        <v>49</v>
      </c>
      <c r="J92">
        <f>_xlfn.AGGREGATE(1,6,J40:J72,J2:J6)</f>
        <v>3.9372720305557718</v>
      </c>
      <c r="K92">
        <f>_xlfn.AGGREGATE(1,6,K40:K72,K2:K6)</f>
        <v>2.3990054400893719</v>
      </c>
      <c r="L92">
        <f>_xlfn.AGGREGATE(1,6,L40:L72,L2:L6)</f>
        <v>3.9165599132100115</v>
      </c>
    </row>
    <row r="93" spans="1:19" ht="26.25" customHeight="1" x14ac:dyDescent="0.45">
      <c r="A93" s="20" t="s">
        <v>50</v>
      </c>
      <c r="B93">
        <f>COUNTIF(B2:B86,"Room Tags")</f>
        <v>14</v>
      </c>
      <c r="I93" s="20" t="s">
        <v>50</v>
      </c>
      <c r="J93">
        <f>_xlfn.AGGREGATE(1,6,J73:J86)</f>
        <v>56.415467295402053</v>
      </c>
      <c r="K93">
        <f>_xlfn.AGGREGATE(1,6,K73:K86)</f>
        <v>2.2394610338993286</v>
      </c>
      <c r="L93">
        <f>_xlfn.AGGREGATE(1,6,L73:L86)</f>
        <v>55.566280880655803</v>
      </c>
    </row>
    <row r="96" spans="1:19" ht="14.25" customHeight="1" x14ac:dyDescent="0.45">
      <c r="J96" s="10" t="s">
        <v>117</v>
      </c>
      <c r="K96" s="10"/>
      <c r="L96" s="10"/>
    </row>
    <row r="97" spans="9:20" ht="14.25" customHeight="1" x14ac:dyDescent="0.45">
      <c r="J97" s="20" t="s">
        <v>40</v>
      </c>
      <c r="K97" s="20" t="s">
        <v>41</v>
      </c>
      <c r="L97" s="20" t="s">
        <v>42</v>
      </c>
    </row>
    <row r="98" spans="9:20" ht="14.25" customHeight="1" x14ac:dyDescent="0.45">
      <c r="I98" s="20" t="s">
        <v>46</v>
      </c>
      <c r="J98">
        <f>_xlfn.AGGREGATE(12,6,J16:J86)</f>
        <v>2.6354000018972457</v>
      </c>
      <c r="K98">
        <f>_xlfn.AGGREGATE(12,6,K16:K86)</f>
        <v>0.59628722106045529</v>
      </c>
      <c r="L98">
        <f>_xlfn.AGGREGATE(12,6,L16:L86)</f>
        <v>2.7948614008569375</v>
      </c>
    </row>
    <row r="99" spans="9:20" ht="26.25" customHeight="1" x14ac:dyDescent="0.45">
      <c r="I99" s="20" t="s">
        <v>47</v>
      </c>
      <c r="J99">
        <f>_xlfn.AGGREGATE(12,6,J16:J30)</f>
        <v>1</v>
      </c>
      <c r="K99">
        <f>_xlfn.AGGREGATE(12,6,K16:K30)</f>
        <v>0</v>
      </c>
      <c r="L99">
        <f>_xlfn.AGGREGATE(12,6,L16:L30)</f>
        <v>1</v>
      </c>
    </row>
    <row r="100" spans="9:20" ht="26.25" customHeight="1" x14ac:dyDescent="0.45">
      <c r="I100" s="20" t="s">
        <v>48</v>
      </c>
      <c r="J100" t="s">
        <v>13</v>
      </c>
      <c r="K100" t="s">
        <v>13</v>
      </c>
      <c r="L100" t="s">
        <v>13</v>
      </c>
    </row>
    <row r="101" spans="9:20" ht="26.25" customHeight="1" x14ac:dyDescent="0.45">
      <c r="I101" s="20" t="s">
        <v>49</v>
      </c>
      <c r="J101">
        <f>_xlfn.AGGREGATE(12,6,J48:J72)</f>
        <v>3.1622776601683826</v>
      </c>
      <c r="K101">
        <f>_xlfn.AGGREGATE(12,6,K48:K72)</f>
        <v>2.5114000000000019</v>
      </c>
      <c r="L101">
        <f>_xlfn.AGGREGATE(12,6,L48:L72)</f>
        <v>3.552402910707062</v>
      </c>
    </row>
    <row r="102" spans="9:20" ht="26.25" customHeight="1" x14ac:dyDescent="0.45">
      <c r="I102" s="20" t="s">
        <v>50</v>
      </c>
      <c r="J102">
        <f>_xlfn.AGGREGATE(12,6,J73:J86)</f>
        <v>50.165515385693489</v>
      </c>
      <c r="K102">
        <f>_xlfn.AGGREGATE(12,6,K73:K86)</f>
        <v>2.1649054593864765</v>
      </c>
      <c r="L102">
        <f>_xlfn.AGGREGATE(12,6,L73:L86)</f>
        <v>45.311483551937613</v>
      </c>
    </row>
    <row r="105" spans="9:20" ht="18" customHeight="1" x14ac:dyDescent="0.45">
      <c r="I105" s="73" t="s">
        <v>118</v>
      </c>
      <c r="M105" s="19" t="s">
        <v>119</v>
      </c>
    </row>
    <row r="106" spans="9:20" ht="42" customHeight="1" x14ac:dyDescent="0.45">
      <c r="I106" s="34" t="s">
        <v>120</v>
      </c>
      <c r="J106" s="34" t="s">
        <v>59</v>
      </c>
      <c r="K106" s="34" t="s">
        <v>63</v>
      </c>
      <c r="L106" s="34" t="s">
        <v>64</v>
      </c>
      <c r="M106" s="34" t="s">
        <v>65</v>
      </c>
      <c r="N106" s="34" t="s">
        <v>121</v>
      </c>
      <c r="O106" s="34" t="s">
        <v>122</v>
      </c>
      <c r="P106" s="34" t="s">
        <v>123</v>
      </c>
      <c r="Q106" s="34" t="s">
        <v>124</v>
      </c>
      <c r="R106" s="34" t="s">
        <v>68</v>
      </c>
      <c r="S106" s="34" t="s">
        <v>125</v>
      </c>
      <c r="T106" s="34" t="s">
        <v>126</v>
      </c>
    </row>
    <row r="107" spans="9:20" ht="14.25" customHeight="1" x14ac:dyDescent="0.45">
      <c r="I107" s="22" t="s">
        <v>46</v>
      </c>
      <c r="J107" s="23">
        <f>COUNTA($B$2:$B$86)</f>
        <v>85</v>
      </c>
      <c r="K107" s="25">
        <f>IF(COUNT($M$2:$M$86)=0,"N/A",COUNTIF($R$2:$R$86,1)/COUNT($M$2:$M$86))</f>
        <v>0.88235294117647056</v>
      </c>
      <c r="L107" s="25">
        <f t="array" ref="L107">IF(COUNT($N$2:$N$86)=0,"N/A",AVERAGE($N$2:$N$86))</f>
        <v>4.3770696230128789E-2</v>
      </c>
      <c r="M107" s="24">
        <f t="array" ref="M107">IF(COUNT($O$2:$O$86)=0,"N/A",AVERAGE($O$2:$O$86))</f>
        <v>0.87869499373907944</v>
      </c>
      <c r="N107" s="24">
        <f t="array" ref="N107">IF(COUNT($K$2:$K$86)=0,"N/A",SQRT(SUMPRODUCT(ISNUMBER($K$2:$K$86)*(IF(ISNUMBER($K$2:$K$86),$K$2:$K$86,0))^2)/COUNT($K$2:$K$86)))</f>
        <v>2.500840356289673</v>
      </c>
      <c r="O107" s="24">
        <f>IF(COUNT($K$2:$K$86)&lt;2,"N/A",_xlfn.STDEV.S($K$2:$K$86))</f>
        <v>1.9685417603008053</v>
      </c>
      <c r="P107" s="24">
        <f>IF(COUNT($K$2:$K$86)=0,"N/A",_xlfn.PERCENTILE.INC($K$2:$K$86,0.9))</f>
        <v>3.9459988088935272</v>
      </c>
      <c r="Q107" s="24">
        <f>IF(COUNT($K$2:$K$86)=0,"N/A",_xlfn.PERCENTILE.INC($K$2:$K$86,0.95))</f>
        <v>4.4749771071487467</v>
      </c>
      <c r="R107" s="23">
        <f>COUNTIF($K$2:$K$86,"&gt;15")</f>
        <v>0</v>
      </c>
      <c r="S107" s="24">
        <f>IF(COUNT($S$2:$S$86)=0,"N/A",AVERAGE($S$2:$S$86))</f>
        <v>1.6321501113423778</v>
      </c>
      <c r="T107" s="25">
        <f>IF(COUNT($S$2:$S$86)=0,"N/A",COUNTIF($S$2:$S$86,"&gt;1")/COUNT($S$2:$S$86))</f>
        <v>0.3411764705882353</v>
      </c>
    </row>
    <row r="108" spans="9:20" ht="14.25" customHeight="1" x14ac:dyDescent="0.45">
      <c r="I108" s="27" t="s">
        <v>49</v>
      </c>
      <c r="J108" s="28">
        <f>COUNTIF($B$2:$B$86,"Walls")</f>
        <v>38</v>
      </c>
      <c r="K108" s="30">
        <f>IF(SUMPRODUCT(($B$2:$B$86="Walls")*ISNUMBER($M$2:$M$86))=0,"N/A",SUMPRODUCT(($B$2:$B$86="Walls")*($R$2:$R$86=1))/SUMPRODUCT(($B$2:$B$86="Walls")*ISNUMBER($M$2:$M$86)))</f>
        <v>0.84210526315789469</v>
      </c>
      <c r="L108" s="30">
        <f t="array" ref="L108">IF(SUMPRODUCT(($B$2:$B$86="Walls")*ISNUMBER($N$2:$N$86))=0,"N/A",SUMPRODUCT(($B$2:$B$86="Walls")*ISNUMBER($N$2:$N$86)*(IF(ISNUMBER($N$2:$N$86),$N$2:$N$86,0)))/SUMPRODUCT(($B$2:$B$86="Walls")*ISNUMBER($N$2:$N$86)))</f>
        <v>0.36677012645621759</v>
      </c>
      <c r="M108" s="29">
        <f t="array" ref="M108">IF(SUMPRODUCT(($B$2:$B$86="Walls")*ISNUMBER($O$2:$O$86))=0,"N/A",SUMPRODUCT(($B$2:$B$86="Walls")*ISNUMBER($O$2:$O$86)*(IF(ISNUMBER($O$2:$O$86),$O$2:$O$86,0)))/SUMPRODUCT(($B$2:$B$86="Walls")*ISNUMBER($O$2:$O$86)))</f>
        <v>0.7646529892136309</v>
      </c>
      <c r="N108" s="29">
        <f t="array" ref="N108">IF(SUMPRODUCT(($B$2:$B$86="Walls")*ISNUMBER($K$2:$K$86))=0,"N/A",SQRT(SUMPRODUCT(($B$2:$B$86="Walls")*ISNUMBER($K$2:$K$86)*(IF(ISNUMBER($K$2:$K$86),$K$2:$K$86,0))^2)/SUMPRODUCT(($B$2:$B$86="Walls")*ISNUMBER($K$2:$K$86))))</f>
        <v>3.118248004467961</v>
      </c>
      <c r="O108" s="29">
        <f t="array" ref="O108">IFERROR(IF(SUMPRODUCT(($B$2:$B$86="Walls")*ISNUMBER($K$2:$K$86))&lt;2,"N/A",_xlfn.STDEV.S(IF($B$2:$B$86="Walls",$K$2:$K$86))),"N/A")</f>
        <v>2.0187851149988951</v>
      </c>
      <c r="P108" s="29">
        <f t="array" ref="P108">IFERROR(_xlfn.PERCENTILE.INC(IF(($B$2:$B$86="Walls")*ISNUMBER($K$2:$K$86),$K$2:$K$86),0.9),"N/A")</f>
        <v>4.2047461470585965</v>
      </c>
      <c r="Q108" s="29">
        <f t="array" ref="Q108">IFERROR(_xlfn.PERCENTILE.INC(IF(($B$2:$B$86="Walls")*ISNUMBER($K$2:$K$86),$K$2:$K$86),0.95),"N/A")</f>
        <v>4.7488948000311488</v>
      </c>
      <c r="R108" s="28">
        <f>COUNTIFS($B$2:$B$86,"Walls",$K$2:$K$86,"&gt;15")</f>
        <v>0</v>
      </c>
      <c r="S108" s="37">
        <f t="array" ref="S108">IF(SUMPRODUCT(($B$2:$B$86="Walls")*ISNUMBER($S$2:$S$86))=0,"N/A",SUMPRODUCT(($B$2:$B$86="Walls")*ISNUMBER($S$2:$S$86)*(IF(ISNUMBER($S$2:$S$86),$S$2:$S$86,0)))/SUMPRODUCT(($B$2:$B$86="Walls")*ISNUMBER($S$2:$S$86)))</f>
        <v>0.97757146114146187</v>
      </c>
      <c r="T108" s="38">
        <f t="array" ref="T108">IF(SUMPRODUCT(($B$2:$B$86="Walls")*ISNUMBER($S$2:$S$86))=0,"N/A",SUMPRODUCT(($B$2:$B$86="Walls")*ISNUMBER($S$2:$S$86)*(IF(ISNUMBER($S$2:$S$86),$S$2:$S$86,0)&gt;1))/SUMPRODUCT(($B$2:$B$86="Walls")*ISNUMBER($S$2:$S$86)))</f>
        <v>0.39473684210526316</v>
      </c>
    </row>
    <row r="109" spans="9:20" ht="14.25" customHeight="1" x14ac:dyDescent="0.45">
      <c r="I109" s="27" t="s">
        <v>47</v>
      </c>
      <c r="J109" s="28">
        <f>COUNTIF($B$2:$B$86,"Doors")</f>
        <v>33</v>
      </c>
      <c r="K109" s="30">
        <f t="array" ref="K109">IF(SUMPRODUCT(($B$2:$B$86="Doors")*ISNUMBER($M$2:$M$86))=0,"N/A",SUMPRODUCT(($B$2:$B$86="Doors")*($R$2:$R$86=1))/SUMPRODUCT(($B$2:$B$86="Doors")*ISNUMBER($M$2:$M$86)))</f>
        <v>0.87878787878787878</v>
      </c>
      <c r="L109" s="30">
        <f t="array" ref="L109">IF(SUMPRODUCT(($B$2:$B$86="Doors")*ISNUMBER($N$2:$N$86))=0,"N/A",SUMPRODUCT(($B$2:$B$86="Doors")*ISNUMBER($N$2:$N$86)*(IF(ISNUMBER($N$2:$N$86),$N$2:$N$86,0)))/SUMPRODUCT(($B$2:$B$86="Doors")*ISNUMBER($N$2:$N$86)))</f>
        <v>-0.70808356665348704</v>
      </c>
      <c r="M109" s="29">
        <f t="array" ref="M109">IF(SUMPRODUCT(($B$2:$B$86="Doors")*ISNUMBER($O$2:$O$86))=0,"N/A",SUMPRODUCT(($B$2:$B$86="Doors")*ISNUMBER($O$2:$O$86)*(IF(ISNUMBER($O$2:$O$86),$O$2:$O$86,0)))/SUMPRODUCT(($B$2:$B$86="Doors")*ISNUMBER($O$2:$O$86)))</f>
        <v>0.95917939370969818</v>
      </c>
      <c r="N109" s="29">
        <f t="array" ref="N109">IF(SUMPRODUCT(($B$2:$B$86="Doors")*ISNUMBER($K$2:$K$86))=0,"N/A",SQRT(SUMPRODUCT(($B$2:$B$86="Doors")*ISNUMBER($K$2:$K$86)*(IF(ISNUMBER($K$2:$K$86),$K$2:$K$86,0))^2)/SUMPRODUCT(($B$2:$B$86="Doors")*ISNUMBER($K$2:$K$86))))</f>
        <v>0.73827635069802944</v>
      </c>
      <c r="O109" s="29">
        <f t="array" ref="O109">IFERROR(IF(SUMPRODUCT(($B$2:$B$86="Doors")*ISNUMBER($K$2:$K$86))&lt;2,"N/A",_xlfn.STDEV.S(IF($B$2:$B$86="Doors",$K$2:$K$86))),"N/A")</f>
        <v>0.68584048707767431</v>
      </c>
      <c r="P109" s="29">
        <f t="array" ref="P109">IFERROR(_xlfn.PERCENTILE.INC(IF(($B$2:$B$86="Doors")*ISNUMBER($K$2:$K$86),$K$2:$K$86),0.9),"N/A")</f>
        <v>1.5943946375174649</v>
      </c>
      <c r="Q109" s="29">
        <f t="array" ref="Q109">IFERROR(_xlfn.PERCENTILE.INC(IF(($B$2:$B$86="Doors")*ISNUMBER($K$2:$K$86),$K$2:$K$86),0.95),"N/A")</f>
        <v>2.0527508624916639</v>
      </c>
      <c r="R109" s="28">
        <f>COUNTIFS($B$2:$B$86,"Doors",$K$2:$K$86,"&gt;15")</f>
        <v>0</v>
      </c>
      <c r="S109" s="37">
        <f t="array" ref="S109">IF(SUMPRODUCT(($B$2:$B$86="Doors")*ISNUMBER($S$2:$S$86))=0,"N/A",SUMPRODUCT(($B$2:$B$86="Doors")*ISNUMBER($S$2:$S$86)*(IF(ISNUMBER($S$2:$S$86),$S$2:$S$86,0)))/SUMPRODUCT(($B$2:$B$86="Doors")*ISNUMBER($S$2:$S$86)))</f>
        <v>2.6438578783687481</v>
      </c>
      <c r="T109" s="38">
        <f t="array" ref="T109">IF(SUMPRODUCT(($B$2:$B$86="Doors")*ISNUMBER($S$2:$S$86))=0,"N/A",SUMPRODUCT(($B$2:$B$86="Doors")*ISNUMBER($S$2:$S$86)*(IF(ISNUMBER($S$2:$S$86),$S$2:$S$86,0)&gt;1))/SUMPRODUCT(($B$2:$B$86="Doors")*ISNUMBER($S$2:$S$86)))</f>
        <v>0.24242424242424243</v>
      </c>
    </row>
    <row r="110" spans="9:20" ht="14.25" customHeight="1" x14ac:dyDescent="0.45">
      <c r="I110" s="27" t="s">
        <v>50</v>
      </c>
      <c r="J110" s="28">
        <f>COUNTIF($B$2:$B$86,"Room Tags")</f>
        <v>14</v>
      </c>
      <c r="K110" s="30">
        <f>IF(SUMPRODUCT(($B$2:$B$86="Room Tags")*ISNUMBER($M$2:$M$86))=0,"N/A",SUMPRODUCT(($B$2:$B$86="Room Tags")*($R$2:$R$86=1))/SUMPRODUCT(($B$2:$B$86="Room Tags")*ISNUMBER($M$2:$M$86)))</f>
        <v>1</v>
      </c>
      <c r="L110" s="30">
        <f t="array" ref="L110">IF(SUMPRODUCT(($B$2:$B$86="Room Tags")*ISNUMBER($N$2:$N$86))=0,"N/A",SUMPRODUCT(($B$2:$B$86="Room Tags")*ISNUMBER($N$2:$N$86)*(IF(ISNUMBER($N$2:$N$86),$N$2:$N$86,0)))/SUMPRODUCT(($B$2:$B$86="Room Tags")*ISNUMBER($N$2:$N$86)))</f>
        <v>0.93928586241355294</v>
      </c>
      <c r="M110" s="29">
        <f t="array" ref="M110">IF(SUMPRODUCT(($B$2:$B$86="Room Tags")*ISNUMBER($O$2:$O$86))=0,"N/A",SUMPRODUCT(($B$2:$B$86="Room Tags")*ISNUMBER($O$2:$O$86)*(IF(ISNUMBER($O$2:$O$86),$O$2:$O$86,0)))/SUMPRODUCT(($B$2:$B$86="Room Tags")*ISNUMBER($O$2:$O$86)))</f>
        <v>0.9985243489488379</v>
      </c>
      <c r="N110" s="29">
        <f t="array" ref="N110">IF(SUMPRODUCT(($B$2:$B$86="Room Tags")*ISNUMBER($K$2:$K$86))=0,"N/A",SQRT(SUMPRODUCT(($B$2:$B$86="Room Tags")*ISNUMBER($K$2:$K$86)*(IF(ISNUMBER($K$2:$K$86),$K$2:$K$86,0))^2)/SUMPRODUCT(($B$2:$B$86="Room Tags")*ISNUMBER($K$2:$K$86))))</f>
        <v>3.2085668026617209</v>
      </c>
      <c r="O110" s="29">
        <f t="array" ref="O110">IFERROR(IF(SUMPRODUCT(($B$2:$B$86="Room Tags")*ISNUMBER($K$2:$K$86))&lt;2,"N/A",_xlfn.STDEV.S(IF($B$2:$B$86="Room Tags",$K$2:$K$86))),"N/A")</f>
        <v>2.384501445505824</v>
      </c>
      <c r="P110" s="29">
        <f t="array" ref="P110">IFERROR(_xlfn.PERCENTILE.INC(IF(($B$2:$B$86="Room Tags")*ISNUMBER($K$2:$K$86),$K$2:$K$86),0.9),"N/A")</f>
        <v>4.2733398750206204</v>
      </c>
      <c r="Q110" s="29">
        <f t="array" ref="Q110">IFERROR(_xlfn.PERCENTILE.INC(IF(($B$2:$B$86="Room Tags")*ISNUMBER($K$2:$K$86),$K$2:$K$86),0.95),"N/A")</f>
        <v>5.4426632805850055</v>
      </c>
      <c r="R110" s="28">
        <f>COUNTIFS($B$2:$B$86,"Room Tags",$K$2:$K$86,"&gt;15")</f>
        <v>0</v>
      </c>
      <c r="S110" s="37">
        <f t="array" ref="S110">IF(SUMPRODUCT(($B$2:$B$86="Room Tags")*ISNUMBER($S$2:$S$86))=0,"N/A",SUMPRODUCT(($B$2:$B$86="Room Tags")*ISNUMBER($S$2:$S$86)*(IF(ISNUMBER($S$2:$S$86),$S$2:$S$86,0)))/SUMPRODUCT(($B$2:$B$86="Room Tags")*ISNUMBER($S$2:$S$86)))</f>
        <v>1.0241238538969923</v>
      </c>
      <c r="T110" s="38">
        <f t="array" ref="T110">IF(SUMPRODUCT(($B$2:$B$86="Room Tags")*ISNUMBER($S$2:$S$86))=0,"N/A",SUMPRODUCT(($B$2:$B$86="Room Tags")*ISNUMBER($S$2:$S$86)*(IF(ISNUMBER($S$2:$S$86),$S$2:$S$86,0)&gt;1))/SUMPRODUCT(($B$2:$B$86="Room Tags")*ISNUMBER($S$2:$S$86)))</f>
        <v>0.42857142857142855</v>
      </c>
    </row>
  </sheetData>
  <autoFilter ref="A1:H72" xr:uid="{00000000-0009-0000-0000-000009000000}"/>
  <mergeCells count="2">
    <mergeCell ref="J87:L87"/>
    <mergeCell ref="J96:L9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95"/>
  <sheetViews>
    <sheetView topLeftCell="E1" zoomScaleNormal="100" workbookViewId="0">
      <pane ySplit="1" topLeftCell="A75" activePane="bottomLeft" state="frozen"/>
      <selection pane="bottomLeft" activeCell="I91" sqref="I91:T95"/>
    </sheetView>
  </sheetViews>
  <sheetFormatPr defaultColWidth="8.6640625" defaultRowHeight="14.25" x14ac:dyDescent="0.45"/>
  <cols>
    <col min="1" max="1" width="10" customWidth="1"/>
    <col min="2" max="2" width="17" customWidth="1"/>
    <col min="3" max="4" width="16" customWidth="1"/>
    <col min="5" max="6" width="15" customWidth="1"/>
    <col min="7" max="7" width="12" customWidth="1"/>
    <col min="8" max="8" width="11" customWidth="1"/>
    <col min="10" max="10" width="17.9296875" customWidth="1"/>
    <col min="11" max="11" width="22.19921875" customWidth="1"/>
    <col min="12" max="12" width="26.19921875" customWidth="1"/>
    <col min="13" max="13" width="16" customWidth="1"/>
    <col min="14" max="14" width="17" customWidth="1"/>
    <col min="15" max="15" width="19" customWidth="1"/>
    <col min="16" max="17" width="12" customWidth="1"/>
    <col min="18" max="18" width="14" customWidth="1"/>
    <col min="19" max="19" width="17" customWidth="1"/>
    <col min="20" max="20" width="16" customWidth="1"/>
  </cols>
  <sheetData>
    <row r="1" spans="1:19" ht="33.75" customHeight="1" x14ac:dyDescent="0.45">
      <c r="A1" s="20" t="s">
        <v>106</v>
      </c>
      <c r="B1" s="20" t="s">
        <v>107</v>
      </c>
      <c r="C1" s="20" t="s">
        <v>108</v>
      </c>
      <c r="D1" s="20" t="s">
        <v>109</v>
      </c>
      <c r="E1" s="20" t="s">
        <v>110</v>
      </c>
      <c r="F1" s="20" t="s">
        <v>111</v>
      </c>
      <c r="G1" s="20" t="s">
        <v>112</v>
      </c>
      <c r="H1" s="20" t="s">
        <v>113</v>
      </c>
      <c r="J1" s="20" t="s">
        <v>40</v>
      </c>
      <c r="K1" s="20" t="s">
        <v>41</v>
      </c>
      <c r="L1" s="20" t="s">
        <v>42</v>
      </c>
      <c r="M1" s="20" t="s">
        <v>100</v>
      </c>
      <c r="N1" s="20" t="s">
        <v>101</v>
      </c>
      <c r="O1" s="20" t="s">
        <v>114</v>
      </c>
      <c r="P1" s="20" t="s">
        <v>115</v>
      </c>
      <c r="Q1" s="20" t="s">
        <v>116</v>
      </c>
      <c r="R1" s="20" t="s">
        <v>102</v>
      </c>
      <c r="S1" s="20" t="s">
        <v>103</v>
      </c>
    </row>
    <row r="2" spans="1:19" ht="14.25" customHeight="1" x14ac:dyDescent="0.45">
      <c r="A2" s="67">
        <v>2662075</v>
      </c>
      <c r="B2" s="68" t="s">
        <v>93</v>
      </c>
      <c r="C2" s="75">
        <v>43.892699999999998</v>
      </c>
      <c r="D2" s="75">
        <v>3.2082999999999999</v>
      </c>
      <c r="E2" s="75">
        <v>43.861499999999999</v>
      </c>
      <c r="F2" s="75">
        <v>0.9375</v>
      </c>
      <c r="G2" s="75">
        <v>43.861499999999999</v>
      </c>
      <c r="H2" s="75">
        <v>3.2082999999999999</v>
      </c>
      <c r="J2" s="69">
        <f t="shared" ref="J2:J33" si="0">IFERROR(SQRT((F2-H2)^2+(E2-G2)^2),"")</f>
        <v>2.2707999999999999</v>
      </c>
      <c r="K2" s="69">
        <f t="shared" ref="K2:K33" si="1">IFERROR(SQRT((D2-H2)^2+(C2-G2)^2),"")</f>
        <v>3.119999999999834E-2</v>
      </c>
      <c r="L2">
        <f t="shared" ref="L2:L33" si="2">IFERROR(SQRT((D2-F2)^2+(C2-E2)^2),"")</f>
        <v>2.2710143284444508</v>
      </c>
      <c r="M2" s="49">
        <f t="shared" ref="M2:M33" si="3">IF(AND(AND(ISNUMBER(E2),ISNUMBER(F2)),ISNUMBER(L2),L2&gt;0),K2/L2,"")</f>
        <v>1.3738354535776542E-2</v>
      </c>
      <c r="N2" s="48">
        <f t="shared" ref="N2:N33" si="4">IF(AND(AND(ISNUMBER(E2),ISNUMBER(F2)),ISNUMBER(L2),L2&gt;0),(L2-K2)/L2,"")</f>
        <v>0.98626164546422346</v>
      </c>
      <c r="O2" s="49">
        <f t="shared" ref="O2:O33" si="5">IFERROR(IF(AND(AND(ISNUMBER(E2),ISNUMBER(F2)),SQRT((G2-E2)^2+(H2-F2)^2)&gt;0,SQRT((C2-E2)^2+(D2-F2)^2)&gt;0),((G2-E2)*(C2-E2)+(H2-F2)*(D2-F2))/(SQRT((G2-E2)^2+(H2-F2)^2)*SQRT((C2-E2)^2+(D2-F2)^2)),""),"")</f>
        <v>0.99990562435394348</v>
      </c>
      <c r="P2" s="49">
        <f t="shared" ref="P2:P33" si="6">IF(AND(ISNUMBER(G2),ISNUMBER(C2)),G2-C2,"")</f>
        <v>-3.119999999999834E-2</v>
      </c>
      <c r="Q2" s="49">
        <f t="shared" ref="Q2:Q33" si="7">IF(AND(ISNUMBER(H2),ISNUMBER(D2)),H2-D2,"")</f>
        <v>0</v>
      </c>
      <c r="R2" s="46">
        <f t="shared" ref="R2:R33" si="8">IF(M2="","",IF(M2&lt;1,1,0))</f>
        <v>1</v>
      </c>
      <c r="S2" s="49">
        <f t="shared" ref="S2:S33" si="9">IF(AND(ISNUMBER(J2),ISNUMBER(L2),L2&gt;0),J2/L2,"")</f>
        <v>0.99990562435394337</v>
      </c>
    </row>
    <row r="3" spans="1:19" ht="14.25" customHeight="1" x14ac:dyDescent="0.45">
      <c r="A3" s="67">
        <v>2662076</v>
      </c>
      <c r="B3" s="68" t="s">
        <v>93</v>
      </c>
      <c r="C3" s="75">
        <v>-34.375</v>
      </c>
      <c r="D3" s="75">
        <v>-1.1875</v>
      </c>
      <c r="E3" s="75">
        <v>-34.375</v>
      </c>
      <c r="F3" s="75">
        <v>-3.5417000000000001</v>
      </c>
      <c r="G3" s="75">
        <v>-34.375</v>
      </c>
      <c r="H3" s="75">
        <v>-1.1875</v>
      </c>
      <c r="J3" s="69">
        <f t="shared" si="0"/>
        <v>2.3542000000000001</v>
      </c>
      <c r="K3" s="69">
        <f t="shared" si="1"/>
        <v>0</v>
      </c>
      <c r="L3">
        <f t="shared" si="2"/>
        <v>2.3542000000000001</v>
      </c>
      <c r="M3" s="49">
        <f t="shared" si="3"/>
        <v>0</v>
      </c>
      <c r="N3" s="48">
        <f t="shared" si="4"/>
        <v>1</v>
      </c>
      <c r="O3" s="49">
        <f t="shared" si="5"/>
        <v>1</v>
      </c>
      <c r="P3" s="49">
        <f t="shared" si="6"/>
        <v>0</v>
      </c>
      <c r="Q3" s="49">
        <f t="shared" si="7"/>
        <v>0</v>
      </c>
      <c r="R3" s="46">
        <f t="shared" si="8"/>
        <v>1</v>
      </c>
      <c r="S3" s="49">
        <f t="shared" si="9"/>
        <v>1</v>
      </c>
    </row>
    <row r="4" spans="1:19" ht="14.25" customHeight="1" x14ac:dyDescent="0.45">
      <c r="A4" s="67">
        <v>2662077</v>
      </c>
      <c r="B4" s="68" t="s">
        <v>93</v>
      </c>
      <c r="C4" s="75">
        <v>25.567699999999999</v>
      </c>
      <c r="D4" s="75">
        <v>12.354200000000001</v>
      </c>
      <c r="E4" s="75">
        <v>25.567699999999999</v>
      </c>
      <c r="F4" s="75">
        <v>14.541700000000001</v>
      </c>
      <c r="G4" s="75">
        <v>25.567699999999999</v>
      </c>
      <c r="H4" s="75">
        <v>12.354200000000001</v>
      </c>
      <c r="J4" s="69">
        <f t="shared" si="0"/>
        <v>2.1875</v>
      </c>
      <c r="K4" s="69">
        <f t="shared" si="1"/>
        <v>0</v>
      </c>
      <c r="L4">
        <f t="shared" si="2"/>
        <v>2.1875</v>
      </c>
      <c r="M4" s="49">
        <f t="shared" si="3"/>
        <v>0</v>
      </c>
      <c r="N4" s="48">
        <f t="shared" si="4"/>
        <v>1</v>
      </c>
      <c r="O4" s="49">
        <f t="shared" si="5"/>
        <v>1</v>
      </c>
      <c r="P4" s="49">
        <f t="shared" si="6"/>
        <v>0</v>
      </c>
      <c r="Q4" s="49">
        <f t="shared" si="7"/>
        <v>0</v>
      </c>
      <c r="R4" s="46">
        <f t="shared" si="8"/>
        <v>1</v>
      </c>
      <c r="S4" s="49">
        <f t="shared" si="9"/>
        <v>1</v>
      </c>
    </row>
    <row r="5" spans="1:19" ht="14.25" customHeight="1" x14ac:dyDescent="0.45">
      <c r="A5" s="67">
        <v>2662078</v>
      </c>
      <c r="B5" s="68" t="s">
        <v>93</v>
      </c>
      <c r="C5" s="75">
        <v>-29.156300000000002</v>
      </c>
      <c r="D5" s="75">
        <v>3.3281000000000001</v>
      </c>
      <c r="E5" s="75">
        <v>-29.156300000000002</v>
      </c>
      <c r="F5" s="75">
        <v>1.0156000000000001</v>
      </c>
      <c r="G5" s="75">
        <v>-29.156300000000002</v>
      </c>
      <c r="H5" s="75">
        <v>3.3281000000000001</v>
      </c>
      <c r="J5" s="69">
        <f t="shared" si="0"/>
        <v>2.3125</v>
      </c>
      <c r="K5" s="69">
        <f t="shared" si="1"/>
        <v>0</v>
      </c>
      <c r="L5">
        <f t="shared" si="2"/>
        <v>2.3125</v>
      </c>
      <c r="M5" s="49">
        <f t="shared" si="3"/>
        <v>0</v>
      </c>
      <c r="N5" s="48">
        <f t="shared" si="4"/>
        <v>1</v>
      </c>
      <c r="O5" s="49">
        <f t="shared" si="5"/>
        <v>1</v>
      </c>
      <c r="P5" s="49">
        <f t="shared" si="6"/>
        <v>0</v>
      </c>
      <c r="Q5" s="49">
        <f t="shared" si="7"/>
        <v>0</v>
      </c>
      <c r="R5" s="46">
        <f t="shared" si="8"/>
        <v>1</v>
      </c>
      <c r="S5" s="49">
        <f t="shared" si="9"/>
        <v>1</v>
      </c>
    </row>
    <row r="6" spans="1:19" ht="14.25" customHeight="1" x14ac:dyDescent="0.45">
      <c r="A6" s="67">
        <v>2662079</v>
      </c>
      <c r="B6" s="68" t="s">
        <v>93</v>
      </c>
      <c r="C6" s="75">
        <v>21.75</v>
      </c>
      <c r="D6" s="75">
        <v>8.1719000000000008</v>
      </c>
      <c r="E6" s="75">
        <v>21.75</v>
      </c>
      <c r="F6" s="75">
        <v>10.484400000000001</v>
      </c>
      <c r="G6" s="75">
        <v>21.75</v>
      </c>
      <c r="H6" s="75">
        <v>8.1719000000000008</v>
      </c>
      <c r="J6" s="69">
        <f t="shared" si="0"/>
        <v>2.3125</v>
      </c>
      <c r="K6" s="69">
        <f t="shared" si="1"/>
        <v>0</v>
      </c>
      <c r="L6">
        <f t="shared" si="2"/>
        <v>2.3125</v>
      </c>
      <c r="M6" s="49">
        <f t="shared" si="3"/>
        <v>0</v>
      </c>
      <c r="N6" s="48">
        <f t="shared" si="4"/>
        <v>1</v>
      </c>
      <c r="O6" s="49">
        <f t="shared" si="5"/>
        <v>1</v>
      </c>
      <c r="P6" s="49">
        <f t="shared" si="6"/>
        <v>0</v>
      </c>
      <c r="Q6" s="49">
        <f t="shared" si="7"/>
        <v>0</v>
      </c>
      <c r="R6" s="46">
        <f t="shared" si="8"/>
        <v>1</v>
      </c>
      <c r="S6" s="49">
        <f t="shared" si="9"/>
        <v>1</v>
      </c>
    </row>
    <row r="7" spans="1:19" ht="14.25" customHeight="1" x14ac:dyDescent="0.45">
      <c r="A7" s="67">
        <v>2662080</v>
      </c>
      <c r="B7" s="68" t="s">
        <v>93</v>
      </c>
      <c r="C7" s="75">
        <v>-27.998200000000001</v>
      </c>
      <c r="D7" s="75">
        <v>16.328099999999999</v>
      </c>
      <c r="E7" s="75">
        <v>-31.375</v>
      </c>
      <c r="F7" s="75">
        <v>16.322900000000001</v>
      </c>
      <c r="G7" s="75">
        <v>-27.998200000000001</v>
      </c>
      <c r="H7" s="75">
        <v>16.322900000000001</v>
      </c>
      <c r="J7" s="69">
        <f t="shared" si="0"/>
        <v>3.3767999999999994</v>
      </c>
      <c r="K7" s="69">
        <f t="shared" si="1"/>
        <v>5.1999999999985391E-3</v>
      </c>
      <c r="L7">
        <f t="shared" si="2"/>
        <v>3.3768040037881968</v>
      </c>
      <c r="M7" s="49">
        <f t="shared" si="3"/>
        <v>1.5399176245245588E-3</v>
      </c>
      <c r="N7" s="48">
        <f t="shared" si="4"/>
        <v>0.99846008237547546</v>
      </c>
      <c r="O7" s="49">
        <f t="shared" si="5"/>
        <v>0.9999988143261519</v>
      </c>
      <c r="P7" s="49">
        <f t="shared" si="6"/>
        <v>0</v>
      </c>
      <c r="Q7" s="49">
        <f t="shared" si="7"/>
        <v>-5.1999999999985391E-3</v>
      </c>
      <c r="R7" s="46">
        <f t="shared" si="8"/>
        <v>1</v>
      </c>
      <c r="S7" s="49">
        <f t="shared" si="9"/>
        <v>0.9999988143261519</v>
      </c>
    </row>
    <row r="8" spans="1:19" ht="14.25" customHeight="1" x14ac:dyDescent="0.45">
      <c r="A8" s="67">
        <v>2662081</v>
      </c>
      <c r="B8" s="68" t="s">
        <v>93</v>
      </c>
      <c r="C8" s="75">
        <v>-23.843800000000002</v>
      </c>
      <c r="D8" s="75">
        <v>8.1719000000000008</v>
      </c>
      <c r="E8" s="75">
        <v>-23.843800000000002</v>
      </c>
      <c r="F8" s="75">
        <v>10.484400000000001</v>
      </c>
      <c r="G8" s="75">
        <v>-23.843800000000002</v>
      </c>
      <c r="H8" s="75">
        <v>8.1719000000000008</v>
      </c>
      <c r="J8" s="69">
        <f t="shared" si="0"/>
        <v>2.3125</v>
      </c>
      <c r="K8" s="69">
        <f t="shared" si="1"/>
        <v>0</v>
      </c>
      <c r="L8">
        <f t="shared" si="2"/>
        <v>2.3125</v>
      </c>
      <c r="M8" s="49">
        <f t="shared" si="3"/>
        <v>0</v>
      </c>
      <c r="N8" s="48">
        <f t="shared" si="4"/>
        <v>1</v>
      </c>
      <c r="O8" s="49">
        <f t="shared" si="5"/>
        <v>1</v>
      </c>
      <c r="P8" s="49">
        <f t="shared" si="6"/>
        <v>0</v>
      </c>
      <c r="Q8" s="49">
        <f t="shared" si="7"/>
        <v>0</v>
      </c>
      <c r="R8" s="46">
        <f t="shared" si="8"/>
        <v>1</v>
      </c>
      <c r="S8" s="49">
        <f t="shared" si="9"/>
        <v>1</v>
      </c>
    </row>
    <row r="9" spans="1:19" ht="14.25" customHeight="1" x14ac:dyDescent="0.45">
      <c r="A9" s="67">
        <v>2662082</v>
      </c>
      <c r="B9" s="68" t="s">
        <v>93</v>
      </c>
      <c r="C9" s="75">
        <v>-13.974</v>
      </c>
      <c r="D9" s="75">
        <v>16.697900000000001</v>
      </c>
      <c r="E9" s="75">
        <v>-13.7865</v>
      </c>
      <c r="F9" s="75">
        <v>16.697900000000001</v>
      </c>
      <c r="G9" s="75">
        <v>-13.974</v>
      </c>
      <c r="H9" s="75">
        <v>16.697900000000001</v>
      </c>
      <c r="J9" s="69">
        <f t="shared" si="0"/>
        <v>0.1875</v>
      </c>
      <c r="K9" s="69">
        <f t="shared" si="1"/>
        <v>0</v>
      </c>
      <c r="L9">
        <f t="shared" si="2"/>
        <v>0.1875</v>
      </c>
      <c r="M9" s="49">
        <f t="shared" si="3"/>
        <v>0</v>
      </c>
      <c r="N9" s="48">
        <f t="shared" si="4"/>
        <v>1</v>
      </c>
      <c r="O9" s="49">
        <f t="shared" si="5"/>
        <v>1</v>
      </c>
      <c r="P9" s="49">
        <f t="shared" si="6"/>
        <v>0</v>
      </c>
      <c r="Q9" s="49">
        <f t="shared" si="7"/>
        <v>0</v>
      </c>
      <c r="R9" s="46">
        <f t="shared" si="8"/>
        <v>1</v>
      </c>
      <c r="S9" s="49">
        <f t="shared" si="9"/>
        <v>1</v>
      </c>
    </row>
    <row r="10" spans="1:19" ht="14.25" customHeight="1" x14ac:dyDescent="0.45">
      <c r="A10" s="67">
        <v>2662083</v>
      </c>
      <c r="B10" s="68" t="s">
        <v>93</v>
      </c>
      <c r="C10" s="75">
        <v>47.807299999999998</v>
      </c>
      <c r="D10" s="75">
        <v>6.8125</v>
      </c>
      <c r="E10" s="75">
        <v>46.328099999999999</v>
      </c>
      <c r="F10" s="75">
        <v>6.8125</v>
      </c>
      <c r="G10" s="75">
        <v>47.807299999999998</v>
      </c>
      <c r="H10" s="75">
        <v>6.8125</v>
      </c>
      <c r="J10" s="69">
        <f t="shared" si="0"/>
        <v>1.4791999999999987</v>
      </c>
      <c r="K10" s="69">
        <f t="shared" si="1"/>
        <v>0</v>
      </c>
      <c r="L10">
        <f t="shared" si="2"/>
        <v>1.4791999999999987</v>
      </c>
      <c r="M10" s="49">
        <f t="shared" si="3"/>
        <v>0</v>
      </c>
      <c r="N10" s="48">
        <f t="shared" si="4"/>
        <v>1</v>
      </c>
      <c r="O10" s="49">
        <f t="shared" si="5"/>
        <v>1</v>
      </c>
      <c r="P10" s="49">
        <f t="shared" si="6"/>
        <v>0</v>
      </c>
      <c r="Q10" s="49">
        <f t="shared" si="7"/>
        <v>0</v>
      </c>
      <c r="R10" s="46">
        <f t="shared" si="8"/>
        <v>1</v>
      </c>
      <c r="S10" s="49">
        <f t="shared" si="9"/>
        <v>1</v>
      </c>
    </row>
    <row r="11" spans="1:19" ht="14.25" customHeight="1" x14ac:dyDescent="0.45">
      <c r="A11" s="67">
        <v>2662084</v>
      </c>
      <c r="B11" s="68" t="s">
        <v>93</v>
      </c>
      <c r="C11" s="75">
        <v>-42.541699999999999</v>
      </c>
      <c r="D11" s="75">
        <v>18.791699999999999</v>
      </c>
      <c r="E11" s="75">
        <v>-42.510399999999997</v>
      </c>
      <c r="F11" s="75">
        <v>20.645800000000001</v>
      </c>
      <c r="G11" s="75">
        <v>-42.510399999999997</v>
      </c>
      <c r="H11" s="75">
        <v>18.791699999999999</v>
      </c>
      <c r="J11" s="69">
        <f t="shared" si="0"/>
        <v>1.8541000000000025</v>
      </c>
      <c r="K11" s="69">
        <f t="shared" si="1"/>
        <v>3.130000000000166E-2</v>
      </c>
      <c r="L11">
        <f t="shared" si="2"/>
        <v>1.8543641767463073</v>
      </c>
      <c r="M11" s="49">
        <f t="shared" si="3"/>
        <v>1.6879100875924528E-2</v>
      </c>
      <c r="N11" s="48">
        <f t="shared" si="4"/>
        <v>0.98312089912407552</v>
      </c>
      <c r="O11" s="49">
        <f t="shared" si="5"/>
        <v>0.99985753782907505</v>
      </c>
      <c r="P11" s="49">
        <f t="shared" si="6"/>
        <v>3.130000000000166E-2</v>
      </c>
      <c r="Q11" s="49">
        <f t="shared" si="7"/>
        <v>0</v>
      </c>
      <c r="R11" s="46">
        <f t="shared" si="8"/>
        <v>1</v>
      </c>
      <c r="S11" s="49">
        <f t="shared" si="9"/>
        <v>0.99985753782907505</v>
      </c>
    </row>
    <row r="12" spans="1:19" ht="14.25" customHeight="1" x14ac:dyDescent="0.45">
      <c r="A12" s="67">
        <v>2662085</v>
      </c>
      <c r="B12" s="68" t="s">
        <v>93</v>
      </c>
      <c r="C12" s="75">
        <v>3.0832999999999999</v>
      </c>
      <c r="D12" s="75">
        <v>16.041699999999999</v>
      </c>
      <c r="E12" s="75">
        <v>5.0208000000000004</v>
      </c>
      <c r="F12" s="75">
        <v>16.010400000000001</v>
      </c>
      <c r="G12" s="75">
        <v>3.0832999999999999</v>
      </c>
      <c r="H12" s="75">
        <v>16.010400000000001</v>
      </c>
      <c r="J12" s="69">
        <f t="shared" si="0"/>
        <v>1.9375000000000004</v>
      </c>
      <c r="K12" s="69">
        <f t="shared" si="1"/>
        <v>3.1299999999998107E-2</v>
      </c>
      <c r="L12">
        <f t="shared" si="2"/>
        <v>1.9377528067325827</v>
      </c>
      <c r="M12" s="49">
        <f t="shared" si="3"/>
        <v>1.6152731086879868E-2</v>
      </c>
      <c r="N12" s="48">
        <f t="shared" si="4"/>
        <v>0.98384726891312013</v>
      </c>
      <c r="O12" s="49">
        <f t="shared" si="5"/>
        <v>0.99986953612880658</v>
      </c>
      <c r="P12" s="49">
        <f t="shared" si="6"/>
        <v>0</v>
      </c>
      <c r="Q12" s="49">
        <f t="shared" si="7"/>
        <v>-3.1299999999998107E-2</v>
      </c>
      <c r="R12" s="46">
        <f t="shared" si="8"/>
        <v>1</v>
      </c>
      <c r="S12" s="49">
        <f t="shared" si="9"/>
        <v>0.99986953612880658</v>
      </c>
    </row>
    <row r="13" spans="1:19" ht="14.25" customHeight="1" x14ac:dyDescent="0.45">
      <c r="A13" s="67">
        <v>2662086</v>
      </c>
      <c r="B13" s="68" t="s">
        <v>93</v>
      </c>
      <c r="C13" s="75">
        <v>-46.062600000000003</v>
      </c>
      <c r="D13" s="75">
        <v>42.5</v>
      </c>
      <c r="E13" s="75">
        <v>-46.0625</v>
      </c>
      <c r="F13" s="75">
        <v>44.718800000000002</v>
      </c>
      <c r="G13" s="75">
        <v>-46.0625</v>
      </c>
      <c r="H13" s="75">
        <v>42.5</v>
      </c>
      <c r="J13" s="69">
        <f t="shared" si="0"/>
        <v>2.2188000000000017</v>
      </c>
      <c r="K13" s="69">
        <f t="shared" si="1"/>
        <v>1.0000000000331966E-4</v>
      </c>
      <c r="L13">
        <f t="shared" si="2"/>
        <v>2.218800002253472</v>
      </c>
      <c r="M13" s="49">
        <f t="shared" si="3"/>
        <v>4.5069406842327837E-5</v>
      </c>
      <c r="N13" s="48">
        <f t="shared" si="4"/>
        <v>0.99995493059315765</v>
      </c>
      <c r="O13" s="49">
        <f t="shared" si="5"/>
        <v>0.99999999898437442</v>
      </c>
      <c r="P13" s="49">
        <f t="shared" si="6"/>
        <v>1.0000000000331966E-4</v>
      </c>
      <c r="Q13" s="49">
        <f t="shared" si="7"/>
        <v>0</v>
      </c>
      <c r="R13" s="46">
        <f t="shared" si="8"/>
        <v>1</v>
      </c>
      <c r="S13" s="49">
        <f t="shared" si="9"/>
        <v>0.99999999898437431</v>
      </c>
    </row>
    <row r="14" spans="1:19" ht="14.25" customHeight="1" x14ac:dyDescent="0.45">
      <c r="A14" s="67">
        <v>2662087</v>
      </c>
      <c r="B14" s="68" t="s">
        <v>93</v>
      </c>
      <c r="C14" s="75">
        <v>-17.822900000000001</v>
      </c>
      <c r="D14" s="75">
        <v>8.1302000000000003</v>
      </c>
      <c r="E14" s="75">
        <v>-17.822900000000001</v>
      </c>
      <c r="F14" s="75">
        <v>10.484400000000001</v>
      </c>
      <c r="G14" s="75">
        <v>-17.822900000000001</v>
      </c>
      <c r="H14" s="75">
        <v>8.1302000000000003</v>
      </c>
      <c r="J14" s="69">
        <f t="shared" si="0"/>
        <v>2.3542000000000005</v>
      </c>
      <c r="K14" s="69">
        <f t="shared" si="1"/>
        <v>0</v>
      </c>
      <c r="L14">
        <f t="shared" si="2"/>
        <v>2.3542000000000005</v>
      </c>
      <c r="M14" s="49">
        <f t="shared" si="3"/>
        <v>0</v>
      </c>
      <c r="N14" s="48">
        <f t="shared" si="4"/>
        <v>1</v>
      </c>
      <c r="O14" s="49">
        <f t="shared" si="5"/>
        <v>1</v>
      </c>
      <c r="P14" s="49">
        <f t="shared" si="6"/>
        <v>0</v>
      </c>
      <c r="Q14" s="49">
        <f t="shared" si="7"/>
        <v>0</v>
      </c>
      <c r="R14" s="46">
        <f t="shared" si="8"/>
        <v>1</v>
      </c>
      <c r="S14" s="49">
        <f t="shared" si="9"/>
        <v>1</v>
      </c>
    </row>
    <row r="15" spans="1:19" ht="14.25" customHeight="1" x14ac:dyDescent="0.45">
      <c r="A15" s="67">
        <v>2662089</v>
      </c>
      <c r="B15" s="68" t="s">
        <v>93</v>
      </c>
      <c r="C15" s="75">
        <v>-39.552100000000003</v>
      </c>
      <c r="D15" s="75">
        <v>4.6875</v>
      </c>
      <c r="E15" s="75">
        <v>-41.072899999999997</v>
      </c>
      <c r="F15" s="75">
        <v>4.6875</v>
      </c>
      <c r="G15" s="75">
        <v>-39.552100000000003</v>
      </c>
      <c r="H15" s="75">
        <v>4.6875</v>
      </c>
      <c r="J15" s="69">
        <f t="shared" si="0"/>
        <v>1.5207999999999942</v>
      </c>
      <c r="K15" s="69">
        <f t="shared" si="1"/>
        <v>0</v>
      </c>
      <c r="L15">
        <f t="shared" si="2"/>
        <v>1.5207999999999942</v>
      </c>
      <c r="M15" s="49">
        <f t="shared" si="3"/>
        <v>0</v>
      </c>
      <c r="N15" s="48">
        <f t="shared" si="4"/>
        <v>1</v>
      </c>
      <c r="O15" s="49">
        <f t="shared" si="5"/>
        <v>1</v>
      </c>
      <c r="P15" s="49">
        <f t="shared" si="6"/>
        <v>0</v>
      </c>
      <c r="Q15" s="49">
        <f t="shared" si="7"/>
        <v>0</v>
      </c>
      <c r="R15" s="46">
        <f t="shared" si="8"/>
        <v>1</v>
      </c>
      <c r="S15" s="49">
        <f t="shared" si="9"/>
        <v>1</v>
      </c>
    </row>
    <row r="16" spans="1:19" ht="14.25" customHeight="1" x14ac:dyDescent="0.45">
      <c r="A16" s="67">
        <v>2662092</v>
      </c>
      <c r="B16" s="68" t="s">
        <v>93</v>
      </c>
      <c r="C16" s="75">
        <v>11.072900000000001</v>
      </c>
      <c r="D16" s="75">
        <v>43.307299999999998</v>
      </c>
      <c r="E16" s="75">
        <v>11.041700000000001</v>
      </c>
      <c r="F16" s="75">
        <v>40.973999999999997</v>
      </c>
      <c r="G16" s="75">
        <v>11.041700000000001</v>
      </c>
      <c r="H16" s="75">
        <v>43.307299999999998</v>
      </c>
      <c r="J16" s="69">
        <f t="shared" si="0"/>
        <v>2.3333000000000013</v>
      </c>
      <c r="K16" s="69">
        <f t="shared" si="1"/>
        <v>3.1200000000000117E-2</v>
      </c>
      <c r="L16">
        <f t="shared" si="2"/>
        <v>2.3335085879422013</v>
      </c>
      <c r="M16" s="49">
        <f t="shared" si="3"/>
        <v>1.3370424330648707E-2</v>
      </c>
      <c r="N16" s="48">
        <f t="shared" si="4"/>
        <v>0.98662957566935128</v>
      </c>
      <c r="O16" s="49">
        <f t="shared" si="5"/>
        <v>0.99991061188149122</v>
      </c>
      <c r="P16" s="49">
        <f t="shared" si="6"/>
        <v>-3.1200000000000117E-2</v>
      </c>
      <c r="Q16" s="49">
        <f t="shared" si="7"/>
        <v>0</v>
      </c>
      <c r="R16" s="46">
        <f t="shared" si="8"/>
        <v>1</v>
      </c>
      <c r="S16" s="49">
        <f t="shared" si="9"/>
        <v>0.99991061188149133</v>
      </c>
    </row>
    <row r="17" spans="1:19" ht="14.25" customHeight="1" x14ac:dyDescent="0.45">
      <c r="A17" s="70">
        <v>2662110</v>
      </c>
      <c r="B17" s="71" t="s">
        <v>55</v>
      </c>
      <c r="C17" s="78">
        <v>-34.760399999999997</v>
      </c>
      <c r="D17" s="78">
        <v>43.587600000000002</v>
      </c>
      <c r="E17" s="78">
        <v>-34.760399999999997</v>
      </c>
      <c r="F17" s="78">
        <v>42.603000000000002</v>
      </c>
      <c r="G17" s="78">
        <v>-34.760399999999997</v>
      </c>
      <c r="H17" s="78">
        <v>44.583300000000001</v>
      </c>
      <c r="J17" s="69">
        <f t="shared" si="0"/>
        <v>1.9802999999999997</v>
      </c>
      <c r="K17" s="69">
        <f t="shared" si="1"/>
        <v>0.99569999999999936</v>
      </c>
      <c r="L17">
        <f t="shared" si="2"/>
        <v>0.98460000000000036</v>
      </c>
      <c r="M17" s="49">
        <f t="shared" si="3"/>
        <v>1.0112736136502123</v>
      </c>
      <c r="N17" s="48">
        <f t="shared" si="4"/>
        <v>-1.1273613650212264E-2</v>
      </c>
      <c r="O17" s="49">
        <f t="shared" si="5"/>
        <v>1</v>
      </c>
      <c r="P17" s="49">
        <f t="shared" si="6"/>
        <v>0</v>
      </c>
      <c r="Q17" s="49">
        <f t="shared" si="7"/>
        <v>0.99569999999999936</v>
      </c>
      <c r="R17" s="46">
        <f t="shared" si="8"/>
        <v>0</v>
      </c>
      <c r="S17" s="49">
        <f t="shared" si="9"/>
        <v>2.0112736136502121</v>
      </c>
    </row>
    <row r="18" spans="1:19" ht="14.25" customHeight="1" x14ac:dyDescent="0.45">
      <c r="A18" s="70">
        <v>2662111</v>
      </c>
      <c r="B18" s="71" t="s">
        <v>55</v>
      </c>
      <c r="C18" s="78">
        <v>-26.427099999999999</v>
      </c>
      <c r="D18" s="78">
        <v>44.583300000000001</v>
      </c>
      <c r="E18" s="78">
        <v>-26.427099999999999</v>
      </c>
      <c r="F18" s="78">
        <v>42.603000000000002</v>
      </c>
      <c r="G18" s="78">
        <v>-26.427099999999999</v>
      </c>
      <c r="H18" s="78">
        <v>44.583300000000001</v>
      </c>
      <c r="J18" s="69">
        <f t="shared" si="0"/>
        <v>1.9802999999999997</v>
      </c>
      <c r="K18" s="69">
        <f t="shared" si="1"/>
        <v>0</v>
      </c>
      <c r="L18">
        <f t="shared" si="2"/>
        <v>1.9802999999999997</v>
      </c>
      <c r="M18" s="49">
        <f t="shared" si="3"/>
        <v>0</v>
      </c>
      <c r="N18" s="48">
        <f t="shared" si="4"/>
        <v>1</v>
      </c>
      <c r="O18" s="49">
        <f t="shared" si="5"/>
        <v>1</v>
      </c>
      <c r="P18" s="49">
        <f t="shared" si="6"/>
        <v>0</v>
      </c>
      <c r="Q18" s="49">
        <f t="shared" si="7"/>
        <v>0</v>
      </c>
      <c r="R18" s="46">
        <f t="shared" si="8"/>
        <v>1</v>
      </c>
      <c r="S18" s="49">
        <f t="shared" si="9"/>
        <v>1</v>
      </c>
    </row>
    <row r="19" spans="1:19" ht="14.25" customHeight="1" x14ac:dyDescent="0.45">
      <c r="A19" s="70">
        <v>2662112</v>
      </c>
      <c r="B19" s="71" t="s">
        <v>55</v>
      </c>
      <c r="C19" s="78">
        <v>-9.7604000000000006</v>
      </c>
      <c r="D19" s="78">
        <v>44.583300000000001</v>
      </c>
      <c r="E19" s="78">
        <v>-9.7604000000000006</v>
      </c>
      <c r="F19" s="78">
        <v>42.603000000000002</v>
      </c>
      <c r="G19" s="78">
        <v>-9.7604000000000006</v>
      </c>
      <c r="H19" s="78">
        <v>44.583300000000001</v>
      </c>
      <c r="J19" s="69">
        <f t="shared" si="0"/>
        <v>1.9802999999999997</v>
      </c>
      <c r="K19" s="69">
        <f t="shared" si="1"/>
        <v>0</v>
      </c>
      <c r="L19">
        <f t="shared" si="2"/>
        <v>1.9802999999999997</v>
      </c>
      <c r="M19" s="49">
        <f t="shared" si="3"/>
        <v>0</v>
      </c>
      <c r="N19" s="48">
        <f t="shared" si="4"/>
        <v>1</v>
      </c>
      <c r="O19" s="49">
        <f t="shared" si="5"/>
        <v>1</v>
      </c>
      <c r="P19" s="49">
        <f t="shared" si="6"/>
        <v>0</v>
      </c>
      <c r="Q19" s="49">
        <f t="shared" si="7"/>
        <v>0</v>
      </c>
      <c r="R19" s="46">
        <f t="shared" si="8"/>
        <v>1</v>
      </c>
      <c r="S19" s="49">
        <f t="shared" si="9"/>
        <v>1</v>
      </c>
    </row>
    <row r="20" spans="1:19" ht="14.25" customHeight="1" x14ac:dyDescent="0.45">
      <c r="A20" s="70">
        <v>2662113</v>
      </c>
      <c r="B20" s="71" t="s">
        <v>55</v>
      </c>
      <c r="C20" s="78">
        <v>36.072899999999997</v>
      </c>
      <c r="D20" s="78">
        <v>44.583300000000001</v>
      </c>
      <c r="E20" s="78">
        <v>36.072899999999997</v>
      </c>
      <c r="F20" s="78">
        <v>42.603000000000002</v>
      </c>
      <c r="G20" s="78">
        <v>36.072899999999997</v>
      </c>
      <c r="H20" s="78">
        <v>44.583300000000001</v>
      </c>
      <c r="J20" s="69">
        <f t="shared" si="0"/>
        <v>1.9802999999999997</v>
      </c>
      <c r="K20" s="69">
        <f t="shared" si="1"/>
        <v>0</v>
      </c>
      <c r="L20">
        <f t="shared" si="2"/>
        <v>1.9802999999999997</v>
      </c>
      <c r="M20" s="49">
        <f t="shared" si="3"/>
        <v>0</v>
      </c>
      <c r="N20" s="48">
        <f t="shared" si="4"/>
        <v>1</v>
      </c>
      <c r="O20" s="49">
        <f t="shared" si="5"/>
        <v>1</v>
      </c>
      <c r="P20" s="49">
        <f t="shared" si="6"/>
        <v>0</v>
      </c>
      <c r="Q20" s="49">
        <f t="shared" si="7"/>
        <v>0</v>
      </c>
      <c r="R20" s="46">
        <f t="shared" si="8"/>
        <v>1</v>
      </c>
      <c r="S20" s="49">
        <f t="shared" si="9"/>
        <v>1</v>
      </c>
    </row>
    <row r="21" spans="1:19" ht="14.25" customHeight="1" x14ac:dyDescent="0.45">
      <c r="A21" s="70">
        <v>2662114</v>
      </c>
      <c r="B21" s="71" t="s">
        <v>55</v>
      </c>
      <c r="C21" s="78">
        <v>-1.4271</v>
      </c>
      <c r="D21" s="78">
        <v>44.583300000000001</v>
      </c>
      <c r="E21" s="78">
        <v>-1.4271</v>
      </c>
      <c r="F21" s="78">
        <v>42.603000000000002</v>
      </c>
      <c r="G21" s="78">
        <v>-1.4271</v>
      </c>
      <c r="H21" s="78">
        <v>44.583300000000001</v>
      </c>
      <c r="J21" s="69">
        <f t="shared" si="0"/>
        <v>1.9802999999999997</v>
      </c>
      <c r="K21" s="69">
        <f t="shared" si="1"/>
        <v>0</v>
      </c>
      <c r="L21">
        <f t="shared" si="2"/>
        <v>1.9802999999999997</v>
      </c>
      <c r="M21" s="49">
        <f t="shared" si="3"/>
        <v>0</v>
      </c>
      <c r="N21" s="48">
        <f t="shared" si="4"/>
        <v>1</v>
      </c>
      <c r="O21" s="49">
        <f t="shared" si="5"/>
        <v>1</v>
      </c>
      <c r="P21" s="49">
        <f t="shared" si="6"/>
        <v>0</v>
      </c>
      <c r="Q21" s="49">
        <f t="shared" si="7"/>
        <v>0</v>
      </c>
      <c r="R21" s="46">
        <f t="shared" si="8"/>
        <v>1</v>
      </c>
      <c r="S21" s="49">
        <f t="shared" si="9"/>
        <v>1</v>
      </c>
    </row>
    <row r="22" spans="1:19" ht="14.25" customHeight="1" x14ac:dyDescent="0.45">
      <c r="A22" s="70">
        <v>2662115</v>
      </c>
      <c r="B22" s="71" t="s">
        <v>55</v>
      </c>
      <c r="C22" s="78">
        <v>27.739599999999999</v>
      </c>
      <c r="D22" s="78">
        <v>44.583300000000001</v>
      </c>
      <c r="E22" s="78">
        <v>27.739599999999999</v>
      </c>
      <c r="F22" s="78">
        <v>42.603000000000002</v>
      </c>
      <c r="G22" s="78">
        <v>27.739599999999999</v>
      </c>
      <c r="H22" s="78">
        <v>44.583300000000001</v>
      </c>
      <c r="J22" s="69">
        <f t="shared" si="0"/>
        <v>1.9802999999999997</v>
      </c>
      <c r="K22" s="69">
        <f t="shared" si="1"/>
        <v>0</v>
      </c>
      <c r="L22">
        <f t="shared" si="2"/>
        <v>1.9802999999999997</v>
      </c>
      <c r="M22" s="49">
        <f t="shared" si="3"/>
        <v>0</v>
      </c>
      <c r="N22" s="48">
        <f t="shared" si="4"/>
        <v>1</v>
      </c>
      <c r="O22" s="49">
        <f t="shared" si="5"/>
        <v>1</v>
      </c>
      <c r="P22" s="49">
        <f t="shared" si="6"/>
        <v>0</v>
      </c>
      <c r="Q22" s="49">
        <f t="shared" si="7"/>
        <v>0</v>
      </c>
      <c r="R22" s="46">
        <f t="shared" si="8"/>
        <v>1</v>
      </c>
      <c r="S22" s="49">
        <f t="shared" si="9"/>
        <v>1</v>
      </c>
    </row>
    <row r="23" spans="1:19" ht="14.25" customHeight="1" x14ac:dyDescent="0.45">
      <c r="A23" s="70">
        <v>2662116</v>
      </c>
      <c r="B23" s="71" t="s">
        <v>55</v>
      </c>
      <c r="C23" s="78">
        <v>-79.083299999999994</v>
      </c>
      <c r="D23" s="78">
        <v>44.354199999999999</v>
      </c>
      <c r="E23" s="78">
        <v>-79.083299999999994</v>
      </c>
      <c r="F23" s="78">
        <v>42.411200000000001</v>
      </c>
      <c r="G23" s="78">
        <v>-79.083299999999994</v>
      </c>
      <c r="H23" s="78">
        <v>44.354199999999999</v>
      </c>
      <c r="J23" s="69">
        <f t="shared" si="0"/>
        <v>1.9429999999999978</v>
      </c>
      <c r="K23" s="69">
        <f t="shared" si="1"/>
        <v>0</v>
      </c>
      <c r="L23">
        <f t="shared" si="2"/>
        <v>1.9429999999999978</v>
      </c>
      <c r="M23" s="49">
        <f t="shared" si="3"/>
        <v>0</v>
      </c>
      <c r="N23" s="48">
        <f t="shared" si="4"/>
        <v>1</v>
      </c>
      <c r="O23" s="49">
        <f t="shared" si="5"/>
        <v>1</v>
      </c>
      <c r="P23" s="49">
        <f t="shared" si="6"/>
        <v>0</v>
      </c>
      <c r="Q23" s="49">
        <f t="shared" si="7"/>
        <v>0</v>
      </c>
      <c r="R23" s="46">
        <f t="shared" si="8"/>
        <v>1</v>
      </c>
      <c r="S23" s="49">
        <f t="shared" si="9"/>
        <v>1</v>
      </c>
    </row>
    <row r="24" spans="1:19" ht="14.25" customHeight="1" x14ac:dyDescent="0.45">
      <c r="A24" s="70">
        <v>2662117</v>
      </c>
      <c r="B24" s="71" t="s">
        <v>55</v>
      </c>
      <c r="C24" s="78">
        <v>-85.708299999999994</v>
      </c>
      <c r="D24" s="78">
        <v>44.354199999999999</v>
      </c>
      <c r="E24" s="78">
        <v>-85.708299999999994</v>
      </c>
      <c r="F24" s="78">
        <v>42.411200000000001</v>
      </c>
      <c r="G24" s="78">
        <v>-85.708299999999994</v>
      </c>
      <c r="H24" s="78">
        <v>44.354199999999999</v>
      </c>
      <c r="J24" s="69">
        <f t="shared" si="0"/>
        <v>1.9429999999999978</v>
      </c>
      <c r="K24" s="69">
        <f t="shared" si="1"/>
        <v>0</v>
      </c>
      <c r="L24">
        <f t="shared" si="2"/>
        <v>1.9429999999999978</v>
      </c>
      <c r="M24" s="49">
        <f t="shared" si="3"/>
        <v>0</v>
      </c>
      <c r="N24" s="48">
        <f t="shared" si="4"/>
        <v>1</v>
      </c>
      <c r="O24" s="49">
        <f t="shared" si="5"/>
        <v>1</v>
      </c>
      <c r="P24" s="49">
        <f t="shared" si="6"/>
        <v>0</v>
      </c>
      <c r="Q24" s="49">
        <f t="shared" si="7"/>
        <v>0</v>
      </c>
      <c r="R24" s="46">
        <f t="shared" si="8"/>
        <v>1</v>
      </c>
      <c r="S24" s="49">
        <f t="shared" si="9"/>
        <v>1</v>
      </c>
    </row>
    <row r="25" spans="1:19" ht="14.25" customHeight="1" x14ac:dyDescent="0.45">
      <c r="A25" s="70">
        <v>2662118</v>
      </c>
      <c r="B25" s="71" t="s">
        <v>55</v>
      </c>
      <c r="C25" s="78">
        <v>-95.75</v>
      </c>
      <c r="D25" s="78">
        <v>44.354199999999999</v>
      </c>
      <c r="E25" s="78">
        <v>-95.75</v>
      </c>
      <c r="F25" s="78">
        <v>42.411200000000001</v>
      </c>
      <c r="G25" s="78">
        <v>-95.75</v>
      </c>
      <c r="H25" s="78">
        <v>44.354199999999999</v>
      </c>
      <c r="J25" s="69">
        <f t="shared" si="0"/>
        <v>1.9429999999999978</v>
      </c>
      <c r="K25" s="69">
        <f t="shared" si="1"/>
        <v>0</v>
      </c>
      <c r="L25">
        <f t="shared" si="2"/>
        <v>1.9429999999999978</v>
      </c>
      <c r="M25" s="49">
        <f t="shared" si="3"/>
        <v>0</v>
      </c>
      <c r="N25" s="48">
        <f t="shared" si="4"/>
        <v>1</v>
      </c>
      <c r="O25" s="49">
        <f t="shared" si="5"/>
        <v>1</v>
      </c>
      <c r="P25" s="49">
        <f t="shared" si="6"/>
        <v>0</v>
      </c>
      <c r="Q25" s="49">
        <f t="shared" si="7"/>
        <v>0</v>
      </c>
      <c r="R25" s="46">
        <f t="shared" si="8"/>
        <v>1</v>
      </c>
      <c r="S25" s="49">
        <f t="shared" si="9"/>
        <v>1</v>
      </c>
    </row>
    <row r="26" spans="1:19" ht="14.25" customHeight="1" x14ac:dyDescent="0.45">
      <c r="A26" s="70">
        <v>2662119</v>
      </c>
      <c r="B26" s="71" t="s">
        <v>55</v>
      </c>
      <c r="C26" s="78">
        <v>-73.291700000000006</v>
      </c>
      <c r="D26" s="78">
        <v>44.354199999999999</v>
      </c>
      <c r="E26" s="78">
        <v>-73.291700000000006</v>
      </c>
      <c r="F26" s="78">
        <v>42.411200000000001</v>
      </c>
      <c r="G26" s="78">
        <v>-73.291700000000006</v>
      </c>
      <c r="H26" s="78">
        <v>44.354199999999999</v>
      </c>
      <c r="J26" s="69">
        <f t="shared" si="0"/>
        <v>1.9429999999999978</v>
      </c>
      <c r="K26" s="69">
        <f t="shared" si="1"/>
        <v>0</v>
      </c>
      <c r="L26">
        <f t="shared" si="2"/>
        <v>1.9429999999999978</v>
      </c>
      <c r="M26" s="49">
        <f t="shared" si="3"/>
        <v>0</v>
      </c>
      <c r="N26" s="48">
        <f t="shared" si="4"/>
        <v>1</v>
      </c>
      <c r="O26" s="49">
        <f t="shared" si="5"/>
        <v>1</v>
      </c>
      <c r="P26" s="49">
        <f t="shared" si="6"/>
        <v>0</v>
      </c>
      <c r="Q26" s="49">
        <f t="shared" si="7"/>
        <v>0</v>
      </c>
      <c r="R26" s="46">
        <f t="shared" si="8"/>
        <v>1</v>
      </c>
      <c r="S26" s="49">
        <f t="shared" si="9"/>
        <v>1</v>
      </c>
    </row>
    <row r="27" spans="1:19" ht="14.25" customHeight="1" x14ac:dyDescent="0.45">
      <c r="A27" s="70">
        <v>2662120</v>
      </c>
      <c r="B27" s="71" t="s">
        <v>55</v>
      </c>
      <c r="C27" s="78">
        <v>-25.447900000000001</v>
      </c>
      <c r="D27" s="78">
        <v>-30.4375</v>
      </c>
      <c r="E27" s="78">
        <v>-25.447900000000001</v>
      </c>
      <c r="F27" s="78">
        <v>-27.2453</v>
      </c>
      <c r="G27" s="78">
        <v>-25.447900000000001</v>
      </c>
      <c r="H27" s="78">
        <v>-30.4375</v>
      </c>
      <c r="J27" s="69">
        <f t="shared" si="0"/>
        <v>3.1921999999999997</v>
      </c>
      <c r="K27" s="69">
        <f t="shared" si="1"/>
        <v>0</v>
      </c>
      <c r="L27">
        <f t="shared" si="2"/>
        <v>3.1921999999999997</v>
      </c>
      <c r="M27" s="49">
        <f t="shared" si="3"/>
        <v>0</v>
      </c>
      <c r="N27" s="48">
        <f t="shared" si="4"/>
        <v>1</v>
      </c>
      <c r="O27" s="49">
        <f t="shared" si="5"/>
        <v>1</v>
      </c>
      <c r="P27" s="49">
        <f t="shared" si="6"/>
        <v>0</v>
      </c>
      <c r="Q27" s="49">
        <f t="shared" si="7"/>
        <v>0</v>
      </c>
      <c r="R27" s="46">
        <f t="shared" si="8"/>
        <v>1</v>
      </c>
      <c r="S27" s="49">
        <f t="shared" si="9"/>
        <v>1</v>
      </c>
    </row>
    <row r="28" spans="1:19" ht="14.25" customHeight="1" x14ac:dyDescent="0.45">
      <c r="A28" s="70">
        <v>2662121</v>
      </c>
      <c r="B28" s="71" t="s">
        <v>55</v>
      </c>
      <c r="C28" s="78">
        <v>-31.947900000000001</v>
      </c>
      <c r="D28" s="78">
        <v>-30.4375</v>
      </c>
      <c r="E28" s="78">
        <v>-31.947900000000001</v>
      </c>
      <c r="F28" s="78">
        <v>-27.2453</v>
      </c>
      <c r="G28" s="78">
        <v>-31.947900000000001</v>
      </c>
      <c r="H28" s="78">
        <v>-30.4375</v>
      </c>
      <c r="J28" s="69">
        <f t="shared" si="0"/>
        <v>3.1921999999999997</v>
      </c>
      <c r="K28" s="69">
        <f t="shared" si="1"/>
        <v>0</v>
      </c>
      <c r="L28">
        <f t="shared" si="2"/>
        <v>3.1921999999999997</v>
      </c>
      <c r="M28" s="49">
        <f t="shared" si="3"/>
        <v>0</v>
      </c>
      <c r="N28" s="48">
        <f t="shared" si="4"/>
        <v>1</v>
      </c>
      <c r="O28" s="49">
        <f t="shared" si="5"/>
        <v>1</v>
      </c>
      <c r="P28" s="49">
        <f t="shared" si="6"/>
        <v>0</v>
      </c>
      <c r="Q28" s="49">
        <f t="shared" si="7"/>
        <v>0</v>
      </c>
      <c r="R28" s="46">
        <f t="shared" si="8"/>
        <v>1</v>
      </c>
      <c r="S28" s="49">
        <f t="shared" si="9"/>
        <v>1</v>
      </c>
    </row>
    <row r="29" spans="1:19" ht="14.25" customHeight="1" x14ac:dyDescent="0.45">
      <c r="A29" s="70">
        <v>2662122</v>
      </c>
      <c r="B29" s="71" t="s">
        <v>55</v>
      </c>
      <c r="C29" s="78">
        <v>-38.447899999999997</v>
      </c>
      <c r="D29" s="78">
        <v>-30.4375</v>
      </c>
      <c r="E29" s="78">
        <v>-38.447899999999997</v>
      </c>
      <c r="F29" s="78">
        <v>-27.2453</v>
      </c>
      <c r="G29" s="78">
        <v>-38.447899999999997</v>
      </c>
      <c r="H29" s="78">
        <v>-30.4375</v>
      </c>
      <c r="J29" s="69">
        <f t="shared" si="0"/>
        <v>3.1921999999999997</v>
      </c>
      <c r="K29" s="69">
        <f t="shared" si="1"/>
        <v>0</v>
      </c>
      <c r="L29">
        <f t="shared" si="2"/>
        <v>3.1921999999999997</v>
      </c>
      <c r="M29" s="49">
        <f t="shared" si="3"/>
        <v>0</v>
      </c>
      <c r="N29" s="48">
        <f t="shared" si="4"/>
        <v>1</v>
      </c>
      <c r="O29" s="49">
        <f t="shared" si="5"/>
        <v>1</v>
      </c>
      <c r="P29" s="49">
        <f t="shared" si="6"/>
        <v>0</v>
      </c>
      <c r="Q29" s="49">
        <f t="shared" si="7"/>
        <v>0</v>
      </c>
      <c r="R29" s="46">
        <f t="shared" si="8"/>
        <v>1</v>
      </c>
      <c r="S29" s="49">
        <f t="shared" si="9"/>
        <v>1</v>
      </c>
    </row>
    <row r="30" spans="1:19" ht="14.25" customHeight="1" x14ac:dyDescent="0.45">
      <c r="A30" s="70">
        <v>2662123</v>
      </c>
      <c r="B30" s="71" t="s">
        <v>55</v>
      </c>
      <c r="C30" s="78">
        <v>-44.947899999999997</v>
      </c>
      <c r="D30" s="78">
        <v>-30.4375</v>
      </c>
      <c r="E30" s="78">
        <v>-44.947899999999997</v>
      </c>
      <c r="F30" s="78">
        <v>-27.2453</v>
      </c>
      <c r="G30" s="78">
        <v>-44.947899999999997</v>
      </c>
      <c r="H30" s="78">
        <v>-30.4375</v>
      </c>
      <c r="J30" s="69">
        <f t="shared" si="0"/>
        <v>3.1921999999999997</v>
      </c>
      <c r="K30" s="69">
        <f t="shared" si="1"/>
        <v>0</v>
      </c>
      <c r="L30">
        <f t="shared" si="2"/>
        <v>3.1921999999999997</v>
      </c>
      <c r="M30" s="49">
        <f t="shared" si="3"/>
        <v>0</v>
      </c>
      <c r="N30" s="48">
        <f t="shared" si="4"/>
        <v>1</v>
      </c>
      <c r="O30" s="49">
        <f t="shared" si="5"/>
        <v>1</v>
      </c>
      <c r="P30" s="49">
        <f t="shared" si="6"/>
        <v>0</v>
      </c>
      <c r="Q30" s="49">
        <f t="shared" si="7"/>
        <v>0</v>
      </c>
      <c r="R30" s="46">
        <f t="shared" si="8"/>
        <v>1</v>
      </c>
      <c r="S30" s="49">
        <f t="shared" si="9"/>
        <v>1</v>
      </c>
    </row>
    <row r="31" spans="1:19" ht="14.25" customHeight="1" x14ac:dyDescent="0.45">
      <c r="A31" s="70">
        <v>2662124</v>
      </c>
      <c r="B31" s="71" t="s">
        <v>55</v>
      </c>
      <c r="C31" s="78">
        <v>-8.3332999999999995</v>
      </c>
      <c r="D31" s="78">
        <v>-30.416699999999999</v>
      </c>
      <c r="E31" s="78">
        <v>-8.3332999999999995</v>
      </c>
      <c r="F31" s="78">
        <v>-27.391200000000001</v>
      </c>
      <c r="G31" s="78">
        <v>-8.3332999999999995</v>
      </c>
      <c r="H31" s="78">
        <v>-30.416699999999999</v>
      </c>
      <c r="J31" s="69">
        <f t="shared" si="0"/>
        <v>3.0254999999999974</v>
      </c>
      <c r="K31" s="69">
        <f t="shared" si="1"/>
        <v>0</v>
      </c>
      <c r="L31">
        <f t="shared" si="2"/>
        <v>3.0254999999999974</v>
      </c>
      <c r="M31" s="49">
        <f t="shared" si="3"/>
        <v>0</v>
      </c>
      <c r="N31" s="48">
        <f t="shared" si="4"/>
        <v>1</v>
      </c>
      <c r="O31" s="49">
        <f t="shared" si="5"/>
        <v>1</v>
      </c>
      <c r="P31" s="49">
        <f t="shared" si="6"/>
        <v>0</v>
      </c>
      <c r="Q31" s="49">
        <f t="shared" si="7"/>
        <v>0</v>
      </c>
      <c r="R31" s="46">
        <f t="shared" si="8"/>
        <v>1</v>
      </c>
      <c r="S31" s="49">
        <f t="shared" si="9"/>
        <v>1</v>
      </c>
    </row>
    <row r="32" spans="1:19" ht="14.25" customHeight="1" x14ac:dyDescent="0.45">
      <c r="A32" s="70">
        <v>2662125</v>
      </c>
      <c r="B32" s="71" t="s">
        <v>55</v>
      </c>
      <c r="C32" s="78">
        <v>-12.166700000000001</v>
      </c>
      <c r="D32" s="78">
        <v>-30.416699999999999</v>
      </c>
      <c r="E32" s="78">
        <v>-12.166700000000001</v>
      </c>
      <c r="F32" s="78">
        <v>-27.391200000000001</v>
      </c>
      <c r="G32" s="78">
        <v>-12.166700000000001</v>
      </c>
      <c r="H32" s="78">
        <v>-30.416699999999999</v>
      </c>
      <c r="J32" s="69">
        <f t="shared" si="0"/>
        <v>3.0254999999999974</v>
      </c>
      <c r="K32" s="69">
        <f t="shared" si="1"/>
        <v>0</v>
      </c>
      <c r="L32">
        <f t="shared" si="2"/>
        <v>3.0254999999999974</v>
      </c>
      <c r="M32" s="49">
        <f t="shared" si="3"/>
        <v>0</v>
      </c>
      <c r="N32" s="48">
        <f t="shared" si="4"/>
        <v>1</v>
      </c>
      <c r="O32" s="49">
        <f t="shared" si="5"/>
        <v>1</v>
      </c>
      <c r="P32" s="49">
        <f t="shared" si="6"/>
        <v>0</v>
      </c>
      <c r="Q32" s="49">
        <f t="shared" si="7"/>
        <v>0</v>
      </c>
      <c r="R32" s="46">
        <f t="shared" si="8"/>
        <v>1</v>
      </c>
      <c r="S32" s="49">
        <f t="shared" si="9"/>
        <v>1</v>
      </c>
    </row>
    <row r="33" spans="1:19" ht="14.25" customHeight="1" x14ac:dyDescent="0.45">
      <c r="A33" s="70">
        <v>2662126</v>
      </c>
      <c r="B33" s="71" t="s">
        <v>55</v>
      </c>
      <c r="C33" s="78">
        <v>-4.5</v>
      </c>
      <c r="D33" s="78">
        <v>-30.416699999999999</v>
      </c>
      <c r="E33" s="78">
        <v>-4.5</v>
      </c>
      <c r="F33" s="78">
        <v>-27.391200000000001</v>
      </c>
      <c r="G33" s="78">
        <v>-4.5</v>
      </c>
      <c r="H33" s="78">
        <v>-30.416699999999999</v>
      </c>
      <c r="J33" s="69">
        <f t="shared" si="0"/>
        <v>3.0254999999999974</v>
      </c>
      <c r="K33" s="69">
        <f t="shared" si="1"/>
        <v>0</v>
      </c>
      <c r="L33">
        <f t="shared" si="2"/>
        <v>3.0254999999999974</v>
      </c>
      <c r="M33" s="49">
        <f t="shared" si="3"/>
        <v>0</v>
      </c>
      <c r="N33" s="48">
        <f t="shared" si="4"/>
        <v>1</v>
      </c>
      <c r="O33" s="49">
        <f t="shared" si="5"/>
        <v>1</v>
      </c>
      <c r="P33" s="49">
        <f t="shared" si="6"/>
        <v>0</v>
      </c>
      <c r="Q33" s="49">
        <f t="shared" si="7"/>
        <v>0</v>
      </c>
      <c r="R33" s="46">
        <f t="shared" si="8"/>
        <v>1</v>
      </c>
      <c r="S33" s="49">
        <f t="shared" si="9"/>
        <v>1</v>
      </c>
    </row>
    <row r="34" spans="1:19" ht="14.25" customHeight="1" x14ac:dyDescent="0.45">
      <c r="A34" s="76">
        <v>2662129</v>
      </c>
      <c r="B34" s="77" t="s">
        <v>94</v>
      </c>
      <c r="C34">
        <v>6.0923999999999996</v>
      </c>
      <c r="D34">
        <v>35.001899999999999</v>
      </c>
      <c r="E34">
        <v>3.5832999999999999</v>
      </c>
      <c r="F34">
        <v>35.156300000000002</v>
      </c>
      <c r="G34">
        <v>7.5808999999999997</v>
      </c>
      <c r="H34">
        <v>35.156300000000002</v>
      </c>
      <c r="J34" s="69">
        <f t="shared" ref="J34:J70" si="10">IFERROR(SQRT((F34-H34)^2+(E34-G34)^2),"")</f>
        <v>3.9975999999999998</v>
      </c>
      <c r="K34" s="69">
        <f t="shared" ref="K34:K70" si="11">IFERROR(SQRT((D34-H34)^2+(C34-G34)^2),"")</f>
        <v>1.4964864215889169</v>
      </c>
      <c r="L34">
        <f t="shared" ref="L34:L70" si="12">IFERROR(SQRT((D34-F34)^2+(C34-E34)^2),"")</f>
        <v>2.513846091151962</v>
      </c>
      <c r="M34" s="49">
        <f t="shared" ref="M34:M65" si="13">IF(AND(AND(ISNUMBER(E34),ISNUMBER(F34)),ISNUMBER(L34),L34&gt;0),K34/L34,"")</f>
        <v>0.59529755097423509</v>
      </c>
      <c r="N34" s="48">
        <f t="shared" ref="N34:N70" si="14">IF(AND(AND(ISNUMBER(E34),ISNUMBER(F34)),ISNUMBER(L34),L34&gt;0),(L34-K34)/L34,"")</f>
        <v>0.40470244902576485</v>
      </c>
      <c r="O34" s="49">
        <f t="shared" ref="O34:O70" si="15">IFERROR(IF(AND(AND(ISNUMBER(E34),ISNUMBER(F34)),SQRT((G34-E34)^2+(H34-F34)^2)&gt;0,SQRT((C34-E34)^2+(D34-F34)^2)&gt;0),((G34-E34)*(C34-E34)+(H34-F34)*(D34-F34))/(SQRT((G34-E34)^2+(H34-F34)^2)*SQRT((C34-E34)^2+(D34-F34)^2)),""),"")</f>
        <v>0.99811201999650367</v>
      </c>
      <c r="P34" s="49">
        <f t="shared" ref="P34:P70" si="16">IF(AND(ISNUMBER(G34),ISNUMBER(C34)),G34-C34,"")</f>
        <v>1.4885000000000002</v>
      </c>
      <c r="Q34" s="49">
        <f t="shared" ref="Q34:Q70" si="17">IF(AND(ISNUMBER(H34),ISNUMBER(D34)),H34-D34,"")</f>
        <v>0.15440000000000254</v>
      </c>
      <c r="R34" s="46">
        <f t="shared" ref="R34:R70" si="18">IF(M34="","",IF(M34&lt;1,1,0))</f>
        <v>1</v>
      </c>
      <c r="S34" s="49">
        <f t="shared" ref="S34:S70" si="19">IF(AND(ISNUMBER(J34),ISNUMBER(L34),L34&gt;0),J34/L34,"")</f>
        <v>1.5902325977992202</v>
      </c>
    </row>
    <row r="35" spans="1:19" ht="14.25" customHeight="1" x14ac:dyDescent="0.45">
      <c r="A35" s="76">
        <v>2662131</v>
      </c>
      <c r="B35" s="77" t="s">
        <v>94</v>
      </c>
      <c r="C35">
        <v>-17.741</v>
      </c>
      <c r="D35">
        <v>35.691600000000001</v>
      </c>
      <c r="E35">
        <v>-20.25</v>
      </c>
      <c r="F35">
        <v>25.614599999999999</v>
      </c>
      <c r="G35">
        <v>-16.252400000000002</v>
      </c>
      <c r="H35">
        <v>25.614599999999999</v>
      </c>
      <c r="J35" s="69">
        <f t="shared" si="10"/>
        <v>3.9975999999999985</v>
      </c>
      <c r="K35" s="69">
        <f t="shared" si="11"/>
        <v>10.186356510548805</v>
      </c>
      <c r="L35">
        <f t="shared" si="12"/>
        <v>10.38465261816687</v>
      </c>
      <c r="M35" s="49">
        <f t="shared" si="13"/>
        <v>0.98090488773103812</v>
      </c>
      <c r="N35" s="48">
        <f t="shared" si="14"/>
        <v>1.9095112268961822E-2</v>
      </c>
      <c r="O35" s="49">
        <f t="shared" si="15"/>
        <v>0.24160654113848407</v>
      </c>
      <c r="P35" s="49">
        <f t="shared" si="16"/>
        <v>1.4885999999999981</v>
      </c>
      <c r="Q35" s="49">
        <f t="shared" si="17"/>
        <v>-10.077000000000002</v>
      </c>
      <c r="R35" s="46">
        <f t="shared" si="18"/>
        <v>1</v>
      </c>
      <c r="S35" s="49">
        <f t="shared" si="19"/>
        <v>0.38495269384424213</v>
      </c>
    </row>
    <row r="36" spans="1:19" ht="14.25" customHeight="1" x14ac:dyDescent="0.45">
      <c r="A36" s="76">
        <v>2662132</v>
      </c>
      <c r="B36" s="77" t="s">
        <v>94</v>
      </c>
      <c r="C36">
        <v>6.0923999999999996</v>
      </c>
      <c r="D36">
        <v>-17.0091</v>
      </c>
      <c r="E36">
        <v>3.5832999999999999</v>
      </c>
      <c r="F36">
        <v>-13.651</v>
      </c>
      <c r="G36">
        <v>7.5808999999999997</v>
      </c>
      <c r="H36">
        <v>-13.789099999999999</v>
      </c>
      <c r="J36" s="69">
        <f t="shared" si="10"/>
        <v>3.9999846712206284</v>
      </c>
      <c r="K36" s="69">
        <f t="shared" si="11"/>
        <v>3.547397954839576</v>
      </c>
      <c r="L36">
        <f t="shared" si="12"/>
        <v>4.1919468531936328</v>
      </c>
      <c r="M36" s="49">
        <f t="shared" si="13"/>
        <v>0.84624115693093593</v>
      </c>
      <c r="N36" s="48">
        <f t="shared" si="14"/>
        <v>0.15375884306906409</v>
      </c>
      <c r="O36" s="49">
        <f t="shared" si="15"/>
        <v>0.62585311510550168</v>
      </c>
      <c r="P36" s="49">
        <f t="shared" si="16"/>
        <v>1.4885000000000002</v>
      </c>
      <c r="Q36" s="49">
        <f t="shared" si="17"/>
        <v>3.2200000000000006</v>
      </c>
      <c r="R36" s="46">
        <f t="shared" si="18"/>
        <v>1</v>
      </c>
      <c r="S36" s="49">
        <f t="shared" si="19"/>
        <v>0.95420691418672021</v>
      </c>
    </row>
    <row r="37" spans="1:19" ht="14.25" customHeight="1" x14ac:dyDescent="0.45">
      <c r="A37" s="76">
        <v>2662133</v>
      </c>
      <c r="B37" s="77" t="s">
        <v>94</v>
      </c>
      <c r="C37">
        <v>-17.741</v>
      </c>
      <c r="D37">
        <v>-17.871200000000002</v>
      </c>
      <c r="E37">
        <v>-20.25</v>
      </c>
      <c r="F37">
        <v>-12.523400000000001</v>
      </c>
      <c r="G37">
        <v>-16.252400000000002</v>
      </c>
      <c r="H37">
        <v>-12.523400000000001</v>
      </c>
      <c r="J37" s="69">
        <f t="shared" si="10"/>
        <v>3.9975999999999985</v>
      </c>
      <c r="K37" s="69">
        <f t="shared" si="11"/>
        <v>5.551116536337533</v>
      </c>
      <c r="L37">
        <f t="shared" si="12"/>
        <v>5.9071182348079008</v>
      </c>
      <c r="M37" s="49">
        <f t="shared" si="13"/>
        <v>0.93973343950141119</v>
      </c>
      <c r="N37" s="48">
        <f t="shared" si="14"/>
        <v>6.0266560498588861E-2</v>
      </c>
      <c r="O37" s="49">
        <f t="shared" si="15"/>
        <v>0.42474179460563871</v>
      </c>
      <c r="P37" s="49">
        <f t="shared" si="16"/>
        <v>1.4885999999999981</v>
      </c>
      <c r="Q37" s="49">
        <f t="shared" si="17"/>
        <v>5.3478000000000012</v>
      </c>
      <c r="R37" s="46">
        <f t="shared" si="18"/>
        <v>1</v>
      </c>
      <c r="S37" s="49">
        <f t="shared" si="19"/>
        <v>0.67674284500418502</v>
      </c>
    </row>
    <row r="38" spans="1:19" ht="14.25" customHeight="1" x14ac:dyDescent="0.45">
      <c r="A38" s="76">
        <v>2662137</v>
      </c>
      <c r="B38" s="77" t="s">
        <v>94</v>
      </c>
      <c r="C38">
        <v>-47.140599999999999</v>
      </c>
      <c r="D38">
        <v>-16.951599999999999</v>
      </c>
      <c r="E38">
        <v>-43.026000000000003</v>
      </c>
      <c r="F38">
        <v>-11.890599999999999</v>
      </c>
      <c r="G38">
        <v>-45.640599999999999</v>
      </c>
      <c r="H38">
        <v>-8.4582999999999995</v>
      </c>
      <c r="J38" s="69">
        <f t="shared" si="10"/>
        <v>4.3147209005913663</v>
      </c>
      <c r="K38" s="69">
        <f t="shared" si="11"/>
        <v>8.6247402795678436</v>
      </c>
      <c r="L38">
        <f t="shared" si="12"/>
        <v>6.522549667116377</v>
      </c>
      <c r="M38" s="49">
        <f t="shared" si="13"/>
        <v>1.3222958382440109</v>
      </c>
      <c r="N38" s="48">
        <f t="shared" si="14"/>
        <v>-0.32229583824401087</v>
      </c>
      <c r="O38" s="49">
        <f t="shared" si="15"/>
        <v>-0.23497287128733374</v>
      </c>
      <c r="P38" s="49">
        <f t="shared" si="16"/>
        <v>1.5</v>
      </c>
      <c r="Q38" s="49">
        <f t="shared" si="17"/>
        <v>8.4932999999999996</v>
      </c>
      <c r="R38" s="46">
        <f t="shared" si="18"/>
        <v>0</v>
      </c>
      <c r="S38" s="49">
        <f t="shared" si="19"/>
        <v>0.66150832432049644</v>
      </c>
    </row>
    <row r="39" spans="1:19" ht="14.25" customHeight="1" x14ac:dyDescent="0.45">
      <c r="A39" s="76">
        <v>2662139</v>
      </c>
      <c r="B39" s="77" t="s">
        <v>94</v>
      </c>
      <c r="C39">
        <v>7.5888999999999998</v>
      </c>
      <c r="D39">
        <v>5.75</v>
      </c>
      <c r="E39">
        <v>9.2240000000000002</v>
      </c>
      <c r="F39">
        <v>11.145799999999999</v>
      </c>
      <c r="G39">
        <v>13.224</v>
      </c>
      <c r="H39">
        <v>11.2841</v>
      </c>
      <c r="J39" s="69">
        <f t="shared" si="10"/>
        <v>4.0023901471495753</v>
      </c>
      <c r="K39" s="69">
        <f t="shared" si="11"/>
        <v>7.8981399595094546</v>
      </c>
      <c r="L39">
        <f t="shared" si="12"/>
        <v>5.6381033734758708</v>
      </c>
      <c r="M39" s="49">
        <f t="shared" si="13"/>
        <v>1.4008505052720024</v>
      </c>
      <c r="N39" s="48">
        <f t="shared" si="14"/>
        <v>-0.40085050527200233</v>
      </c>
      <c r="O39" s="49">
        <f t="shared" si="15"/>
        <v>-0.32290502775538238</v>
      </c>
      <c r="P39" s="49">
        <f t="shared" si="16"/>
        <v>5.6351000000000004</v>
      </c>
      <c r="Q39" s="49">
        <f t="shared" si="17"/>
        <v>5.5341000000000005</v>
      </c>
      <c r="R39" s="46">
        <f t="shared" si="18"/>
        <v>0</v>
      </c>
      <c r="S39" s="49">
        <f t="shared" si="19"/>
        <v>0.70988236327460519</v>
      </c>
    </row>
    <row r="40" spans="1:19" ht="14.25" customHeight="1" x14ac:dyDescent="0.45">
      <c r="A40" s="76">
        <v>2662140</v>
      </c>
      <c r="B40" s="77" t="s">
        <v>94</v>
      </c>
      <c r="C40">
        <v>-33.850999999999999</v>
      </c>
      <c r="D40">
        <v>5.75</v>
      </c>
      <c r="E40">
        <v>-34.945300000000003</v>
      </c>
      <c r="F40">
        <v>2.4948000000000001</v>
      </c>
      <c r="G40">
        <v>-34.700499999999998</v>
      </c>
      <c r="H40">
        <v>5.65</v>
      </c>
      <c r="J40" s="69">
        <f t="shared" si="10"/>
        <v>3.164682303170415</v>
      </c>
      <c r="K40" s="69">
        <f t="shared" si="11"/>
        <v>0.85536556512405748</v>
      </c>
      <c r="L40">
        <f t="shared" si="12"/>
        <v>3.4342130874481285</v>
      </c>
      <c r="M40" s="49">
        <f t="shared" si="13"/>
        <v>0.24907177957313553</v>
      </c>
      <c r="N40" s="48">
        <f t="shared" si="14"/>
        <v>0.75092822042686436</v>
      </c>
      <c r="O40" s="49">
        <f t="shared" si="15"/>
        <v>0.96968201691425826</v>
      </c>
      <c r="P40" s="49">
        <f t="shared" si="16"/>
        <v>-0.84949999999999903</v>
      </c>
      <c r="Q40" s="49">
        <f t="shared" si="17"/>
        <v>-9.9999999999999645E-2</v>
      </c>
      <c r="R40" s="46">
        <f t="shared" si="18"/>
        <v>1</v>
      </c>
      <c r="S40" s="49">
        <f t="shared" si="19"/>
        <v>0.92151599874136103</v>
      </c>
    </row>
    <row r="41" spans="1:19" ht="14.25" customHeight="1" x14ac:dyDescent="0.45">
      <c r="A41" s="76">
        <v>2662141</v>
      </c>
      <c r="B41" s="77" t="s">
        <v>94</v>
      </c>
      <c r="C41">
        <v>-2.4895999999999998</v>
      </c>
      <c r="D41">
        <v>13.929600000000001</v>
      </c>
      <c r="E41">
        <v>-4.9896000000000003</v>
      </c>
      <c r="F41">
        <v>13.875</v>
      </c>
      <c r="G41">
        <v>-0.98960000000000004</v>
      </c>
      <c r="H41">
        <v>13.747400000000001</v>
      </c>
      <c r="J41" s="69">
        <f t="shared" si="10"/>
        <v>4.0020347024982179</v>
      </c>
      <c r="K41" s="69">
        <f t="shared" si="11"/>
        <v>1.5110250957545341</v>
      </c>
      <c r="L41">
        <f t="shared" si="12"/>
        <v>2.5005961609184322</v>
      </c>
      <c r="M41" s="49">
        <f t="shared" si="13"/>
        <v>0.60426594240613285</v>
      </c>
      <c r="N41" s="48">
        <f t="shared" si="14"/>
        <v>0.39573405759386721</v>
      </c>
      <c r="O41" s="49">
        <f t="shared" si="15"/>
        <v>0.99855712091475268</v>
      </c>
      <c r="P41" s="49">
        <f t="shared" si="16"/>
        <v>1.4999999999999998</v>
      </c>
      <c r="Q41" s="49">
        <f t="shared" si="17"/>
        <v>-0.18219999999999992</v>
      </c>
      <c r="R41" s="46">
        <f t="shared" si="18"/>
        <v>1</v>
      </c>
      <c r="S41" s="49">
        <f t="shared" si="19"/>
        <v>1.6004322349388593</v>
      </c>
    </row>
    <row r="42" spans="1:19" ht="14.25" customHeight="1" x14ac:dyDescent="0.45">
      <c r="A42" s="76">
        <v>2662142</v>
      </c>
      <c r="B42" s="77" t="s">
        <v>94</v>
      </c>
      <c r="C42">
        <v>11.724</v>
      </c>
      <c r="D42">
        <v>11.381600000000001</v>
      </c>
      <c r="E42">
        <v>9.2240000000000002</v>
      </c>
      <c r="F42">
        <v>11.145799999999999</v>
      </c>
      <c r="G42">
        <v>13.224</v>
      </c>
      <c r="H42">
        <v>11.2841</v>
      </c>
      <c r="J42" s="69">
        <f t="shared" si="10"/>
        <v>4.0023901471495753</v>
      </c>
      <c r="K42" s="69">
        <f t="shared" si="11"/>
        <v>1.5031654100597178</v>
      </c>
      <c r="L42">
        <f t="shared" si="12"/>
        <v>2.5110957050658187</v>
      </c>
      <c r="M42" s="49">
        <f t="shared" si="13"/>
        <v>0.59860936683029298</v>
      </c>
      <c r="N42" s="48">
        <f t="shared" si="14"/>
        <v>0.40139063316970702</v>
      </c>
      <c r="O42" s="49">
        <f t="shared" si="15"/>
        <v>0.99823155341605896</v>
      </c>
      <c r="P42" s="49">
        <f t="shared" si="16"/>
        <v>1.5</v>
      </c>
      <c r="Q42" s="49">
        <f t="shared" si="17"/>
        <v>-9.7500000000000142E-2</v>
      </c>
      <c r="R42" s="46">
        <f t="shared" si="18"/>
        <v>1</v>
      </c>
      <c r="S42" s="49">
        <f t="shared" si="19"/>
        <v>1.5938819611993515</v>
      </c>
    </row>
    <row r="43" spans="1:19" ht="14.25" customHeight="1" x14ac:dyDescent="0.45">
      <c r="A43" s="76">
        <v>2662149</v>
      </c>
      <c r="B43" s="77" t="s">
        <v>94</v>
      </c>
      <c r="C43">
        <v>1.0719000000000001</v>
      </c>
      <c r="D43">
        <v>11.0009</v>
      </c>
      <c r="E43">
        <v>3.5832999999999999</v>
      </c>
      <c r="F43">
        <v>13.875</v>
      </c>
      <c r="G43">
        <v>-0.41909999999999997</v>
      </c>
      <c r="H43">
        <v>13.747400000000001</v>
      </c>
      <c r="J43" s="69">
        <f t="shared" si="10"/>
        <v>4.0044334830285289</v>
      </c>
      <c r="K43" s="69">
        <f t="shared" si="11"/>
        <v>3.1251149178870214</v>
      </c>
      <c r="L43">
        <f t="shared" si="12"/>
        <v>3.8167500271828128</v>
      </c>
      <c r="M43" s="49">
        <f t="shared" si="13"/>
        <v>0.81878951873453054</v>
      </c>
      <c r="N43" s="48">
        <f t="shared" si="14"/>
        <v>0.18121048126546951</v>
      </c>
      <c r="O43" s="49">
        <f t="shared" si="15"/>
        <v>0.68165506138521248</v>
      </c>
      <c r="P43" s="49">
        <f t="shared" si="16"/>
        <v>-1.4910000000000001</v>
      </c>
      <c r="Q43" s="49">
        <f t="shared" si="17"/>
        <v>2.7465000000000011</v>
      </c>
      <c r="R43" s="46">
        <f t="shared" si="18"/>
        <v>1</v>
      </c>
      <c r="S43" s="49">
        <f t="shared" si="19"/>
        <v>1.0491736305781196</v>
      </c>
    </row>
    <row r="44" spans="1:19" ht="14.25" customHeight="1" x14ac:dyDescent="0.45">
      <c r="A44" s="76">
        <v>2662151</v>
      </c>
      <c r="B44" s="77" t="s">
        <v>94</v>
      </c>
      <c r="C44">
        <v>44.583300000000001</v>
      </c>
      <c r="D44">
        <v>29.13</v>
      </c>
      <c r="E44">
        <v>45.3568</v>
      </c>
      <c r="F44">
        <v>26.390599999999999</v>
      </c>
      <c r="G44">
        <v>45.247599999999998</v>
      </c>
      <c r="H44">
        <v>25.614599999999999</v>
      </c>
      <c r="J44" s="69">
        <f t="shared" si="10"/>
        <v>0.78364573628649314</v>
      </c>
      <c r="K44" s="69">
        <f t="shared" si="11"/>
        <v>3.5776153580283045</v>
      </c>
      <c r="L44">
        <f t="shared" si="12"/>
        <v>2.8465091972449335</v>
      </c>
      <c r="M44" s="49">
        <f t="shared" si="13"/>
        <v>1.2568430699226234</v>
      </c>
      <c r="N44" s="48">
        <f t="shared" si="14"/>
        <v>-0.2568430699226234</v>
      </c>
      <c r="O44" s="49">
        <f t="shared" si="15"/>
        <v>-0.91511613716094653</v>
      </c>
      <c r="P44" s="49">
        <f t="shared" si="16"/>
        <v>0.66429999999999723</v>
      </c>
      <c r="Q44" s="49">
        <f t="shared" si="17"/>
        <v>-3.5153999999999996</v>
      </c>
      <c r="R44" s="46">
        <f t="shared" si="18"/>
        <v>0</v>
      </c>
      <c r="S44" s="49">
        <f t="shared" si="19"/>
        <v>0.27530061629344627</v>
      </c>
    </row>
    <row r="45" spans="1:19" ht="14.25" customHeight="1" x14ac:dyDescent="0.45">
      <c r="A45" s="76">
        <v>2662152</v>
      </c>
      <c r="B45" s="77" t="s">
        <v>94</v>
      </c>
      <c r="C45">
        <v>43.759</v>
      </c>
      <c r="D45">
        <v>23.306899999999999</v>
      </c>
      <c r="E45">
        <v>41.25</v>
      </c>
      <c r="F45">
        <v>25.614599999999999</v>
      </c>
      <c r="G45">
        <v>45.247599999999998</v>
      </c>
      <c r="H45">
        <v>25.614599999999999</v>
      </c>
      <c r="J45" s="69">
        <f t="shared" si="10"/>
        <v>3.9975999999999985</v>
      </c>
      <c r="K45" s="69">
        <f t="shared" si="11"/>
        <v>2.7461626408499549</v>
      </c>
      <c r="L45">
        <f t="shared" si="12"/>
        <v>3.4088942914088731</v>
      </c>
      <c r="M45" s="49">
        <f t="shared" si="13"/>
        <v>0.80558750318860262</v>
      </c>
      <c r="N45" s="48">
        <f t="shared" si="14"/>
        <v>0.19441249681139738</v>
      </c>
      <c r="O45" s="49">
        <f t="shared" si="15"/>
        <v>0.7360157826903595</v>
      </c>
      <c r="P45" s="49">
        <f t="shared" si="16"/>
        <v>1.4885999999999981</v>
      </c>
      <c r="Q45" s="49">
        <f t="shared" si="17"/>
        <v>2.3077000000000005</v>
      </c>
      <c r="R45" s="46">
        <f t="shared" si="18"/>
        <v>1</v>
      </c>
      <c r="S45" s="49">
        <f t="shared" si="19"/>
        <v>1.1726969680681465</v>
      </c>
    </row>
    <row r="46" spans="1:19" ht="14.25" customHeight="1" x14ac:dyDescent="0.45">
      <c r="A46" s="76">
        <v>2662153</v>
      </c>
      <c r="B46" s="77" t="s">
        <v>94</v>
      </c>
      <c r="C46">
        <v>53.531300000000002</v>
      </c>
      <c r="D46">
        <v>6.9673999999999996</v>
      </c>
      <c r="E46">
        <v>51.031300000000002</v>
      </c>
      <c r="F46">
        <v>5.6901000000000002</v>
      </c>
      <c r="G46">
        <v>55.031300000000002</v>
      </c>
      <c r="H46">
        <v>5.6901000000000002</v>
      </c>
      <c r="J46" s="69">
        <f t="shared" si="10"/>
        <v>4</v>
      </c>
      <c r="K46" s="69">
        <f t="shared" si="11"/>
        <v>1.9701510830390643</v>
      </c>
      <c r="L46">
        <f t="shared" si="12"/>
        <v>2.8074000943933872</v>
      </c>
      <c r="M46" s="49">
        <f t="shared" si="13"/>
        <v>0.70177068347814786</v>
      </c>
      <c r="N46" s="48">
        <f t="shared" si="14"/>
        <v>0.29822931652185208</v>
      </c>
      <c r="O46" s="49">
        <f t="shared" si="15"/>
        <v>0.89050363893365581</v>
      </c>
      <c r="P46" s="49">
        <f t="shared" si="16"/>
        <v>1.5</v>
      </c>
      <c r="Q46" s="49">
        <f t="shared" si="17"/>
        <v>-1.2772999999999994</v>
      </c>
      <c r="R46" s="46">
        <f t="shared" si="18"/>
        <v>1</v>
      </c>
      <c r="S46" s="49">
        <f t="shared" si="19"/>
        <v>1.4248058222938491</v>
      </c>
    </row>
    <row r="47" spans="1:19" ht="14.25" customHeight="1" x14ac:dyDescent="0.45">
      <c r="A47" s="76">
        <v>2662154</v>
      </c>
      <c r="B47" s="77" t="s">
        <v>94</v>
      </c>
      <c r="C47">
        <v>46.147100000000002</v>
      </c>
      <c r="D47">
        <v>4.6749999999999998</v>
      </c>
      <c r="E47">
        <v>45.575499999999998</v>
      </c>
      <c r="F47">
        <v>3.0051999999999999</v>
      </c>
      <c r="G47">
        <v>55.031300000000002</v>
      </c>
      <c r="H47">
        <v>5.6901000000000002</v>
      </c>
      <c r="J47" s="69">
        <f t="shared" si="10"/>
        <v>9.8295901058996389</v>
      </c>
      <c r="K47" s="69">
        <f t="shared" si="11"/>
        <v>8.9420041182052703</v>
      </c>
      <c r="L47">
        <f t="shared" si="12"/>
        <v>1.7649245309644275</v>
      </c>
      <c r="M47" s="49">
        <f t="shared" si="13"/>
        <v>5.0665079221936988</v>
      </c>
      <c r="N47" s="48">
        <f t="shared" si="14"/>
        <v>-4.0665079221936988</v>
      </c>
      <c r="O47" s="49">
        <f t="shared" si="15"/>
        <v>0.56997377389856718</v>
      </c>
      <c r="P47" s="49">
        <f t="shared" si="16"/>
        <v>8.8841999999999999</v>
      </c>
      <c r="Q47" s="49">
        <f t="shared" si="17"/>
        <v>1.0151000000000003</v>
      </c>
      <c r="R47" s="46">
        <f t="shared" si="18"/>
        <v>0</v>
      </c>
      <c r="S47" s="49">
        <f t="shared" si="19"/>
        <v>5.5694110050860619</v>
      </c>
    </row>
    <row r="48" spans="1:19" ht="14.25" customHeight="1" x14ac:dyDescent="0.45">
      <c r="A48" s="76">
        <v>2662159</v>
      </c>
      <c r="B48" s="77" t="s">
        <v>94</v>
      </c>
      <c r="C48">
        <v>37.619799999999998</v>
      </c>
      <c r="D48">
        <v>-8.4133999999999993</v>
      </c>
      <c r="E48">
        <v>40.119799999999998</v>
      </c>
      <c r="F48">
        <v>-12.684900000000001</v>
      </c>
      <c r="G48">
        <v>36.119799999999998</v>
      </c>
      <c r="H48">
        <v>-12.6198</v>
      </c>
      <c r="J48" s="69">
        <f t="shared" si="10"/>
        <v>4.0005297161750972</v>
      </c>
      <c r="K48" s="69">
        <f t="shared" si="11"/>
        <v>4.4658482911984372</v>
      </c>
      <c r="L48">
        <f t="shared" si="12"/>
        <v>4.9493143211964234</v>
      </c>
      <c r="M48" s="49">
        <f t="shared" si="13"/>
        <v>0.90231656374551783</v>
      </c>
      <c r="N48" s="48">
        <f t="shared" si="14"/>
        <v>9.7683436254482114E-2</v>
      </c>
      <c r="O48" s="49">
        <f t="shared" si="15"/>
        <v>0.51909785112139484</v>
      </c>
      <c r="P48" s="49">
        <f t="shared" si="16"/>
        <v>-1.5</v>
      </c>
      <c r="Q48" s="49">
        <f t="shared" si="17"/>
        <v>-4.2064000000000004</v>
      </c>
      <c r="R48" s="46">
        <f t="shared" si="18"/>
        <v>1</v>
      </c>
      <c r="S48" s="49">
        <f t="shared" si="19"/>
        <v>0.80829978792052726</v>
      </c>
    </row>
    <row r="49" spans="1:19" ht="14.25" customHeight="1" x14ac:dyDescent="0.45">
      <c r="A49" s="76">
        <v>2662174</v>
      </c>
      <c r="B49" s="77" t="s">
        <v>94</v>
      </c>
      <c r="C49">
        <v>-87.979200000000006</v>
      </c>
      <c r="D49">
        <v>15.443099999999999</v>
      </c>
      <c r="E49">
        <v>-90.479200000000006</v>
      </c>
      <c r="F49">
        <v>13.8802</v>
      </c>
      <c r="G49">
        <v>-86.479200000000006</v>
      </c>
      <c r="H49">
        <v>13.8802</v>
      </c>
      <c r="J49" s="69">
        <f t="shared" si="10"/>
        <v>4</v>
      </c>
      <c r="K49" s="69">
        <f t="shared" si="11"/>
        <v>2.1662540040355371</v>
      </c>
      <c r="L49">
        <f t="shared" si="12"/>
        <v>2.9483311228557754</v>
      </c>
      <c r="M49" s="49">
        <f t="shared" si="13"/>
        <v>0.7347390485561498</v>
      </c>
      <c r="N49" s="48">
        <f t="shared" si="14"/>
        <v>0.2652609514438502</v>
      </c>
      <c r="O49" s="49">
        <f t="shared" si="15"/>
        <v>0.84793732312484682</v>
      </c>
      <c r="P49" s="49">
        <f t="shared" si="16"/>
        <v>1.5</v>
      </c>
      <c r="Q49" s="49">
        <f t="shared" si="17"/>
        <v>-1.5628999999999991</v>
      </c>
      <c r="R49" s="46">
        <f t="shared" si="18"/>
        <v>1</v>
      </c>
      <c r="S49" s="49">
        <f t="shared" si="19"/>
        <v>1.3566997169997548</v>
      </c>
    </row>
    <row r="50" spans="1:19" ht="14.25" customHeight="1" x14ac:dyDescent="0.45">
      <c r="A50" s="76">
        <v>2662347</v>
      </c>
      <c r="B50" s="77" t="s">
        <v>94</v>
      </c>
      <c r="C50">
        <v>-94.941999999999993</v>
      </c>
      <c r="D50">
        <v>21.1875</v>
      </c>
      <c r="E50">
        <v>-95.643199999999993</v>
      </c>
      <c r="F50">
        <v>19.208300000000001</v>
      </c>
      <c r="G50">
        <v>-94.941999999999993</v>
      </c>
      <c r="H50">
        <v>22.6875</v>
      </c>
      <c r="J50" s="69">
        <f t="shared" si="10"/>
        <v>3.5491568125401267</v>
      </c>
      <c r="K50" s="69">
        <f t="shared" si="11"/>
        <v>1.5</v>
      </c>
      <c r="L50">
        <f t="shared" si="12"/>
        <v>2.0997414317005787</v>
      </c>
      <c r="M50" s="49">
        <f t="shared" si="13"/>
        <v>0.71437367351710124</v>
      </c>
      <c r="N50" s="48">
        <f t="shared" si="14"/>
        <v>0.28562632648289871</v>
      </c>
      <c r="O50" s="49">
        <f t="shared" si="15"/>
        <v>0.9899900150680927</v>
      </c>
      <c r="P50" s="49">
        <f t="shared" si="16"/>
        <v>0</v>
      </c>
      <c r="Q50" s="49">
        <f t="shared" si="17"/>
        <v>1.5</v>
      </c>
      <c r="R50" s="46">
        <f t="shared" si="18"/>
        <v>1</v>
      </c>
      <c r="S50" s="49">
        <f t="shared" si="19"/>
        <v>1.6902827933750242</v>
      </c>
    </row>
    <row r="51" spans="1:19" ht="14.25" customHeight="1" x14ac:dyDescent="0.45">
      <c r="A51" s="76">
        <v>2662358</v>
      </c>
      <c r="B51" s="77" t="s">
        <v>94</v>
      </c>
      <c r="C51">
        <v>-61.427100000000003</v>
      </c>
      <c r="D51">
        <v>40.358499999999999</v>
      </c>
      <c r="E51">
        <v>-58.927100000000003</v>
      </c>
      <c r="F51">
        <v>41.033900000000003</v>
      </c>
      <c r="G51">
        <v>-54.677100000000003</v>
      </c>
      <c r="H51">
        <v>38</v>
      </c>
      <c r="J51" s="69">
        <f t="shared" si="10"/>
        <v>5.2217860172550177</v>
      </c>
      <c r="K51" s="69">
        <f t="shared" si="11"/>
        <v>7.1501763789433896</v>
      </c>
      <c r="L51">
        <f t="shared" si="12"/>
        <v>2.5896264518265961</v>
      </c>
      <c r="M51" s="49">
        <f t="shared" si="13"/>
        <v>2.7610840837295294</v>
      </c>
      <c r="N51" s="48">
        <f t="shared" si="14"/>
        <v>-1.7610840837295296</v>
      </c>
      <c r="O51" s="49">
        <f t="shared" si="15"/>
        <v>-0.63419631507237306</v>
      </c>
      <c r="P51" s="49">
        <f t="shared" si="16"/>
        <v>6.75</v>
      </c>
      <c r="Q51" s="49">
        <f t="shared" si="17"/>
        <v>-2.3584999999999994</v>
      </c>
      <c r="R51" s="46">
        <f t="shared" si="18"/>
        <v>0</v>
      </c>
      <c r="S51" s="49">
        <f t="shared" si="19"/>
        <v>2.0164244204301451</v>
      </c>
    </row>
    <row r="52" spans="1:19" ht="14.25" customHeight="1" x14ac:dyDescent="0.45">
      <c r="A52" s="76">
        <v>2662361</v>
      </c>
      <c r="B52" s="77" t="s">
        <v>94</v>
      </c>
      <c r="C52">
        <v>-52.2682</v>
      </c>
      <c r="D52">
        <v>37.343800000000002</v>
      </c>
      <c r="E52">
        <v>-54.677100000000003</v>
      </c>
      <c r="F52">
        <v>39.843800000000002</v>
      </c>
      <c r="G52">
        <v>-54.677100000000003</v>
      </c>
      <c r="H52">
        <v>38</v>
      </c>
      <c r="J52" s="69">
        <f t="shared" si="10"/>
        <v>1.8438000000000017</v>
      </c>
      <c r="K52" s="69">
        <f t="shared" si="11"/>
        <v>2.4966773219621334</v>
      </c>
      <c r="L52">
        <f t="shared" si="12"/>
        <v>3.4717141601808197</v>
      </c>
      <c r="M52" s="49">
        <f t="shared" si="13"/>
        <v>0.71914829584705708</v>
      </c>
      <c r="N52" s="48">
        <f t="shared" si="14"/>
        <v>0.28085170415294292</v>
      </c>
      <c r="O52" s="49">
        <f t="shared" si="15"/>
        <v>0.72010536716242524</v>
      </c>
      <c r="P52" s="49">
        <f t="shared" si="16"/>
        <v>-2.4089000000000027</v>
      </c>
      <c r="Q52" s="49">
        <f t="shared" si="17"/>
        <v>0.65619999999999834</v>
      </c>
      <c r="R52" s="46">
        <f t="shared" si="18"/>
        <v>1</v>
      </c>
      <c r="S52" s="49">
        <f t="shared" si="19"/>
        <v>0.53109211038963233</v>
      </c>
    </row>
    <row r="53" spans="1:19" ht="14.25" customHeight="1" x14ac:dyDescent="0.45">
      <c r="A53" s="76">
        <v>2662366</v>
      </c>
      <c r="B53" s="77" t="s">
        <v>94</v>
      </c>
      <c r="C53">
        <v>-107.49120000000001</v>
      </c>
      <c r="D53">
        <v>24.509399999999999</v>
      </c>
      <c r="E53">
        <v>-105.5625</v>
      </c>
      <c r="F53">
        <v>19.208300000000001</v>
      </c>
      <c r="G53">
        <v>-106.8053</v>
      </c>
      <c r="H53">
        <v>31.229199999999999</v>
      </c>
      <c r="J53" s="69">
        <f t="shared" si="10"/>
        <v>12.084973671878641</v>
      </c>
      <c r="K53" s="69">
        <f t="shared" si="11"/>
        <v>6.754714712702528</v>
      </c>
      <c r="L53">
        <f t="shared" si="12"/>
        <v>5.6410588456423678</v>
      </c>
      <c r="M53" s="49">
        <f t="shared" si="13"/>
        <v>1.1974196507310755</v>
      </c>
      <c r="N53" s="48">
        <f t="shared" si="14"/>
        <v>-0.19741965073107551</v>
      </c>
      <c r="O53" s="49">
        <f t="shared" si="15"/>
        <v>0.96991338308913755</v>
      </c>
      <c r="P53" s="49">
        <f t="shared" si="16"/>
        <v>0.68590000000000373</v>
      </c>
      <c r="Q53" s="49">
        <f t="shared" si="17"/>
        <v>6.7197999999999993</v>
      </c>
      <c r="R53" s="46">
        <f t="shared" si="18"/>
        <v>0</v>
      </c>
      <c r="S53" s="49">
        <f t="shared" si="19"/>
        <v>2.1423236315313567</v>
      </c>
    </row>
    <row r="54" spans="1:19" ht="14.25" customHeight="1" x14ac:dyDescent="0.45">
      <c r="A54" s="76">
        <v>2662369</v>
      </c>
      <c r="B54" s="77" t="s">
        <v>94</v>
      </c>
      <c r="C54">
        <v>-28.468800000000002</v>
      </c>
      <c r="D54">
        <v>-25.380199999999999</v>
      </c>
      <c r="E54">
        <v>-34.825499999999998</v>
      </c>
      <c r="F54">
        <v>-27.880199999999999</v>
      </c>
      <c r="G54">
        <v>-28.468800000000002</v>
      </c>
      <c r="H54">
        <v>-23.880199999999999</v>
      </c>
      <c r="J54" s="69">
        <f t="shared" si="10"/>
        <v>7.5105016403699665</v>
      </c>
      <c r="K54" s="69">
        <f t="shared" si="11"/>
        <v>1.5</v>
      </c>
      <c r="L54">
        <f t="shared" si="12"/>
        <v>6.8306394202885539</v>
      </c>
      <c r="M54" s="49">
        <f t="shared" si="13"/>
        <v>0.21959876780271237</v>
      </c>
      <c r="N54" s="48">
        <f t="shared" si="14"/>
        <v>0.78040123219728763</v>
      </c>
      <c r="O54" s="49">
        <f t="shared" si="15"/>
        <v>0.98257569110015075</v>
      </c>
      <c r="P54" s="49">
        <f t="shared" si="16"/>
        <v>0</v>
      </c>
      <c r="Q54" s="49">
        <f t="shared" si="17"/>
        <v>1.5</v>
      </c>
      <c r="R54" s="46">
        <f t="shared" si="18"/>
        <v>1</v>
      </c>
      <c r="S54" s="49">
        <f t="shared" si="19"/>
        <v>1.0995312705369964</v>
      </c>
    </row>
    <row r="55" spans="1:19" ht="14.25" customHeight="1" x14ac:dyDescent="0.45">
      <c r="A55" s="76">
        <v>2662373</v>
      </c>
      <c r="B55" s="77" t="s">
        <v>94</v>
      </c>
      <c r="C55">
        <v>-36.744799999999998</v>
      </c>
      <c r="D55">
        <v>37.584200000000003</v>
      </c>
      <c r="E55">
        <v>-39.151000000000003</v>
      </c>
      <c r="F55">
        <v>43.098999999999997</v>
      </c>
      <c r="G55">
        <v>-35.244799999999998</v>
      </c>
      <c r="H55">
        <v>30.335899999999999</v>
      </c>
      <c r="J55" s="69">
        <f t="shared" si="10"/>
        <v>13.347476167800412</v>
      </c>
      <c r="K55" s="69">
        <f t="shared" si="11"/>
        <v>7.4018817127808836</v>
      </c>
      <c r="L55">
        <f t="shared" si="12"/>
        <v>6.0168777185513713</v>
      </c>
      <c r="M55" s="49">
        <f t="shared" si="13"/>
        <v>1.2301864952247969</v>
      </c>
      <c r="N55" s="48">
        <f t="shared" si="14"/>
        <v>-0.23018649522479692</v>
      </c>
      <c r="O55" s="49">
        <f t="shared" si="15"/>
        <v>0.9934617261836709</v>
      </c>
      <c r="P55" s="49">
        <f t="shared" si="16"/>
        <v>1.5</v>
      </c>
      <c r="Q55" s="49">
        <f t="shared" si="17"/>
        <v>-7.248300000000004</v>
      </c>
      <c r="R55" s="46">
        <f t="shared" si="18"/>
        <v>0</v>
      </c>
      <c r="S55" s="49">
        <f t="shared" si="19"/>
        <v>2.2183392769720376</v>
      </c>
    </row>
    <row r="56" spans="1:19" ht="14.25" customHeight="1" x14ac:dyDescent="0.45">
      <c r="A56" s="76">
        <v>2662374</v>
      </c>
      <c r="B56" s="77" t="s">
        <v>94</v>
      </c>
      <c r="C56">
        <v>-47.140900000000002</v>
      </c>
      <c r="D56">
        <v>16.078099999999999</v>
      </c>
      <c r="E56">
        <v>-48.388399999999997</v>
      </c>
      <c r="F56">
        <v>18.328099999999999</v>
      </c>
      <c r="G56">
        <v>-47.140900000000002</v>
      </c>
      <c r="H56">
        <v>18.578099999999999</v>
      </c>
      <c r="J56" s="69">
        <f t="shared" si="10"/>
        <v>1.2723035211772338</v>
      </c>
      <c r="K56" s="69">
        <f t="shared" si="11"/>
        <v>2.5</v>
      </c>
      <c r="L56">
        <f t="shared" si="12"/>
        <v>2.5726943561177236</v>
      </c>
      <c r="M56" s="49">
        <f t="shared" si="13"/>
        <v>0.97174388168386172</v>
      </c>
      <c r="N56" s="48">
        <f t="shared" si="14"/>
        <v>2.8256118316138272E-2</v>
      </c>
      <c r="O56" s="49">
        <f t="shared" si="15"/>
        <v>0.30359942883096558</v>
      </c>
      <c r="P56" s="49">
        <f t="shared" si="16"/>
        <v>0</v>
      </c>
      <c r="Q56" s="49">
        <f t="shared" si="17"/>
        <v>2.5</v>
      </c>
      <c r="R56" s="46">
        <f t="shared" si="18"/>
        <v>1</v>
      </c>
      <c r="S56" s="49">
        <f t="shared" si="19"/>
        <v>0.49454126493952422</v>
      </c>
    </row>
    <row r="57" spans="1:19" ht="14.25" customHeight="1" x14ac:dyDescent="0.45">
      <c r="A57" s="76">
        <v>2662380</v>
      </c>
      <c r="B57" s="77" t="s">
        <v>94</v>
      </c>
      <c r="C57">
        <v>-43.109400000000001</v>
      </c>
      <c r="D57">
        <v>10.641400000000001</v>
      </c>
      <c r="E57">
        <v>-45.609400000000001</v>
      </c>
      <c r="F57">
        <v>10.5365</v>
      </c>
      <c r="G57">
        <v>-41.609400000000001</v>
      </c>
      <c r="H57">
        <v>10.5365</v>
      </c>
      <c r="J57" s="69">
        <f t="shared" si="10"/>
        <v>4</v>
      </c>
      <c r="K57" s="69">
        <f t="shared" si="11"/>
        <v>1.503663529517159</v>
      </c>
      <c r="L57">
        <f t="shared" si="12"/>
        <v>2.5021998341459462</v>
      </c>
      <c r="M57" s="49">
        <f t="shared" si="13"/>
        <v>0.60093662744182508</v>
      </c>
      <c r="N57" s="48">
        <f t="shared" si="14"/>
        <v>0.39906337255817492</v>
      </c>
      <c r="O57" s="49">
        <f t="shared" si="15"/>
        <v>0.9991208399441458</v>
      </c>
      <c r="P57" s="49">
        <f t="shared" si="16"/>
        <v>1.5</v>
      </c>
      <c r="Q57" s="49">
        <f t="shared" si="17"/>
        <v>-0.10490000000000066</v>
      </c>
      <c r="R57" s="46">
        <f t="shared" si="18"/>
        <v>1</v>
      </c>
      <c r="S57" s="49">
        <f t="shared" si="19"/>
        <v>1.5985933439106332</v>
      </c>
    </row>
    <row r="58" spans="1:19" ht="14.25" customHeight="1" x14ac:dyDescent="0.45">
      <c r="A58" s="76">
        <v>2662386</v>
      </c>
      <c r="B58" s="77" t="s">
        <v>94</v>
      </c>
      <c r="C58">
        <v>-42.093800000000002</v>
      </c>
      <c r="D58">
        <v>7.3822000000000001</v>
      </c>
      <c r="E58">
        <v>-39.593800000000002</v>
      </c>
      <c r="F58">
        <v>5.75</v>
      </c>
      <c r="G58">
        <v>-43.593800000000002</v>
      </c>
      <c r="H58">
        <v>7.6391</v>
      </c>
      <c r="J58" s="69">
        <f t="shared" si="10"/>
        <v>4.4236522026488476</v>
      </c>
      <c r="K58" s="69">
        <f t="shared" si="11"/>
        <v>1.521840205146388</v>
      </c>
      <c r="L58">
        <f t="shared" si="12"/>
        <v>2.9856451296160431</v>
      </c>
      <c r="M58" s="49">
        <f t="shared" si="13"/>
        <v>0.50971905202347279</v>
      </c>
      <c r="N58" s="48">
        <f t="shared" si="14"/>
        <v>0.49028094797652721</v>
      </c>
      <c r="O58" s="49">
        <f t="shared" si="15"/>
        <v>0.99060631833984825</v>
      </c>
      <c r="P58" s="49">
        <f t="shared" si="16"/>
        <v>-1.5</v>
      </c>
      <c r="Q58" s="49">
        <f t="shared" si="17"/>
        <v>0.25689999999999991</v>
      </c>
      <c r="R58" s="46">
        <f t="shared" si="18"/>
        <v>1</v>
      </c>
      <c r="S58" s="49">
        <f t="shared" si="19"/>
        <v>1.4816403191285274</v>
      </c>
    </row>
    <row r="59" spans="1:19" ht="14.25" customHeight="1" x14ac:dyDescent="0.45">
      <c r="A59" s="76">
        <v>2662393</v>
      </c>
      <c r="B59" s="77" t="s">
        <v>94</v>
      </c>
      <c r="C59">
        <v>64.676699999999997</v>
      </c>
      <c r="D59">
        <v>3.3332999999999999</v>
      </c>
      <c r="E59">
        <v>65.423699999999997</v>
      </c>
      <c r="F59">
        <v>3.3229000000000002</v>
      </c>
      <c r="G59">
        <v>65.261799999999994</v>
      </c>
      <c r="H59">
        <v>5.5</v>
      </c>
      <c r="J59" s="69">
        <f t="shared" si="10"/>
        <v>2.1831115454781509</v>
      </c>
      <c r="K59" s="69">
        <f t="shared" si="11"/>
        <v>2.2443107850741164</v>
      </c>
      <c r="L59">
        <f t="shared" si="12"/>
        <v>0.74707239274383574</v>
      </c>
      <c r="M59" s="49">
        <f t="shared" si="13"/>
        <v>3.0041409733148443</v>
      </c>
      <c r="N59" s="48">
        <f t="shared" si="14"/>
        <v>-2.0041409733148443</v>
      </c>
      <c r="O59" s="49">
        <f t="shared" si="15"/>
        <v>8.8035692125851592E-2</v>
      </c>
      <c r="P59" s="49">
        <f t="shared" si="16"/>
        <v>0.58509999999999707</v>
      </c>
      <c r="Q59" s="49">
        <f t="shared" si="17"/>
        <v>2.1667000000000001</v>
      </c>
      <c r="R59" s="46">
        <f t="shared" si="18"/>
        <v>0</v>
      </c>
      <c r="S59" s="49">
        <f t="shared" si="19"/>
        <v>2.9222222192685412</v>
      </c>
    </row>
    <row r="60" spans="1:19" ht="14.25" customHeight="1" x14ac:dyDescent="0.45">
      <c r="A60">
        <v>2662058</v>
      </c>
      <c r="B60" t="s">
        <v>50</v>
      </c>
      <c r="C60">
        <v>-104.85339999999999</v>
      </c>
      <c r="D60">
        <v>21.9404</v>
      </c>
      <c r="E60">
        <v>-104.85339999999999</v>
      </c>
      <c r="F60">
        <v>21.9404</v>
      </c>
      <c r="G60">
        <v>-104.8125</v>
      </c>
      <c r="H60">
        <v>24.130500000000001</v>
      </c>
      <c r="J60" s="69">
        <f t="shared" si="10"/>
        <v>2.1904818693611694</v>
      </c>
      <c r="K60" s="69">
        <f t="shared" si="11"/>
        <v>2.1904818693611694</v>
      </c>
      <c r="L60">
        <f t="shared" si="12"/>
        <v>0</v>
      </c>
      <c r="M60" s="49" t="str">
        <f t="shared" si="13"/>
        <v/>
      </c>
      <c r="N60" s="48" t="str">
        <f t="shared" si="14"/>
        <v/>
      </c>
      <c r="O60" s="49" t="str">
        <f t="shared" si="15"/>
        <v/>
      </c>
      <c r="P60" s="49">
        <f t="shared" si="16"/>
        <v>4.0899999999993497E-2</v>
      </c>
      <c r="Q60" s="49">
        <f t="shared" si="17"/>
        <v>2.190100000000001</v>
      </c>
      <c r="R60" s="46" t="str">
        <f t="shared" si="18"/>
        <v/>
      </c>
      <c r="S60" s="49" t="str">
        <f t="shared" si="19"/>
        <v/>
      </c>
    </row>
    <row r="61" spans="1:19" ht="14.25" customHeight="1" x14ac:dyDescent="0.45">
      <c r="A61">
        <v>2662059</v>
      </c>
      <c r="B61" t="s">
        <v>50</v>
      </c>
      <c r="C61">
        <v>46.3309</v>
      </c>
      <c r="D61">
        <v>-0.37</v>
      </c>
      <c r="E61">
        <v>46.3309</v>
      </c>
      <c r="F61">
        <v>-0.37</v>
      </c>
      <c r="G61">
        <v>49.852699999999999</v>
      </c>
      <c r="H61">
        <v>-19.4451</v>
      </c>
      <c r="J61" s="69">
        <f t="shared" si="10"/>
        <v>19.397487343725732</v>
      </c>
      <c r="K61" s="69">
        <f t="shared" si="11"/>
        <v>19.397487343725732</v>
      </c>
      <c r="L61">
        <f t="shared" si="12"/>
        <v>0</v>
      </c>
      <c r="M61" s="49" t="str">
        <f t="shared" si="13"/>
        <v/>
      </c>
      <c r="N61" s="48" t="str">
        <f t="shared" si="14"/>
        <v/>
      </c>
      <c r="O61" s="49" t="str">
        <f t="shared" si="15"/>
        <v/>
      </c>
      <c r="P61" s="49">
        <f t="shared" si="16"/>
        <v>3.5217999999999989</v>
      </c>
      <c r="Q61" s="49">
        <f t="shared" si="17"/>
        <v>-19.075099999999999</v>
      </c>
      <c r="R61" s="46" t="str">
        <f t="shared" si="18"/>
        <v/>
      </c>
      <c r="S61" s="49" t="str">
        <f t="shared" si="19"/>
        <v/>
      </c>
    </row>
    <row r="62" spans="1:19" ht="14.25" customHeight="1" x14ac:dyDescent="0.45">
      <c r="A62">
        <v>2662060</v>
      </c>
      <c r="B62" t="s">
        <v>50</v>
      </c>
      <c r="C62">
        <v>-45.953099999999999</v>
      </c>
      <c r="D62">
        <v>21.6617</v>
      </c>
      <c r="E62">
        <v>-44.695900000000002</v>
      </c>
      <c r="F62">
        <v>21.6617</v>
      </c>
      <c r="G62">
        <v>-29.927099999999999</v>
      </c>
      <c r="H62">
        <v>32.067999999999998</v>
      </c>
      <c r="J62" s="69">
        <f t="shared" si="10"/>
        <v>18.066779821816617</v>
      </c>
      <c r="K62" s="69">
        <f t="shared" si="11"/>
        <v>19.108211734487348</v>
      </c>
      <c r="L62">
        <f t="shared" si="12"/>
        <v>1.2571999999999974</v>
      </c>
      <c r="M62" s="49">
        <f t="shared" si="13"/>
        <v>15.199023015023375</v>
      </c>
      <c r="N62" s="48">
        <f t="shared" si="14"/>
        <v>-14.199023015023375</v>
      </c>
      <c r="O62" s="49">
        <f t="shared" si="15"/>
        <v>-0.81745613472113465</v>
      </c>
      <c r="P62" s="49">
        <f t="shared" si="16"/>
        <v>16.026</v>
      </c>
      <c r="Q62" s="49">
        <f t="shared" si="17"/>
        <v>10.406299999999998</v>
      </c>
      <c r="R62" s="46">
        <f t="shared" si="18"/>
        <v>0</v>
      </c>
      <c r="S62" s="49">
        <f t="shared" si="19"/>
        <v>14.37064891967599</v>
      </c>
    </row>
    <row r="63" spans="1:19" ht="14.25" customHeight="1" x14ac:dyDescent="0.45">
      <c r="A63">
        <v>2662061</v>
      </c>
      <c r="B63" t="s">
        <v>50</v>
      </c>
      <c r="C63">
        <v>-1.0178</v>
      </c>
      <c r="D63">
        <v>22.182099999999998</v>
      </c>
      <c r="E63">
        <v>-1.0178</v>
      </c>
      <c r="F63">
        <v>22.182099999999998</v>
      </c>
      <c r="G63">
        <v>-1.474</v>
      </c>
      <c r="H63">
        <v>23.416699999999999</v>
      </c>
      <c r="J63" s="69">
        <f t="shared" si="10"/>
        <v>1.316189803941666</v>
      </c>
      <c r="K63" s="69">
        <f t="shared" si="11"/>
        <v>1.316189803941666</v>
      </c>
      <c r="L63">
        <f t="shared" si="12"/>
        <v>0</v>
      </c>
      <c r="M63" s="49" t="str">
        <f t="shared" si="13"/>
        <v/>
      </c>
      <c r="N63" s="48" t="str">
        <f t="shared" si="14"/>
        <v/>
      </c>
      <c r="O63" s="49" t="str">
        <f t="shared" si="15"/>
        <v/>
      </c>
      <c r="P63" s="49">
        <f t="shared" si="16"/>
        <v>-0.45619999999999994</v>
      </c>
      <c r="Q63" s="49">
        <f t="shared" si="17"/>
        <v>1.2346000000000004</v>
      </c>
      <c r="R63" s="46" t="str">
        <f t="shared" si="18"/>
        <v/>
      </c>
      <c r="S63" s="49" t="str">
        <f t="shared" si="19"/>
        <v/>
      </c>
    </row>
    <row r="64" spans="1:19" ht="14.25" customHeight="1" x14ac:dyDescent="0.45">
      <c r="A64">
        <v>2662062</v>
      </c>
      <c r="B64" t="s">
        <v>50</v>
      </c>
      <c r="C64">
        <v>-4.3181000000000003</v>
      </c>
      <c r="D64">
        <v>5.6376999999999997</v>
      </c>
      <c r="E64">
        <v>-4.3181000000000003</v>
      </c>
      <c r="F64">
        <v>5.6376999999999997</v>
      </c>
      <c r="G64">
        <v>-1.3158000000000001</v>
      </c>
      <c r="H64">
        <v>6.5286</v>
      </c>
      <c r="J64" s="69">
        <f t="shared" si="10"/>
        <v>3.131694126187933</v>
      </c>
      <c r="K64" s="69">
        <f t="shared" si="11"/>
        <v>3.131694126187933</v>
      </c>
      <c r="L64">
        <f t="shared" si="12"/>
        <v>0</v>
      </c>
      <c r="M64" s="49" t="str">
        <f t="shared" si="13"/>
        <v/>
      </c>
      <c r="N64" s="48" t="str">
        <f t="shared" si="14"/>
        <v/>
      </c>
      <c r="O64" s="49" t="str">
        <f t="shared" si="15"/>
        <v/>
      </c>
      <c r="P64" s="49">
        <f t="shared" si="16"/>
        <v>3.0023</v>
      </c>
      <c r="Q64" s="49">
        <f t="shared" si="17"/>
        <v>0.89090000000000025</v>
      </c>
      <c r="R64" s="46" t="str">
        <f t="shared" si="18"/>
        <v/>
      </c>
      <c r="S64" s="49" t="str">
        <f t="shared" si="19"/>
        <v/>
      </c>
    </row>
    <row r="65" spans="1:19" ht="14.25" customHeight="1" x14ac:dyDescent="0.45">
      <c r="A65">
        <v>2662063</v>
      </c>
      <c r="B65" t="s">
        <v>50</v>
      </c>
      <c r="C65">
        <v>-31.080100000000002</v>
      </c>
      <c r="D65">
        <v>-14.4175</v>
      </c>
      <c r="E65">
        <v>-38.061999999999998</v>
      </c>
      <c r="F65">
        <v>-18.747599999999998</v>
      </c>
      <c r="G65">
        <v>-34.885399999999997</v>
      </c>
      <c r="H65">
        <v>-11.2834</v>
      </c>
      <c r="J65" s="69">
        <f t="shared" si="10"/>
        <v>8.1120323717302796</v>
      </c>
      <c r="K65" s="69">
        <f t="shared" si="11"/>
        <v>4.9297962331114622</v>
      </c>
      <c r="L65">
        <f t="shared" si="12"/>
        <v>8.215637140234465</v>
      </c>
      <c r="M65" s="49">
        <f t="shared" si="13"/>
        <v>0.60005038549825385</v>
      </c>
      <c r="N65" s="48">
        <f t="shared" si="14"/>
        <v>0.39994961450174621</v>
      </c>
      <c r="O65" s="49">
        <f t="shared" si="15"/>
        <v>0.81775099826649678</v>
      </c>
      <c r="P65" s="49">
        <f t="shared" si="16"/>
        <v>-3.8052999999999955</v>
      </c>
      <c r="Q65" s="49">
        <f t="shared" si="17"/>
        <v>3.1341000000000001</v>
      </c>
      <c r="R65" s="46">
        <f t="shared" si="18"/>
        <v>1</v>
      </c>
      <c r="S65" s="49">
        <f t="shared" si="19"/>
        <v>0.987389320300333</v>
      </c>
    </row>
    <row r="66" spans="1:19" ht="14.25" customHeight="1" x14ac:dyDescent="0.45">
      <c r="A66">
        <v>2662064</v>
      </c>
      <c r="B66" t="s">
        <v>50</v>
      </c>
      <c r="C66">
        <v>-31.319700000000001</v>
      </c>
      <c r="D66">
        <v>32.401499999999999</v>
      </c>
      <c r="E66">
        <v>-31.319700000000001</v>
      </c>
      <c r="F66">
        <v>33.568199999999997</v>
      </c>
      <c r="G66">
        <v>-29.927099999999999</v>
      </c>
      <c r="H66">
        <v>32.067999999999998</v>
      </c>
      <c r="J66" s="69">
        <f t="shared" si="10"/>
        <v>2.0469330228417353</v>
      </c>
      <c r="K66" s="69">
        <f t="shared" si="11"/>
        <v>1.4319766094458406</v>
      </c>
      <c r="L66">
        <f t="shared" si="12"/>
        <v>1.1666999999999987</v>
      </c>
      <c r="M66" s="49">
        <f t="shared" ref="M66:M97" si="20">IF(AND(AND(ISNUMBER(E66),ISNUMBER(F66)),ISNUMBER(L66),L66&gt;0),K66/L66,"")</f>
        <v>1.2273734545691628</v>
      </c>
      <c r="N66" s="48">
        <f t="shared" si="14"/>
        <v>-0.22737345456916272</v>
      </c>
      <c r="O66" s="49">
        <f t="shared" si="15"/>
        <v>0.73290136182242438</v>
      </c>
      <c r="P66" s="49">
        <f t="shared" si="16"/>
        <v>1.3926000000000016</v>
      </c>
      <c r="Q66" s="49">
        <f t="shared" si="17"/>
        <v>-0.3335000000000008</v>
      </c>
      <c r="R66" s="46">
        <f t="shared" si="18"/>
        <v>0</v>
      </c>
      <c r="S66" s="49">
        <f t="shared" si="19"/>
        <v>1.7544638920388596</v>
      </c>
    </row>
    <row r="67" spans="1:19" ht="14.25" customHeight="1" x14ac:dyDescent="0.45">
      <c r="A67">
        <v>2662067</v>
      </c>
      <c r="B67" t="s">
        <v>50</v>
      </c>
      <c r="C67">
        <v>-8.1502999999999997</v>
      </c>
      <c r="D67">
        <v>32.792999999999999</v>
      </c>
      <c r="E67">
        <v>-8.1502999999999997</v>
      </c>
      <c r="F67">
        <v>33.959699999999998</v>
      </c>
      <c r="G67">
        <v>-10.1188</v>
      </c>
      <c r="H67">
        <v>34.602200000000003</v>
      </c>
      <c r="J67" s="69">
        <f t="shared" si="10"/>
        <v>2.0707000024146445</v>
      </c>
      <c r="K67" s="69">
        <f t="shared" si="11"/>
        <v>2.6736112077114011</v>
      </c>
      <c r="L67">
        <f t="shared" si="12"/>
        <v>1.1666999999999987</v>
      </c>
      <c r="M67" s="49">
        <f t="shared" si="20"/>
        <v>2.291601275144771</v>
      </c>
      <c r="N67" s="48">
        <f t="shared" si="14"/>
        <v>-1.2916012751447707</v>
      </c>
      <c r="O67" s="49">
        <f t="shared" si="15"/>
        <v>-0.31028154694102755</v>
      </c>
      <c r="P67" s="49">
        <f t="shared" si="16"/>
        <v>-1.9685000000000006</v>
      </c>
      <c r="Q67" s="49">
        <f t="shared" si="17"/>
        <v>1.8092000000000041</v>
      </c>
      <c r="R67" s="46">
        <f t="shared" si="18"/>
        <v>0</v>
      </c>
      <c r="S67" s="49">
        <f t="shared" si="19"/>
        <v>1.774835006783789</v>
      </c>
    </row>
    <row r="68" spans="1:19" ht="14.25" customHeight="1" x14ac:dyDescent="0.45">
      <c r="A68">
        <v>2662068</v>
      </c>
      <c r="B68" t="s">
        <v>50</v>
      </c>
      <c r="C68">
        <v>22.945900000000002</v>
      </c>
      <c r="D68">
        <v>32.792999999999999</v>
      </c>
      <c r="E68">
        <v>22.945900000000002</v>
      </c>
      <c r="F68">
        <v>33.959699999999998</v>
      </c>
      <c r="G68">
        <v>29.2956</v>
      </c>
      <c r="H68">
        <v>30.040700000000001</v>
      </c>
      <c r="J68" s="69">
        <f t="shared" si="10"/>
        <v>7.461719043893301</v>
      </c>
      <c r="K68" s="69">
        <f t="shared" si="11"/>
        <v>6.9205379400737321</v>
      </c>
      <c r="L68">
        <f t="shared" si="12"/>
        <v>1.1666999999999987</v>
      </c>
      <c r="M68" s="49">
        <f t="shared" si="20"/>
        <v>5.9317201852007715</v>
      </c>
      <c r="N68" s="48">
        <f t="shared" si="14"/>
        <v>-4.9317201852007715</v>
      </c>
      <c r="O68" s="49">
        <f t="shared" si="15"/>
        <v>0.5252140930188629</v>
      </c>
      <c r="P68" s="49">
        <f t="shared" si="16"/>
        <v>6.3496999999999986</v>
      </c>
      <c r="Q68" s="49">
        <f t="shared" si="17"/>
        <v>-2.7522999999999982</v>
      </c>
      <c r="R68" s="46">
        <f t="shared" si="18"/>
        <v>0</v>
      </c>
      <c r="S68" s="49">
        <f t="shared" si="19"/>
        <v>6.3955764497242731</v>
      </c>
    </row>
    <row r="69" spans="1:19" ht="14.25" customHeight="1" x14ac:dyDescent="0.45">
      <c r="A69">
        <v>2662069</v>
      </c>
      <c r="B69" t="s">
        <v>50</v>
      </c>
      <c r="C69">
        <v>-75.5886</v>
      </c>
      <c r="D69">
        <v>32.401499999999999</v>
      </c>
      <c r="E69">
        <v>-74.956699999999998</v>
      </c>
      <c r="F69">
        <v>26.768000000000001</v>
      </c>
      <c r="G69">
        <v>-85.043300000000002</v>
      </c>
      <c r="H69">
        <v>28.694299999999998</v>
      </c>
      <c r="J69" s="69">
        <f t="shared" si="10"/>
        <v>10.268891432379645</v>
      </c>
      <c r="K69" s="69">
        <f t="shared" si="11"/>
        <v>10.155524798354836</v>
      </c>
      <c r="L69">
        <f t="shared" si="12"/>
        <v>5.6688287908526549</v>
      </c>
      <c r="M69" s="49">
        <f t="shared" si="20"/>
        <v>1.7914678980501249</v>
      </c>
      <c r="N69" s="48">
        <f t="shared" si="14"/>
        <v>-0.79146789805012485</v>
      </c>
      <c r="O69" s="49">
        <f t="shared" si="15"/>
        <v>0.29590736915782712</v>
      </c>
      <c r="P69" s="49">
        <f t="shared" si="16"/>
        <v>-9.4547000000000025</v>
      </c>
      <c r="Q69" s="49">
        <f t="shared" si="17"/>
        <v>-3.7072000000000003</v>
      </c>
      <c r="R69" s="46">
        <f t="shared" si="18"/>
        <v>0</v>
      </c>
      <c r="S69" s="49">
        <f t="shared" si="19"/>
        <v>1.8114661442853506</v>
      </c>
    </row>
    <row r="70" spans="1:19" ht="14.25" customHeight="1" x14ac:dyDescent="0.45">
      <c r="A70">
        <v>2662070</v>
      </c>
      <c r="B70" t="s">
        <v>50</v>
      </c>
      <c r="C70">
        <v>-95.412099999999995</v>
      </c>
      <c r="D70">
        <v>28.355</v>
      </c>
      <c r="E70">
        <v>-95.412099999999995</v>
      </c>
      <c r="F70">
        <v>28.355</v>
      </c>
      <c r="G70">
        <v>-95.849000000000004</v>
      </c>
      <c r="H70">
        <v>29.75</v>
      </c>
      <c r="J70" s="69">
        <f t="shared" si="10"/>
        <v>1.4618162025371064</v>
      </c>
      <c r="K70" s="69">
        <f t="shared" si="11"/>
        <v>1.4618162025371064</v>
      </c>
      <c r="L70">
        <f t="shared" si="12"/>
        <v>0</v>
      </c>
      <c r="M70" s="49" t="str">
        <f t="shared" si="20"/>
        <v/>
      </c>
      <c r="N70" s="48" t="str">
        <f t="shared" si="14"/>
        <v/>
      </c>
      <c r="O70" s="49" t="str">
        <f t="shared" si="15"/>
        <v/>
      </c>
      <c r="P70" s="49">
        <f t="shared" si="16"/>
        <v>-0.4369000000000085</v>
      </c>
      <c r="Q70" s="49">
        <f t="shared" si="17"/>
        <v>1.3949999999999996</v>
      </c>
      <c r="R70" s="46" t="str">
        <f t="shared" si="18"/>
        <v/>
      </c>
      <c r="S70" s="49" t="str">
        <f t="shared" si="19"/>
        <v/>
      </c>
    </row>
    <row r="71" spans="1:19" ht="14.25" customHeight="1" x14ac:dyDescent="0.45">
      <c r="J71" s="10" t="s">
        <v>43</v>
      </c>
      <c r="K71" s="10"/>
      <c r="L71" s="10"/>
    </row>
    <row r="72" spans="1:19" ht="15.75" customHeight="1" x14ac:dyDescent="0.45">
      <c r="B72" s="20" t="s">
        <v>59</v>
      </c>
      <c r="J72" s="20" t="s">
        <v>40</v>
      </c>
      <c r="K72" s="20" t="s">
        <v>41</v>
      </c>
      <c r="L72" s="20" t="s">
        <v>42</v>
      </c>
    </row>
    <row r="73" spans="1:19" ht="14.25" customHeight="1" x14ac:dyDescent="0.45">
      <c r="A73" s="20" t="s">
        <v>46</v>
      </c>
      <c r="B73">
        <f>COUNTA(B2:B70)</f>
        <v>69</v>
      </c>
      <c r="I73" s="20" t="s">
        <v>46</v>
      </c>
      <c r="J73">
        <f>_xlfn.AGGREGATE(1,6,J2:J70)</f>
        <v>3.9067766454079371</v>
      </c>
      <c r="K73">
        <f>_xlfn.AGGREGATE(1,6,K2:K70)</f>
        <v>2.5591816907483889</v>
      </c>
      <c r="L73">
        <f>_xlfn.AGGREGATE(1,6,L2:L70)</f>
        <v>2.7791568833970968</v>
      </c>
    </row>
    <row r="74" spans="1:19" ht="26.25" customHeight="1" x14ac:dyDescent="0.45">
      <c r="A74" s="20" t="s">
        <v>47</v>
      </c>
      <c r="B74">
        <f>COUNTIF(B2:B70,"Doors")</f>
        <v>15</v>
      </c>
      <c r="I74" s="20" t="s">
        <v>47</v>
      </c>
      <c r="J74">
        <f>_xlfn.AGGREGATE(1,6,J2:J16)</f>
        <v>2.0674800000000002</v>
      </c>
      <c r="K74">
        <f>_xlfn.AGGREGATE(1,6,K2:K16)</f>
        <v>8.6866666666666724E-3</v>
      </c>
      <c r="L74">
        <f>_xlfn.AGGREGATE(1,6,L2:L16)</f>
        <v>2.0675429270604804</v>
      </c>
    </row>
    <row r="75" spans="1:19" ht="26.25" customHeight="1" x14ac:dyDescent="0.45">
      <c r="A75" s="20" t="s">
        <v>48</v>
      </c>
      <c r="B75">
        <f>COUNTIF(B2:B70,"Windows")</f>
        <v>17</v>
      </c>
      <c r="I75" s="20" t="s">
        <v>48</v>
      </c>
      <c r="J75">
        <f>_xlfn.AGGREGATE(1,6,J17:J33)</f>
        <v>2.441123529411763</v>
      </c>
      <c r="K75">
        <f>_xlfn.AGGREGATE(1,6,K17:K33)</f>
        <v>5.8570588235294083E-2</v>
      </c>
      <c r="L75">
        <f>_xlfn.AGGREGATE(1,6,L17:L33)</f>
        <v>2.3825529411764688</v>
      </c>
    </row>
    <row r="76" spans="1:19" ht="26.25" customHeight="1" x14ac:dyDescent="0.45">
      <c r="A76" s="20" t="s">
        <v>49</v>
      </c>
      <c r="B76">
        <f>COUNTIF(B2:B70,"Walls")</f>
        <v>26</v>
      </c>
      <c r="I76" s="20" t="s">
        <v>49</v>
      </c>
      <c r="J76">
        <f>_xlfn.AGGREGATE(1,6,J34:J59)</f>
        <v>4.6742909035506903</v>
      </c>
      <c r="K76">
        <f>_xlfn.AGGREGATE(1,6,K34:K59)</f>
        <v>3.9515464920269467</v>
      </c>
      <c r="L76">
        <f>_xlfn.AGGREGATE(1,6,L34:L59)</f>
        <v>3.9078275045155939</v>
      </c>
    </row>
    <row r="77" spans="1:19" ht="26.25" customHeight="1" x14ac:dyDescent="0.45">
      <c r="A77" s="20" t="s">
        <v>50</v>
      </c>
      <c r="B77">
        <f>COUNTIF(B2:B70,"Room Tags")</f>
        <v>11</v>
      </c>
      <c r="I77" s="20" t="s">
        <v>50</v>
      </c>
      <c r="J77">
        <f>_xlfn.AGGREGATE(1,6,J60:J70)</f>
        <v>6.8658840946208946</v>
      </c>
      <c r="K77">
        <f>_xlfn.AGGREGATE(1,6,K60:K70)</f>
        <v>6.6106661699034754</v>
      </c>
      <c r="L77">
        <f>_xlfn.AGGREGATE(1,6,L60:L70)</f>
        <v>1.6947059937351923</v>
      </c>
    </row>
    <row r="80" spans="1:19" ht="14.25" customHeight="1" x14ac:dyDescent="0.45">
      <c r="J80" s="10" t="s">
        <v>117</v>
      </c>
      <c r="K80" s="10"/>
      <c r="L80" s="10"/>
    </row>
    <row r="81" spans="9:20" ht="14.25" customHeight="1" x14ac:dyDescent="0.45">
      <c r="J81" s="20" t="s">
        <v>40</v>
      </c>
      <c r="K81" s="20" t="s">
        <v>41</v>
      </c>
      <c r="L81" s="20" t="s">
        <v>42</v>
      </c>
    </row>
    <row r="82" spans="9:20" ht="14.25" customHeight="1" x14ac:dyDescent="0.45">
      <c r="I82" s="20" t="s">
        <v>46</v>
      </c>
      <c r="J82">
        <f>_xlfn.AGGREGATE(12,6,J2:J70)</f>
        <v>3.0254999999999974</v>
      </c>
      <c r="K82">
        <f>_xlfn.AGGREGATE(12,6,K2:K70)</f>
        <v>1.4319766094458406</v>
      </c>
      <c r="L82">
        <f>_xlfn.AGGREGATE(12,6,L2:L70)</f>
        <v>2.3542000000000001</v>
      </c>
    </row>
    <row r="83" spans="9:20" ht="26.25" customHeight="1" x14ac:dyDescent="0.45">
      <c r="I83" s="20" t="s">
        <v>47</v>
      </c>
      <c r="J83">
        <f>_xlfn.AGGREGATE(12,6,J2:J16)</f>
        <v>2.2707999999999999</v>
      </c>
      <c r="K83">
        <f>_xlfn.AGGREGATE(12,6,K2:K16)</f>
        <v>0</v>
      </c>
      <c r="L83">
        <f>_xlfn.AGGREGATE(12,6,L2:L16)</f>
        <v>2.2710143284444508</v>
      </c>
    </row>
    <row r="84" spans="9:20" ht="26.25" customHeight="1" x14ac:dyDescent="0.45">
      <c r="I84" s="20" t="s">
        <v>48</v>
      </c>
      <c r="J84">
        <f>_xlfn.AGGREGATE(12,6,J17:J33)</f>
        <v>1.9802999999999997</v>
      </c>
      <c r="K84">
        <f>_xlfn.AGGREGATE(12,6,K17:K33)</f>
        <v>0</v>
      </c>
      <c r="L84">
        <f>_xlfn.AGGREGATE(12,6,L17:L33)</f>
        <v>1.9802999999999997</v>
      </c>
    </row>
    <row r="85" spans="9:20" ht="26.25" customHeight="1" x14ac:dyDescent="0.45">
      <c r="I85" s="20" t="s">
        <v>49</v>
      </c>
      <c r="J85">
        <f>_xlfn.AGGREGATE(12,6,J34:J59)</f>
        <v>4</v>
      </c>
      <c r="K85">
        <f>_xlfn.AGGREGATE(12,6,K34:K59)</f>
        <v>2.6230813204249772</v>
      </c>
      <c r="L85">
        <f>_xlfn.AGGREGATE(12,6,L34:L59)</f>
        <v>3.1972697105124581</v>
      </c>
    </row>
    <row r="86" spans="9:20" ht="26.25" customHeight="1" x14ac:dyDescent="0.45">
      <c r="I86" s="20" t="s">
        <v>50</v>
      </c>
      <c r="J86">
        <f>_xlfn.AGGREGATE(12,6,J60:J70)</f>
        <v>3.131694126187933</v>
      </c>
      <c r="K86">
        <f>_xlfn.AGGREGATE(12,6,K60:K70)</f>
        <v>3.131694126187933</v>
      </c>
      <c r="L86">
        <f>_xlfn.AGGREGATE(12,6,L60:L70)</f>
        <v>1.1666999999999987</v>
      </c>
    </row>
    <row r="89" spans="9:20" ht="18" customHeight="1" x14ac:dyDescent="0.45">
      <c r="I89" s="73" t="s">
        <v>118</v>
      </c>
      <c r="M89" s="19" t="s">
        <v>119</v>
      </c>
    </row>
    <row r="90" spans="9:20" ht="42" customHeight="1" x14ac:dyDescent="0.45">
      <c r="I90" s="34" t="s">
        <v>120</v>
      </c>
      <c r="J90" s="34" t="s">
        <v>59</v>
      </c>
      <c r="K90" s="34" t="s">
        <v>63</v>
      </c>
      <c r="L90" s="34" t="s">
        <v>64</v>
      </c>
      <c r="M90" s="34" t="s">
        <v>65</v>
      </c>
      <c r="N90" s="34" t="s">
        <v>121</v>
      </c>
      <c r="O90" s="34" t="s">
        <v>122</v>
      </c>
      <c r="P90" s="34" t="s">
        <v>123</v>
      </c>
      <c r="Q90" s="34" t="s">
        <v>124</v>
      </c>
      <c r="R90" s="34" t="s">
        <v>68</v>
      </c>
      <c r="S90" s="34" t="s">
        <v>125</v>
      </c>
      <c r="T90" s="34" t="s">
        <v>126</v>
      </c>
    </row>
    <row r="91" spans="9:20" ht="14.25" customHeight="1" x14ac:dyDescent="0.45">
      <c r="I91" s="22" t="s">
        <v>46</v>
      </c>
      <c r="J91" s="23">
        <f>COUNTA($B$2:$B$70)</f>
        <v>69</v>
      </c>
      <c r="K91" s="25">
        <f>IF(COUNT($M$2:$M$70)=0,"N/A",COUNTIF($R$2:$R$70,1)/COUNT($M$2:$M$70))</f>
        <v>0.78125</v>
      </c>
      <c r="L91" s="25">
        <f t="array" ref="L91">IF(COUNT($N$2:$N$70)=0,"N/A",AVERAGE($N$2:$N$70))</f>
        <v>9.58373171313123E-2</v>
      </c>
      <c r="M91" s="24">
        <f t="array" ref="M91">IF(COUNT($O$2:$O$70)=0,"N/A",AVERAGE($O$2:$O$70))</f>
        <v>0.74493381199876207</v>
      </c>
      <c r="N91" s="24">
        <f t="array" ref="N91">IF(COUNT($K$2:$K$70)=0,"N/A",SQRT(SUMPRODUCT(ISNUMBER($K$2:$K$70)*(IF(ISNUMBER($K$2:$K$70),$K$2:$K$70,0))^2)/COUNT($K$2:$K$70)))</f>
        <v>4.7450187447439038</v>
      </c>
      <c r="O91" s="24">
        <f>IF(COUNT($K$2:$K$70)&lt;2,"N/A",_xlfn.STDEV.S($K$2:$K$70))</f>
        <v>4.0249947850860206</v>
      </c>
      <c r="P91" s="24">
        <f>IF(COUNT($K$2:$K$70)=0,"N/A",_xlfn.PERCENTILE.INC($K$2:$K$70,0.9))</f>
        <v>7.5011333621265992</v>
      </c>
      <c r="Q91" s="24">
        <f>IF(COUNT($K$2:$K$70)=0,"N/A",_xlfn.PERCENTILE.INC($K$2:$K$70,0.95))</f>
        <v>9.6701165262950024</v>
      </c>
      <c r="R91" s="23">
        <f>COUNTIF($K$2:$K$70,"&gt;15")</f>
        <v>2</v>
      </c>
      <c r="S91" s="24">
        <f>IF(COUNT($S$2:$S$70)=0,"N/A",AVERAGE($S$2:$S$70))</f>
        <v>1.5164051500155313</v>
      </c>
      <c r="T91" s="25">
        <f>IF(COUNT($S$2:$S$70)=0,"N/A",COUNTIF($S$2:$S$70,"&gt;1")/COUNT($S$2:$S$70))</f>
        <v>0.34375</v>
      </c>
    </row>
    <row r="92" spans="9:20" ht="14.25" customHeight="1" x14ac:dyDescent="0.45">
      <c r="I92" s="27" t="s">
        <v>47</v>
      </c>
      <c r="J92" s="28">
        <f>COUNTIF($B$2:$B$70,"Doors")</f>
        <v>15</v>
      </c>
      <c r="K92" s="30">
        <f>IF(SUMPRODUCT(($B$2:$B$70="Doors")*ISNUMBER($M$2:$M$70))=0,"N/A",SUMPRODUCT(($B$2:$B$70="Doors")*($R$2:$R$70=1))/SUMPRODUCT(($B$2:$B$70="Doors")*ISNUMBER($M$2:$M$70)))</f>
        <v>1</v>
      </c>
      <c r="L92" s="30">
        <f t="array" ref="L92">IF(SUMPRODUCT(($B$2:$B$70="Doors")*ISNUMBER($N$2:$N$70))=0,"N/A",SUMPRODUCT(($B$2:$B$70="Doors")*ISNUMBER($N$2:$N$70)*(IF(ISNUMBER($N$2:$N$70),$N$2:$N$70,0)))/SUMPRODUCT(($B$2:$B$70="Doors")*ISNUMBER($N$2:$N$70)))</f>
        <v>0.99588496014262684</v>
      </c>
      <c r="M92" s="29">
        <f t="array" ref="M92">IF(SUMPRODUCT(($B$2:$B$70="Doors")*ISNUMBER($O$2:$O$70))=0,"N/A",SUMPRODUCT(($B$2:$B$70="Doors")*ISNUMBER($O$2:$O$70)*(IF(ISNUMBER($O$2:$O$70),$O$2:$O$70,0)))/SUMPRODUCT(($B$2:$B$70="Doors")*ISNUMBER($O$2:$O$70)))</f>
        <v>0.99996947490025612</v>
      </c>
      <c r="N92" s="29">
        <f t="array" ref="N92">IF(SUMPRODUCT(($B$2:$B$70="Doors")*ISNUMBER($K$2:$K$70))=0,"N/A",SQRT(SUMPRODUCT(($B$2:$B$70="Doors")*ISNUMBER($K$2:$K$70)*(IF(ISNUMBER($K$2:$K$70),$K$2:$K$70,0))^2)/SUMPRODUCT(($B$2:$B$70="Doors")*ISNUMBER($K$2:$K$70))))</f>
        <v>1.6193229037676775E-2</v>
      </c>
      <c r="O92" s="29">
        <f t="array" ref="O92">IFERROR(IF(SUMPRODUCT(($B$2:$B$70="Doors")*ISNUMBER($K$2:$K$70))&lt;2,"N/A",_xlfn.STDEV.S(IF($B$2:$B$70="Doors",$K$2:$K$70))),"N/A")</f>
        <v>1.4145764972834009E-2</v>
      </c>
      <c r="P92" s="29">
        <f t="array" ref="P92">IFERROR(_xlfn.PERCENTILE.INC(IF(($B$2:$B$70="Doors")*ISNUMBER($K$2:$K$70),$K$2:$K$70),0.9),"N/A")</f>
        <v>3.1259999999998914E-2</v>
      </c>
      <c r="Q92" s="29">
        <f t="array" ref="Q92">IFERROR(_xlfn.PERCENTILE.INC(IF(($B$2:$B$70="Doors")*ISNUMBER($K$2:$K$70),$K$2:$K$70),0.95),"N/A")</f>
        <v>3.1299999999999176E-2</v>
      </c>
      <c r="R92" s="28">
        <f>COUNTIFS($B$2:$B$70,"Doors",$K$2:$K$70,"&gt;15")</f>
        <v>0</v>
      </c>
      <c r="S92" s="37">
        <f t="array" ref="S92">IF(SUMPRODUCT(($B$2:$B$70="Doors")*ISNUMBER($S$2:$S$70))=0,"N/A",SUMPRODUCT(($B$2:$B$70="Doors")*ISNUMBER($S$2:$S$70)*(IF(ISNUMBER($S$2:$S$70),$S$2:$S$70,0)))/SUMPRODUCT(($B$2:$B$70="Doors")*ISNUMBER($S$2:$S$70)))</f>
        <v>0.99996947490025612</v>
      </c>
      <c r="T92" s="38">
        <f t="array" ref="T92">IF(SUMPRODUCT(($B$2:$B$70="Doors")*ISNUMBER($S$2:$S$70))=0,"N/A",SUMPRODUCT(($B$2:$B$70="Doors")*ISNUMBER($S$2:$S$70)*(IF(ISNUMBER($S$2:$S$70),$S$2:$S$70,0)&gt;1))/SUMPRODUCT(($B$2:$B$70="Doors")*ISNUMBER($S$2:$S$70)))</f>
        <v>0</v>
      </c>
    </row>
    <row r="93" spans="9:20" ht="14.25" customHeight="1" x14ac:dyDescent="0.45">
      <c r="I93" s="27" t="s">
        <v>48</v>
      </c>
      <c r="J93" s="28">
        <f>COUNTIF($B$2:$B$70,"Windows")</f>
        <v>17</v>
      </c>
      <c r="K93" s="30">
        <f>IF(SUMPRODUCT(($B$2:$B$70="Windows")*ISNUMBER($M$2:$M$70))=0,"N/A",SUMPRODUCT(($B$2:$B$70="Windows")*($R$2:$R$70=1))/SUMPRODUCT(($B$2:$B$70="Windows")*ISNUMBER($M$2:$M$70)))</f>
        <v>0.94117647058823528</v>
      </c>
      <c r="L93" s="30">
        <f t="array" ref="L93">IF(SUMPRODUCT(($B$2:$B$70="Windows")*ISNUMBER($N$2:$N$70))=0,"N/A",SUMPRODUCT(($B$2:$B$70="Windows")*ISNUMBER($N$2:$N$70)*(IF(ISNUMBER($N$2:$N$70),$N$2:$N$70,0)))/SUMPRODUCT(($B$2:$B$70="Windows")*ISNUMBER($N$2:$N$70)))</f>
        <v>0.94051331684410511</v>
      </c>
      <c r="M93" s="29">
        <f t="array" ref="M93">IF(SUMPRODUCT(($B$2:$B$70="Windows")*ISNUMBER($O$2:$O$70))=0,"N/A",SUMPRODUCT(($B$2:$B$70="Windows")*ISNUMBER($O$2:$O$70)*(IF(ISNUMBER($O$2:$O$70),$O$2:$O$70,0)))/SUMPRODUCT(($B$2:$B$70="Windows")*ISNUMBER($O$2:$O$70)))</f>
        <v>1</v>
      </c>
      <c r="N93" s="29">
        <f t="array" ref="N93">IF(SUMPRODUCT(($B$2:$B$70="Windows")*ISNUMBER($K$2:$K$70))=0,"N/A",SQRT(SUMPRODUCT(($B$2:$B$70="Windows")*ISNUMBER($K$2:$K$70)*(IF(ISNUMBER($K$2:$K$70),$K$2:$K$70,0))^2)/SUMPRODUCT(($B$2:$B$70="Windows")*ISNUMBER($K$2:$K$70))))</f>
        <v>0.24149272184867659</v>
      </c>
      <c r="O93" s="29">
        <f t="array" ref="O93">IFERROR(IF(SUMPRODUCT(($B$2:$B$70="Windows")*ISNUMBER($K$2:$K$70))&lt;2,"N/A",_xlfn.STDEV.S(IF($B$2:$B$70="Windows",$K$2:$K$70))),"N/A")</f>
        <v>0.24149272184867659</v>
      </c>
      <c r="P93" s="29">
        <f t="array" ref="P93">IFERROR(_xlfn.PERCENTILE.INC(IF(($B$2:$B$70="Windows")*ISNUMBER($K$2:$K$70),$K$2:$K$70),0.9),"N/A")</f>
        <v>0</v>
      </c>
      <c r="Q93" s="29">
        <f t="array" ref="Q93">IFERROR(_xlfn.PERCENTILE.INC(IF(($B$2:$B$70="Windows")*ISNUMBER($K$2:$K$70),$K$2:$K$70),0.95),"N/A")</f>
        <v>0.19913999999999918</v>
      </c>
      <c r="R93" s="28">
        <f>COUNTIFS($B$2:$B$70,"Windows",$K$2:$K$70,"&gt;15")</f>
        <v>0</v>
      </c>
      <c r="S93" s="37">
        <f t="array" ref="S93">IF(SUMPRODUCT(($B$2:$B$70="Windows")*ISNUMBER($S$2:$S$70))=0,"N/A",SUMPRODUCT(($B$2:$B$70="Windows")*ISNUMBER($S$2:$S$70)*(IF(ISNUMBER($S$2:$S$70),$S$2:$S$70,0)))/SUMPRODUCT(($B$2:$B$70="Windows")*ISNUMBER($S$2:$S$70)))</f>
        <v>1.0594866831558947</v>
      </c>
      <c r="T93" s="38">
        <f t="array" ref="T93">IF(SUMPRODUCT(($B$2:$B$70="Windows")*ISNUMBER($S$2:$S$70))=0,"N/A",SUMPRODUCT(($B$2:$B$70="Windows")*ISNUMBER($S$2:$S$70)*(IF(ISNUMBER($S$2:$S$70),$S$2:$S$70,0)&gt;1))/SUMPRODUCT(($B$2:$B$70="Windows")*ISNUMBER($S$2:$S$70)))</f>
        <v>5.8823529411764705E-2</v>
      </c>
    </row>
    <row r="94" spans="9:20" ht="14.25" customHeight="1" x14ac:dyDescent="0.45">
      <c r="I94" s="27" t="s">
        <v>49</v>
      </c>
      <c r="J94" s="28">
        <f>COUNTIF($B$2:$B$70,"Walls")</f>
        <v>26</v>
      </c>
      <c r="K94" s="30">
        <f>IF(SUMPRODUCT(($B$2:$B$70="Walls")*ISNUMBER($M$2:$M$70))=0,"N/A",SUMPRODUCT(($B$2:$B$70="Walls")*($R$2:$R$70=1))/SUMPRODUCT(($B$2:$B$70="Walls")*ISNUMBER($M$2:$M$70)))</f>
        <v>0.69230769230769229</v>
      </c>
      <c r="L94" s="30">
        <f t="array" ref="L94">IF(SUMPRODUCT(($B$2:$B$70="Walls")*ISNUMBER($N$2:$N$70))=0,"N/A",SUMPRODUCT(($B$2:$B$70="Walls")*ISNUMBER($N$2:$N$70)*(IF(ISNUMBER($N$2:$N$70),$N$2:$N$70,0)))/SUMPRODUCT(($B$2:$B$70="Walls")*ISNUMBER($N$2:$N$70)))</f>
        <v>-0.14431447225379779</v>
      </c>
      <c r="M94" s="29">
        <f t="array" ref="M94">IF(SUMPRODUCT(($B$2:$B$70="Walls")*ISNUMBER($O$2:$O$70))=0,"N/A",SUMPRODUCT(($B$2:$B$70="Walls")*ISNUMBER($O$2:$O$70)*(IF(ISNUMBER($O$2:$O$70),$O$2:$O$70,0)))/SUMPRODUCT(($B$2:$B$70="Walls")*ISNUMBER($O$2:$O$70)))</f>
        <v>0.55508406553128797</v>
      </c>
      <c r="N94" s="29">
        <f t="array" ref="N94">IF(SUMPRODUCT(($B$2:$B$70="Walls")*ISNUMBER($K$2:$K$70))=0,"N/A",SQRT(SUMPRODUCT(($B$2:$B$70="Walls")*ISNUMBER($K$2:$K$70)*(IF(ISNUMBER($K$2:$K$70),$K$2:$K$70,0))^2)/SUMPRODUCT(($B$2:$B$70="Walls")*ISNUMBER($K$2:$K$70))))</f>
        <v>4.8364092739345379</v>
      </c>
      <c r="O94" s="29">
        <f t="array" ref="O94">IFERROR(IF(SUMPRODUCT(($B$2:$B$70="Walls")*ISNUMBER($K$2:$K$70))&lt;2,"N/A",_xlfn.STDEV.S(IF($B$2:$B$70="Walls",$K$2:$K$70))),"N/A")</f>
        <v>2.8437968256898229</v>
      </c>
      <c r="P94" s="29">
        <f t="array" ref="P94">IFERROR(_xlfn.PERCENTILE.INC(IF(($B$2:$B$70="Walls")*ISNUMBER($K$2:$K$70),$K$2:$K$70),0.9),"N/A")</f>
        <v>8.2614401195386495</v>
      </c>
      <c r="Q94" s="29">
        <f t="array" ref="Q94">IFERROR(_xlfn.PERCENTILE.INC(IF(($B$2:$B$70="Walls")*ISNUMBER($K$2:$K$70),$K$2:$K$70),0.95),"N/A")</f>
        <v>8.8626881585459145</v>
      </c>
      <c r="R94" s="28">
        <f>COUNTIFS($B$2:$B$70,"Walls",$K$2:$K$70,"&gt;15")</f>
        <v>0</v>
      </c>
      <c r="S94" s="37">
        <f t="array" ref="S94">IF(SUMPRODUCT(($B$2:$B$70="Walls")*ISNUMBER($S$2:$S$70))=0,"N/A",SUMPRODUCT(($B$2:$B$70="Walls")*ISNUMBER($S$2:$S$70)*(IF(ISNUMBER($S$2:$S$70),$S$2:$S$70,0)))/SUMPRODUCT(($B$2:$B$70="Walls")*ISNUMBER($S$2:$S$70)))</f>
        <v>1.4209513127319757</v>
      </c>
      <c r="T94" s="38">
        <f t="array" ref="T94">IF(SUMPRODUCT(($B$2:$B$70="Walls")*ISNUMBER($S$2:$S$70))=0,"N/A",SUMPRODUCT(($B$2:$B$70="Walls")*ISNUMBER($S$2:$S$70)*(IF(ISNUMBER($S$2:$S$70),$S$2:$S$70,0)&gt;1))/SUMPRODUCT(($B$2:$B$70="Walls")*ISNUMBER($S$2:$S$70)))</f>
        <v>0.61538461538461542</v>
      </c>
    </row>
    <row r="95" spans="9:20" ht="14.25" customHeight="1" x14ac:dyDescent="0.45">
      <c r="I95" s="27" t="s">
        <v>50</v>
      </c>
      <c r="J95" s="28">
        <f>COUNTIF($B$2:$B$70,"Room Tags")</f>
        <v>11</v>
      </c>
      <c r="K95" s="30">
        <f>IF(SUMPRODUCT(($B$2:$B$70="Room Tags")*ISNUMBER($M$2:$M$70))=0,"N/A",SUMPRODUCT(($B$2:$B$70="Room Tags")*($R$2:$R$70=1))/SUMPRODUCT(($B$2:$B$70="Room Tags")*ISNUMBER($M$2:$M$70)))</f>
        <v>0.16666666666666666</v>
      </c>
      <c r="L95" s="30">
        <f t="array" ref="L95">IF(SUMPRODUCT(($B$2:$B$70="Room Tags")*ISNUMBER($N$2:$N$70))=0,"N/A",SUMPRODUCT(($B$2:$B$70="Room Tags")*ISNUMBER($N$2:$N$70)*(IF(ISNUMBER($N$2:$N$70),$N$2:$N$70,0)))/SUMPRODUCT(($B$2:$B$70="Room Tags")*ISNUMBER($N$2:$N$70)))</f>
        <v>-3.5068727022477435</v>
      </c>
      <c r="M95" s="29">
        <f t="array" ref="M95">IF(SUMPRODUCT(($B$2:$B$70="Room Tags")*ISNUMBER($O$2:$O$70))=0,"N/A",SUMPRODUCT(($B$2:$B$70="Room Tags")*ISNUMBER($O$2:$O$70)*(IF(ISNUMBER($O$2:$O$70),$O$2:$O$70,0)))/SUMPRODUCT(($B$2:$B$70="Room Tags")*ISNUMBER($O$2:$O$70)))</f>
        <v>0.20733935676724149</v>
      </c>
      <c r="N95" s="29">
        <f t="array" ref="N95">IF(SUMPRODUCT(($B$2:$B$70="Room Tags")*ISNUMBER($K$2:$K$70))=0,"N/A",SQRT(SUMPRODUCT(($B$2:$B$70="Room Tags")*ISNUMBER($K$2:$K$70)*(IF(ISNUMBER($K$2:$K$70),$K$2:$K$70,0))^2)/SUMPRODUCT(($B$2:$B$70="Room Tags")*ISNUMBER($K$2:$K$70))))</f>
        <v>9.2657307329947614</v>
      </c>
      <c r="O95" s="29">
        <f t="array" ref="O95">IFERROR(IF(SUMPRODUCT(($B$2:$B$70="Room Tags")*ISNUMBER($K$2:$K$70))&lt;2,"N/A",_xlfn.STDEV.S(IF($B$2:$B$70="Room Tags",$K$2:$K$70))),"N/A")</f>
        <v>6.8094158844281996</v>
      </c>
      <c r="P95" s="29">
        <f t="array" ref="P95">IFERROR(_xlfn.PERCENTILE.INC(IF(($B$2:$B$70="Room Tags")*ISNUMBER($K$2:$K$70),$K$2:$K$70),0.9),"N/A")</f>
        <v>19.108211734487348</v>
      </c>
      <c r="Q95" s="29">
        <f t="array" ref="Q95">IFERROR(_xlfn.PERCENTILE.INC(IF(($B$2:$B$70="Room Tags")*ISNUMBER($K$2:$K$70),$K$2:$K$70),0.95),"N/A")</f>
        <v>19.252849539106542</v>
      </c>
      <c r="R95" s="28">
        <f>COUNTIFS($B$2:$B$70,"Room Tags",$K$2:$K$70,"&gt;15")</f>
        <v>2</v>
      </c>
      <c r="S95" s="37">
        <f t="array" ref="S95">IF(SUMPRODUCT(($B$2:$B$70="Room Tags")*ISNUMBER($S$2:$S$70))=0,"N/A",SUMPRODUCT(($B$2:$B$70="Room Tags")*ISNUMBER($S$2:$S$70)*(IF(ISNUMBER($S$2:$S$70),$S$2:$S$70,0)))/SUMPRODUCT(($B$2:$B$70="Room Tags")*ISNUMBER($S$2:$S$70)))</f>
        <v>4.5157299554680987</v>
      </c>
      <c r="T95" s="38">
        <f t="array" ref="T95">IF(SUMPRODUCT(($B$2:$B$70="Room Tags")*ISNUMBER($S$2:$S$70))=0,"N/A",SUMPRODUCT(($B$2:$B$70="Room Tags")*ISNUMBER($S$2:$S$70)*(IF(ISNUMBER($S$2:$S$70),$S$2:$S$70,0)&gt;1))/SUMPRODUCT(($B$2:$B$70="Room Tags")*ISNUMBER($S$2:$S$70)))</f>
        <v>0.83333333333333337</v>
      </c>
    </row>
  </sheetData>
  <autoFilter ref="A1:H59" xr:uid="{00000000-0009-0000-0000-00000A000000}"/>
  <mergeCells count="2">
    <mergeCell ref="J71:L71"/>
    <mergeCell ref="J80:L80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Perf Overview + Raster Summary</vt:lpstr>
      <vt:lpstr>Combined Summary</vt:lpstr>
      <vt:lpstr>Analysis Summary</vt:lpstr>
      <vt:lpstr>Movement Vectors</vt:lpstr>
      <vt:lpstr>Basic L1</vt:lpstr>
      <vt:lpstr>Basic L2</vt:lpstr>
      <vt:lpstr>Advanced L1</vt:lpstr>
      <vt:lpstr>Germany L1</vt:lpstr>
      <vt:lpstr>Japan L7</vt:lpstr>
      <vt:lpstr>Snowden Tower L1</vt:lpstr>
      <vt:lpstr>Snowden Tower 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Leo Lu</cp:lastModifiedBy>
  <cp:revision>9</cp:revision>
  <dcterms:created xsi:type="dcterms:W3CDTF">2026-05-14T09:16:42Z</dcterms:created>
  <dcterms:modified xsi:type="dcterms:W3CDTF">2026-05-23T18:16:53Z</dcterms:modified>
  <dc:language>en-US</dc:language>
</cp:coreProperties>
</file>