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/>
  </bookViews>
  <sheets>
    <sheet name="Лист1" sheetId="1" r:id="rId1"/>
    <sheet name="сопоставление ПСК МФО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3" i="1"/>
  <c r="B13" i="1" l="1"/>
  <c r="B20" i="1" l="1"/>
  <c r="L3" i="1" l="1"/>
  <c r="AE35" i="2"/>
  <c r="AD35" i="2"/>
  <c r="AC35" i="2"/>
  <c r="AB35" i="2"/>
  <c r="AA35" i="2"/>
  <c r="AE34" i="2"/>
  <c r="AD34" i="2"/>
  <c r="AC34" i="2"/>
  <c r="AA34" i="2"/>
  <c r="AB34" i="2" s="1"/>
  <c r="AE33" i="2"/>
  <c r="AD33" i="2"/>
  <c r="AC33" i="2"/>
  <c r="AA33" i="2"/>
  <c r="AB33" i="2" s="1"/>
  <c r="AE32" i="2"/>
  <c r="AD32" i="2"/>
  <c r="AC32" i="2"/>
  <c r="AA32" i="2"/>
  <c r="AB32" i="2" s="1"/>
  <c r="AK29" i="2"/>
  <c r="AL29" i="2" s="1"/>
  <c r="AH29" i="2"/>
  <c r="AI29" i="2" s="1"/>
  <c r="AF29" i="2"/>
  <c r="AE29" i="2"/>
  <c r="AD29" i="2"/>
  <c r="AC29" i="2"/>
  <c r="AA29" i="2"/>
  <c r="AB29" i="2" s="1"/>
  <c r="AK28" i="2"/>
  <c r="AL28" i="2" s="1"/>
  <c r="AH28" i="2"/>
  <c r="AI28" i="2" s="1"/>
  <c r="AF28" i="2"/>
  <c r="AE28" i="2"/>
  <c r="AD28" i="2"/>
  <c r="AC28" i="2"/>
  <c r="AA28" i="2"/>
  <c r="AB28" i="2" s="1"/>
  <c r="AK27" i="2"/>
  <c r="AL27" i="2" s="1"/>
  <c r="AH27" i="2"/>
  <c r="AI27" i="2" s="1"/>
  <c r="AF27" i="2"/>
  <c r="AE27" i="2"/>
  <c r="AD27" i="2"/>
  <c r="AC27" i="2"/>
  <c r="AA27" i="2"/>
  <c r="AB27" i="2" s="1"/>
  <c r="AK26" i="2"/>
  <c r="AL26" i="2" s="1"/>
  <c r="AH26" i="2"/>
  <c r="AI26" i="2" s="1"/>
  <c r="AF26" i="2"/>
  <c r="AE26" i="2"/>
  <c r="AD26" i="2"/>
  <c r="AC26" i="2"/>
  <c r="AA26" i="2"/>
  <c r="AB26" i="2" s="1"/>
  <c r="AK24" i="2"/>
  <c r="AL24" i="2" s="1"/>
  <c r="AH24" i="2"/>
  <c r="AI24" i="2" s="1"/>
  <c r="AF24" i="2"/>
  <c r="AE24" i="2"/>
  <c r="AD24" i="2"/>
  <c r="AC24" i="2"/>
  <c r="AB24" i="2"/>
  <c r="AA24" i="2"/>
  <c r="AK23" i="2"/>
  <c r="AL23" i="2" s="1"/>
  <c r="AI23" i="2"/>
  <c r="AH23" i="2"/>
  <c r="AF23" i="2"/>
  <c r="AE23" i="2"/>
  <c r="AD23" i="2"/>
  <c r="AC23" i="2"/>
  <c r="AA23" i="2"/>
  <c r="AB23" i="2" s="1"/>
  <c r="AL20" i="2"/>
  <c r="AK20" i="2"/>
  <c r="AH20" i="2"/>
  <c r="AI20" i="2" s="1"/>
  <c r="AF20" i="2"/>
  <c r="AE20" i="2"/>
  <c r="AD20" i="2"/>
  <c r="AC20" i="2"/>
  <c r="AB20" i="2"/>
  <c r="AA20" i="2"/>
  <c r="AK18" i="2"/>
  <c r="AL18" i="2" s="1"/>
  <c r="AI18" i="2"/>
  <c r="AH18" i="2"/>
  <c r="AF18" i="2"/>
  <c r="AE18" i="2"/>
  <c r="AD18" i="2"/>
  <c r="AC18" i="2"/>
  <c r="AA18" i="2"/>
  <c r="AB18" i="2" s="1"/>
  <c r="AL17" i="2"/>
  <c r="AK17" i="2"/>
  <c r="AH17" i="2"/>
  <c r="AI17" i="2" s="1"/>
  <c r="AF17" i="2"/>
  <c r="AE17" i="2"/>
  <c r="AD17" i="2"/>
  <c r="AC17" i="2"/>
  <c r="AB17" i="2"/>
  <c r="AK16" i="2"/>
  <c r="AL16" i="2" s="1"/>
  <c r="AI16" i="2"/>
  <c r="AH16" i="2"/>
  <c r="AF16" i="2"/>
  <c r="AE16" i="2"/>
  <c r="AD16" i="2"/>
  <c r="AC16" i="2"/>
  <c r="AB16" i="2"/>
  <c r="AK14" i="2"/>
  <c r="AL14" i="2" s="1"/>
  <c r="AI14" i="2"/>
  <c r="AH14" i="2"/>
  <c r="AF14" i="2"/>
  <c r="AE14" i="2"/>
  <c r="AD14" i="2"/>
  <c r="AC14" i="2"/>
  <c r="AA14" i="2"/>
  <c r="AB14" i="2" s="1"/>
  <c r="AL13" i="2"/>
  <c r="AK13" i="2"/>
  <c r="AH13" i="2"/>
  <c r="AI13" i="2" s="1"/>
  <c r="AF13" i="2"/>
  <c r="AE13" i="2"/>
  <c r="AD13" i="2"/>
  <c r="AC13" i="2"/>
  <c r="AB13" i="2"/>
  <c r="AK11" i="2"/>
  <c r="AL11" i="2" s="1"/>
  <c r="AI11" i="2"/>
  <c r="AH11" i="2"/>
  <c r="AF11" i="2"/>
  <c r="AE11" i="2"/>
  <c r="AD11" i="2"/>
  <c r="AC11" i="2"/>
  <c r="AA11" i="2"/>
  <c r="AB11" i="2" s="1"/>
  <c r="AL10" i="2"/>
  <c r="AK10" i="2"/>
  <c r="AH10" i="2"/>
  <c r="AI10" i="2" s="1"/>
  <c r="AF10" i="2"/>
  <c r="AE10" i="2"/>
  <c r="AD10" i="2"/>
  <c r="AC10" i="2"/>
  <c r="AB10" i="2"/>
  <c r="AL7" i="2"/>
  <c r="AK7" i="2"/>
  <c r="AH7" i="2"/>
  <c r="AI7" i="2" s="1"/>
  <c r="AF7" i="2"/>
  <c r="AE7" i="2"/>
  <c r="AD7" i="2"/>
  <c r="AC7" i="2"/>
  <c r="AB7" i="2"/>
  <c r="AA7" i="2"/>
  <c r="AK6" i="2"/>
  <c r="AL6" i="2" s="1"/>
  <c r="AI6" i="2"/>
  <c r="AH6" i="2"/>
  <c r="AF6" i="2"/>
  <c r="AE6" i="2"/>
  <c r="AD6" i="2"/>
  <c r="AC6" i="2"/>
  <c r="AA6" i="2"/>
  <c r="AB6" i="2" s="1"/>
  <c r="AF4" i="2"/>
  <c r="AE4" i="2"/>
  <c r="AD4" i="2"/>
  <c r="AC4" i="2"/>
  <c r="AB4" i="2"/>
  <c r="AA4" i="2"/>
  <c r="Q200" i="1" l="1"/>
  <c r="O200" i="1"/>
  <c r="M3" i="1"/>
  <c r="M4" i="1" s="1"/>
  <c r="G3" i="1"/>
  <c r="F3" i="1"/>
  <c r="F4" i="1" s="1"/>
  <c r="B19" i="1"/>
  <c r="H3" i="1" l="1"/>
  <c r="K4" i="1"/>
  <c r="G4" i="1"/>
  <c r="M5" i="1"/>
  <c r="F5" i="1"/>
  <c r="H4" i="1" l="1"/>
  <c r="I4" i="1" s="1"/>
  <c r="L4" i="1" s="1"/>
  <c r="K5" i="1"/>
  <c r="G5" i="1"/>
  <c r="M6" i="1"/>
  <c r="F6" i="1"/>
  <c r="H5" i="1" l="1"/>
  <c r="I5" i="1" s="1"/>
  <c r="L5" i="1" s="1"/>
  <c r="K6" i="1"/>
  <c r="M7" i="1"/>
  <c r="G6" i="1"/>
  <c r="F7" i="1"/>
  <c r="H6" i="1" l="1"/>
  <c r="I6" i="1" s="1"/>
  <c r="L6" i="1" s="1"/>
  <c r="K7" i="1"/>
  <c r="M8" i="1"/>
  <c r="G7" i="1"/>
  <c r="F8" i="1"/>
  <c r="H7" i="1" l="1"/>
  <c r="I7" i="1" s="1"/>
  <c r="K8" i="1"/>
  <c r="L7" i="1"/>
  <c r="F9" i="1"/>
  <c r="F10" i="1" s="1"/>
  <c r="G8" i="1"/>
  <c r="M9" i="1"/>
  <c r="H8" i="1" l="1"/>
  <c r="I8" i="1" s="1"/>
  <c r="K9" i="1"/>
  <c r="L8" i="1"/>
  <c r="G9" i="1"/>
  <c r="M10" i="1"/>
  <c r="M11" i="1" s="1"/>
  <c r="M12" i="1" s="1"/>
  <c r="M13" i="1" s="1"/>
  <c r="M14" i="1" s="1"/>
  <c r="M15" i="1" s="1"/>
  <c r="F11" i="1"/>
  <c r="H9" i="1" l="1"/>
  <c r="I9" i="1" s="1"/>
  <c r="L9" i="1" s="1"/>
  <c r="K10" i="1"/>
  <c r="G10" i="1"/>
  <c r="M16" i="1"/>
  <c r="F12" i="1"/>
  <c r="H10" i="1" l="1"/>
  <c r="I10" i="1" s="1"/>
  <c r="K11" i="1"/>
  <c r="L10" i="1"/>
  <c r="G11" i="1"/>
  <c r="K12" i="1" s="1"/>
  <c r="M17" i="1"/>
  <c r="F13" i="1"/>
  <c r="G12" i="1" l="1"/>
  <c r="K13" i="1" s="1"/>
  <c r="H11" i="1"/>
  <c r="I11" i="1" s="1"/>
  <c r="L11" i="1" s="1"/>
  <c r="G13" i="1"/>
  <c r="M18" i="1"/>
  <c r="F14" i="1"/>
  <c r="K14" i="1" l="1"/>
  <c r="H12" i="1"/>
  <c r="M19" i="1"/>
  <c r="G14" i="1"/>
  <c r="F15" i="1"/>
  <c r="K15" i="1" l="1"/>
  <c r="H13" i="1"/>
  <c r="I13" i="1" s="1"/>
  <c r="L13" i="1" s="1"/>
  <c r="I12" i="1"/>
  <c r="L12" i="1" s="1"/>
  <c r="G15" i="1"/>
  <c r="M20" i="1"/>
  <c r="F16" i="1"/>
  <c r="H14" i="1" l="1"/>
  <c r="I14" i="1" s="1"/>
  <c r="L14" i="1" s="1"/>
  <c r="H15" i="1"/>
  <c r="I15" i="1" s="1"/>
  <c r="L15" i="1" s="1"/>
  <c r="K16" i="1"/>
  <c r="M21" i="1"/>
  <c r="R21" i="1" s="1"/>
  <c r="G16" i="1"/>
  <c r="F17" i="1"/>
  <c r="H16" i="1" l="1"/>
  <c r="I16" i="1" s="1"/>
  <c r="L16" i="1" s="1"/>
  <c r="K17" i="1"/>
  <c r="G17" i="1"/>
  <c r="M22" i="1"/>
  <c r="F18" i="1"/>
  <c r="H17" i="1" l="1"/>
  <c r="I17" i="1" s="1"/>
  <c r="L17" i="1" s="1"/>
  <c r="K18" i="1"/>
  <c r="M23" i="1"/>
  <c r="G18" i="1"/>
  <c r="F19" i="1"/>
  <c r="H18" i="1" l="1"/>
  <c r="I18" i="1" s="1"/>
  <c r="L18" i="1" s="1"/>
  <c r="K19" i="1"/>
  <c r="G19" i="1"/>
  <c r="M24" i="1"/>
  <c r="F20" i="1"/>
  <c r="H19" i="1" l="1"/>
  <c r="I19" i="1" s="1"/>
  <c r="L19" i="1" s="1"/>
  <c r="K20" i="1"/>
  <c r="M25" i="1"/>
  <c r="G20" i="1"/>
  <c r="F21" i="1"/>
  <c r="K21" i="1" l="1"/>
  <c r="H20" i="1"/>
  <c r="I20" i="1" s="1"/>
  <c r="L20" i="1" s="1"/>
  <c r="G21" i="1"/>
  <c r="M26" i="1"/>
  <c r="F22" i="1"/>
  <c r="H21" i="1" l="1"/>
  <c r="I21" i="1" s="1"/>
  <c r="L21" i="1" s="1"/>
  <c r="K22" i="1"/>
  <c r="M27" i="1"/>
  <c r="G22" i="1"/>
  <c r="F23" i="1"/>
  <c r="H22" i="1" l="1"/>
  <c r="I22" i="1" s="1"/>
  <c r="L22" i="1" s="1"/>
  <c r="K23" i="1"/>
  <c r="G23" i="1"/>
  <c r="M28" i="1"/>
  <c r="F24" i="1"/>
  <c r="H23" i="1" l="1"/>
  <c r="I23" i="1" s="1"/>
  <c r="L23" i="1" s="1"/>
  <c r="K24" i="1"/>
  <c r="M29" i="1"/>
  <c r="G24" i="1"/>
  <c r="F25" i="1"/>
  <c r="H24" i="1" l="1"/>
  <c r="I24" i="1" s="1"/>
  <c r="L24" i="1" s="1"/>
  <c r="K25" i="1"/>
  <c r="G25" i="1"/>
  <c r="M30" i="1"/>
  <c r="F26" i="1"/>
  <c r="H25" i="1" l="1"/>
  <c r="I25" i="1" s="1"/>
  <c r="L25" i="1" s="1"/>
  <c r="K26" i="1"/>
  <c r="M31" i="1"/>
  <c r="G26" i="1"/>
  <c r="F27" i="1"/>
  <c r="H26" i="1" l="1"/>
  <c r="I26" i="1" s="1"/>
  <c r="L26" i="1" s="1"/>
  <c r="K27" i="1"/>
  <c r="G27" i="1"/>
  <c r="M32" i="1"/>
  <c r="F28" i="1"/>
  <c r="K28" i="1" l="1"/>
  <c r="H27" i="1"/>
  <c r="I27" i="1" s="1"/>
  <c r="L27" i="1" s="1"/>
  <c r="M33" i="1"/>
  <c r="G28" i="1"/>
  <c r="F29" i="1"/>
  <c r="K29" i="1" l="1"/>
  <c r="H28" i="1"/>
  <c r="I28" i="1" s="1"/>
  <c r="L28" i="1" s="1"/>
  <c r="G29" i="1"/>
  <c r="M34" i="1"/>
  <c r="F30" i="1"/>
  <c r="K30" i="1" l="1"/>
  <c r="H29" i="1"/>
  <c r="I29" i="1" s="1"/>
  <c r="L29" i="1" s="1"/>
  <c r="M35" i="1"/>
  <c r="G30" i="1"/>
  <c r="F31" i="1"/>
  <c r="K31" i="1" l="1"/>
  <c r="H30" i="1"/>
  <c r="I30" i="1" s="1"/>
  <c r="L30" i="1" s="1"/>
  <c r="G31" i="1"/>
  <c r="M36" i="1"/>
  <c r="F32" i="1"/>
  <c r="H31" i="1" l="1"/>
  <c r="I31" i="1" s="1"/>
  <c r="L31" i="1" s="1"/>
  <c r="K32" i="1"/>
  <c r="M37" i="1"/>
  <c r="G32" i="1"/>
  <c r="F33" i="1"/>
  <c r="H32" i="1" l="1"/>
  <c r="I32" i="1" s="1"/>
  <c r="K33" i="1"/>
  <c r="L32" i="1"/>
  <c r="G33" i="1"/>
  <c r="M38" i="1"/>
  <c r="F34" i="1"/>
  <c r="H33" i="1" l="1"/>
  <c r="I33" i="1" s="1"/>
  <c r="K34" i="1"/>
  <c r="L33" i="1"/>
  <c r="M39" i="1"/>
  <c r="G34" i="1"/>
  <c r="F35" i="1"/>
  <c r="H34" i="1" l="1"/>
  <c r="I34" i="1" s="1"/>
  <c r="L34" i="1" s="1"/>
  <c r="K35" i="1"/>
  <c r="G35" i="1"/>
  <c r="M40" i="1"/>
  <c r="F36" i="1"/>
  <c r="H35" i="1" l="1"/>
  <c r="I35" i="1" s="1"/>
  <c r="K36" i="1"/>
  <c r="M41" i="1"/>
  <c r="G36" i="1"/>
  <c r="F37" i="1"/>
  <c r="L35" i="1" l="1"/>
  <c r="H36" i="1"/>
  <c r="I36" i="1" s="1"/>
  <c r="L36" i="1" s="1"/>
  <c r="K37" i="1"/>
  <c r="G37" i="1"/>
  <c r="M42" i="1"/>
  <c r="F38" i="1"/>
  <c r="H37" i="1" l="1"/>
  <c r="I37" i="1" s="1"/>
  <c r="L37" i="1" s="1"/>
  <c r="K38" i="1"/>
  <c r="M43" i="1"/>
  <c r="G38" i="1"/>
  <c r="F39" i="1"/>
  <c r="H38" i="1" l="1"/>
  <c r="I38" i="1" s="1"/>
  <c r="L38" i="1" s="1"/>
  <c r="K39" i="1"/>
  <c r="G39" i="1"/>
  <c r="M44" i="1"/>
  <c r="F40" i="1"/>
  <c r="H39" i="1" l="1"/>
  <c r="I39" i="1" s="1"/>
  <c r="L39" i="1" s="1"/>
  <c r="K40" i="1"/>
  <c r="M45" i="1"/>
  <c r="G40" i="1"/>
  <c r="F41" i="1"/>
  <c r="H40" i="1" l="1"/>
  <c r="I40" i="1" s="1"/>
  <c r="L40" i="1" s="1"/>
  <c r="K41" i="1"/>
  <c r="G41" i="1"/>
  <c r="M46" i="1"/>
  <c r="F42" i="1"/>
  <c r="H41" i="1" l="1"/>
  <c r="I41" i="1" s="1"/>
  <c r="L41" i="1" s="1"/>
  <c r="K42" i="1"/>
  <c r="M47" i="1"/>
  <c r="G42" i="1"/>
  <c r="F43" i="1"/>
  <c r="H42" i="1" l="1"/>
  <c r="I42" i="1" s="1"/>
  <c r="L42" i="1" s="1"/>
  <c r="K43" i="1"/>
  <c r="G43" i="1"/>
  <c r="M48" i="1"/>
  <c r="F44" i="1"/>
  <c r="H43" i="1" l="1"/>
  <c r="I43" i="1" s="1"/>
  <c r="K44" i="1"/>
  <c r="M49" i="1"/>
  <c r="G44" i="1"/>
  <c r="F45" i="1"/>
  <c r="H44" i="1" l="1"/>
  <c r="I44" i="1" s="1"/>
  <c r="L44" i="1" s="1"/>
  <c r="K45" i="1"/>
  <c r="L43" i="1"/>
  <c r="G45" i="1"/>
  <c r="M50" i="1"/>
  <c r="F46" i="1"/>
  <c r="H45" i="1" l="1"/>
  <c r="I45" i="1" s="1"/>
  <c r="L45" i="1" s="1"/>
  <c r="K46" i="1"/>
  <c r="M51" i="1"/>
  <c r="G46" i="1"/>
  <c r="F47" i="1"/>
  <c r="H46" i="1" l="1"/>
  <c r="K47" i="1"/>
  <c r="I46" i="1"/>
  <c r="L46" i="1" s="1"/>
  <c r="G47" i="1"/>
  <c r="M52" i="1"/>
  <c r="F48" i="1"/>
  <c r="H47" i="1" l="1"/>
  <c r="I47" i="1" s="1"/>
  <c r="L47" i="1" s="1"/>
  <c r="K48" i="1"/>
  <c r="M53" i="1"/>
  <c r="G48" i="1"/>
  <c r="F49" i="1"/>
  <c r="H48" i="1" l="1"/>
  <c r="K49" i="1"/>
  <c r="I48" i="1"/>
  <c r="L48" i="1" s="1"/>
  <c r="G49" i="1"/>
  <c r="M54" i="1"/>
  <c r="F50" i="1"/>
  <c r="H49" i="1" l="1"/>
  <c r="K50" i="1"/>
  <c r="I49" i="1"/>
  <c r="L49" i="1" s="1"/>
  <c r="M55" i="1"/>
  <c r="G50" i="1"/>
  <c r="F51" i="1"/>
  <c r="H50" i="1" l="1"/>
  <c r="I50" i="1" s="1"/>
  <c r="L50" i="1" s="1"/>
  <c r="K51" i="1"/>
  <c r="G51" i="1"/>
  <c r="M56" i="1"/>
  <c r="F52" i="1"/>
  <c r="H51" i="1" l="1"/>
  <c r="I51" i="1" s="1"/>
  <c r="L51" i="1" s="1"/>
  <c r="K52" i="1"/>
  <c r="M57" i="1"/>
  <c r="G52" i="1"/>
  <c r="F53" i="1"/>
  <c r="H52" i="1" l="1"/>
  <c r="I52" i="1" s="1"/>
  <c r="L52" i="1" s="1"/>
  <c r="K53" i="1"/>
  <c r="G53" i="1"/>
  <c r="M58" i="1"/>
  <c r="F54" i="1"/>
  <c r="H53" i="1" l="1"/>
  <c r="I53" i="1" s="1"/>
  <c r="L53" i="1" s="1"/>
  <c r="K54" i="1"/>
  <c r="M59" i="1"/>
  <c r="G54" i="1"/>
  <c r="F55" i="1"/>
  <c r="H54" i="1" l="1"/>
  <c r="I54" i="1" s="1"/>
  <c r="L54" i="1" s="1"/>
  <c r="K55" i="1"/>
  <c r="G55" i="1"/>
  <c r="M60" i="1"/>
  <c r="F56" i="1"/>
  <c r="H55" i="1" l="1"/>
  <c r="K56" i="1"/>
  <c r="I55" i="1"/>
  <c r="L55" i="1" s="1"/>
  <c r="M61" i="1"/>
  <c r="G56" i="1"/>
  <c r="F57" i="1"/>
  <c r="H56" i="1" l="1"/>
  <c r="I56" i="1" s="1"/>
  <c r="L56" i="1" s="1"/>
  <c r="K57" i="1"/>
  <c r="G57" i="1"/>
  <c r="M62" i="1"/>
  <c r="F58" i="1"/>
  <c r="H57" i="1" l="1"/>
  <c r="I57" i="1" s="1"/>
  <c r="L57" i="1" s="1"/>
  <c r="K58" i="1"/>
  <c r="M63" i="1"/>
  <c r="G58" i="1"/>
  <c r="F59" i="1"/>
  <c r="H58" i="1" l="1"/>
  <c r="K59" i="1"/>
  <c r="I58" i="1"/>
  <c r="L58" i="1" s="1"/>
  <c r="G59" i="1"/>
  <c r="M64" i="1"/>
  <c r="F60" i="1"/>
  <c r="H59" i="1" l="1"/>
  <c r="I59" i="1" s="1"/>
  <c r="L59" i="1" s="1"/>
  <c r="K60" i="1"/>
  <c r="M65" i="1"/>
  <c r="G60" i="1"/>
  <c r="F61" i="1"/>
  <c r="H60" i="1" l="1"/>
  <c r="K61" i="1"/>
  <c r="I60" i="1"/>
  <c r="G61" i="1"/>
  <c r="M66" i="1"/>
  <c r="F62" i="1"/>
  <c r="H61" i="1" l="1"/>
  <c r="K62" i="1"/>
  <c r="I61" i="1"/>
  <c r="L60" i="1"/>
  <c r="M67" i="1"/>
  <c r="G62" i="1"/>
  <c r="F63" i="1"/>
  <c r="H62" i="1" l="1"/>
  <c r="I62" i="1" s="1"/>
  <c r="K63" i="1"/>
  <c r="L61" i="1"/>
  <c r="G63" i="1"/>
  <c r="M68" i="1"/>
  <c r="F64" i="1"/>
  <c r="H63" i="1" l="1"/>
  <c r="I63" i="1" s="1"/>
  <c r="K64" i="1"/>
  <c r="L62" i="1"/>
  <c r="M69" i="1"/>
  <c r="G64" i="1"/>
  <c r="F65" i="1"/>
  <c r="H64" i="1" l="1"/>
  <c r="I64" i="1" s="1"/>
  <c r="K65" i="1"/>
  <c r="L63" i="1"/>
  <c r="G65" i="1"/>
  <c r="M70" i="1"/>
  <c r="F66" i="1"/>
  <c r="H65" i="1" l="1"/>
  <c r="I65" i="1" s="1"/>
  <c r="K66" i="1"/>
  <c r="L64" i="1"/>
  <c r="M71" i="1"/>
  <c r="G66" i="1"/>
  <c r="F67" i="1"/>
  <c r="H66" i="1" l="1"/>
  <c r="I66" i="1" s="1"/>
  <c r="K67" i="1"/>
  <c r="L65" i="1"/>
  <c r="G67" i="1"/>
  <c r="M72" i="1"/>
  <c r="F68" i="1"/>
  <c r="H67" i="1" l="1"/>
  <c r="I67" i="1" s="1"/>
  <c r="K68" i="1"/>
  <c r="L66" i="1"/>
  <c r="M73" i="1"/>
  <c r="G68" i="1"/>
  <c r="F69" i="1"/>
  <c r="H68" i="1" l="1"/>
  <c r="I68" i="1" s="1"/>
  <c r="K69" i="1"/>
  <c r="G69" i="1"/>
  <c r="M74" i="1"/>
  <c r="F70" i="1"/>
  <c r="H69" i="1" l="1"/>
  <c r="I69" i="1" s="1"/>
  <c r="K70" i="1"/>
  <c r="L68" i="1"/>
  <c r="L67" i="1"/>
  <c r="M75" i="1"/>
  <c r="G70" i="1"/>
  <c r="F71" i="1"/>
  <c r="L69" i="1" l="1"/>
  <c r="H70" i="1"/>
  <c r="I70" i="1" s="1"/>
  <c r="K71" i="1"/>
  <c r="G71" i="1"/>
  <c r="M76" i="1"/>
  <c r="F72" i="1"/>
  <c r="L70" i="1" l="1"/>
  <c r="H71" i="1"/>
  <c r="I71" i="1" s="1"/>
  <c r="K72" i="1"/>
  <c r="M77" i="1"/>
  <c r="G72" i="1"/>
  <c r="F73" i="1"/>
  <c r="L71" i="1" l="1"/>
  <c r="H72" i="1"/>
  <c r="I72" i="1" s="1"/>
  <c r="K73" i="1"/>
  <c r="G73" i="1"/>
  <c r="M78" i="1"/>
  <c r="F74" i="1"/>
  <c r="L72" i="1" l="1"/>
  <c r="H73" i="1"/>
  <c r="I73" i="1" s="1"/>
  <c r="K74" i="1"/>
  <c r="M79" i="1"/>
  <c r="G74" i="1"/>
  <c r="F75" i="1"/>
  <c r="L73" i="1" l="1"/>
  <c r="H74" i="1"/>
  <c r="I74" i="1" s="1"/>
  <c r="K75" i="1"/>
  <c r="G75" i="1"/>
  <c r="M80" i="1"/>
  <c r="F76" i="1"/>
  <c r="L74" i="1" l="1"/>
  <c r="H75" i="1"/>
  <c r="I75" i="1" s="1"/>
  <c r="K76" i="1"/>
  <c r="M81" i="1"/>
  <c r="G76" i="1"/>
  <c r="F77" i="1"/>
  <c r="L75" i="1" l="1"/>
  <c r="H76" i="1"/>
  <c r="I76" i="1" s="1"/>
  <c r="K77" i="1"/>
  <c r="G77" i="1"/>
  <c r="M82" i="1"/>
  <c r="F78" i="1"/>
  <c r="L76" i="1" l="1"/>
  <c r="H77" i="1"/>
  <c r="I77" i="1" s="1"/>
  <c r="K78" i="1"/>
  <c r="M83" i="1"/>
  <c r="G78" i="1"/>
  <c r="F79" i="1"/>
  <c r="L77" i="1" l="1"/>
  <c r="H78" i="1"/>
  <c r="I78" i="1" s="1"/>
  <c r="K79" i="1"/>
  <c r="G79" i="1"/>
  <c r="M84" i="1"/>
  <c r="F80" i="1"/>
  <c r="L78" i="1" l="1"/>
  <c r="H79" i="1"/>
  <c r="I79" i="1" s="1"/>
  <c r="K80" i="1"/>
  <c r="M85" i="1"/>
  <c r="G80" i="1"/>
  <c r="F81" i="1"/>
  <c r="L79" i="1" l="1"/>
  <c r="H80" i="1"/>
  <c r="I80" i="1" s="1"/>
  <c r="K81" i="1"/>
  <c r="G81" i="1"/>
  <c r="M86" i="1"/>
  <c r="F82" i="1"/>
  <c r="L80" i="1" l="1"/>
  <c r="H81" i="1"/>
  <c r="I81" i="1" s="1"/>
  <c r="K82" i="1"/>
  <c r="M87" i="1"/>
  <c r="G82" i="1"/>
  <c r="F83" i="1"/>
  <c r="L81" i="1" l="1"/>
  <c r="H82" i="1"/>
  <c r="I82" i="1" s="1"/>
  <c r="K83" i="1"/>
  <c r="G83" i="1"/>
  <c r="M88" i="1"/>
  <c r="F84" i="1"/>
  <c r="H83" i="1" l="1"/>
  <c r="I83" i="1" s="1"/>
  <c r="K84" i="1"/>
  <c r="L82" i="1"/>
  <c r="M89" i="1"/>
  <c r="G84" i="1"/>
  <c r="F85" i="1"/>
  <c r="H84" i="1" l="1"/>
  <c r="I84" i="1" s="1"/>
  <c r="K85" i="1"/>
  <c r="L83" i="1"/>
  <c r="G85" i="1"/>
  <c r="M90" i="1"/>
  <c r="F86" i="1"/>
  <c r="H85" i="1" l="1"/>
  <c r="I85" i="1" s="1"/>
  <c r="K86" i="1"/>
  <c r="L84" i="1"/>
  <c r="M91" i="1"/>
  <c r="G86" i="1"/>
  <c r="F87" i="1"/>
  <c r="H86" i="1" l="1"/>
  <c r="I86" i="1" s="1"/>
  <c r="K87" i="1"/>
  <c r="L85" i="1"/>
  <c r="G87" i="1"/>
  <c r="M92" i="1"/>
  <c r="F88" i="1"/>
  <c r="H87" i="1" l="1"/>
  <c r="I87" i="1" s="1"/>
  <c r="K88" i="1"/>
  <c r="L86" i="1"/>
  <c r="M93" i="1"/>
  <c r="G88" i="1"/>
  <c r="F89" i="1"/>
  <c r="H88" i="1" l="1"/>
  <c r="I88" i="1" s="1"/>
  <c r="K89" i="1"/>
  <c r="L87" i="1"/>
  <c r="G89" i="1"/>
  <c r="M94" i="1"/>
  <c r="F90" i="1"/>
  <c r="H89" i="1" l="1"/>
  <c r="I89" i="1" s="1"/>
  <c r="K90" i="1"/>
  <c r="L88" i="1"/>
  <c r="M95" i="1"/>
  <c r="G90" i="1"/>
  <c r="F91" i="1"/>
  <c r="H90" i="1" l="1"/>
  <c r="I90" i="1" s="1"/>
  <c r="K91" i="1"/>
  <c r="L89" i="1"/>
  <c r="G91" i="1"/>
  <c r="M96" i="1"/>
  <c r="F92" i="1"/>
  <c r="H91" i="1" l="1"/>
  <c r="I91" i="1" s="1"/>
  <c r="K92" i="1"/>
  <c r="L90" i="1"/>
  <c r="M97" i="1"/>
  <c r="G92" i="1"/>
  <c r="F93" i="1"/>
  <c r="H92" i="1" l="1"/>
  <c r="I92" i="1" s="1"/>
  <c r="K93" i="1"/>
  <c r="L91" i="1"/>
  <c r="G93" i="1"/>
  <c r="M98" i="1"/>
  <c r="F94" i="1"/>
  <c r="H93" i="1" l="1"/>
  <c r="I93" i="1" s="1"/>
  <c r="K94" i="1"/>
  <c r="L92" i="1"/>
  <c r="M99" i="1"/>
  <c r="G94" i="1"/>
  <c r="F95" i="1"/>
  <c r="H94" i="1" l="1"/>
  <c r="I94" i="1" s="1"/>
  <c r="K95" i="1"/>
  <c r="G95" i="1"/>
  <c r="M100" i="1"/>
  <c r="F96" i="1"/>
  <c r="H95" i="1" l="1"/>
  <c r="I95" i="1" s="1"/>
  <c r="K96" i="1"/>
  <c r="L94" i="1"/>
  <c r="L93" i="1"/>
  <c r="M101" i="1"/>
  <c r="G96" i="1"/>
  <c r="F97" i="1"/>
  <c r="L95" i="1" l="1"/>
  <c r="H96" i="1"/>
  <c r="I96" i="1" s="1"/>
  <c r="K97" i="1"/>
  <c r="G97" i="1"/>
  <c r="M102" i="1"/>
  <c r="O101" i="1" s="1"/>
  <c r="F98" i="1"/>
  <c r="L96" i="1" l="1"/>
  <c r="H97" i="1"/>
  <c r="I97" i="1" s="1"/>
  <c r="K98" i="1"/>
  <c r="M103" i="1"/>
  <c r="O102" i="1" s="1"/>
  <c r="X102" i="1"/>
  <c r="W102" i="1"/>
  <c r="Q101" i="1"/>
  <c r="V102" i="1"/>
  <c r="R102" i="1"/>
  <c r="P102" i="1"/>
  <c r="N102" i="1"/>
  <c r="G98" i="1"/>
  <c r="F99" i="1"/>
  <c r="L97" i="1" l="1"/>
  <c r="H98" i="1"/>
  <c r="I98" i="1" s="1"/>
  <c r="K99" i="1"/>
  <c r="G99" i="1"/>
  <c r="M104" i="1"/>
  <c r="O103" i="1" s="1"/>
  <c r="X103" i="1"/>
  <c r="W103" i="1"/>
  <c r="Q102" i="1"/>
  <c r="V103" i="1"/>
  <c r="R103" i="1"/>
  <c r="P103" i="1"/>
  <c r="N103" i="1"/>
  <c r="F100" i="1"/>
  <c r="L98" i="1" l="1"/>
  <c r="H99" i="1"/>
  <c r="I99" i="1" s="1"/>
  <c r="K100" i="1"/>
  <c r="M105" i="1"/>
  <c r="O104" i="1" s="1"/>
  <c r="W104" i="1"/>
  <c r="X104" i="1"/>
  <c r="V104" i="1"/>
  <c r="R104" i="1"/>
  <c r="Q103" i="1"/>
  <c r="P104" i="1"/>
  <c r="N104" i="1"/>
  <c r="G100" i="1"/>
  <c r="F101" i="1"/>
  <c r="L99" i="1" l="1"/>
  <c r="H100" i="1"/>
  <c r="I100" i="1" s="1"/>
  <c r="K101" i="1"/>
  <c r="G101" i="1"/>
  <c r="M106" i="1"/>
  <c r="O105" i="1" s="1"/>
  <c r="W105" i="1"/>
  <c r="X105" i="1"/>
  <c r="V105" i="1"/>
  <c r="R105" i="1"/>
  <c r="Q104" i="1"/>
  <c r="P105" i="1"/>
  <c r="N105" i="1"/>
  <c r="F102" i="1"/>
  <c r="L100" i="1" l="1"/>
  <c r="H101" i="1"/>
  <c r="I101" i="1" s="1"/>
  <c r="K102" i="1"/>
  <c r="M107" i="1"/>
  <c r="O106" i="1" s="1"/>
  <c r="X106" i="1"/>
  <c r="Q105" i="1"/>
  <c r="W106" i="1"/>
  <c r="R106" i="1"/>
  <c r="V106" i="1"/>
  <c r="P106" i="1"/>
  <c r="N106" i="1"/>
  <c r="G102" i="1"/>
  <c r="F103" i="1"/>
  <c r="L101" i="1" l="1"/>
  <c r="H102" i="1"/>
  <c r="I102" i="1" s="1"/>
  <c r="K103" i="1"/>
  <c r="G103" i="1"/>
  <c r="M108" i="1"/>
  <c r="O107" i="1" s="1"/>
  <c r="X107" i="1"/>
  <c r="W107" i="1"/>
  <c r="V107" i="1"/>
  <c r="Q106" i="1"/>
  <c r="R107" i="1"/>
  <c r="P107" i="1"/>
  <c r="N107" i="1"/>
  <c r="F104" i="1"/>
  <c r="H103" i="1" l="1"/>
  <c r="I103" i="1" s="1"/>
  <c r="K104" i="1"/>
  <c r="M109" i="1"/>
  <c r="O108" i="1" s="1"/>
  <c r="W108" i="1"/>
  <c r="X108" i="1"/>
  <c r="V108" i="1"/>
  <c r="R108" i="1"/>
  <c r="Q107" i="1"/>
  <c r="P108" i="1"/>
  <c r="N108" i="1"/>
  <c r="G104" i="1"/>
  <c r="F105" i="1"/>
  <c r="H104" i="1" l="1"/>
  <c r="I104" i="1" s="1"/>
  <c r="K105" i="1"/>
  <c r="L103" i="1"/>
  <c r="L102" i="1"/>
  <c r="G105" i="1"/>
  <c r="M110" i="1"/>
  <c r="O109" i="1" s="1"/>
  <c r="W109" i="1"/>
  <c r="X109" i="1"/>
  <c r="V109" i="1"/>
  <c r="R109" i="1"/>
  <c r="P109" i="1"/>
  <c r="Q108" i="1"/>
  <c r="N109" i="1"/>
  <c r="F106" i="1"/>
  <c r="L104" i="1" l="1"/>
  <c r="H105" i="1"/>
  <c r="I105" i="1" s="1"/>
  <c r="K106" i="1"/>
  <c r="M111" i="1"/>
  <c r="O110" i="1" s="1"/>
  <c r="W110" i="1"/>
  <c r="X110" i="1"/>
  <c r="Q109" i="1"/>
  <c r="V110" i="1"/>
  <c r="R110" i="1"/>
  <c r="P110" i="1"/>
  <c r="N110" i="1"/>
  <c r="G106" i="1"/>
  <c r="F107" i="1"/>
  <c r="L105" i="1" l="1"/>
  <c r="H106" i="1"/>
  <c r="I106" i="1" s="1"/>
  <c r="K107" i="1"/>
  <c r="G107" i="1"/>
  <c r="M112" i="1"/>
  <c r="O111" i="1" s="1"/>
  <c r="X111" i="1"/>
  <c r="W111" i="1"/>
  <c r="V111" i="1"/>
  <c r="R111" i="1"/>
  <c r="P111" i="1"/>
  <c r="Q110" i="1"/>
  <c r="N111" i="1"/>
  <c r="F108" i="1"/>
  <c r="L106" i="1" l="1"/>
  <c r="H107" i="1"/>
  <c r="I107" i="1" s="1"/>
  <c r="K108" i="1"/>
  <c r="M113" i="1"/>
  <c r="O112" i="1" s="1"/>
  <c r="W112" i="1"/>
  <c r="X112" i="1"/>
  <c r="V112" i="1"/>
  <c r="R112" i="1"/>
  <c r="Q111" i="1"/>
  <c r="P112" i="1"/>
  <c r="N112" i="1"/>
  <c r="G108" i="1"/>
  <c r="F109" i="1"/>
  <c r="L107" i="1" l="1"/>
  <c r="H108" i="1"/>
  <c r="I108" i="1" s="1"/>
  <c r="K109" i="1"/>
  <c r="G109" i="1"/>
  <c r="M114" i="1"/>
  <c r="O113" i="1" s="1"/>
  <c r="W113" i="1"/>
  <c r="X113" i="1"/>
  <c r="V113" i="1"/>
  <c r="R113" i="1"/>
  <c r="P113" i="1"/>
  <c r="Q112" i="1"/>
  <c r="N113" i="1"/>
  <c r="F110" i="1"/>
  <c r="L108" i="1" l="1"/>
  <c r="H109" i="1"/>
  <c r="I109" i="1" s="1"/>
  <c r="K110" i="1"/>
  <c r="M115" i="1"/>
  <c r="O114" i="1" s="1"/>
  <c r="X114" i="1"/>
  <c r="Q113" i="1"/>
  <c r="R114" i="1"/>
  <c r="W114" i="1"/>
  <c r="V114" i="1"/>
  <c r="P114" i="1"/>
  <c r="N114" i="1"/>
  <c r="G110" i="1"/>
  <c r="F111" i="1"/>
  <c r="L109" i="1" l="1"/>
  <c r="H110" i="1"/>
  <c r="I110" i="1" s="1"/>
  <c r="K111" i="1"/>
  <c r="G111" i="1"/>
  <c r="M116" i="1"/>
  <c r="O115" i="1" s="1"/>
  <c r="X115" i="1"/>
  <c r="W115" i="1"/>
  <c r="V115" i="1"/>
  <c r="R115" i="1"/>
  <c r="Q114" i="1"/>
  <c r="P115" i="1"/>
  <c r="N115" i="1"/>
  <c r="F112" i="1"/>
  <c r="L110" i="1" l="1"/>
  <c r="H111" i="1"/>
  <c r="I111" i="1" s="1"/>
  <c r="K112" i="1"/>
  <c r="M117" i="1"/>
  <c r="O116" i="1" s="1"/>
  <c r="W116" i="1"/>
  <c r="X116" i="1"/>
  <c r="V116" i="1"/>
  <c r="R116" i="1"/>
  <c r="Q115" i="1"/>
  <c r="P116" i="1"/>
  <c r="N116" i="1"/>
  <c r="G112" i="1"/>
  <c r="F113" i="1"/>
  <c r="L111" i="1" l="1"/>
  <c r="H112" i="1"/>
  <c r="I112" i="1" s="1"/>
  <c r="K113" i="1"/>
  <c r="G113" i="1"/>
  <c r="M118" i="1"/>
  <c r="O117" i="1" s="1"/>
  <c r="W117" i="1"/>
  <c r="X117" i="1"/>
  <c r="V117" i="1"/>
  <c r="R117" i="1"/>
  <c r="Q116" i="1"/>
  <c r="P117" i="1"/>
  <c r="N117" i="1"/>
  <c r="F114" i="1"/>
  <c r="H113" i="1" l="1"/>
  <c r="I113" i="1" s="1"/>
  <c r="K114" i="1"/>
  <c r="L112" i="1"/>
  <c r="M119" i="1"/>
  <c r="O118" i="1" s="1"/>
  <c r="X118" i="1"/>
  <c r="W118" i="1"/>
  <c r="V118" i="1"/>
  <c r="R118" i="1"/>
  <c r="Q117" i="1"/>
  <c r="P118" i="1"/>
  <c r="N118" i="1"/>
  <c r="G114" i="1"/>
  <c r="F115" i="1"/>
  <c r="H114" i="1" l="1"/>
  <c r="I114" i="1" s="1"/>
  <c r="K115" i="1"/>
  <c r="L113" i="1"/>
  <c r="G115" i="1"/>
  <c r="M120" i="1"/>
  <c r="O119" i="1" s="1"/>
  <c r="X119" i="1"/>
  <c r="W119" i="1"/>
  <c r="V119" i="1"/>
  <c r="R119" i="1"/>
  <c r="Q118" i="1"/>
  <c r="P119" i="1"/>
  <c r="N119" i="1"/>
  <c r="F116" i="1"/>
  <c r="H115" i="1" l="1"/>
  <c r="I115" i="1" s="1"/>
  <c r="K116" i="1"/>
  <c r="M121" i="1"/>
  <c r="O120" i="1" s="1"/>
  <c r="W120" i="1"/>
  <c r="X120" i="1"/>
  <c r="V120" i="1"/>
  <c r="R120" i="1"/>
  <c r="Q119" i="1"/>
  <c r="P120" i="1"/>
  <c r="N120" i="1"/>
  <c r="G116" i="1"/>
  <c r="F117" i="1"/>
  <c r="H116" i="1" l="1"/>
  <c r="I116" i="1" s="1"/>
  <c r="K117" i="1"/>
  <c r="L115" i="1"/>
  <c r="L114" i="1"/>
  <c r="G117" i="1"/>
  <c r="M122" i="1"/>
  <c r="O121" i="1" s="1"/>
  <c r="W121" i="1"/>
  <c r="X121" i="1"/>
  <c r="V121" i="1"/>
  <c r="R121" i="1"/>
  <c r="Q120" i="1"/>
  <c r="P121" i="1"/>
  <c r="N121" i="1"/>
  <c r="F118" i="1"/>
  <c r="L116" i="1" l="1"/>
  <c r="H117" i="1"/>
  <c r="I117" i="1" s="1"/>
  <c r="K118" i="1"/>
  <c r="M123" i="1"/>
  <c r="O122" i="1" s="1"/>
  <c r="X122" i="1"/>
  <c r="R122" i="1"/>
  <c r="W122" i="1"/>
  <c r="V122" i="1"/>
  <c r="Q121" i="1"/>
  <c r="P122" i="1"/>
  <c r="N122" i="1"/>
  <c r="G118" i="1"/>
  <c r="F119" i="1"/>
  <c r="L117" i="1" l="1"/>
  <c r="H118" i="1"/>
  <c r="I118" i="1" s="1"/>
  <c r="K119" i="1"/>
  <c r="G119" i="1"/>
  <c r="M124" i="1"/>
  <c r="O123" i="1" s="1"/>
  <c r="X123" i="1"/>
  <c r="W123" i="1"/>
  <c r="V123" i="1"/>
  <c r="R123" i="1"/>
  <c r="Q122" i="1"/>
  <c r="P123" i="1"/>
  <c r="N123" i="1"/>
  <c r="F120" i="1"/>
  <c r="L118" i="1" l="1"/>
  <c r="H119" i="1"/>
  <c r="I119" i="1" s="1"/>
  <c r="K120" i="1"/>
  <c r="M125" i="1"/>
  <c r="O124" i="1" s="1"/>
  <c r="W124" i="1"/>
  <c r="X124" i="1"/>
  <c r="V124" i="1"/>
  <c r="R124" i="1"/>
  <c r="Q123" i="1"/>
  <c r="P124" i="1"/>
  <c r="N124" i="1"/>
  <c r="G120" i="1"/>
  <c r="F121" i="1"/>
  <c r="L119" i="1" l="1"/>
  <c r="H120" i="1"/>
  <c r="I120" i="1" s="1"/>
  <c r="K121" i="1"/>
  <c r="G121" i="1"/>
  <c r="M126" i="1"/>
  <c r="O125" i="1" s="1"/>
  <c r="W125" i="1"/>
  <c r="X125" i="1"/>
  <c r="V125" i="1"/>
  <c r="R125" i="1"/>
  <c r="Q124" i="1"/>
  <c r="P125" i="1"/>
  <c r="N125" i="1"/>
  <c r="F122" i="1"/>
  <c r="L120" i="1" l="1"/>
  <c r="H121" i="1"/>
  <c r="I121" i="1" s="1"/>
  <c r="K122" i="1"/>
  <c r="M127" i="1"/>
  <c r="O126" i="1" s="1"/>
  <c r="W126" i="1"/>
  <c r="X126" i="1"/>
  <c r="V126" i="1"/>
  <c r="R126" i="1"/>
  <c r="Q125" i="1"/>
  <c r="P126" i="1"/>
  <c r="N126" i="1"/>
  <c r="G122" i="1"/>
  <c r="F123" i="1"/>
  <c r="L121" i="1" l="1"/>
  <c r="H122" i="1"/>
  <c r="I122" i="1" s="1"/>
  <c r="K123" i="1"/>
  <c r="G123" i="1"/>
  <c r="M128" i="1"/>
  <c r="O127" i="1" s="1"/>
  <c r="X127" i="1"/>
  <c r="W127" i="1"/>
  <c r="V127" i="1"/>
  <c r="R127" i="1"/>
  <c r="Q126" i="1"/>
  <c r="P127" i="1"/>
  <c r="N127" i="1"/>
  <c r="F124" i="1"/>
  <c r="L122" i="1" l="1"/>
  <c r="H123" i="1"/>
  <c r="I123" i="1" s="1"/>
  <c r="K124" i="1"/>
  <c r="M129" i="1"/>
  <c r="O128" i="1" s="1"/>
  <c r="W128" i="1"/>
  <c r="X128" i="1"/>
  <c r="V128" i="1"/>
  <c r="R128" i="1"/>
  <c r="Q127" i="1"/>
  <c r="P128" i="1"/>
  <c r="N128" i="1"/>
  <c r="G124" i="1"/>
  <c r="F125" i="1"/>
  <c r="L123" i="1" l="1"/>
  <c r="H124" i="1"/>
  <c r="I124" i="1" s="1"/>
  <c r="K125" i="1"/>
  <c r="G125" i="1"/>
  <c r="M130" i="1"/>
  <c r="O129" i="1" s="1"/>
  <c r="W129" i="1"/>
  <c r="X129" i="1"/>
  <c r="V129" i="1"/>
  <c r="R129" i="1"/>
  <c r="Q128" i="1"/>
  <c r="P129" i="1"/>
  <c r="N129" i="1"/>
  <c r="F126" i="1"/>
  <c r="L124" i="1" l="1"/>
  <c r="H125" i="1"/>
  <c r="I125" i="1" s="1"/>
  <c r="K126" i="1"/>
  <c r="M131" i="1"/>
  <c r="O130" i="1" s="1"/>
  <c r="X130" i="1"/>
  <c r="W130" i="1"/>
  <c r="R130" i="1"/>
  <c r="V130" i="1"/>
  <c r="Q129" i="1"/>
  <c r="P130" i="1"/>
  <c r="N130" i="1"/>
  <c r="G126" i="1"/>
  <c r="F127" i="1"/>
  <c r="L125" i="1" l="1"/>
  <c r="H126" i="1"/>
  <c r="I126" i="1" s="1"/>
  <c r="K127" i="1"/>
  <c r="G127" i="1"/>
  <c r="M132" i="1"/>
  <c r="O131" i="1" s="1"/>
  <c r="X131" i="1"/>
  <c r="W131" i="1"/>
  <c r="V131" i="1"/>
  <c r="R131" i="1"/>
  <c r="Q130" i="1"/>
  <c r="P131" i="1"/>
  <c r="N131" i="1"/>
  <c r="F128" i="1"/>
  <c r="L126" i="1" l="1"/>
  <c r="H127" i="1"/>
  <c r="I127" i="1" s="1"/>
  <c r="K128" i="1"/>
  <c r="M133" i="1"/>
  <c r="O132" i="1" s="1"/>
  <c r="W132" i="1"/>
  <c r="X132" i="1"/>
  <c r="V132" i="1"/>
  <c r="R132" i="1"/>
  <c r="Q131" i="1"/>
  <c r="P132" i="1"/>
  <c r="N132" i="1"/>
  <c r="G128" i="1"/>
  <c r="F129" i="1"/>
  <c r="L127" i="1" l="1"/>
  <c r="H128" i="1"/>
  <c r="I128" i="1" s="1"/>
  <c r="K129" i="1"/>
  <c r="G129" i="1"/>
  <c r="M134" i="1"/>
  <c r="O133" i="1" s="1"/>
  <c r="W133" i="1"/>
  <c r="X133" i="1"/>
  <c r="V133" i="1"/>
  <c r="R133" i="1"/>
  <c r="Q132" i="1"/>
  <c r="P133" i="1"/>
  <c r="N133" i="1"/>
  <c r="F130" i="1"/>
  <c r="L128" i="1" l="1"/>
  <c r="H129" i="1"/>
  <c r="I129" i="1" s="1"/>
  <c r="K130" i="1"/>
  <c r="M135" i="1"/>
  <c r="O134" i="1" s="1"/>
  <c r="X134" i="1"/>
  <c r="W134" i="1"/>
  <c r="V134" i="1"/>
  <c r="R134" i="1"/>
  <c r="Q133" i="1"/>
  <c r="P134" i="1"/>
  <c r="N134" i="1"/>
  <c r="G130" i="1"/>
  <c r="F131" i="1"/>
  <c r="L129" i="1" l="1"/>
  <c r="H130" i="1"/>
  <c r="I130" i="1" s="1"/>
  <c r="K131" i="1"/>
  <c r="G131" i="1"/>
  <c r="M136" i="1"/>
  <c r="O135" i="1" s="1"/>
  <c r="X135" i="1"/>
  <c r="W135" i="1"/>
  <c r="V135" i="1"/>
  <c r="R135" i="1"/>
  <c r="Q134" i="1"/>
  <c r="P135" i="1"/>
  <c r="N135" i="1"/>
  <c r="F132" i="1"/>
  <c r="L130" i="1" l="1"/>
  <c r="H131" i="1"/>
  <c r="I131" i="1" s="1"/>
  <c r="K132" i="1"/>
  <c r="M137" i="1"/>
  <c r="O136" i="1" s="1"/>
  <c r="W136" i="1"/>
  <c r="X136" i="1"/>
  <c r="V136" i="1"/>
  <c r="R136" i="1"/>
  <c r="Q135" i="1"/>
  <c r="P136" i="1"/>
  <c r="N136" i="1"/>
  <c r="G132" i="1"/>
  <c r="F133" i="1"/>
  <c r="L131" i="1" l="1"/>
  <c r="H132" i="1"/>
  <c r="I132" i="1" s="1"/>
  <c r="K133" i="1"/>
  <c r="G133" i="1"/>
  <c r="M138" i="1"/>
  <c r="O137" i="1" s="1"/>
  <c r="W137" i="1"/>
  <c r="X137" i="1"/>
  <c r="V137" i="1"/>
  <c r="R137" i="1"/>
  <c r="Q136" i="1"/>
  <c r="P137" i="1"/>
  <c r="N137" i="1"/>
  <c r="F134" i="1"/>
  <c r="L132" i="1" l="1"/>
  <c r="H133" i="1"/>
  <c r="I133" i="1" s="1"/>
  <c r="K134" i="1"/>
  <c r="M139" i="1"/>
  <c r="O138" i="1" s="1"/>
  <c r="X138" i="1"/>
  <c r="W138" i="1"/>
  <c r="R138" i="1"/>
  <c r="V138" i="1"/>
  <c r="Q137" i="1"/>
  <c r="P138" i="1"/>
  <c r="N138" i="1"/>
  <c r="G134" i="1"/>
  <c r="F135" i="1"/>
  <c r="L133" i="1" l="1"/>
  <c r="H134" i="1"/>
  <c r="I134" i="1" s="1"/>
  <c r="K135" i="1"/>
  <c r="G135" i="1"/>
  <c r="M140" i="1"/>
  <c r="O139" i="1" s="1"/>
  <c r="X139" i="1"/>
  <c r="W139" i="1"/>
  <c r="V139" i="1"/>
  <c r="R139" i="1"/>
  <c r="Q138" i="1"/>
  <c r="P139" i="1"/>
  <c r="N139" i="1"/>
  <c r="F136" i="1"/>
  <c r="H135" i="1" l="1"/>
  <c r="I135" i="1" s="1"/>
  <c r="K136" i="1"/>
  <c r="M141" i="1"/>
  <c r="O140" i="1" s="1"/>
  <c r="W140" i="1"/>
  <c r="X140" i="1"/>
  <c r="V140" i="1"/>
  <c r="R140" i="1"/>
  <c r="Q139" i="1"/>
  <c r="P140" i="1"/>
  <c r="N140" i="1"/>
  <c r="G136" i="1"/>
  <c r="F137" i="1"/>
  <c r="H136" i="1" l="1"/>
  <c r="I136" i="1" s="1"/>
  <c r="K137" i="1"/>
  <c r="L135" i="1"/>
  <c r="L134" i="1"/>
  <c r="G137" i="1"/>
  <c r="M142" i="1"/>
  <c r="O141" i="1" s="1"/>
  <c r="W141" i="1"/>
  <c r="X141" i="1"/>
  <c r="V141" i="1"/>
  <c r="R141" i="1"/>
  <c r="Q140" i="1"/>
  <c r="P141" i="1"/>
  <c r="N141" i="1"/>
  <c r="F138" i="1"/>
  <c r="H137" i="1" l="1"/>
  <c r="I137" i="1" s="1"/>
  <c r="K138" i="1"/>
  <c r="M143" i="1"/>
  <c r="O142" i="1" s="1"/>
  <c r="W142" i="1"/>
  <c r="X142" i="1"/>
  <c r="V142" i="1"/>
  <c r="R142" i="1"/>
  <c r="Q141" i="1"/>
  <c r="P142" i="1"/>
  <c r="N142" i="1"/>
  <c r="G138" i="1"/>
  <c r="F139" i="1"/>
  <c r="H138" i="1" l="1"/>
  <c r="I138" i="1" s="1"/>
  <c r="K139" i="1"/>
  <c r="L137" i="1"/>
  <c r="L136" i="1"/>
  <c r="G139" i="1"/>
  <c r="M144" i="1"/>
  <c r="O143" i="1" s="1"/>
  <c r="X143" i="1"/>
  <c r="W143" i="1"/>
  <c r="V143" i="1"/>
  <c r="R143" i="1"/>
  <c r="Q142" i="1"/>
  <c r="P143" i="1"/>
  <c r="N143" i="1"/>
  <c r="F140" i="1"/>
  <c r="L138" i="1" l="1"/>
  <c r="H139" i="1"/>
  <c r="I139" i="1" s="1"/>
  <c r="K140" i="1"/>
  <c r="M145" i="1"/>
  <c r="O144" i="1" s="1"/>
  <c r="W144" i="1"/>
  <c r="X144" i="1"/>
  <c r="V144" i="1"/>
  <c r="R144" i="1"/>
  <c r="Q143" i="1"/>
  <c r="P144" i="1"/>
  <c r="N144" i="1"/>
  <c r="G140" i="1"/>
  <c r="F141" i="1"/>
  <c r="L139" i="1" l="1"/>
  <c r="H140" i="1"/>
  <c r="I140" i="1" s="1"/>
  <c r="K141" i="1"/>
  <c r="G141" i="1"/>
  <c r="M146" i="1"/>
  <c r="O145" i="1" s="1"/>
  <c r="W145" i="1"/>
  <c r="X145" i="1"/>
  <c r="V145" i="1"/>
  <c r="R145" i="1"/>
  <c r="Q144" i="1"/>
  <c r="P145" i="1"/>
  <c r="N145" i="1"/>
  <c r="F142" i="1"/>
  <c r="L140" i="1" l="1"/>
  <c r="H141" i="1"/>
  <c r="I141" i="1" s="1"/>
  <c r="K142" i="1"/>
  <c r="M147" i="1"/>
  <c r="O146" i="1" s="1"/>
  <c r="X146" i="1"/>
  <c r="R146" i="1"/>
  <c r="W146" i="1"/>
  <c r="V146" i="1"/>
  <c r="Q145" i="1"/>
  <c r="P146" i="1"/>
  <c r="N146" i="1"/>
  <c r="G142" i="1"/>
  <c r="F143" i="1"/>
  <c r="L141" i="1" l="1"/>
  <c r="H142" i="1"/>
  <c r="I142" i="1" s="1"/>
  <c r="K143" i="1"/>
  <c r="G143" i="1"/>
  <c r="M148" i="1"/>
  <c r="O147" i="1" s="1"/>
  <c r="X147" i="1"/>
  <c r="W147" i="1"/>
  <c r="V147" i="1"/>
  <c r="R147" i="1"/>
  <c r="Q146" i="1"/>
  <c r="P147" i="1"/>
  <c r="N147" i="1"/>
  <c r="F144" i="1"/>
  <c r="L142" i="1" l="1"/>
  <c r="H143" i="1"/>
  <c r="I143" i="1" s="1"/>
  <c r="K144" i="1"/>
  <c r="M149" i="1"/>
  <c r="O148" i="1" s="1"/>
  <c r="W148" i="1"/>
  <c r="X148" i="1"/>
  <c r="V148" i="1"/>
  <c r="R148" i="1"/>
  <c r="Q147" i="1"/>
  <c r="P148" i="1"/>
  <c r="N148" i="1"/>
  <c r="G144" i="1"/>
  <c r="F145" i="1"/>
  <c r="L143" i="1" l="1"/>
  <c r="H144" i="1"/>
  <c r="I144" i="1" s="1"/>
  <c r="K145" i="1"/>
  <c r="G145" i="1"/>
  <c r="M150" i="1"/>
  <c r="O149" i="1" s="1"/>
  <c r="W149" i="1"/>
  <c r="X149" i="1"/>
  <c r="V149" i="1"/>
  <c r="R149" i="1"/>
  <c r="Q148" i="1"/>
  <c r="P149" i="1"/>
  <c r="N149" i="1"/>
  <c r="F146" i="1"/>
  <c r="H145" i="1" l="1"/>
  <c r="I145" i="1" s="1"/>
  <c r="K146" i="1"/>
  <c r="M151" i="1"/>
  <c r="O150" i="1" s="1"/>
  <c r="X150" i="1"/>
  <c r="W150" i="1"/>
  <c r="V150" i="1"/>
  <c r="R150" i="1"/>
  <c r="Q149" i="1"/>
  <c r="P150" i="1"/>
  <c r="N150" i="1"/>
  <c r="G146" i="1"/>
  <c r="F147" i="1"/>
  <c r="H146" i="1" l="1"/>
  <c r="I146" i="1" s="1"/>
  <c r="K147" i="1"/>
  <c r="L145" i="1"/>
  <c r="L144" i="1"/>
  <c r="G147" i="1"/>
  <c r="M152" i="1"/>
  <c r="O151" i="1" s="1"/>
  <c r="X151" i="1"/>
  <c r="W151" i="1"/>
  <c r="V151" i="1"/>
  <c r="R151" i="1"/>
  <c r="Q150" i="1"/>
  <c r="P151" i="1"/>
  <c r="N151" i="1"/>
  <c r="F148" i="1"/>
  <c r="H147" i="1" l="1"/>
  <c r="I147" i="1" s="1"/>
  <c r="K148" i="1"/>
  <c r="L146" i="1"/>
  <c r="M153" i="1"/>
  <c r="O152" i="1" s="1"/>
  <c r="W152" i="1"/>
  <c r="X152" i="1"/>
  <c r="V152" i="1"/>
  <c r="R152" i="1"/>
  <c r="Q151" i="1"/>
  <c r="P152" i="1"/>
  <c r="N152" i="1"/>
  <c r="G148" i="1"/>
  <c r="F149" i="1"/>
  <c r="H148" i="1" l="1"/>
  <c r="I148" i="1" s="1"/>
  <c r="K149" i="1"/>
  <c r="L147" i="1"/>
  <c r="G149" i="1"/>
  <c r="M154" i="1"/>
  <c r="O153" i="1" s="1"/>
  <c r="W153" i="1"/>
  <c r="X153" i="1"/>
  <c r="V153" i="1"/>
  <c r="R153" i="1"/>
  <c r="Q152" i="1"/>
  <c r="P153" i="1"/>
  <c r="N153" i="1"/>
  <c r="F150" i="1"/>
  <c r="H149" i="1" l="1"/>
  <c r="I149" i="1" s="1"/>
  <c r="K150" i="1"/>
  <c r="M155" i="1"/>
  <c r="O154" i="1" s="1"/>
  <c r="X154" i="1"/>
  <c r="R154" i="1"/>
  <c r="W154" i="1"/>
  <c r="V154" i="1"/>
  <c r="Q153" i="1"/>
  <c r="P154" i="1"/>
  <c r="N154" i="1"/>
  <c r="G150" i="1"/>
  <c r="F151" i="1"/>
  <c r="H150" i="1" l="1"/>
  <c r="I150" i="1" s="1"/>
  <c r="K151" i="1"/>
  <c r="L149" i="1"/>
  <c r="L148" i="1"/>
  <c r="G151" i="1"/>
  <c r="M156" i="1"/>
  <c r="O155" i="1" s="1"/>
  <c r="X155" i="1"/>
  <c r="W155" i="1"/>
  <c r="V155" i="1"/>
  <c r="R155" i="1"/>
  <c r="Q154" i="1"/>
  <c r="P155" i="1"/>
  <c r="N155" i="1"/>
  <c r="F152" i="1"/>
  <c r="L150" i="1" l="1"/>
  <c r="H151" i="1"/>
  <c r="I151" i="1" s="1"/>
  <c r="K152" i="1"/>
  <c r="M157" i="1"/>
  <c r="O156" i="1" s="1"/>
  <c r="W156" i="1"/>
  <c r="X156" i="1"/>
  <c r="V156" i="1"/>
  <c r="R156" i="1"/>
  <c r="Q155" i="1"/>
  <c r="P156" i="1"/>
  <c r="N156" i="1"/>
  <c r="G152" i="1"/>
  <c r="F153" i="1"/>
  <c r="L151" i="1" l="1"/>
  <c r="H152" i="1"/>
  <c r="I152" i="1" s="1"/>
  <c r="K153" i="1"/>
  <c r="G153" i="1"/>
  <c r="M158" i="1"/>
  <c r="O157" i="1" s="1"/>
  <c r="W157" i="1"/>
  <c r="X157" i="1"/>
  <c r="V157" i="1"/>
  <c r="R157" i="1"/>
  <c r="Q156" i="1"/>
  <c r="P157" i="1"/>
  <c r="N157" i="1"/>
  <c r="F154" i="1"/>
  <c r="L152" i="1" l="1"/>
  <c r="H153" i="1"/>
  <c r="I153" i="1" s="1"/>
  <c r="K154" i="1"/>
  <c r="M159" i="1"/>
  <c r="O158" i="1" s="1"/>
  <c r="W158" i="1"/>
  <c r="X158" i="1"/>
  <c r="V158" i="1"/>
  <c r="R158" i="1"/>
  <c r="Q157" i="1"/>
  <c r="P158" i="1"/>
  <c r="N158" i="1"/>
  <c r="G154" i="1"/>
  <c r="F155" i="1"/>
  <c r="L153" i="1" l="1"/>
  <c r="H154" i="1"/>
  <c r="I154" i="1" s="1"/>
  <c r="K155" i="1"/>
  <c r="G155" i="1"/>
  <c r="M160" i="1"/>
  <c r="O159" i="1" s="1"/>
  <c r="X159" i="1"/>
  <c r="W159" i="1"/>
  <c r="V159" i="1"/>
  <c r="R159" i="1"/>
  <c r="Q158" i="1"/>
  <c r="P159" i="1"/>
  <c r="N159" i="1"/>
  <c r="F156" i="1"/>
  <c r="K156" i="1" l="1"/>
  <c r="L154" i="1"/>
  <c r="H155" i="1"/>
  <c r="I155" i="1" s="1"/>
  <c r="G156" i="1"/>
  <c r="M161" i="1"/>
  <c r="O160" i="1" s="1"/>
  <c r="W160" i="1"/>
  <c r="X160" i="1"/>
  <c r="V160" i="1"/>
  <c r="R160" i="1"/>
  <c r="Q159" i="1"/>
  <c r="P160" i="1"/>
  <c r="N160" i="1"/>
  <c r="F157" i="1"/>
  <c r="K157" i="1" l="1"/>
  <c r="H156" i="1"/>
  <c r="I156" i="1" s="1"/>
  <c r="L155" i="1"/>
  <c r="G157" i="1"/>
  <c r="M162" i="1"/>
  <c r="O161" i="1" s="1"/>
  <c r="X161" i="1"/>
  <c r="V161" i="1"/>
  <c r="W161" i="1"/>
  <c r="R161" i="1"/>
  <c r="Q160" i="1"/>
  <c r="P161" i="1"/>
  <c r="N161" i="1"/>
  <c r="F158" i="1"/>
  <c r="K158" i="1" l="1"/>
  <c r="H157" i="1"/>
  <c r="I157" i="1" s="1"/>
  <c r="L156" i="1"/>
  <c r="M163" i="1"/>
  <c r="O162" i="1" s="1"/>
  <c r="X162" i="1"/>
  <c r="W162" i="1"/>
  <c r="R162" i="1"/>
  <c r="V162" i="1"/>
  <c r="Q161" i="1"/>
  <c r="P162" i="1"/>
  <c r="N162" i="1"/>
  <c r="G158" i="1"/>
  <c r="F159" i="1"/>
  <c r="K159" i="1" l="1"/>
  <c r="L157" i="1"/>
  <c r="H158" i="1"/>
  <c r="I158" i="1" s="1"/>
  <c r="G159" i="1"/>
  <c r="M164" i="1"/>
  <c r="O163" i="1" s="1"/>
  <c r="X163" i="1"/>
  <c r="W163" i="1"/>
  <c r="V163" i="1"/>
  <c r="R163" i="1"/>
  <c r="Q162" i="1"/>
  <c r="P163" i="1"/>
  <c r="N163" i="1"/>
  <c r="F160" i="1"/>
  <c r="K160" i="1" l="1"/>
  <c r="H159" i="1"/>
  <c r="I159" i="1" s="1"/>
  <c r="L158" i="1"/>
  <c r="G160" i="1"/>
  <c r="M165" i="1"/>
  <c r="O164" i="1" s="1"/>
  <c r="W164" i="1"/>
  <c r="X164" i="1"/>
  <c r="V164" i="1"/>
  <c r="R164" i="1"/>
  <c r="Q163" i="1"/>
  <c r="P164" i="1"/>
  <c r="N164" i="1"/>
  <c r="F161" i="1"/>
  <c r="K161" i="1" l="1"/>
  <c r="L159" i="1"/>
  <c r="H160" i="1"/>
  <c r="I160" i="1" s="1"/>
  <c r="G161" i="1"/>
  <c r="M166" i="1"/>
  <c r="O165" i="1" s="1"/>
  <c r="X165" i="1"/>
  <c r="V165" i="1"/>
  <c r="W165" i="1"/>
  <c r="R165" i="1"/>
  <c r="Q164" i="1"/>
  <c r="P165" i="1"/>
  <c r="N165" i="1"/>
  <c r="F162" i="1"/>
  <c r="K162" i="1" l="1"/>
  <c r="H161" i="1"/>
  <c r="I161" i="1" s="1"/>
  <c r="L160" i="1"/>
  <c r="G162" i="1"/>
  <c r="M167" i="1"/>
  <c r="O166" i="1" s="1"/>
  <c r="X166" i="1"/>
  <c r="W166" i="1"/>
  <c r="V166" i="1"/>
  <c r="R166" i="1"/>
  <c r="Q165" i="1"/>
  <c r="P166" i="1"/>
  <c r="N166" i="1"/>
  <c r="F163" i="1"/>
  <c r="K163" i="1" l="1"/>
  <c r="L161" i="1"/>
  <c r="H162" i="1"/>
  <c r="I162" i="1" s="1"/>
  <c r="G163" i="1"/>
  <c r="M168" i="1"/>
  <c r="O167" i="1" s="1"/>
  <c r="X167" i="1"/>
  <c r="W167" i="1"/>
  <c r="V167" i="1"/>
  <c r="R167" i="1"/>
  <c r="Q166" i="1"/>
  <c r="P167" i="1"/>
  <c r="N167" i="1"/>
  <c r="F164" i="1"/>
  <c r="K164" i="1" l="1"/>
  <c r="H163" i="1"/>
  <c r="I163" i="1" s="1"/>
  <c r="L162" i="1"/>
  <c r="G164" i="1"/>
  <c r="M169" i="1"/>
  <c r="O168" i="1" s="1"/>
  <c r="X168" i="1"/>
  <c r="V168" i="1"/>
  <c r="W168" i="1"/>
  <c r="R168" i="1"/>
  <c r="Q167" i="1"/>
  <c r="P168" i="1"/>
  <c r="N168" i="1"/>
  <c r="F165" i="1"/>
  <c r="K165" i="1" l="1"/>
  <c r="L163" i="1"/>
  <c r="H164" i="1"/>
  <c r="I164" i="1" s="1"/>
  <c r="G165" i="1"/>
  <c r="M170" i="1"/>
  <c r="O169" i="1" s="1"/>
  <c r="X169" i="1"/>
  <c r="V169" i="1"/>
  <c r="W169" i="1"/>
  <c r="R169" i="1"/>
  <c r="Q168" i="1"/>
  <c r="P169" i="1"/>
  <c r="N169" i="1"/>
  <c r="F166" i="1"/>
  <c r="K166" i="1" l="1"/>
  <c r="H165" i="1"/>
  <c r="I165" i="1" s="1"/>
  <c r="L164" i="1"/>
  <c r="G166" i="1"/>
  <c r="M171" i="1"/>
  <c r="O170" i="1" s="1"/>
  <c r="X170" i="1"/>
  <c r="R170" i="1"/>
  <c r="W170" i="1"/>
  <c r="V170" i="1"/>
  <c r="Q169" i="1"/>
  <c r="P170" i="1"/>
  <c r="N170" i="1"/>
  <c r="F167" i="1"/>
  <c r="K167" i="1" l="1"/>
  <c r="H166" i="1"/>
  <c r="I166" i="1" s="1"/>
  <c r="L165" i="1"/>
  <c r="G167" i="1"/>
  <c r="M172" i="1"/>
  <c r="O171" i="1" s="1"/>
  <c r="X171" i="1"/>
  <c r="W171" i="1"/>
  <c r="V171" i="1"/>
  <c r="R171" i="1"/>
  <c r="Q170" i="1"/>
  <c r="P171" i="1"/>
  <c r="N171" i="1"/>
  <c r="F168" i="1"/>
  <c r="K168" i="1" l="1"/>
  <c r="L166" i="1"/>
  <c r="H167" i="1"/>
  <c r="I167" i="1" s="1"/>
  <c r="G168" i="1"/>
  <c r="M173" i="1"/>
  <c r="O172" i="1" s="1"/>
  <c r="X172" i="1"/>
  <c r="V172" i="1"/>
  <c r="W172" i="1"/>
  <c r="R172" i="1"/>
  <c r="Q171" i="1"/>
  <c r="P172" i="1"/>
  <c r="N172" i="1"/>
  <c r="F169" i="1"/>
  <c r="K169" i="1" l="1"/>
  <c r="H168" i="1"/>
  <c r="I168" i="1" s="1"/>
  <c r="L167" i="1"/>
  <c r="G169" i="1"/>
  <c r="M174" i="1"/>
  <c r="O173" i="1" s="1"/>
  <c r="X173" i="1"/>
  <c r="V173" i="1"/>
  <c r="W173" i="1"/>
  <c r="R173" i="1"/>
  <c r="Q172" i="1"/>
  <c r="P173" i="1"/>
  <c r="N173" i="1"/>
  <c r="F170" i="1"/>
  <c r="K170" i="1" l="1"/>
  <c r="L168" i="1"/>
  <c r="H169" i="1"/>
  <c r="I169" i="1" s="1"/>
  <c r="G170" i="1"/>
  <c r="M175" i="1"/>
  <c r="O174" i="1" s="1"/>
  <c r="X174" i="1"/>
  <c r="V174" i="1"/>
  <c r="R174" i="1"/>
  <c r="W174" i="1"/>
  <c r="Q173" i="1"/>
  <c r="P174" i="1"/>
  <c r="N174" i="1"/>
  <c r="F171" i="1"/>
  <c r="K171" i="1" l="1"/>
  <c r="H170" i="1"/>
  <c r="I170" i="1" s="1"/>
  <c r="L169" i="1"/>
  <c r="G171" i="1"/>
  <c r="M176" i="1"/>
  <c r="O175" i="1" s="1"/>
  <c r="X175" i="1"/>
  <c r="W175" i="1"/>
  <c r="V175" i="1"/>
  <c r="R175" i="1"/>
  <c r="Q174" i="1"/>
  <c r="P175" i="1"/>
  <c r="N175" i="1"/>
  <c r="F172" i="1"/>
  <c r="K172" i="1" l="1"/>
  <c r="L170" i="1"/>
  <c r="H171" i="1"/>
  <c r="I171" i="1" s="1"/>
  <c r="G172" i="1"/>
  <c r="M177" i="1"/>
  <c r="O176" i="1" s="1"/>
  <c r="X176" i="1"/>
  <c r="V176" i="1"/>
  <c r="W176" i="1"/>
  <c r="R176" i="1"/>
  <c r="Q175" i="1"/>
  <c r="P176" i="1"/>
  <c r="N176" i="1"/>
  <c r="F173" i="1"/>
  <c r="K173" i="1" l="1"/>
  <c r="H172" i="1"/>
  <c r="I172" i="1" s="1"/>
  <c r="L171" i="1"/>
  <c r="G173" i="1"/>
  <c r="M178" i="1"/>
  <c r="O177" i="1" s="1"/>
  <c r="X177" i="1"/>
  <c r="V177" i="1"/>
  <c r="W177" i="1"/>
  <c r="R177" i="1"/>
  <c r="Q176" i="1"/>
  <c r="P177" i="1"/>
  <c r="N177" i="1"/>
  <c r="F174" i="1"/>
  <c r="K174" i="1" l="1"/>
  <c r="H173" i="1"/>
  <c r="I173" i="1" s="1"/>
  <c r="L172" i="1"/>
  <c r="G174" i="1"/>
  <c r="M179" i="1"/>
  <c r="O178" i="1" s="1"/>
  <c r="X178" i="1"/>
  <c r="W178" i="1"/>
  <c r="R178" i="1"/>
  <c r="V178" i="1"/>
  <c r="Q177" i="1"/>
  <c r="P178" i="1"/>
  <c r="N178" i="1"/>
  <c r="F175" i="1"/>
  <c r="K175" i="1" l="1"/>
  <c r="L173" i="1"/>
  <c r="H174" i="1"/>
  <c r="I174" i="1" s="1"/>
  <c r="G175" i="1"/>
  <c r="M180" i="1"/>
  <c r="O179" i="1" s="1"/>
  <c r="X179" i="1"/>
  <c r="W179" i="1"/>
  <c r="V179" i="1"/>
  <c r="R179" i="1"/>
  <c r="Q178" i="1"/>
  <c r="P179" i="1"/>
  <c r="N179" i="1"/>
  <c r="F176" i="1"/>
  <c r="K176" i="1" l="1"/>
  <c r="H175" i="1"/>
  <c r="I175" i="1" s="1"/>
  <c r="L174" i="1"/>
  <c r="G176" i="1"/>
  <c r="M181" i="1"/>
  <c r="O180" i="1" s="1"/>
  <c r="X180" i="1"/>
  <c r="V180" i="1"/>
  <c r="W180" i="1"/>
  <c r="R180" i="1"/>
  <c r="Q179" i="1"/>
  <c r="P180" i="1"/>
  <c r="N180" i="1"/>
  <c r="F177" i="1"/>
  <c r="K177" i="1" l="1"/>
  <c r="H176" i="1"/>
  <c r="I176" i="1" s="1"/>
  <c r="L175" i="1"/>
  <c r="G177" i="1"/>
  <c r="M182" i="1"/>
  <c r="X181" i="1"/>
  <c r="V181" i="1"/>
  <c r="W181" i="1"/>
  <c r="R181" i="1"/>
  <c r="Q180" i="1"/>
  <c r="P181" i="1"/>
  <c r="N181" i="1"/>
  <c r="F178" i="1"/>
  <c r="K178" i="1" l="1"/>
  <c r="O181" i="1"/>
  <c r="N182" i="1"/>
  <c r="L176" i="1"/>
  <c r="H177" i="1"/>
  <c r="I177" i="1" s="1"/>
  <c r="G178" i="1"/>
  <c r="M183" i="1"/>
  <c r="X182" i="1"/>
  <c r="W182" i="1"/>
  <c r="V182" i="1"/>
  <c r="R182" i="1"/>
  <c r="Q181" i="1"/>
  <c r="P182" i="1"/>
  <c r="F179" i="1"/>
  <c r="K179" i="1" l="1"/>
  <c r="O182" i="1"/>
  <c r="N183" i="1"/>
  <c r="H178" i="1"/>
  <c r="I178" i="1" s="1"/>
  <c r="L177" i="1"/>
  <c r="G179" i="1"/>
  <c r="M184" i="1"/>
  <c r="X183" i="1"/>
  <c r="W183" i="1"/>
  <c r="V183" i="1"/>
  <c r="R183" i="1"/>
  <c r="Q182" i="1"/>
  <c r="P183" i="1"/>
  <c r="F180" i="1"/>
  <c r="K180" i="1" l="1"/>
  <c r="O183" i="1"/>
  <c r="N184" i="1"/>
  <c r="L178" i="1"/>
  <c r="H179" i="1"/>
  <c r="I179" i="1" s="1"/>
  <c r="G180" i="1"/>
  <c r="M185" i="1"/>
  <c r="X184" i="1"/>
  <c r="V184" i="1"/>
  <c r="W184" i="1"/>
  <c r="R184" i="1"/>
  <c r="Q183" i="1"/>
  <c r="P184" i="1"/>
  <c r="F181" i="1"/>
  <c r="K181" i="1" l="1"/>
  <c r="O184" i="1"/>
  <c r="N185" i="1"/>
  <c r="H180" i="1"/>
  <c r="I180" i="1" s="1"/>
  <c r="L179" i="1"/>
  <c r="G181" i="1"/>
  <c r="M186" i="1"/>
  <c r="O185" i="1" s="1"/>
  <c r="X185" i="1"/>
  <c r="V185" i="1"/>
  <c r="W185" i="1"/>
  <c r="R185" i="1"/>
  <c r="Q184" i="1"/>
  <c r="P185" i="1"/>
  <c r="F182" i="1"/>
  <c r="F183" i="1" s="1"/>
  <c r="G183" i="1" l="1"/>
  <c r="F184" i="1"/>
  <c r="L183" i="1"/>
  <c r="I183" i="1"/>
  <c r="K183" i="1"/>
  <c r="H183" i="1"/>
  <c r="K182" i="1"/>
  <c r="L180" i="1"/>
  <c r="H181" i="1"/>
  <c r="I181" i="1" s="1"/>
  <c r="G182" i="1"/>
  <c r="M187" i="1"/>
  <c r="O186" i="1" s="1"/>
  <c r="X186" i="1"/>
  <c r="R186" i="1"/>
  <c r="W186" i="1"/>
  <c r="V186" i="1"/>
  <c r="Q185" i="1"/>
  <c r="P186" i="1"/>
  <c r="N186" i="1"/>
  <c r="I184" i="1" l="1"/>
  <c r="F185" i="1"/>
  <c r="H184" i="1"/>
  <c r="L184" i="1"/>
  <c r="G184" i="1"/>
  <c r="K184" i="1"/>
  <c r="H182" i="1"/>
  <c r="I182" i="1" s="1"/>
  <c r="P3" i="1" s="1"/>
  <c r="L181" i="1"/>
  <c r="M188" i="1"/>
  <c r="O187" i="1" s="1"/>
  <c r="X187" i="1"/>
  <c r="W187" i="1"/>
  <c r="V187" i="1"/>
  <c r="R187" i="1"/>
  <c r="Q186" i="1"/>
  <c r="P187" i="1"/>
  <c r="N187" i="1"/>
  <c r="H185" i="1" l="1"/>
  <c r="I185" i="1"/>
  <c r="K185" i="1"/>
  <c r="L185" i="1"/>
  <c r="F186" i="1"/>
  <c r="G185" i="1"/>
  <c r="L182" i="1"/>
  <c r="M189" i="1"/>
  <c r="O188" i="1" s="1"/>
  <c r="X188" i="1"/>
  <c r="W188" i="1"/>
  <c r="V188" i="1"/>
  <c r="R188" i="1"/>
  <c r="Q187" i="1"/>
  <c r="P188" i="1"/>
  <c r="N188" i="1"/>
  <c r="K186" i="1" l="1"/>
  <c r="I186" i="1"/>
  <c r="F187" i="1"/>
  <c r="L186" i="1"/>
  <c r="G186" i="1"/>
  <c r="H186" i="1"/>
  <c r="M190" i="1"/>
  <c r="O189" i="1" s="1"/>
  <c r="X189" i="1"/>
  <c r="V189" i="1"/>
  <c r="W189" i="1"/>
  <c r="R189" i="1"/>
  <c r="Q188" i="1"/>
  <c r="P189" i="1"/>
  <c r="N189" i="1"/>
  <c r="I187" i="1" l="1"/>
  <c r="K187" i="1"/>
  <c r="H187" i="1"/>
  <c r="F188" i="1"/>
  <c r="G187" i="1"/>
  <c r="L187" i="1"/>
  <c r="M191" i="1"/>
  <c r="O190" i="1" s="1"/>
  <c r="X190" i="1"/>
  <c r="R190" i="1"/>
  <c r="V190" i="1"/>
  <c r="W190" i="1"/>
  <c r="Q189" i="1"/>
  <c r="P190" i="1"/>
  <c r="N190" i="1"/>
  <c r="G188" i="1" l="1"/>
  <c r="H188" i="1"/>
  <c r="I188" i="1"/>
  <c r="L188" i="1"/>
  <c r="F189" i="1"/>
  <c r="K188" i="1"/>
  <c r="M192" i="1"/>
  <c r="O191" i="1" s="1"/>
  <c r="X191" i="1"/>
  <c r="W191" i="1"/>
  <c r="R191" i="1"/>
  <c r="V191" i="1"/>
  <c r="Q190" i="1"/>
  <c r="P191" i="1"/>
  <c r="N191" i="1"/>
  <c r="L189" i="1" l="1"/>
  <c r="G189" i="1"/>
  <c r="F190" i="1"/>
  <c r="K189" i="1"/>
  <c r="H189" i="1"/>
  <c r="I189" i="1"/>
  <c r="M193" i="1"/>
  <c r="O192" i="1" s="1"/>
  <c r="X192" i="1"/>
  <c r="W192" i="1"/>
  <c r="V192" i="1"/>
  <c r="R192" i="1"/>
  <c r="Q191" i="1"/>
  <c r="P192" i="1"/>
  <c r="N192" i="1"/>
  <c r="F191" i="1" l="1"/>
  <c r="L190" i="1"/>
  <c r="K190" i="1"/>
  <c r="I190" i="1"/>
  <c r="H190" i="1"/>
  <c r="G190" i="1"/>
  <c r="M194" i="1"/>
  <c r="O193" i="1" s="1"/>
  <c r="X193" i="1"/>
  <c r="V193" i="1"/>
  <c r="W193" i="1"/>
  <c r="R193" i="1"/>
  <c r="Q192" i="1"/>
  <c r="P193" i="1"/>
  <c r="N193" i="1"/>
  <c r="K191" i="1" l="1"/>
  <c r="G191" i="1"/>
  <c r="F192" i="1"/>
  <c r="H191" i="1"/>
  <c r="I191" i="1"/>
  <c r="L191" i="1"/>
  <c r="M195" i="1"/>
  <c r="O194" i="1" s="1"/>
  <c r="X194" i="1"/>
  <c r="W194" i="1"/>
  <c r="V194" i="1"/>
  <c r="R194" i="1"/>
  <c r="Q193" i="1"/>
  <c r="P194" i="1"/>
  <c r="N194" i="1"/>
  <c r="I192" i="1" l="1"/>
  <c r="K192" i="1"/>
  <c r="G192" i="1"/>
  <c r="H192" i="1"/>
  <c r="F193" i="1"/>
  <c r="L192" i="1"/>
  <c r="M196" i="1"/>
  <c r="O195" i="1" s="1"/>
  <c r="X195" i="1"/>
  <c r="W195" i="1"/>
  <c r="V195" i="1"/>
  <c r="R195" i="1"/>
  <c r="Q194" i="1"/>
  <c r="P195" i="1"/>
  <c r="N195" i="1"/>
  <c r="H193" i="1" l="1"/>
  <c r="F194" i="1"/>
  <c r="K193" i="1"/>
  <c r="L193" i="1"/>
  <c r="I193" i="1"/>
  <c r="G193" i="1"/>
  <c r="M197" i="1"/>
  <c r="O196" i="1" s="1"/>
  <c r="X196" i="1"/>
  <c r="W196" i="1"/>
  <c r="V196" i="1"/>
  <c r="R196" i="1"/>
  <c r="Q195" i="1"/>
  <c r="P196" i="1"/>
  <c r="N196" i="1"/>
  <c r="K194" i="1" l="1"/>
  <c r="G194" i="1"/>
  <c r="I194" i="1"/>
  <c r="H194" i="1"/>
  <c r="L194" i="1"/>
  <c r="F195" i="1"/>
  <c r="M198" i="1"/>
  <c r="O197" i="1" s="1"/>
  <c r="X197" i="1"/>
  <c r="V197" i="1"/>
  <c r="W197" i="1"/>
  <c r="R197" i="1"/>
  <c r="Q196" i="1"/>
  <c r="P197" i="1"/>
  <c r="N197" i="1"/>
  <c r="I195" i="1" l="1"/>
  <c r="F196" i="1"/>
  <c r="L195" i="1"/>
  <c r="G195" i="1"/>
  <c r="K195" i="1"/>
  <c r="H195" i="1"/>
  <c r="M199" i="1"/>
  <c r="O198" i="1" s="1"/>
  <c r="X198" i="1"/>
  <c r="V198" i="1"/>
  <c r="W198" i="1"/>
  <c r="R198" i="1"/>
  <c r="Q197" i="1"/>
  <c r="P198" i="1"/>
  <c r="N198" i="1"/>
  <c r="G196" i="1" l="1"/>
  <c r="L196" i="1"/>
  <c r="H196" i="1"/>
  <c r="I196" i="1"/>
  <c r="K196" i="1"/>
  <c r="F197" i="1"/>
  <c r="M200" i="1"/>
  <c r="O199" i="1" s="1"/>
  <c r="X199" i="1"/>
  <c r="W199" i="1"/>
  <c r="V199" i="1"/>
  <c r="R199" i="1"/>
  <c r="Q198" i="1"/>
  <c r="P199" i="1"/>
  <c r="N199" i="1"/>
  <c r="L197" i="1" l="1"/>
  <c r="H197" i="1"/>
  <c r="F198" i="1"/>
  <c r="K197" i="1"/>
  <c r="G197" i="1"/>
  <c r="I197" i="1"/>
  <c r="X200" i="1"/>
  <c r="W200" i="1"/>
  <c r="V200" i="1"/>
  <c r="R200" i="1"/>
  <c r="Q199" i="1"/>
  <c r="P200" i="1"/>
  <c r="N200" i="1"/>
  <c r="F199" i="1" l="1"/>
  <c r="L198" i="1"/>
  <c r="I198" i="1"/>
  <c r="H198" i="1"/>
  <c r="K198" i="1"/>
  <c r="G198" i="1"/>
  <c r="K199" i="1" l="1"/>
  <c r="H199" i="1"/>
  <c r="F200" i="1"/>
  <c r="I199" i="1"/>
  <c r="G199" i="1"/>
  <c r="L199" i="1"/>
  <c r="I200" i="1" l="1"/>
  <c r="K200" i="1"/>
  <c r="G200" i="1"/>
  <c r="H200" i="1"/>
  <c r="L200" i="1"/>
  <c r="R3" i="1" s="1"/>
  <c r="X3" i="1" l="1"/>
  <c r="V3" i="1"/>
  <c r="W3" i="1" s="1"/>
  <c r="N3" i="1" s="1"/>
  <c r="O3" i="1" s="1"/>
  <c r="P4" i="1" s="1"/>
  <c r="Q3" i="1" l="1"/>
  <c r="R4" i="1" s="1"/>
  <c r="X4" i="1" l="1"/>
  <c r="V4" i="1"/>
  <c r="W4" i="1" s="1"/>
  <c r="N4" i="1" s="1"/>
  <c r="Q4" i="1" s="1"/>
  <c r="R5" i="1" s="1"/>
  <c r="X5" i="1" s="1"/>
  <c r="V5" i="1" l="1"/>
  <c r="O4" i="1"/>
  <c r="P5" i="1" s="1"/>
  <c r="W5" i="1" l="1"/>
  <c r="N5" i="1" s="1"/>
  <c r="O5" i="1" l="1"/>
  <c r="P6" i="1" s="1"/>
  <c r="Q5" i="1"/>
  <c r="R6" i="1" s="1"/>
  <c r="V6" i="1" l="1"/>
  <c r="W6" i="1" s="1"/>
  <c r="N6" i="1" s="1"/>
  <c r="X6" i="1"/>
  <c r="O6" i="1" l="1"/>
  <c r="P7" i="1" s="1"/>
  <c r="Q6" i="1"/>
  <c r="R7" i="1" s="1"/>
  <c r="Q7" i="1"/>
  <c r="R8" i="1" s="1"/>
  <c r="O7" i="1"/>
  <c r="P8" i="1" s="1"/>
  <c r="B27" i="1" l="1"/>
  <c r="V7" i="1"/>
  <c r="W7" i="1" s="1"/>
  <c r="N7" i="1" s="1"/>
  <c r="X7" i="1"/>
  <c r="V8" i="1"/>
  <c r="W8" i="1" s="1"/>
  <c r="N8" i="1" s="1"/>
  <c r="X8" i="1"/>
  <c r="O8" i="1" l="1"/>
  <c r="P9" i="1" s="1"/>
  <c r="Q8" i="1"/>
  <c r="R9" i="1" s="1"/>
  <c r="X9" i="1" l="1"/>
  <c r="V9" i="1"/>
  <c r="W9" i="1" s="1"/>
  <c r="N9" i="1" s="1"/>
  <c r="O9" i="1" l="1"/>
  <c r="P10" i="1" s="1"/>
  <c r="Q9" i="1"/>
  <c r="R10" i="1" s="1"/>
  <c r="V10" i="1" l="1"/>
  <c r="W10" i="1" s="1"/>
  <c r="N10" i="1" s="1"/>
  <c r="X10" i="1"/>
  <c r="O10" i="1" l="1"/>
  <c r="P11" i="1" s="1"/>
  <c r="Q10" i="1"/>
  <c r="R11" i="1" s="1"/>
  <c r="V11" i="1" l="1"/>
  <c r="W11" i="1" s="1"/>
  <c r="N11" i="1" s="1"/>
  <c r="X11" i="1"/>
  <c r="O11" i="1" l="1"/>
  <c r="P12" i="1" s="1"/>
  <c r="Q11" i="1"/>
  <c r="R12" i="1" s="1"/>
  <c r="X12" i="1" l="1"/>
  <c r="V12" i="1"/>
  <c r="W12" i="1" s="1"/>
  <c r="N12" i="1" s="1"/>
  <c r="O12" i="1" l="1"/>
  <c r="P13" i="1" s="1"/>
  <c r="Q12" i="1"/>
  <c r="R13" i="1" s="1"/>
  <c r="X13" i="1" l="1"/>
  <c r="V13" i="1"/>
  <c r="W13" i="1" s="1"/>
  <c r="N13" i="1" s="1"/>
  <c r="O13" i="1" l="1"/>
  <c r="P14" i="1" s="1"/>
  <c r="Q13" i="1"/>
  <c r="R14" i="1" s="1"/>
  <c r="X14" i="1" l="1"/>
  <c r="V14" i="1"/>
  <c r="W14" i="1" s="1"/>
  <c r="N14" i="1" s="1"/>
  <c r="O14" i="1" l="1"/>
  <c r="P15" i="1" s="1"/>
  <c r="Q14" i="1"/>
  <c r="R15" i="1" s="1"/>
  <c r="X15" i="1" l="1"/>
  <c r="V15" i="1"/>
  <c r="W15" i="1" s="1"/>
  <c r="N15" i="1" s="1"/>
  <c r="O15" i="1" l="1"/>
  <c r="P16" i="1" s="1"/>
  <c r="Q15" i="1"/>
  <c r="R16" i="1" s="1"/>
  <c r="X16" i="1" l="1"/>
  <c r="V16" i="1"/>
  <c r="W16" i="1" s="1"/>
  <c r="N16" i="1" s="1"/>
  <c r="O16" i="1" l="1"/>
  <c r="P17" i="1" s="1"/>
  <c r="Q16" i="1"/>
  <c r="R17" i="1" s="1"/>
  <c r="V17" i="1" l="1"/>
  <c r="W17" i="1" s="1"/>
  <c r="N17" i="1" s="1"/>
  <c r="X17" i="1"/>
  <c r="O17" i="1" l="1"/>
  <c r="P18" i="1" s="1"/>
  <c r="Q17" i="1"/>
  <c r="R18" i="1" s="1"/>
  <c r="X18" i="1" l="1"/>
  <c r="V18" i="1"/>
  <c r="W18" i="1" s="1"/>
  <c r="N18" i="1" s="1"/>
  <c r="O18" i="1" l="1"/>
  <c r="P19" i="1" s="1"/>
  <c r="Q18" i="1"/>
  <c r="R19" i="1" s="1"/>
  <c r="X19" i="1" l="1"/>
  <c r="V19" i="1"/>
  <c r="W19" i="1" s="1"/>
  <c r="N19" i="1" s="1"/>
  <c r="O19" i="1" l="1"/>
  <c r="P20" i="1" s="1"/>
  <c r="Q19" i="1"/>
  <c r="R20" i="1" s="1"/>
  <c r="X20" i="1" l="1"/>
  <c r="V20" i="1"/>
  <c r="W20" i="1" s="1"/>
  <c r="N20" i="1" s="1"/>
  <c r="O20" i="1" l="1"/>
  <c r="P21" i="1" s="1"/>
  <c r="Q20" i="1"/>
  <c r="X21" i="1" l="1"/>
  <c r="V21" i="1"/>
  <c r="W21" i="1" s="1"/>
  <c r="N21" i="1" s="1"/>
  <c r="O21" i="1" l="1"/>
  <c r="P22" i="1" s="1"/>
  <c r="Q21" i="1"/>
  <c r="R22" i="1" s="1"/>
  <c r="V22" i="1" l="1"/>
  <c r="W22" i="1" s="1"/>
  <c r="N22" i="1" s="1"/>
  <c r="X22" i="1"/>
  <c r="O22" i="1" l="1"/>
  <c r="P23" i="1" s="1"/>
  <c r="Q22" i="1"/>
  <c r="R23" i="1" s="1"/>
  <c r="X23" i="1" l="1"/>
  <c r="V23" i="1"/>
  <c r="W23" i="1" s="1"/>
  <c r="N23" i="1" s="1"/>
  <c r="O23" i="1" l="1"/>
  <c r="P24" i="1" s="1"/>
  <c r="Q23" i="1"/>
  <c r="R24" i="1" s="1"/>
  <c r="V24" i="1" l="1"/>
  <c r="W24" i="1" s="1"/>
  <c r="N24" i="1" s="1"/>
  <c r="X24" i="1"/>
  <c r="O24" i="1" l="1"/>
  <c r="P25" i="1" s="1"/>
  <c r="Q24" i="1"/>
  <c r="R25" i="1" s="1"/>
  <c r="X25" i="1" l="1"/>
  <c r="V25" i="1"/>
  <c r="W25" i="1" s="1"/>
  <c r="N25" i="1" s="1"/>
  <c r="O25" i="1" l="1"/>
  <c r="P26" i="1" s="1"/>
  <c r="Q25" i="1"/>
  <c r="R26" i="1" s="1"/>
  <c r="V26" i="1" l="1"/>
  <c r="W26" i="1" s="1"/>
  <c r="N26" i="1" s="1"/>
  <c r="X26" i="1"/>
  <c r="O26" i="1" l="1"/>
  <c r="P27" i="1" s="1"/>
  <c r="Q26" i="1"/>
  <c r="R27" i="1" s="1"/>
  <c r="V27" i="1" l="1"/>
  <c r="W27" i="1" s="1"/>
  <c r="N27" i="1" s="1"/>
  <c r="X27" i="1"/>
  <c r="O27" i="1" l="1"/>
  <c r="P28" i="1" s="1"/>
  <c r="Q27" i="1"/>
  <c r="R28" i="1" s="1"/>
  <c r="X28" i="1" l="1"/>
  <c r="V28" i="1"/>
  <c r="W28" i="1" s="1"/>
  <c r="N28" i="1" s="1"/>
  <c r="O28" i="1" l="1"/>
  <c r="P29" i="1" s="1"/>
  <c r="Q28" i="1"/>
  <c r="R29" i="1" s="1"/>
  <c r="V29" i="1" l="1"/>
  <c r="W29" i="1" s="1"/>
  <c r="N29" i="1" s="1"/>
  <c r="X29" i="1"/>
  <c r="O29" i="1" l="1"/>
  <c r="P30" i="1" s="1"/>
  <c r="Q29" i="1"/>
  <c r="R30" i="1" s="1"/>
  <c r="X30" i="1" l="1"/>
  <c r="V30" i="1"/>
  <c r="W30" i="1" s="1"/>
  <c r="N30" i="1" s="1"/>
  <c r="O30" i="1" l="1"/>
  <c r="P31" i="1" s="1"/>
  <c r="Q30" i="1"/>
  <c r="R31" i="1" s="1"/>
  <c r="V31" i="1" l="1"/>
  <c r="W31" i="1" s="1"/>
  <c r="N31" i="1" s="1"/>
  <c r="X31" i="1"/>
  <c r="O31" i="1" l="1"/>
  <c r="P32" i="1" s="1"/>
  <c r="Q31" i="1"/>
  <c r="R32" i="1" s="1"/>
  <c r="X32" i="1" l="1"/>
  <c r="V32" i="1"/>
  <c r="W32" i="1" s="1"/>
  <c r="N32" i="1" s="1"/>
  <c r="O32" i="1" l="1"/>
  <c r="P33" i="1" s="1"/>
  <c r="Q32" i="1"/>
  <c r="R33" i="1" s="1"/>
  <c r="X33" i="1" l="1"/>
  <c r="V33" i="1"/>
  <c r="W33" i="1" s="1"/>
  <c r="N33" i="1" s="1"/>
  <c r="O33" i="1" l="1"/>
  <c r="P34" i="1" s="1"/>
  <c r="Q33" i="1"/>
  <c r="R34" i="1" s="1"/>
  <c r="X34" i="1" l="1"/>
  <c r="V34" i="1"/>
  <c r="W34" i="1" s="1"/>
  <c r="N34" i="1" s="1"/>
  <c r="O34" i="1" l="1"/>
  <c r="P35" i="1" s="1"/>
  <c r="Q34" i="1"/>
  <c r="R35" i="1" s="1"/>
  <c r="X35" i="1" l="1"/>
  <c r="V35" i="1"/>
  <c r="W35" i="1" s="1"/>
  <c r="N35" i="1" s="1"/>
  <c r="O35" i="1" l="1"/>
  <c r="P36" i="1" s="1"/>
  <c r="Q35" i="1"/>
  <c r="R36" i="1" s="1"/>
  <c r="X36" i="1" l="1"/>
  <c r="V36" i="1"/>
  <c r="W36" i="1" s="1"/>
  <c r="N36" i="1" s="1"/>
  <c r="O36" i="1" l="1"/>
  <c r="P37" i="1" s="1"/>
  <c r="Q36" i="1"/>
  <c r="R37" i="1" s="1"/>
  <c r="V37" i="1" l="1"/>
  <c r="W37" i="1" s="1"/>
  <c r="N37" i="1" s="1"/>
  <c r="X37" i="1"/>
  <c r="O37" i="1" l="1"/>
  <c r="P38" i="1" s="1"/>
  <c r="Q37" i="1"/>
  <c r="R38" i="1" s="1"/>
  <c r="X38" i="1" l="1"/>
  <c r="V38" i="1"/>
  <c r="W38" i="1" s="1"/>
  <c r="N38" i="1" s="1"/>
  <c r="O38" i="1" l="1"/>
  <c r="P39" i="1" s="1"/>
  <c r="Q38" i="1"/>
  <c r="R39" i="1" s="1"/>
  <c r="X39" i="1" l="1"/>
  <c r="V39" i="1"/>
  <c r="W39" i="1" s="1"/>
  <c r="N39" i="1" s="1"/>
  <c r="Q39" i="1" l="1"/>
  <c r="R40" i="1" s="1"/>
  <c r="O39" i="1"/>
  <c r="P40" i="1" s="1"/>
  <c r="V40" i="1" l="1"/>
  <c r="W40" i="1" s="1"/>
  <c r="N40" i="1" s="1"/>
  <c r="X40" i="1"/>
  <c r="O40" i="1" l="1"/>
  <c r="P41" i="1" s="1"/>
  <c r="Q40" i="1"/>
  <c r="R41" i="1" s="1"/>
  <c r="V41" i="1" l="1"/>
  <c r="W41" i="1" s="1"/>
  <c r="N41" i="1" s="1"/>
  <c r="X41" i="1"/>
  <c r="O41" i="1" l="1"/>
  <c r="P42" i="1" s="1"/>
  <c r="Q41" i="1"/>
  <c r="R42" i="1" s="1"/>
  <c r="X42" i="1" l="1"/>
  <c r="V42" i="1"/>
  <c r="W42" i="1" s="1"/>
  <c r="N42" i="1" s="1"/>
  <c r="O42" i="1" l="1"/>
  <c r="P43" i="1" s="1"/>
  <c r="Q42" i="1"/>
  <c r="R43" i="1" s="1"/>
  <c r="V43" i="1" l="1"/>
  <c r="W43" i="1" s="1"/>
  <c r="N43" i="1" s="1"/>
  <c r="X43" i="1"/>
  <c r="O43" i="1" l="1"/>
  <c r="P44" i="1" s="1"/>
  <c r="Q43" i="1"/>
  <c r="R44" i="1" s="1"/>
  <c r="V44" i="1" l="1"/>
  <c r="W44" i="1" s="1"/>
  <c r="N44" i="1" s="1"/>
  <c r="X44" i="1"/>
  <c r="O44" i="1" l="1"/>
  <c r="P45" i="1" s="1"/>
  <c r="Q44" i="1"/>
  <c r="R45" i="1" s="1"/>
  <c r="X45" i="1" l="1"/>
  <c r="V45" i="1"/>
  <c r="W45" i="1" s="1"/>
  <c r="N45" i="1" s="1"/>
  <c r="O45" i="1" l="1"/>
  <c r="P46" i="1" s="1"/>
  <c r="Q45" i="1"/>
  <c r="R46" i="1" s="1"/>
  <c r="V46" i="1" l="1"/>
  <c r="W46" i="1" s="1"/>
  <c r="N46" i="1" s="1"/>
  <c r="X46" i="1"/>
  <c r="O46" i="1" l="1"/>
  <c r="P47" i="1" s="1"/>
  <c r="Q46" i="1"/>
  <c r="R47" i="1" s="1"/>
  <c r="V47" i="1" l="1"/>
  <c r="W47" i="1" s="1"/>
  <c r="N47" i="1" s="1"/>
  <c r="X47" i="1"/>
  <c r="O47" i="1" l="1"/>
  <c r="P48" i="1" s="1"/>
  <c r="Q47" i="1"/>
  <c r="R48" i="1" s="1"/>
  <c r="X48" i="1" l="1"/>
  <c r="V48" i="1"/>
  <c r="W48" i="1" s="1"/>
  <c r="N48" i="1" s="1"/>
  <c r="O48" i="1" l="1"/>
  <c r="P49" i="1" s="1"/>
  <c r="Q48" i="1"/>
  <c r="R49" i="1" s="1"/>
  <c r="X49" i="1" l="1"/>
  <c r="V49" i="1"/>
  <c r="W49" i="1" s="1"/>
  <c r="N49" i="1" s="1"/>
  <c r="O49" i="1" l="1"/>
  <c r="P50" i="1" s="1"/>
  <c r="Q49" i="1"/>
  <c r="R50" i="1" s="1"/>
  <c r="X50" i="1" l="1"/>
  <c r="V50" i="1"/>
  <c r="W50" i="1" s="1"/>
  <c r="N50" i="1" s="1"/>
  <c r="O50" i="1" l="1"/>
  <c r="P51" i="1" s="1"/>
  <c r="Q50" i="1"/>
  <c r="R51" i="1" s="1"/>
  <c r="V51" i="1" l="1"/>
  <c r="W51" i="1" s="1"/>
  <c r="N51" i="1" s="1"/>
  <c r="X51" i="1"/>
  <c r="O51" i="1" l="1"/>
  <c r="P52" i="1" s="1"/>
  <c r="Q51" i="1"/>
  <c r="R52" i="1" s="1"/>
  <c r="X52" i="1" l="1"/>
  <c r="V52" i="1"/>
  <c r="W52" i="1" s="1"/>
  <c r="N52" i="1" s="1"/>
  <c r="O52" i="1" l="1"/>
  <c r="P53" i="1" s="1"/>
  <c r="Q52" i="1"/>
  <c r="R53" i="1" s="1"/>
  <c r="X53" i="1" l="1"/>
  <c r="V53" i="1"/>
  <c r="W53" i="1" s="1"/>
  <c r="N53" i="1" s="1"/>
  <c r="O53" i="1" l="1"/>
  <c r="P54" i="1" s="1"/>
  <c r="Q53" i="1"/>
  <c r="R54" i="1" s="1"/>
  <c r="X54" i="1" l="1"/>
  <c r="V54" i="1"/>
  <c r="W54" i="1" s="1"/>
  <c r="N54" i="1" s="1"/>
  <c r="O54" i="1" l="1"/>
  <c r="P55" i="1" s="1"/>
  <c r="Q54" i="1"/>
  <c r="R55" i="1" s="1"/>
  <c r="V55" i="1" l="1"/>
  <c r="W55" i="1" s="1"/>
  <c r="N55" i="1" s="1"/>
  <c r="X55" i="1"/>
  <c r="O55" i="1" l="1"/>
  <c r="P56" i="1" s="1"/>
  <c r="Q55" i="1"/>
  <c r="R56" i="1" s="1"/>
  <c r="X56" i="1" l="1"/>
  <c r="V56" i="1"/>
  <c r="W56" i="1" s="1"/>
  <c r="N56" i="1" s="1"/>
  <c r="O56" i="1" l="1"/>
  <c r="P57" i="1" s="1"/>
  <c r="Q56" i="1"/>
  <c r="R57" i="1" s="1"/>
  <c r="X57" i="1" l="1"/>
  <c r="V57" i="1"/>
  <c r="W57" i="1" s="1"/>
  <c r="N57" i="1" s="1"/>
  <c r="O57" i="1" l="1"/>
  <c r="P58" i="1" s="1"/>
  <c r="Q57" i="1"/>
  <c r="R58" i="1" s="1"/>
  <c r="X58" i="1" l="1"/>
  <c r="V58" i="1"/>
  <c r="W58" i="1" s="1"/>
  <c r="N58" i="1" s="1"/>
  <c r="O58" i="1" l="1"/>
  <c r="P59" i="1" s="1"/>
  <c r="Q58" i="1"/>
  <c r="R59" i="1" s="1"/>
  <c r="V59" i="1" l="1"/>
  <c r="W59" i="1" s="1"/>
  <c r="N59" i="1" s="1"/>
  <c r="X59" i="1"/>
  <c r="O59" i="1" l="1"/>
  <c r="P60" i="1" s="1"/>
  <c r="Q59" i="1"/>
  <c r="R60" i="1" s="1"/>
  <c r="X60" i="1" l="1"/>
  <c r="V60" i="1"/>
  <c r="W60" i="1" s="1"/>
  <c r="N60" i="1" s="1"/>
  <c r="O60" i="1" l="1"/>
  <c r="P61" i="1" s="1"/>
  <c r="Q60" i="1"/>
  <c r="R61" i="1" s="1"/>
  <c r="X61" i="1" l="1"/>
  <c r="V61" i="1"/>
  <c r="W61" i="1" s="1"/>
  <c r="N61" i="1" s="1"/>
  <c r="O61" i="1" l="1"/>
  <c r="P62" i="1" s="1"/>
  <c r="Q61" i="1"/>
  <c r="R62" i="1" s="1"/>
  <c r="V62" i="1" l="1"/>
  <c r="W62" i="1" s="1"/>
  <c r="N62" i="1" s="1"/>
  <c r="X62" i="1"/>
  <c r="O62" i="1" l="1"/>
  <c r="P63" i="1" s="1"/>
  <c r="Q62" i="1"/>
  <c r="R63" i="1" s="1"/>
  <c r="V63" i="1" l="1"/>
  <c r="W63" i="1" s="1"/>
  <c r="N63" i="1" s="1"/>
  <c r="X63" i="1"/>
  <c r="O63" i="1" l="1"/>
  <c r="P64" i="1" s="1"/>
  <c r="Q63" i="1"/>
  <c r="R64" i="1" s="1"/>
  <c r="V64" i="1" l="1"/>
  <c r="W64" i="1" s="1"/>
  <c r="N64" i="1" s="1"/>
  <c r="X64" i="1"/>
  <c r="O64" i="1" l="1"/>
  <c r="P65" i="1" s="1"/>
  <c r="Q64" i="1"/>
  <c r="R65" i="1" s="1"/>
  <c r="X65" i="1" l="1"/>
  <c r="V65" i="1"/>
  <c r="W65" i="1" s="1"/>
  <c r="N65" i="1" s="1"/>
  <c r="O65" i="1" l="1"/>
  <c r="P66" i="1" s="1"/>
  <c r="Q65" i="1"/>
  <c r="R66" i="1" s="1"/>
  <c r="X66" i="1" l="1"/>
  <c r="V66" i="1"/>
  <c r="W66" i="1" s="1"/>
  <c r="N66" i="1" s="1"/>
  <c r="O66" i="1" l="1"/>
  <c r="P67" i="1" s="1"/>
  <c r="Q66" i="1"/>
  <c r="R67" i="1" s="1"/>
  <c r="V67" i="1" l="1"/>
  <c r="W67" i="1" s="1"/>
  <c r="N67" i="1" s="1"/>
  <c r="X67" i="1"/>
  <c r="O67" i="1" l="1"/>
  <c r="P68" i="1" s="1"/>
  <c r="Q67" i="1"/>
  <c r="R68" i="1" s="1"/>
  <c r="X68" i="1" l="1"/>
  <c r="V68" i="1"/>
  <c r="W68" i="1" s="1"/>
  <c r="N68" i="1" s="1"/>
  <c r="O68" i="1" l="1"/>
  <c r="P69" i="1" s="1"/>
  <c r="Q68" i="1"/>
  <c r="R69" i="1" s="1"/>
  <c r="V69" i="1" l="1"/>
  <c r="W69" i="1" s="1"/>
  <c r="N69" i="1" s="1"/>
  <c r="X69" i="1"/>
  <c r="O69" i="1" l="1"/>
  <c r="P70" i="1" s="1"/>
  <c r="Q69" i="1"/>
  <c r="R70" i="1" s="1"/>
  <c r="X70" i="1" l="1"/>
  <c r="V70" i="1"/>
  <c r="W70" i="1" s="1"/>
  <c r="N70" i="1" s="1"/>
  <c r="O70" i="1" l="1"/>
  <c r="P71" i="1" s="1"/>
  <c r="Q70" i="1"/>
  <c r="R71" i="1" s="1"/>
  <c r="V71" i="1" l="1"/>
  <c r="W71" i="1" s="1"/>
  <c r="N71" i="1" s="1"/>
  <c r="X71" i="1"/>
  <c r="O71" i="1" l="1"/>
  <c r="P72" i="1" s="1"/>
  <c r="Q71" i="1"/>
  <c r="R72" i="1" s="1"/>
  <c r="V72" i="1" l="1"/>
  <c r="W72" i="1" s="1"/>
  <c r="N72" i="1" s="1"/>
  <c r="X72" i="1"/>
  <c r="O72" i="1" l="1"/>
  <c r="P73" i="1" s="1"/>
  <c r="Q72" i="1"/>
  <c r="R73" i="1" s="1"/>
  <c r="V73" i="1" l="1"/>
  <c r="W73" i="1" s="1"/>
  <c r="N73" i="1" s="1"/>
  <c r="X73" i="1"/>
  <c r="O73" i="1" l="1"/>
  <c r="P74" i="1" s="1"/>
  <c r="Q73" i="1"/>
  <c r="R74" i="1" s="1"/>
  <c r="X74" i="1" l="1"/>
  <c r="V74" i="1"/>
  <c r="W74" i="1" s="1"/>
  <c r="N74" i="1" s="1"/>
  <c r="O74" i="1" l="1"/>
  <c r="P75" i="1" s="1"/>
  <c r="Q74" i="1"/>
  <c r="R75" i="1" s="1"/>
  <c r="V75" i="1" l="1"/>
  <c r="W75" i="1" s="1"/>
  <c r="N75" i="1" s="1"/>
  <c r="X75" i="1"/>
  <c r="O75" i="1" l="1"/>
  <c r="P76" i="1" s="1"/>
  <c r="Q75" i="1"/>
  <c r="R76" i="1" s="1"/>
  <c r="V76" i="1" l="1"/>
  <c r="W76" i="1" s="1"/>
  <c r="N76" i="1" s="1"/>
  <c r="X76" i="1"/>
  <c r="O76" i="1" l="1"/>
  <c r="P77" i="1" s="1"/>
  <c r="Q76" i="1"/>
  <c r="R77" i="1" s="1"/>
  <c r="X77" i="1" l="1"/>
  <c r="V77" i="1"/>
  <c r="W77" i="1" s="1"/>
  <c r="N77" i="1" s="1"/>
  <c r="O77" i="1" l="1"/>
  <c r="P78" i="1" s="1"/>
  <c r="Q77" i="1"/>
  <c r="R78" i="1" s="1"/>
  <c r="V78" i="1" l="1"/>
  <c r="W78" i="1" s="1"/>
  <c r="N78" i="1" s="1"/>
  <c r="X78" i="1"/>
  <c r="O78" i="1" l="1"/>
  <c r="P79" i="1" s="1"/>
  <c r="Q78" i="1"/>
  <c r="R79" i="1" s="1"/>
  <c r="V79" i="1" l="1"/>
  <c r="W79" i="1" s="1"/>
  <c r="N79" i="1" s="1"/>
  <c r="X79" i="1"/>
  <c r="O79" i="1" l="1"/>
  <c r="P80" i="1" s="1"/>
  <c r="Q79" i="1"/>
  <c r="R80" i="1" s="1"/>
  <c r="V80" i="1" l="1"/>
  <c r="W80" i="1" s="1"/>
  <c r="N80" i="1" s="1"/>
  <c r="X80" i="1"/>
  <c r="O80" i="1" l="1"/>
  <c r="P81" i="1" s="1"/>
  <c r="Q80" i="1"/>
  <c r="R81" i="1" s="1"/>
  <c r="X81" i="1" l="1"/>
  <c r="V81" i="1"/>
  <c r="W81" i="1" s="1"/>
  <c r="N81" i="1" s="1"/>
  <c r="O81" i="1" l="1"/>
  <c r="P82" i="1" s="1"/>
  <c r="Q81" i="1"/>
  <c r="R82" i="1" s="1"/>
  <c r="V82" i="1" l="1"/>
  <c r="W82" i="1" s="1"/>
  <c r="N82" i="1" s="1"/>
  <c r="X82" i="1"/>
  <c r="O82" i="1" l="1"/>
  <c r="P83" i="1" s="1"/>
  <c r="Q82" i="1"/>
  <c r="R83" i="1" s="1"/>
  <c r="X83" i="1" l="1"/>
  <c r="V83" i="1"/>
  <c r="W83" i="1" s="1"/>
  <c r="N83" i="1" s="1"/>
  <c r="O83" i="1" l="1"/>
  <c r="P84" i="1" s="1"/>
  <c r="Q83" i="1"/>
  <c r="R84" i="1" s="1"/>
  <c r="X84" i="1" l="1"/>
  <c r="V84" i="1"/>
  <c r="W84" i="1" s="1"/>
  <c r="N84" i="1" s="1"/>
  <c r="O84" i="1" l="1"/>
  <c r="P85" i="1" s="1"/>
  <c r="Q84" i="1"/>
  <c r="R85" i="1" s="1"/>
  <c r="X85" i="1" l="1"/>
  <c r="V85" i="1"/>
  <c r="W85" i="1" s="1"/>
  <c r="N85" i="1" s="1"/>
  <c r="O85" i="1" l="1"/>
  <c r="P86" i="1" s="1"/>
  <c r="Q85" i="1"/>
  <c r="R86" i="1" s="1"/>
  <c r="X86" i="1" l="1"/>
  <c r="V86" i="1"/>
  <c r="W86" i="1" s="1"/>
  <c r="N86" i="1" s="1"/>
  <c r="O86" i="1" l="1"/>
  <c r="P87" i="1" s="1"/>
  <c r="Q86" i="1"/>
  <c r="R87" i="1" s="1"/>
  <c r="X87" i="1" l="1"/>
  <c r="V87" i="1"/>
  <c r="W87" i="1" s="1"/>
  <c r="N87" i="1" s="1"/>
  <c r="O87" i="1" l="1"/>
  <c r="P88" i="1" s="1"/>
  <c r="Q87" i="1"/>
  <c r="R88" i="1" s="1"/>
  <c r="V88" i="1" l="1"/>
  <c r="W88" i="1" s="1"/>
  <c r="N88" i="1" s="1"/>
  <c r="X88" i="1"/>
  <c r="O88" i="1" l="1"/>
  <c r="P89" i="1" s="1"/>
  <c r="Q88" i="1"/>
  <c r="R89" i="1" s="1"/>
  <c r="V89" i="1" l="1"/>
  <c r="W89" i="1" s="1"/>
  <c r="N89" i="1" s="1"/>
  <c r="X89" i="1"/>
  <c r="O89" i="1" l="1"/>
  <c r="P90" i="1" s="1"/>
  <c r="Q89" i="1"/>
  <c r="R90" i="1" s="1"/>
  <c r="X90" i="1" l="1"/>
  <c r="V90" i="1"/>
  <c r="W90" i="1" s="1"/>
  <c r="N90" i="1" s="1"/>
  <c r="O90" i="1" l="1"/>
  <c r="P91" i="1" s="1"/>
  <c r="Q90" i="1"/>
  <c r="R91" i="1" s="1"/>
  <c r="V91" i="1" l="1"/>
  <c r="W91" i="1" s="1"/>
  <c r="N91" i="1" s="1"/>
  <c r="X91" i="1"/>
  <c r="O91" i="1" l="1"/>
  <c r="P92" i="1" s="1"/>
  <c r="Q91" i="1"/>
  <c r="R92" i="1" s="1"/>
  <c r="V92" i="1" l="1"/>
  <c r="W92" i="1" s="1"/>
  <c r="N92" i="1" s="1"/>
  <c r="X92" i="1"/>
  <c r="O92" i="1" l="1"/>
  <c r="P93" i="1" s="1"/>
  <c r="Q92" i="1"/>
  <c r="R93" i="1" s="1"/>
  <c r="V93" i="1" l="1"/>
  <c r="W93" i="1" s="1"/>
  <c r="N93" i="1" s="1"/>
  <c r="X93" i="1"/>
  <c r="O93" i="1" l="1"/>
  <c r="P94" i="1" s="1"/>
  <c r="Q93" i="1"/>
  <c r="R94" i="1" s="1"/>
  <c r="V94" i="1" l="1"/>
  <c r="W94" i="1" s="1"/>
  <c r="N94" i="1" s="1"/>
  <c r="X94" i="1"/>
  <c r="O94" i="1" l="1"/>
  <c r="P95" i="1" s="1"/>
  <c r="Q94" i="1"/>
  <c r="R95" i="1" s="1"/>
  <c r="V95" i="1" l="1"/>
  <c r="W95" i="1" s="1"/>
  <c r="N95" i="1" s="1"/>
  <c r="X95" i="1"/>
  <c r="O95" i="1" l="1"/>
  <c r="P96" i="1" s="1"/>
  <c r="Q95" i="1"/>
  <c r="R96" i="1" s="1"/>
  <c r="V96" i="1" l="1"/>
  <c r="W96" i="1" s="1"/>
  <c r="N96" i="1" s="1"/>
  <c r="X96" i="1"/>
  <c r="O96" i="1" l="1"/>
  <c r="P97" i="1" s="1"/>
  <c r="Q96" i="1"/>
  <c r="R97" i="1" s="1"/>
  <c r="V97" i="1" l="1"/>
  <c r="W97" i="1" s="1"/>
  <c r="N97" i="1" s="1"/>
  <c r="X97" i="1"/>
  <c r="O97" i="1" l="1"/>
  <c r="P98" i="1" s="1"/>
  <c r="Q97" i="1"/>
  <c r="R98" i="1" s="1"/>
  <c r="V98" i="1" l="1"/>
  <c r="W98" i="1" s="1"/>
  <c r="N98" i="1" s="1"/>
  <c r="X98" i="1"/>
  <c r="O98" i="1" l="1"/>
  <c r="P99" i="1" s="1"/>
  <c r="Q98" i="1"/>
  <c r="R99" i="1" s="1"/>
  <c r="X99" i="1" l="1"/>
  <c r="V99" i="1"/>
  <c r="W99" i="1" s="1"/>
  <c r="N99" i="1" s="1"/>
  <c r="O99" i="1" l="1"/>
  <c r="P100" i="1" s="1"/>
  <c r="Q99" i="1"/>
  <c r="R100" i="1" s="1"/>
  <c r="X100" i="1" l="1"/>
  <c r="V100" i="1"/>
  <c r="W100" i="1" s="1"/>
  <c r="N100" i="1" s="1"/>
  <c r="O100" i="1" l="1"/>
  <c r="P101" i="1" s="1"/>
  <c r="B26" i="1" s="1"/>
  <c r="Q100" i="1"/>
  <c r="R101" i="1" s="1"/>
  <c r="X101" i="1" l="1"/>
  <c r="V101" i="1"/>
  <c r="W101" i="1" s="1"/>
  <c r="N101" i="1" s="1"/>
  <c r="B25" i="1" s="1"/>
  <c r="B23" i="1" l="1"/>
</calcChain>
</file>

<file path=xl/sharedStrings.xml><?xml version="1.0" encoding="utf-8"?>
<sst xmlns="http://schemas.openxmlformats.org/spreadsheetml/2006/main" count="186" uniqueCount="131">
  <si>
    <t>Параметры займа</t>
  </si>
  <si>
    <t>Сумма займа</t>
  </si>
  <si>
    <t>Ставка</t>
  </si>
  <si>
    <t>Срок</t>
  </si>
  <si>
    <t>Параметры КК</t>
  </si>
  <si>
    <t>Дата выхода из КК</t>
  </si>
  <si>
    <t>Срок КК</t>
  </si>
  <si>
    <t>Дата в графике</t>
  </si>
  <si>
    <t>ОД</t>
  </si>
  <si>
    <t>начисленые проценты (на конец дня)</t>
  </si>
  <si>
    <t>ЧДП</t>
  </si>
  <si>
    <t>Пролонгации</t>
  </si>
  <si>
    <t>Срок пролонгации</t>
  </si>
  <si>
    <t>Начисленные пени на конец дня</t>
  </si>
  <si>
    <t>Среднерыночная ПСК</t>
  </si>
  <si>
    <t>Дата открытия займа</t>
  </si>
  <si>
    <t>Дата полного погашения</t>
  </si>
  <si>
    <t>Сумма ОД</t>
  </si>
  <si>
    <t>Начислено процентов</t>
  </si>
  <si>
    <t>Выплачено процентов</t>
  </si>
  <si>
    <t>Параметры займа на моент входа в КК</t>
  </si>
  <si>
    <t>Текущая дата закрытия займа по договру</t>
  </si>
  <si>
    <t>Новая дата закрытия займа по договору</t>
  </si>
  <si>
    <t>График после КК</t>
  </si>
  <si>
    <t>КК</t>
  </si>
  <si>
    <t>проценты на конец дня</t>
  </si>
  <si>
    <t>Дата</t>
  </si>
  <si>
    <t>Суммарная задолженность по процентам (на начало дня)</t>
  </si>
  <si>
    <t>ЧДП на проценты</t>
  </si>
  <si>
    <t>ЧДП на пени</t>
  </si>
  <si>
    <t>Задолженность по процентам ( на начало дня)</t>
  </si>
  <si>
    <t>Долг по пени (на начало дня)</t>
  </si>
  <si>
    <t>чдп на проценты</t>
  </si>
  <si>
    <t>чдп на од</t>
  </si>
  <si>
    <t>Сумма полного погашения</t>
  </si>
  <si>
    <t>Из которой:</t>
  </si>
  <si>
    <t>Проценты</t>
  </si>
  <si>
    <t>Пени</t>
  </si>
  <si>
    <t>пролонгации на проценты</t>
  </si>
  <si>
    <t>Долг пени</t>
  </si>
  <si>
    <t>№</t>
  </si>
  <si>
    <t>Категории займов</t>
  </si>
  <si>
    <t>Средневзвешенное значение ПСК</t>
  </si>
  <si>
    <t>MAX</t>
  </si>
  <si>
    <t>% изменения ПСК</t>
  </si>
  <si>
    <t>Изменение от квартала к кварталу</t>
  </si>
  <si>
    <t>в день, %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</si>
  <si>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</si>
  <si>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</si>
  <si>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</si>
  <si>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</si>
  <si>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</si>
  <si>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</si>
  <si>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</si>
  <si>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</si>
  <si>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</si>
  <si>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</si>
  <si>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</si>
  <si>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</si>
  <si>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</si>
  <si>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</si>
  <si>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</si>
  <si>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</si>
  <si>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</si>
  <si>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</si>
  <si>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</si>
  <si>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</si>
  <si>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</si>
  <si>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</si>
  <si>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</si>
  <si>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ПСК</t>
  </si>
  <si>
    <t>Дневная ставка, %</t>
  </si>
  <si>
    <t>Заявка на КК подана с 01.04 по 30.06</t>
  </si>
  <si>
    <t>2/3 ПСК</t>
  </si>
  <si>
    <t>Расчет ставки 2/3</t>
  </si>
  <si>
    <t>Максимальная ставка в договоре</t>
  </si>
  <si>
    <t>2.1.</t>
  </si>
  <si>
    <t>Потребительские микрозаймы с обеспечением в виде залога</t>
  </si>
  <si>
    <t>2.2.</t>
  </si>
  <si>
    <t>Потребительские микрозаймы с иным обеспечением</t>
  </si>
  <si>
    <t xml:space="preserve"> 2.2.1.</t>
  </si>
  <si>
    <t>до 365 дней включительно</t>
  </si>
  <si>
    <t xml:space="preserve"> 2.2.2.</t>
  </si>
  <si>
    <t>свыше 365 дней</t>
  </si>
  <si>
    <t>2.3.</t>
  </si>
  <si>
    <t>Потребительские микрозаймы без обеспечения</t>
  </si>
  <si>
    <t>2.3.1.</t>
  </si>
  <si>
    <t>до 30 дней включительно, в том числе:</t>
  </si>
  <si>
    <t>2.3.1.1.</t>
  </si>
  <si>
    <t>до 30 тыс. руб.</t>
  </si>
  <si>
    <t>2.3.1.2.</t>
  </si>
  <si>
    <t>свыше 30 тыс. руб.</t>
  </si>
  <si>
    <t xml:space="preserve"> 2.3.2.</t>
  </si>
  <si>
    <t>от 31 до 60 дней включительно, в том числе:</t>
  </si>
  <si>
    <t>2.3.2.1.</t>
  </si>
  <si>
    <t>до 30 тыс. руб. включительно</t>
  </si>
  <si>
    <t>2.3.2.2.</t>
  </si>
  <si>
    <t>2.3.3.</t>
  </si>
  <si>
    <t>от 61 до 180 дней включительно, в том числе:</t>
  </si>
  <si>
    <t>2.3.3.1.</t>
  </si>
  <si>
    <t>2.3.3.2.</t>
  </si>
  <si>
    <t>свыше 30 тыс. руб. до 100 тыс. руб. включительно</t>
  </si>
  <si>
    <t>2.3.3.3.</t>
  </si>
  <si>
    <t>свыше 100 тыс. руб.</t>
  </si>
  <si>
    <t xml:space="preserve"> 2.3.4.</t>
  </si>
  <si>
    <t>от 181 дня до 365 дней включительно, в том числе:</t>
  </si>
  <si>
    <t xml:space="preserve"> 2.3.4.1.</t>
  </si>
  <si>
    <t>2.3.4.2.</t>
  </si>
  <si>
    <t>свыше 30 тыс. руб. до 60 тыс. руб.</t>
  </si>
  <si>
    <t>Х</t>
  </si>
  <si>
    <t xml:space="preserve"> 2.3.4.3.</t>
  </si>
  <si>
    <t>свыше 60 тыс. руб. до 100 тыс. руб.</t>
  </si>
  <si>
    <t xml:space="preserve"> 2.3.4.4.</t>
  </si>
  <si>
    <t xml:space="preserve"> 2.3.4.5.</t>
  </si>
  <si>
    <t xml:space="preserve"> 2.3.5.</t>
  </si>
  <si>
    <t>свыше 365 дней, в том числе:</t>
  </si>
  <si>
    <t>2.3.5.1.</t>
  </si>
  <si>
    <t>2.3.5.2.</t>
  </si>
  <si>
    <t>свыше 30 тыс. руб. до 60 тыс. руб. включительно</t>
  </si>
  <si>
    <t xml:space="preserve"> 2.3.5.3.</t>
  </si>
  <si>
    <t>свыше 60 тыс. руб. до 100 тыс. руб. включительно</t>
  </si>
  <si>
    <t>2.3.5.4.</t>
  </si>
  <si>
    <t>2.4.</t>
  </si>
  <si>
    <t>POS-микрозаймы</t>
  </si>
  <si>
    <t xml:space="preserve"> 2.4.1.</t>
  </si>
  <si>
    <t>до 365 дней включительно, в том числе:</t>
  </si>
  <si>
    <t xml:space="preserve"> 2.4.1.1.</t>
  </si>
  <si>
    <t xml:space="preserve"> 2.4.1.2</t>
  </si>
  <si>
    <t xml:space="preserve"> 2.4.1.3.</t>
  </si>
  <si>
    <t>2.4.2.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</si>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</sst>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#,##0.000"/>
    <numFmt numFmtId="166" formatCode="0.0000%"/>
    <numFmt numFmtId="167" formatCode="_-* #,##0.00_р_._-;\-* #,##0.00_р_._-;_-* &quot;-&quot;??_р_._-;_-@_-"/>
    <numFmt numFmtId="168" formatCode="_-* #,##0.000_р_._-;\-* #,##0.000_р_._-;_-* &quot;-&quot;??_р_._-;_-@_-"/>
    <numFmt numFmtId="169" formatCode="0.000%"/>
    <numFmt numFmtId="170" formatCode="0.0000000"/>
    <numFmt numFmtId="171" formatCode="0.00000000000000000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3" borderId="5" xfId="0" applyFill="1" applyBorder="1"/>
    <xf numFmtId="9" fontId="0" fillId="3" borderId="5" xfId="0" applyNumberFormat="1" applyFill="1" applyBorder="1"/>
    <xf numFmtId="14" fontId="0" fillId="3" borderId="7" xfId="0" applyNumberFormat="1" applyFill="1" applyBorder="1"/>
    <xf numFmtId="14" fontId="0" fillId="3" borderId="5" xfId="0" applyNumberFormat="1" applyFill="1" applyBorder="1"/>
    <xf numFmtId="14" fontId="0" fillId="2" borderId="3" xfId="0" applyNumberFormat="1" applyFill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1" fillId="0" borderId="4" xfId="0" applyFont="1" applyBorder="1"/>
    <xf numFmtId="0" fontId="0" fillId="0" borderId="5" xfId="0" applyFill="1" applyBorder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1" fillId="4" borderId="12" xfId="0" applyFont="1" applyFill="1" applyBorder="1"/>
    <xf numFmtId="0" fontId="0" fillId="4" borderId="12" xfId="0" applyFill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justify" vertical="center"/>
    </xf>
    <xf numFmtId="164" fontId="3" fillId="0" borderId="0" xfId="0" applyNumberFormat="1" applyFont="1" applyBorder="1" applyAlignment="1">
      <alignment vertical="center"/>
    </xf>
    <xf numFmtId="0" fontId="3" fillId="5" borderId="33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vertical="center" wrapText="1"/>
    </xf>
    <xf numFmtId="165" fontId="5" fillId="0" borderId="34" xfId="0" applyNumberFormat="1" applyFont="1" applyBorder="1" applyAlignment="1">
      <alignment vertical="center"/>
    </xf>
    <xf numFmtId="165" fontId="4" fillId="0" borderId="35" xfId="0" applyNumberFormat="1" applyFont="1" applyBorder="1" applyAlignment="1">
      <alignment vertical="center"/>
    </xf>
    <xf numFmtId="165" fontId="5" fillId="0" borderId="35" xfId="0" applyNumberFormat="1" applyFont="1" applyBorder="1" applyAlignment="1">
      <alignment vertical="center"/>
    </xf>
    <xf numFmtId="165" fontId="5" fillId="0" borderId="36" xfId="0" applyNumberFormat="1" applyFont="1" applyBorder="1" applyAlignment="1">
      <alignment vertical="center"/>
    </xf>
    <xf numFmtId="165" fontId="5" fillId="0" borderId="37" xfId="0" applyNumberFormat="1" applyFont="1" applyBorder="1" applyAlignment="1">
      <alignment vertical="center"/>
    </xf>
    <xf numFmtId="164" fontId="6" fillId="7" borderId="38" xfId="0" applyNumberFormat="1" applyFont="1" applyFill="1" applyBorder="1" applyAlignment="1">
      <alignment horizontal="center" vertical="center"/>
    </xf>
    <xf numFmtId="166" fontId="6" fillId="7" borderId="38" xfId="1" applyNumberFormat="1" applyFont="1" applyFill="1" applyBorder="1" applyAlignment="1">
      <alignment horizontal="center" vertical="center"/>
    </xf>
    <xf numFmtId="10" fontId="3" fillId="0" borderId="38" xfId="1" applyNumberFormat="1" applyFont="1" applyBorder="1" applyAlignment="1">
      <alignment horizontal="center" vertical="center"/>
    </xf>
    <xf numFmtId="10" fontId="3" fillId="0" borderId="39" xfId="1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8" fontId="4" fillId="0" borderId="1" xfId="2" applyNumberFormat="1" applyFont="1" applyBorder="1" applyAlignment="1">
      <alignment vertical="center"/>
    </xf>
    <xf numFmtId="0" fontId="3" fillId="5" borderId="32" xfId="0" applyFont="1" applyFill="1" applyBorder="1" applyAlignment="1">
      <alignment horizontal="left" vertical="center"/>
    </xf>
    <xf numFmtId="0" fontId="3" fillId="8" borderId="32" xfId="0" applyFont="1" applyFill="1" applyBorder="1" applyAlignment="1">
      <alignment vertical="center"/>
    </xf>
    <xf numFmtId="165" fontId="4" fillId="8" borderId="40" xfId="0" applyNumberFormat="1" applyFont="1" applyFill="1" applyBorder="1" applyAlignment="1">
      <alignment vertical="center"/>
    </xf>
    <xf numFmtId="165" fontId="4" fillId="8" borderId="41" xfId="0" applyNumberFormat="1" applyFont="1" applyFill="1" applyBorder="1" applyAlignment="1">
      <alignment vertical="center"/>
    </xf>
    <xf numFmtId="165" fontId="4" fillId="8" borderId="42" xfId="0" applyNumberFormat="1" applyFont="1" applyFill="1" applyBorder="1" applyAlignment="1">
      <alignment vertical="center"/>
    </xf>
    <xf numFmtId="165" fontId="4" fillId="8" borderId="43" xfId="0" applyNumberFormat="1" applyFont="1" applyFill="1" applyBorder="1" applyAlignment="1">
      <alignment vertical="center"/>
    </xf>
    <xf numFmtId="164" fontId="3" fillId="8" borderId="38" xfId="0" applyNumberFormat="1" applyFont="1" applyFill="1" applyBorder="1" applyAlignment="1">
      <alignment horizontal="center" vertical="center"/>
    </xf>
    <xf numFmtId="169" fontId="3" fillId="8" borderId="38" xfId="0" applyNumberFormat="1" applyFont="1" applyFill="1" applyBorder="1" applyAlignment="1">
      <alignment horizontal="center" vertical="center"/>
    </xf>
    <xf numFmtId="10" fontId="3" fillId="8" borderId="38" xfId="1" applyNumberFormat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vertical="center"/>
    </xf>
    <xf numFmtId="0" fontId="4" fillId="8" borderId="19" xfId="0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0" fontId="4" fillId="0" borderId="44" xfId="0" applyFont="1" applyBorder="1" applyAlignment="1">
      <alignment vertical="center" wrapText="1"/>
    </xf>
    <xf numFmtId="165" fontId="5" fillId="0" borderId="45" xfId="0" applyNumberFormat="1" applyFont="1" applyBorder="1" applyAlignment="1">
      <alignment vertical="center"/>
    </xf>
    <xf numFmtId="165" fontId="4" fillId="0" borderId="46" xfId="0" applyNumberFormat="1" applyFont="1" applyBorder="1" applyAlignment="1">
      <alignment vertical="center"/>
    </xf>
    <xf numFmtId="165" fontId="5" fillId="0" borderId="46" xfId="0" applyNumberFormat="1" applyFont="1" applyBorder="1" applyAlignment="1">
      <alignment vertical="center"/>
    </xf>
    <xf numFmtId="165" fontId="5" fillId="0" borderId="47" xfId="0" applyNumberFormat="1" applyFont="1" applyBorder="1" applyAlignment="1">
      <alignment vertical="center"/>
    </xf>
    <xf numFmtId="165" fontId="5" fillId="0" borderId="48" xfId="0" applyNumberFormat="1" applyFont="1" applyBorder="1" applyAlignment="1">
      <alignment vertical="center"/>
    </xf>
    <xf numFmtId="164" fontId="3" fillId="0" borderId="38" xfId="0" applyNumberFormat="1" applyFont="1" applyFill="1" applyBorder="1" applyAlignment="1">
      <alignment horizontal="center" vertical="center"/>
    </xf>
    <xf numFmtId="169" fontId="3" fillId="0" borderId="38" xfId="1" applyNumberFormat="1" applyFont="1" applyFill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171" fontId="4" fillId="6" borderId="0" xfId="0" applyNumberFormat="1" applyFont="1" applyFill="1" applyAlignment="1">
      <alignment vertical="center"/>
    </xf>
    <xf numFmtId="0" fontId="4" fillId="0" borderId="27" xfId="0" applyFont="1" applyBorder="1" applyAlignment="1">
      <alignment horizontal="left" vertical="center"/>
    </xf>
    <xf numFmtId="0" fontId="4" fillId="0" borderId="27" xfId="0" applyFont="1" applyBorder="1" applyAlignment="1">
      <alignment vertical="center" wrapText="1"/>
    </xf>
    <xf numFmtId="165" fontId="5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5" fillId="0" borderId="29" xfId="0" applyNumberFormat="1" applyFont="1" applyBorder="1" applyAlignment="1">
      <alignment vertical="center"/>
    </xf>
    <xf numFmtId="165" fontId="5" fillId="0" borderId="30" xfId="0" applyNumberFormat="1" applyFont="1" applyBorder="1" applyAlignment="1">
      <alignment vertical="center"/>
    </xf>
    <xf numFmtId="165" fontId="5" fillId="0" borderId="31" xfId="0" applyNumberFormat="1" applyFont="1" applyBorder="1" applyAlignment="1">
      <alignment vertical="center"/>
    </xf>
    <xf numFmtId="0" fontId="3" fillId="8" borderId="32" xfId="0" applyFont="1" applyFill="1" applyBorder="1" applyAlignment="1">
      <alignment horizontal="left" vertical="center"/>
    </xf>
    <xf numFmtId="165" fontId="5" fillId="8" borderId="40" xfId="0" applyNumberFormat="1" applyFont="1" applyFill="1" applyBorder="1" applyAlignment="1">
      <alignment vertical="center"/>
    </xf>
    <xf numFmtId="165" fontId="5" fillId="8" borderId="41" xfId="0" applyNumberFormat="1" applyFont="1" applyFill="1" applyBorder="1" applyAlignment="1">
      <alignment vertical="center"/>
    </xf>
    <xf numFmtId="165" fontId="5" fillId="8" borderId="42" xfId="0" applyNumberFormat="1" applyFont="1" applyFill="1" applyBorder="1" applyAlignment="1">
      <alignment vertical="center"/>
    </xf>
    <xf numFmtId="165" fontId="5" fillId="8" borderId="43" xfId="0" applyNumberFormat="1" applyFont="1" applyFill="1" applyBorder="1" applyAlignment="1">
      <alignment vertical="center"/>
    </xf>
    <xf numFmtId="0" fontId="3" fillId="8" borderId="38" xfId="0" applyFont="1" applyFill="1" applyBorder="1" applyAlignment="1">
      <alignment horizontal="left" vertical="center"/>
    </xf>
    <xf numFmtId="0" fontId="3" fillId="8" borderId="38" xfId="0" applyFont="1" applyFill="1" applyBorder="1" applyAlignment="1">
      <alignment vertical="center"/>
    </xf>
    <xf numFmtId="165" fontId="5" fillId="8" borderId="49" xfId="0" applyNumberFormat="1" applyFont="1" applyFill="1" applyBorder="1" applyAlignment="1">
      <alignment vertical="center"/>
    </xf>
    <xf numFmtId="165" fontId="4" fillId="8" borderId="50" xfId="0" applyNumberFormat="1" applyFont="1" applyFill="1" applyBorder="1" applyAlignment="1">
      <alignment vertical="center"/>
    </xf>
    <xf numFmtId="165" fontId="5" fillId="8" borderId="50" xfId="0" applyNumberFormat="1" applyFont="1" applyFill="1" applyBorder="1" applyAlignment="1">
      <alignment vertical="center"/>
    </xf>
    <xf numFmtId="165" fontId="5" fillId="8" borderId="51" xfId="0" applyNumberFormat="1" applyFont="1" applyFill="1" applyBorder="1" applyAlignment="1">
      <alignment vertical="center"/>
    </xf>
    <xf numFmtId="165" fontId="5" fillId="8" borderId="52" xfId="0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vertical="center" wrapText="1"/>
    </xf>
    <xf numFmtId="165" fontId="5" fillId="0" borderId="49" xfId="0" applyNumberFormat="1" applyFont="1" applyFill="1" applyBorder="1" applyAlignment="1">
      <alignment vertical="center"/>
    </xf>
    <xf numFmtId="165" fontId="4" fillId="0" borderId="50" xfId="0" applyNumberFormat="1" applyFont="1" applyFill="1" applyBorder="1" applyAlignment="1">
      <alignment vertical="center"/>
    </xf>
    <xf numFmtId="165" fontId="5" fillId="0" borderId="50" xfId="0" applyNumberFormat="1" applyFont="1" applyFill="1" applyBorder="1" applyAlignment="1">
      <alignment vertical="center"/>
    </xf>
    <xf numFmtId="165" fontId="5" fillId="0" borderId="51" xfId="0" applyNumberFormat="1" applyFont="1" applyFill="1" applyBorder="1" applyAlignment="1">
      <alignment vertical="center"/>
    </xf>
    <xf numFmtId="165" fontId="5" fillId="0" borderId="52" xfId="0" applyNumberFormat="1" applyFont="1" applyFill="1" applyBorder="1" applyAlignment="1">
      <alignment vertical="center"/>
    </xf>
    <xf numFmtId="169" fontId="6" fillId="7" borderId="38" xfId="1" applyNumberFormat="1" applyFont="1" applyFill="1" applyBorder="1" applyAlignment="1">
      <alignment horizontal="center" vertical="center"/>
    </xf>
    <xf numFmtId="10" fontId="3" fillId="0" borderId="38" xfId="1" applyNumberFormat="1" applyFont="1" applyFill="1" applyBorder="1" applyAlignment="1">
      <alignment horizontal="center" vertical="center"/>
    </xf>
    <xf numFmtId="10" fontId="3" fillId="0" borderId="39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4" fillId="0" borderId="53" xfId="0" applyFont="1" applyBorder="1" applyAlignment="1">
      <alignment horizontal="left" vertical="center"/>
    </xf>
    <xf numFmtId="0" fontId="4" fillId="0" borderId="53" xfId="0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0" fillId="8" borderId="20" xfId="0" applyFill="1" applyBorder="1"/>
    <xf numFmtId="0" fontId="0" fillId="8" borderId="19" xfId="0" applyFill="1" applyBorder="1"/>
    <xf numFmtId="0" fontId="4" fillId="0" borderId="38" xfId="0" applyFont="1" applyBorder="1" applyAlignment="1">
      <alignment horizontal="left" vertical="center"/>
    </xf>
    <xf numFmtId="0" fontId="4" fillId="0" borderId="38" xfId="0" applyFont="1" applyBorder="1" applyAlignment="1">
      <alignment vertical="center" wrapText="1"/>
    </xf>
    <xf numFmtId="165" fontId="5" fillId="0" borderId="49" xfId="0" applyNumberFormat="1" applyFont="1" applyBorder="1" applyAlignment="1">
      <alignment vertical="center"/>
    </xf>
    <xf numFmtId="165" fontId="4" fillId="0" borderId="50" xfId="0" applyNumberFormat="1" applyFont="1" applyBorder="1" applyAlignment="1">
      <alignment vertical="center"/>
    </xf>
    <xf numFmtId="165" fontId="5" fillId="0" borderId="50" xfId="0" applyNumberFormat="1" applyFont="1" applyBorder="1" applyAlignment="1">
      <alignment vertical="center"/>
    </xf>
    <xf numFmtId="165" fontId="5" fillId="0" borderId="51" xfId="0" applyNumberFormat="1" applyFont="1" applyBorder="1" applyAlignment="1">
      <alignment vertical="center"/>
    </xf>
    <xf numFmtId="165" fontId="5" fillId="0" borderId="52" xfId="0" applyNumberFormat="1" applyFont="1" applyBorder="1" applyAlignment="1">
      <alignment vertical="center"/>
    </xf>
    <xf numFmtId="164" fontId="6" fillId="2" borderId="38" xfId="0" applyNumberFormat="1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left" vertical="center"/>
    </xf>
    <xf numFmtId="0" fontId="4" fillId="8" borderId="38" xfId="0" applyFont="1" applyFill="1" applyBorder="1" applyAlignment="1">
      <alignment vertical="center" wrapText="1"/>
    </xf>
    <xf numFmtId="165" fontId="5" fillId="8" borderId="50" xfId="0" applyNumberFormat="1" applyFont="1" applyFill="1" applyBorder="1" applyAlignment="1">
      <alignment horizontal="center" vertical="center"/>
    </xf>
    <xf numFmtId="165" fontId="5" fillId="8" borderId="51" xfId="0" applyNumberFormat="1" applyFont="1" applyFill="1" applyBorder="1" applyAlignment="1">
      <alignment horizontal="center" vertical="center"/>
    </xf>
    <xf numFmtId="165" fontId="5" fillId="8" borderId="52" xfId="0" applyNumberFormat="1" applyFont="1" applyFill="1" applyBorder="1" applyAlignment="1">
      <alignment horizontal="center" vertical="center"/>
    </xf>
    <xf numFmtId="169" fontId="3" fillId="8" borderId="38" xfId="1" applyNumberFormat="1" applyFont="1" applyFill="1" applyBorder="1" applyAlignment="1">
      <alignment horizontal="center" vertical="center"/>
    </xf>
    <xf numFmtId="10" fontId="3" fillId="8" borderId="38" xfId="0" applyNumberFormat="1" applyFont="1" applyFill="1" applyBorder="1" applyAlignment="1">
      <alignment horizontal="center" vertical="center"/>
    </xf>
    <xf numFmtId="10" fontId="3" fillId="8" borderId="39" xfId="0" applyNumberFormat="1" applyFont="1" applyFill="1" applyBorder="1" applyAlignment="1">
      <alignment horizontal="center" vertical="center"/>
    </xf>
    <xf numFmtId="165" fontId="4" fillId="8" borderId="42" xfId="0" applyNumberFormat="1" applyFont="1" applyFill="1" applyBorder="1" applyAlignment="1">
      <alignment horizontal="center" vertical="center"/>
    </xf>
    <xf numFmtId="165" fontId="4" fillId="8" borderId="43" xfId="0" applyNumberFormat="1" applyFont="1" applyFill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9" fontId="3" fillId="0" borderId="38" xfId="1" applyNumberFormat="1" applyFont="1" applyBorder="1" applyAlignment="1">
      <alignment horizontal="center" vertical="center"/>
    </xf>
    <xf numFmtId="0" fontId="3" fillId="8" borderId="32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165" fontId="5" fillId="8" borderId="54" xfId="0" applyNumberFormat="1" applyFont="1" applyFill="1" applyBorder="1" applyAlignment="1">
      <alignment vertical="center"/>
    </xf>
    <xf numFmtId="165" fontId="4" fillId="8" borderId="55" xfId="0" applyNumberFormat="1" applyFont="1" applyFill="1" applyBorder="1" applyAlignment="1">
      <alignment vertical="center"/>
    </xf>
    <xf numFmtId="165" fontId="5" fillId="8" borderId="55" xfId="0" applyNumberFormat="1" applyFont="1" applyFill="1" applyBorder="1" applyAlignment="1">
      <alignment vertical="center"/>
    </xf>
    <xf numFmtId="165" fontId="5" fillId="8" borderId="56" xfId="0" applyNumberFormat="1" applyFont="1" applyFill="1" applyBorder="1" applyAlignment="1">
      <alignment vertical="center"/>
    </xf>
    <xf numFmtId="165" fontId="5" fillId="8" borderId="57" xfId="0" applyNumberFormat="1" applyFont="1" applyFill="1" applyBorder="1" applyAlignment="1">
      <alignment vertical="center"/>
    </xf>
    <xf numFmtId="168" fontId="4" fillId="0" borderId="0" xfId="2" applyNumberFormat="1" applyFont="1" applyAlignment="1">
      <alignment vertical="center"/>
    </xf>
    <xf numFmtId="0" fontId="3" fillId="0" borderId="53" xfId="0" applyFont="1" applyBorder="1" applyAlignment="1">
      <alignment horizontal="left" vertical="center"/>
    </xf>
    <xf numFmtId="0" fontId="3" fillId="0" borderId="53" xfId="0" applyFont="1" applyBorder="1" applyAlignment="1">
      <alignment vertical="center" wrapText="1"/>
    </xf>
    <xf numFmtId="165" fontId="5" fillId="8" borderId="28" xfId="0" applyNumberFormat="1" applyFont="1" applyFill="1" applyBorder="1" applyAlignment="1">
      <alignment vertical="center"/>
    </xf>
    <xf numFmtId="165" fontId="4" fillId="8" borderId="29" xfId="0" applyNumberFormat="1" applyFont="1" applyFill="1" applyBorder="1" applyAlignment="1">
      <alignment vertical="center"/>
    </xf>
    <xf numFmtId="165" fontId="5" fillId="8" borderId="29" xfId="0" applyNumberFormat="1" applyFont="1" applyFill="1" applyBorder="1" applyAlignment="1">
      <alignment vertical="center"/>
    </xf>
    <xf numFmtId="164" fontId="3" fillId="0" borderId="53" xfId="0" applyNumberFormat="1" applyFont="1" applyBorder="1" applyAlignment="1">
      <alignment horizontal="center" vertical="center"/>
    </xf>
    <xf numFmtId="169" fontId="3" fillId="0" borderId="53" xfId="1" applyNumberFormat="1" applyFont="1" applyBorder="1" applyAlignment="1">
      <alignment horizontal="center" vertical="center"/>
    </xf>
    <xf numFmtId="10" fontId="3" fillId="0" borderId="53" xfId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9" fontId="0" fillId="2" borderId="7" xfId="1" applyNumberFormat="1" applyFont="1" applyFill="1" applyBorder="1"/>
    <xf numFmtId="0" fontId="0" fillId="0" borderId="0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5" borderId="14" xfId="0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 2" xfId="2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ПСК </a:t>
            </a:r>
            <a:r>
              <a:rPr lang="en-GB"/>
              <a:t>POS-</a:t>
            </a:r>
            <a:r>
              <a:rPr lang="ru-RU"/>
              <a:t>займы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6388758616229E-2"/>
          <c:y val="0.16326881531125606"/>
          <c:w val="0.6145420790890358"/>
          <c:h val="0.69279278540011813"/>
        </c:manualLayout>
      </c:layout>
      <c:lineChart>
        <c:grouping val="standard"/>
        <c:varyColors val="0"/>
        <c:ser>
          <c:idx val="1"/>
          <c:order val="0"/>
          <c:tx>
            <c:v> 2.4.1.1. до 30 тыс. руб. включительно</c:v>
          </c:tx>
          <c:marker>
            <c:symbol val="none"/>
          </c:marker>
          <c:cat>
            <c:strLit>
              <c:ptCount val="16"/>
              <c:pt idx="0">
                <c:v>4Q2016</c:v>
              </c:pt>
              <c:pt idx="1">
                <c:v>1Q2017</c:v>
              </c:pt>
              <c:pt idx="2">
                <c:v>2Q2017</c:v>
              </c:pt>
              <c:pt idx="3">
                <c:v>3Q2017</c:v>
              </c:pt>
              <c:pt idx="4">
                <c:v>4Q2017</c:v>
              </c:pt>
              <c:pt idx="5">
                <c:v>1Q2018</c:v>
              </c:pt>
              <c:pt idx="6">
                <c:v>2Q2018</c:v>
              </c:pt>
              <c:pt idx="7">
                <c:v>3Q2018</c:v>
              </c:pt>
              <c:pt idx="8">
                <c:v>4Q2018</c:v>
              </c:pt>
              <c:pt idx="9">
                <c:v>1Q2019</c:v>
              </c:pt>
              <c:pt idx="10">
                <c:v>2Q2019</c:v>
              </c:pt>
              <c:pt idx="11">
                <c:v>3Q2019</c:v>
              </c:pt>
              <c:pt idx="12">
                <c:v>4Q2019</c:v>
              </c:pt>
              <c:pt idx="13">
                <c:v>1Q2020</c:v>
              </c:pt>
              <c:pt idx="14">
                <c:v>2Q2020</c:v>
              </c:pt>
              <c:pt idx="15">
                <c:v>3Q2020</c:v>
              </c:pt>
            </c:strLit>
          </c:cat>
          <c:val>
            <c:numLit>
              <c:formatCode>General</c:formatCode>
              <c:ptCount val="16"/>
              <c:pt idx="0">
                <c:v>66.635999999999996</c:v>
              </c:pt>
              <c:pt idx="1">
                <c:v>68.147000000000006</c:v>
              </c:pt>
              <c:pt idx="2">
                <c:v>61.337000000000003</c:v>
              </c:pt>
              <c:pt idx="3">
                <c:v>60.109000000000002</c:v>
              </c:pt>
              <c:pt idx="4">
                <c:v>56.506999999999998</c:v>
              </c:pt>
              <c:pt idx="5">
                <c:v>55.170999999999999</c:v>
              </c:pt>
              <c:pt idx="6">
                <c:v>52.258000000000003</c:v>
              </c:pt>
              <c:pt idx="7">
                <c:v>45.308</c:v>
              </c:pt>
              <c:pt idx="8">
                <c:v>45.011000000000003</c:v>
              </c:pt>
              <c:pt idx="9">
                <c:v>42.969000000000001</c:v>
              </c:pt>
              <c:pt idx="10">
                <c:v>40.515000000000001</c:v>
              </c:pt>
              <c:pt idx="11">
                <c:v>38.003</c:v>
              </c:pt>
              <c:pt idx="12">
                <c:v>35.369999999999997</c:v>
              </c:pt>
              <c:pt idx="13">
                <c:v>32.688000000000002</c:v>
              </c:pt>
              <c:pt idx="14">
                <c:v>34.659999999999997</c:v>
              </c:pt>
              <c:pt idx="15">
                <c:v>30.96</c:v>
              </c:pt>
            </c:numLit>
          </c:val>
          <c:smooth val="0"/>
        </c:ser>
        <c:ser>
          <c:idx val="0"/>
          <c:order val="1"/>
          <c:tx>
            <c:v> 2.4.1.2 свыше 30 тыс. руб. до 100 тыс. руб. включительно</c:v>
          </c:tx>
          <c:marker>
            <c:symbol val="none"/>
          </c:marker>
          <c:cat>
            <c:strLit>
              <c:ptCount val="16"/>
              <c:pt idx="0">
                <c:v>4Q2016</c:v>
              </c:pt>
              <c:pt idx="1">
                <c:v>1Q2017</c:v>
              </c:pt>
              <c:pt idx="2">
                <c:v>2Q2017</c:v>
              </c:pt>
              <c:pt idx="3">
                <c:v>3Q2017</c:v>
              </c:pt>
              <c:pt idx="4">
                <c:v>4Q2017</c:v>
              </c:pt>
              <c:pt idx="5">
                <c:v>1Q2018</c:v>
              </c:pt>
              <c:pt idx="6">
                <c:v>2Q2018</c:v>
              </c:pt>
              <c:pt idx="7">
                <c:v>3Q2018</c:v>
              </c:pt>
              <c:pt idx="8">
                <c:v>4Q2018</c:v>
              </c:pt>
              <c:pt idx="9">
                <c:v>1Q2019</c:v>
              </c:pt>
              <c:pt idx="10">
                <c:v>2Q2019</c:v>
              </c:pt>
              <c:pt idx="11">
                <c:v>3Q2019</c:v>
              </c:pt>
              <c:pt idx="12">
                <c:v>4Q2019</c:v>
              </c:pt>
              <c:pt idx="13">
                <c:v>1Q2020</c:v>
              </c:pt>
              <c:pt idx="14">
                <c:v>2Q2020</c:v>
              </c:pt>
              <c:pt idx="15">
                <c:v>3Q2020</c:v>
              </c:pt>
            </c:strLit>
          </c:cat>
          <c:val>
            <c:numLit>
              <c:formatCode>General</c:formatCode>
              <c:ptCount val="16"/>
              <c:pt idx="0">
                <c:v>61.499000000000002</c:v>
              </c:pt>
              <c:pt idx="1">
                <c:v>59.313000000000002</c:v>
              </c:pt>
              <c:pt idx="2">
                <c:v>53.677999999999997</c:v>
              </c:pt>
              <c:pt idx="3">
                <c:v>52.988</c:v>
              </c:pt>
              <c:pt idx="4">
                <c:v>49.777000000000001</c:v>
              </c:pt>
              <c:pt idx="5">
                <c:v>49.976999999999997</c:v>
              </c:pt>
              <c:pt idx="6">
                <c:v>39.835999999999999</c:v>
              </c:pt>
              <c:pt idx="7">
                <c:v>38.457999999999998</c:v>
              </c:pt>
              <c:pt idx="8">
                <c:v>36.941000000000003</c:v>
              </c:pt>
              <c:pt idx="9">
                <c:v>38.289000000000001</c:v>
              </c:pt>
              <c:pt idx="10">
                <c:v>33.152999999999999</c:v>
              </c:pt>
              <c:pt idx="11">
                <c:v>32.109000000000002</c:v>
              </c:pt>
              <c:pt idx="12">
                <c:v>31.385000000000002</c:v>
              </c:pt>
              <c:pt idx="13">
                <c:v>28.143000000000001</c:v>
              </c:pt>
              <c:pt idx="14">
                <c:v>29.364999999999998</c:v>
              </c:pt>
              <c:pt idx="15">
                <c:v>27.58</c:v>
              </c:pt>
            </c:numLit>
          </c:val>
          <c:smooth val="0"/>
        </c:ser>
        <c:ser>
          <c:idx val="2"/>
          <c:order val="2"/>
          <c:tx>
            <c:v> 2.4.1.3. свыше 100 тыс. руб.</c:v>
          </c:tx>
          <c:marker>
            <c:symbol val="none"/>
          </c:marker>
          <c:cat>
            <c:strLit>
              <c:ptCount val="16"/>
              <c:pt idx="0">
                <c:v>4Q2016</c:v>
              </c:pt>
              <c:pt idx="1">
                <c:v>1Q2017</c:v>
              </c:pt>
              <c:pt idx="2">
                <c:v>2Q2017</c:v>
              </c:pt>
              <c:pt idx="3">
                <c:v>3Q2017</c:v>
              </c:pt>
              <c:pt idx="4">
                <c:v>4Q2017</c:v>
              </c:pt>
              <c:pt idx="5">
                <c:v>1Q2018</c:v>
              </c:pt>
              <c:pt idx="6">
                <c:v>2Q2018</c:v>
              </c:pt>
              <c:pt idx="7">
                <c:v>3Q2018</c:v>
              </c:pt>
              <c:pt idx="8">
                <c:v>4Q2018</c:v>
              </c:pt>
              <c:pt idx="9">
                <c:v>1Q2019</c:v>
              </c:pt>
              <c:pt idx="10">
                <c:v>2Q2019</c:v>
              </c:pt>
              <c:pt idx="11">
                <c:v>3Q2019</c:v>
              </c:pt>
              <c:pt idx="12">
                <c:v>4Q2019</c:v>
              </c:pt>
              <c:pt idx="13">
                <c:v>1Q2020</c:v>
              </c:pt>
              <c:pt idx="14">
                <c:v>2Q2020</c:v>
              </c:pt>
              <c:pt idx="15">
                <c:v>3Q2020</c:v>
              </c:pt>
            </c:strLit>
          </c:cat>
          <c:val>
            <c:numLit>
              <c:formatCode>General</c:formatCode>
              <c:ptCount val="16"/>
              <c:pt idx="0">
                <c:v>42.67</c:v>
              </c:pt>
              <c:pt idx="1">
                <c:v>49.51</c:v>
              </c:pt>
              <c:pt idx="2">
                <c:v>54.936</c:v>
              </c:pt>
              <c:pt idx="3">
                <c:v>34.78</c:v>
              </c:pt>
              <c:pt idx="4">
                <c:v>46.468000000000004</c:v>
              </c:pt>
              <c:pt idx="5">
                <c:v>32.122</c:v>
              </c:pt>
              <c:pt idx="6">
                <c:v>34.386000000000003</c:v>
              </c:pt>
              <c:pt idx="7">
                <c:v>32.484000000000002</c:v>
              </c:pt>
              <c:pt idx="8">
                <c:v>31.981999999999999</c:v>
              </c:pt>
              <c:pt idx="9">
                <c:v>29.225000000000001</c:v>
              </c:pt>
              <c:pt idx="10">
                <c:v>29.798999999999999</c:v>
              </c:pt>
              <c:pt idx="11">
                <c:v>29.22</c:v>
              </c:pt>
              <c:pt idx="12">
                <c:v>27.789000000000001</c:v>
              </c:pt>
              <c:pt idx="13">
                <c:v>25.818999999999999</c:v>
              </c:pt>
              <c:pt idx="14">
                <c:v>29.08</c:v>
              </c:pt>
              <c:pt idx="15">
                <c:v>25.939</c:v>
              </c:pt>
            </c:numLit>
          </c:val>
          <c:smooth val="0"/>
        </c:ser>
        <c:ser>
          <c:idx val="3"/>
          <c:order val="3"/>
          <c:tx>
            <c:v>2.4.2. свыше 365 дней</c:v>
          </c:tx>
          <c:marker>
            <c:symbol val="none"/>
          </c:marker>
          <c:cat>
            <c:strLit>
              <c:ptCount val="16"/>
              <c:pt idx="0">
                <c:v>4Q2016</c:v>
              </c:pt>
              <c:pt idx="1">
                <c:v>1Q2017</c:v>
              </c:pt>
              <c:pt idx="2">
                <c:v>2Q2017</c:v>
              </c:pt>
              <c:pt idx="3">
                <c:v>3Q2017</c:v>
              </c:pt>
              <c:pt idx="4">
                <c:v>4Q2017</c:v>
              </c:pt>
              <c:pt idx="5">
                <c:v>1Q2018</c:v>
              </c:pt>
              <c:pt idx="6">
                <c:v>2Q2018</c:v>
              </c:pt>
              <c:pt idx="7">
                <c:v>3Q2018</c:v>
              </c:pt>
              <c:pt idx="8">
                <c:v>4Q2018</c:v>
              </c:pt>
              <c:pt idx="9">
                <c:v>1Q2019</c:v>
              </c:pt>
              <c:pt idx="10">
                <c:v>2Q2019</c:v>
              </c:pt>
              <c:pt idx="11">
                <c:v>3Q2019</c:v>
              </c:pt>
              <c:pt idx="12">
                <c:v>4Q2019</c:v>
              </c:pt>
              <c:pt idx="13">
                <c:v>1Q2020</c:v>
              </c:pt>
              <c:pt idx="14">
                <c:v>2Q2020</c:v>
              </c:pt>
              <c:pt idx="15">
                <c:v>3Q2020</c:v>
              </c:pt>
            </c:strLit>
          </c:cat>
          <c:val>
            <c:numLit>
              <c:formatCode>General</c:formatCode>
              <c:ptCount val="16"/>
              <c:pt idx="0">
                <c:v>48.194000000000003</c:v>
              </c:pt>
              <c:pt idx="1">
                <c:v>50.427</c:v>
              </c:pt>
              <c:pt idx="2">
                <c:v>47.609000000000002</c:v>
              </c:pt>
              <c:pt idx="3">
                <c:v>45.442</c:v>
              </c:pt>
              <c:pt idx="4">
                <c:v>41.686999999999998</c:v>
              </c:pt>
              <c:pt idx="5">
                <c:v>39.994</c:v>
              </c:pt>
              <c:pt idx="6">
                <c:v>36.502000000000002</c:v>
              </c:pt>
              <c:pt idx="7">
                <c:v>33.656999999999996</c:v>
              </c:pt>
              <c:pt idx="8">
                <c:v>31.74</c:v>
              </c:pt>
              <c:pt idx="9">
                <c:v>30.355</c:v>
              </c:pt>
              <c:pt idx="10">
                <c:v>29.212</c:v>
              </c:pt>
              <c:pt idx="11">
                <c:v>28.128</c:v>
              </c:pt>
              <c:pt idx="12">
                <c:v>26.846</c:v>
              </c:pt>
              <c:pt idx="13">
                <c:v>26.401</c:v>
              </c:pt>
              <c:pt idx="14">
                <c:v>25.373999999999999</c:v>
              </c:pt>
              <c:pt idx="15">
                <c:v>24.788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46112"/>
        <c:axId val="246756096"/>
      </c:lineChart>
      <c:catAx>
        <c:axId val="246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46756096"/>
        <c:crosses val="autoZero"/>
        <c:auto val="1"/>
        <c:lblAlgn val="ctr"/>
        <c:lblOffset val="100"/>
        <c:noMultiLvlLbl val="0"/>
      </c:catAx>
      <c:valAx>
        <c:axId val="246756096"/>
        <c:scaling>
          <c:orientation val="minMax"/>
          <c:max val="55"/>
          <c:min val="15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4674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748031496063"/>
          <c:y val="0.1242603550295858"/>
          <c:w val="0.3095795619005568"/>
          <c:h val="0.3579881656804734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ПСК </a:t>
            </a:r>
            <a:r>
              <a:rPr lang="en-GB"/>
              <a:t>Installment-</a:t>
            </a:r>
            <a:r>
              <a:rPr lang="ru-RU"/>
              <a:t>займы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6388758616229E-2"/>
          <c:y val="0.17267418050238872"/>
          <c:w val="0.64522149490677883"/>
          <c:h val="0.68338765423321624"/>
        </c:manualLayout>
      </c:layout>
      <c:lineChart>
        <c:grouping val="standard"/>
        <c:varyColors val="0"/>
        <c:ser>
          <c:idx val="4"/>
          <c:order val="0"/>
          <c:tx>
            <c:v>2.3.2.1. до 30 тыс. руб. включительно</c:v>
          </c:tx>
          <c:marker>
            <c:symbol val="none"/>
          </c:marker>
          <c:cat>
            <c:strLit>
              <c:ptCount val="23"/>
              <c:pt idx="0">
                <c:v>1Q2015</c:v>
              </c:pt>
              <c:pt idx="1">
                <c:v>2Q2015</c:v>
              </c:pt>
              <c:pt idx="2">
                <c:v>3Q2015</c:v>
              </c:pt>
              <c:pt idx="3">
                <c:v>4Q2015</c:v>
              </c:pt>
              <c:pt idx="4">
                <c:v>1Q2016</c:v>
              </c:pt>
              <c:pt idx="5">
                <c:v>2Q2016</c:v>
              </c:pt>
              <c:pt idx="6">
                <c:v>3Q2016</c:v>
              </c:pt>
              <c:pt idx="7">
                <c:v>4Q2016</c:v>
              </c:pt>
              <c:pt idx="8">
                <c:v>1Q2017</c:v>
              </c:pt>
              <c:pt idx="9">
                <c:v>2Q2017</c:v>
              </c:pt>
              <c:pt idx="10">
                <c:v>3Q2017</c:v>
              </c:pt>
              <c:pt idx="11">
                <c:v>4Q2017</c:v>
              </c:pt>
              <c:pt idx="12">
                <c:v>1Q2018</c:v>
              </c:pt>
              <c:pt idx="13">
                <c:v>2Q2018</c:v>
              </c:pt>
              <c:pt idx="14">
                <c:v>3Q2018</c:v>
              </c:pt>
              <c:pt idx="15">
                <c:v>4Q2018</c:v>
              </c:pt>
              <c:pt idx="16">
                <c:v>1Q2019</c:v>
              </c:pt>
              <c:pt idx="17">
                <c:v>2Q2019</c:v>
              </c:pt>
              <c:pt idx="18">
                <c:v>3Q2019</c:v>
              </c:pt>
              <c:pt idx="19">
                <c:v>4Q2019</c:v>
              </c:pt>
              <c:pt idx="20">
                <c:v>1Q2020</c:v>
              </c:pt>
              <c:pt idx="21">
                <c:v>2Q2020</c:v>
              </c:pt>
              <c:pt idx="22">
                <c:v>3Q2020</c:v>
              </c:pt>
            </c:strLit>
          </c:cat>
          <c:val>
            <c:numLit>
              <c:formatCode>General</c:formatCode>
              <c:ptCount val="23"/>
              <c:pt idx="0">
                <c:v>351.22899999999998</c:v>
              </c:pt>
              <c:pt idx="1">
                <c:v>378.77600000000001</c:v>
              </c:pt>
              <c:pt idx="2">
                <c:v>418.4</c:v>
              </c:pt>
              <c:pt idx="3">
                <c:v>362.34199999999998</c:v>
              </c:pt>
              <c:pt idx="4">
                <c:v>319.11599999999999</c:v>
              </c:pt>
              <c:pt idx="5">
                <c:v>316.32600000000002</c:v>
              </c:pt>
              <c:pt idx="6">
                <c:v>307.84699999999998</c:v>
              </c:pt>
              <c:pt idx="7">
                <c:v>301.18900000000002</c:v>
              </c:pt>
              <c:pt idx="8">
                <c:v>310.017</c:v>
              </c:pt>
              <c:pt idx="9">
                <c:v>310.596</c:v>
              </c:pt>
              <c:pt idx="10">
                <c:v>303.423</c:v>
              </c:pt>
              <c:pt idx="11">
                <c:v>301.22000000000003</c:v>
              </c:pt>
              <c:pt idx="12">
                <c:v>303.58</c:v>
              </c:pt>
              <c:pt idx="13">
                <c:v>299.88</c:v>
              </c:pt>
              <c:pt idx="14">
                <c:v>298.69299999999998</c:v>
              </c:pt>
              <c:pt idx="15">
                <c:v>300.69299999999998</c:v>
              </c:pt>
              <c:pt idx="16">
                <c:v>294.21100000000001</c:v>
              </c:pt>
              <c:pt idx="17">
                <c:v>291.07100000000003</c:v>
              </c:pt>
              <c:pt idx="18">
                <c:v>292.17500000000001</c:v>
              </c:pt>
              <c:pt idx="19">
                <c:v>295.57799999999997</c:v>
              </c:pt>
              <c:pt idx="20">
                <c:v>297.51</c:v>
              </c:pt>
              <c:pt idx="21">
                <c:v>300.262</c:v>
              </c:pt>
              <c:pt idx="22">
                <c:v>304.40899999999999</c:v>
              </c:pt>
            </c:numLit>
          </c:val>
          <c:smooth val="0"/>
        </c:ser>
        <c:ser>
          <c:idx val="5"/>
          <c:order val="1"/>
          <c:tx>
            <c:v>2.3.2.2. свыше 30 тыс. руб.</c:v>
          </c:tx>
          <c:marker>
            <c:symbol val="none"/>
          </c:marker>
          <c:cat>
            <c:strLit>
              <c:ptCount val="23"/>
              <c:pt idx="0">
                <c:v>1Q2015</c:v>
              </c:pt>
              <c:pt idx="1">
                <c:v>2Q2015</c:v>
              </c:pt>
              <c:pt idx="2">
                <c:v>3Q2015</c:v>
              </c:pt>
              <c:pt idx="3">
                <c:v>4Q2015</c:v>
              </c:pt>
              <c:pt idx="4">
                <c:v>1Q2016</c:v>
              </c:pt>
              <c:pt idx="5">
                <c:v>2Q2016</c:v>
              </c:pt>
              <c:pt idx="6">
                <c:v>3Q2016</c:v>
              </c:pt>
              <c:pt idx="7">
                <c:v>4Q2016</c:v>
              </c:pt>
              <c:pt idx="8">
                <c:v>1Q2017</c:v>
              </c:pt>
              <c:pt idx="9">
                <c:v>2Q2017</c:v>
              </c:pt>
              <c:pt idx="10">
                <c:v>3Q2017</c:v>
              </c:pt>
              <c:pt idx="11">
                <c:v>4Q2017</c:v>
              </c:pt>
              <c:pt idx="12">
                <c:v>1Q2018</c:v>
              </c:pt>
              <c:pt idx="13">
                <c:v>2Q2018</c:v>
              </c:pt>
              <c:pt idx="14">
                <c:v>3Q2018</c:v>
              </c:pt>
              <c:pt idx="15">
                <c:v>4Q2018</c:v>
              </c:pt>
              <c:pt idx="16">
                <c:v>1Q2019</c:v>
              </c:pt>
              <c:pt idx="17">
                <c:v>2Q2019</c:v>
              </c:pt>
              <c:pt idx="18">
                <c:v>3Q2019</c:v>
              </c:pt>
              <c:pt idx="19">
                <c:v>4Q2019</c:v>
              </c:pt>
              <c:pt idx="20">
                <c:v>1Q2020</c:v>
              </c:pt>
              <c:pt idx="21">
                <c:v>2Q2020</c:v>
              </c:pt>
              <c:pt idx="22">
                <c:v>3Q2020</c:v>
              </c:pt>
            </c:strLit>
          </c:cat>
          <c:val>
            <c:numLit>
              <c:formatCode>General</c:formatCode>
              <c:ptCount val="23"/>
              <c:pt idx="0">
                <c:v>40.386000000000003</c:v>
              </c:pt>
              <c:pt idx="1">
                <c:v>98.168999999999997</c:v>
              </c:pt>
              <c:pt idx="2">
                <c:v>95.429000000000002</c:v>
              </c:pt>
              <c:pt idx="3">
                <c:v>123.363</c:v>
              </c:pt>
              <c:pt idx="4">
                <c:v>130.923</c:v>
              </c:pt>
              <c:pt idx="5">
                <c:v>82.817999999999998</c:v>
              </c:pt>
              <c:pt idx="6">
                <c:v>104.869</c:v>
              </c:pt>
              <c:pt idx="7">
                <c:v>90.768000000000001</c:v>
              </c:pt>
              <c:pt idx="8">
                <c:v>92.721000000000004</c:v>
              </c:pt>
              <c:pt idx="9">
                <c:v>91.701999999999998</c:v>
              </c:pt>
              <c:pt idx="10">
                <c:v>84.638999999999996</c:v>
              </c:pt>
              <c:pt idx="11">
                <c:v>93.197999999999993</c:v>
              </c:pt>
              <c:pt idx="12">
                <c:v>93.099000000000004</c:v>
              </c:pt>
              <c:pt idx="13">
                <c:v>93.795000000000002</c:v>
              </c:pt>
              <c:pt idx="14">
                <c:v>99.379000000000005</c:v>
              </c:pt>
              <c:pt idx="15">
                <c:v>99.715000000000003</c:v>
              </c:pt>
              <c:pt idx="16">
                <c:v>96.29</c:v>
              </c:pt>
              <c:pt idx="17">
                <c:v>101.64</c:v>
              </c:pt>
              <c:pt idx="18">
                <c:v>95.447999999999993</c:v>
              </c:pt>
              <c:pt idx="19">
                <c:v>96.335999999999999</c:v>
              </c:pt>
              <c:pt idx="20">
                <c:v>96.698999999999998</c:v>
              </c:pt>
              <c:pt idx="21">
                <c:v>81.491</c:v>
              </c:pt>
              <c:pt idx="22">
                <c:v>79.983999999999995</c:v>
              </c:pt>
            </c:numLit>
          </c:val>
          <c:smooth val="0"/>
        </c:ser>
        <c:ser>
          <c:idx val="0"/>
          <c:order val="2"/>
          <c:tx>
            <c:v>2.3.3.1. до 30 тыс. руб. включительно</c:v>
          </c:tx>
          <c:marker>
            <c:symbol val="none"/>
          </c:marker>
          <c:cat>
            <c:strLit>
              <c:ptCount val="23"/>
              <c:pt idx="0">
                <c:v>1Q2015</c:v>
              </c:pt>
              <c:pt idx="1">
                <c:v>2Q2015</c:v>
              </c:pt>
              <c:pt idx="2">
                <c:v>3Q2015</c:v>
              </c:pt>
              <c:pt idx="3">
                <c:v>4Q2015</c:v>
              </c:pt>
              <c:pt idx="4">
                <c:v>1Q2016</c:v>
              </c:pt>
              <c:pt idx="5">
                <c:v>2Q2016</c:v>
              </c:pt>
              <c:pt idx="6">
                <c:v>3Q2016</c:v>
              </c:pt>
              <c:pt idx="7">
                <c:v>4Q2016</c:v>
              </c:pt>
              <c:pt idx="8">
                <c:v>1Q2017</c:v>
              </c:pt>
              <c:pt idx="9">
                <c:v>2Q2017</c:v>
              </c:pt>
              <c:pt idx="10">
                <c:v>3Q2017</c:v>
              </c:pt>
              <c:pt idx="11">
                <c:v>4Q2017</c:v>
              </c:pt>
              <c:pt idx="12">
                <c:v>1Q2018</c:v>
              </c:pt>
              <c:pt idx="13">
                <c:v>2Q2018</c:v>
              </c:pt>
              <c:pt idx="14">
                <c:v>3Q2018</c:v>
              </c:pt>
              <c:pt idx="15">
                <c:v>4Q2018</c:v>
              </c:pt>
              <c:pt idx="16">
                <c:v>1Q2019</c:v>
              </c:pt>
              <c:pt idx="17">
                <c:v>2Q2019</c:v>
              </c:pt>
              <c:pt idx="18">
                <c:v>3Q2019</c:v>
              </c:pt>
              <c:pt idx="19">
                <c:v>4Q2019</c:v>
              </c:pt>
              <c:pt idx="20">
                <c:v>1Q2020</c:v>
              </c:pt>
              <c:pt idx="21">
                <c:v>2Q2020</c:v>
              </c:pt>
              <c:pt idx="22">
                <c:v>3Q2020</c:v>
              </c:pt>
            </c:strLit>
          </c:cat>
          <c:val>
            <c:numLit>
              <c:formatCode>General</c:formatCode>
              <c:ptCount val="23"/>
              <c:pt idx="0">
                <c:v>284.589</c:v>
              </c:pt>
              <c:pt idx="1">
                <c:v>250.078</c:v>
              </c:pt>
              <c:pt idx="2">
                <c:v>248.727</c:v>
              </c:pt>
              <c:pt idx="3">
                <c:v>232.96199999999999</c:v>
              </c:pt>
              <c:pt idx="4">
                <c:v>228.85400000000001</c:v>
              </c:pt>
              <c:pt idx="5">
                <c:v>235.547</c:v>
              </c:pt>
              <c:pt idx="6">
                <c:v>212.35599999999999</c:v>
              </c:pt>
              <c:pt idx="7">
                <c:v>211.74</c:v>
              </c:pt>
              <c:pt idx="8">
                <c:v>212.77</c:v>
              </c:pt>
              <c:pt idx="9">
                <c:v>228.19499999999999</c:v>
              </c:pt>
              <c:pt idx="10">
                <c:v>229.233</c:v>
              </c:pt>
              <c:pt idx="11">
                <c:v>230.42099999999999</c:v>
              </c:pt>
              <c:pt idx="12">
                <c:v>229.364</c:v>
              </c:pt>
              <c:pt idx="13">
                <c:v>234.93350000000001</c:v>
              </c:pt>
              <c:pt idx="14">
                <c:v>234.44800000000001</c:v>
              </c:pt>
              <c:pt idx="15">
                <c:v>235.905</c:v>
              </c:pt>
              <c:pt idx="16">
                <c:v>238.011</c:v>
              </c:pt>
              <c:pt idx="17">
                <c:v>230.036</c:v>
              </c:pt>
              <c:pt idx="18">
                <c:v>238.96299999999999</c:v>
              </c:pt>
              <c:pt idx="19">
                <c:v>250.07900000000001</c:v>
              </c:pt>
              <c:pt idx="20">
                <c:v>267.64299999999997</c:v>
              </c:pt>
              <c:pt idx="21">
                <c:v>265.95699999999999</c:v>
              </c:pt>
              <c:pt idx="22">
                <c:v>275.113</c:v>
              </c:pt>
            </c:numLit>
          </c:val>
          <c:smooth val="0"/>
        </c:ser>
        <c:ser>
          <c:idx val="1"/>
          <c:order val="3"/>
          <c:tx>
            <c:v>2.3.3.2. свыше 30 тыс. руб. до 100 тыс. руб. включительно</c:v>
          </c:tx>
          <c:marker>
            <c:symbol val="none"/>
          </c:marker>
          <c:cat>
            <c:strLit>
              <c:ptCount val="23"/>
              <c:pt idx="0">
                <c:v>1Q2015</c:v>
              </c:pt>
              <c:pt idx="1">
                <c:v>2Q2015</c:v>
              </c:pt>
              <c:pt idx="2">
                <c:v>3Q2015</c:v>
              </c:pt>
              <c:pt idx="3">
                <c:v>4Q2015</c:v>
              </c:pt>
              <c:pt idx="4">
                <c:v>1Q2016</c:v>
              </c:pt>
              <c:pt idx="5">
                <c:v>2Q2016</c:v>
              </c:pt>
              <c:pt idx="6">
                <c:v>3Q2016</c:v>
              </c:pt>
              <c:pt idx="7">
                <c:v>4Q2016</c:v>
              </c:pt>
              <c:pt idx="8">
                <c:v>1Q2017</c:v>
              </c:pt>
              <c:pt idx="9">
                <c:v>2Q2017</c:v>
              </c:pt>
              <c:pt idx="10">
                <c:v>3Q2017</c:v>
              </c:pt>
              <c:pt idx="11">
                <c:v>4Q2017</c:v>
              </c:pt>
              <c:pt idx="12">
                <c:v>1Q2018</c:v>
              </c:pt>
              <c:pt idx="13">
                <c:v>2Q2018</c:v>
              </c:pt>
              <c:pt idx="14">
                <c:v>3Q2018</c:v>
              </c:pt>
              <c:pt idx="15">
                <c:v>4Q2018</c:v>
              </c:pt>
              <c:pt idx="16">
                <c:v>1Q2019</c:v>
              </c:pt>
              <c:pt idx="17">
                <c:v>2Q2019</c:v>
              </c:pt>
              <c:pt idx="18">
                <c:v>3Q2019</c:v>
              </c:pt>
              <c:pt idx="19">
                <c:v>4Q2019</c:v>
              </c:pt>
              <c:pt idx="20">
                <c:v>1Q2020</c:v>
              </c:pt>
              <c:pt idx="21">
                <c:v>2Q2020</c:v>
              </c:pt>
              <c:pt idx="22">
                <c:v>3Q2020</c:v>
              </c:pt>
            </c:strLit>
          </c:cat>
          <c:val>
            <c:numLit>
              <c:formatCode>General</c:formatCode>
              <c:ptCount val="23"/>
              <c:pt idx="0">
                <c:v>279.875</c:v>
              </c:pt>
              <c:pt idx="1">
                <c:v>197.40899999999999</c:v>
              </c:pt>
              <c:pt idx="2">
                <c:v>254.67699999999999</c:v>
              </c:pt>
              <c:pt idx="3">
                <c:v>199.71799999999999</c:v>
              </c:pt>
              <c:pt idx="4">
                <c:v>230.96199999999999</c:v>
              </c:pt>
              <c:pt idx="5">
                <c:v>213.239</c:v>
              </c:pt>
              <c:pt idx="6">
                <c:v>243.53200000000001</c:v>
              </c:pt>
              <c:pt idx="7">
                <c:v>219.49600000000001</c:v>
              </c:pt>
              <c:pt idx="8">
                <c:v>240.553</c:v>
              </c:pt>
              <c:pt idx="9">
                <c:v>245.29300000000001</c:v>
              </c:pt>
              <c:pt idx="10">
                <c:v>252.28100000000001</c:v>
              </c:pt>
              <c:pt idx="11">
                <c:v>262.00599999999997</c:v>
              </c:pt>
              <c:pt idx="12">
                <c:v>266.09699999999998</c:v>
              </c:pt>
              <c:pt idx="13">
                <c:v>268.43799999999999</c:v>
              </c:pt>
              <c:pt idx="14">
                <c:v>278.73099999999999</c:v>
              </c:pt>
              <c:pt idx="15">
                <c:v>283.64999999999998</c:v>
              </c:pt>
              <c:pt idx="16">
                <c:v>288.64600000000002</c:v>
              </c:pt>
              <c:pt idx="17">
                <c:v>287.32400000000001</c:v>
              </c:pt>
              <c:pt idx="18">
                <c:v>302.08999999999997</c:v>
              </c:pt>
              <c:pt idx="19">
                <c:v>295</c:v>
              </c:pt>
              <c:pt idx="20">
                <c:v>292.74299999999999</c:v>
              </c:pt>
              <c:pt idx="21">
                <c:v>299.90600000000001</c:v>
              </c:pt>
              <c:pt idx="22">
                <c:v>296.37900000000002</c:v>
              </c:pt>
            </c:numLit>
          </c:val>
          <c:smooth val="0"/>
        </c:ser>
        <c:ser>
          <c:idx val="2"/>
          <c:order val="4"/>
          <c:tx>
            <c:v>2.3.3.3. свыше 100 тыс. руб.</c:v>
          </c:tx>
          <c:marker>
            <c:symbol val="none"/>
          </c:marker>
          <c:cat>
            <c:strLit>
              <c:ptCount val="23"/>
              <c:pt idx="0">
                <c:v>1Q2015</c:v>
              </c:pt>
              <c:pt idx="1">
                <c:v>2Q2015</c:v>
              </c:pt>
              <c:pt idx="2">
                <c:v>3Q2015</c:v>
              </c:pt>
              <c:pt idx="3">
                <c:v>4Q2015</c:v>
              </c:pt>
              <c:pt idx="4">
                <c:v>1Q2016</c:v>
              </c:pt>
              <c:pt idx="5">
                <c:v>2Q2016</c:v>
              </c:pt>
              <c:pt idx="6">
                <c:v>3Q2016</c:v>
              </c:pt>
              <c:pt idx="7">
                <c:v>4Q2016</c:v>
              </c:pt>
              <c:pt idx="8">
                <c:v>1Q2017</c:v>
              </c:pt>
              <c:pt idx="9">
                <c:v>2Q2017</c:v>
              </c:pt>
              <c:pt idx="10">
                <c:v>3Q2017</c:v>
              </c:pt>
              <c:pt idx="11">
                <c:v>4Q2017</c:v>
              </c:pt>
              <c:pt idx="12">
                <c:v>1Q2018</c:v>
              </c:pt>
              <c:pt idx="13">
                <c:v>2Q2018</c:v>
              </c:pt>
              <c:pt idx="14">
                <c:v>3Q2018</c:v>
              </c:pt>
              <c:pt idx="15">
                <c:v>4Q2018</c:v>
              </c:pt>
              <c:pt idx="16">
                <c:v>1Q2019</c:v>
              </c:pt>
              <c:pt idx="17">
                <c:v>2Q2019</c:v>
              </c:pt>
              <c:pt idx="18">
                <c:v>3Q2019</c:v>
              </c:pt>
              <c:pt idx="19">
                <c:v>4Q2019</c:v>
              </c:pt>
              <c:pt idx="20">
                <c:v>1Q2020</c:v>
              </c:pt>
              <c:pt idx="21">
                <c:v>2Q2020</c:v>
              </c:pt>
              <c:pt idx="22">
                <c:v>3Q2020</c:v>
              </c:pt>
            </c:strLit>
          </c:cat>
          <c:val>
            <c:numLit>
              <c:formatCode>General</c:formatCode>
              <c:ptCount val="23"/>
              <c:pt idx="0">
                <c:v>32.564999999999998</c:v>
              </c:pt>
              <c:pt idx="1">
                <c:v>30.108000000000001</c:v>
              </c:pt>
              <c:pt idx="2">
                <c:v>40.155000000000001</c:v>
              </c:pt>
              <c:pt idx="3">
                <c:v>60.936999999999998</c:v>
              </c:pt>
              <c:pt idx="4">
                <c:v>54.454000000000001</c:v>
              </c:pt>
              <c:pt idx="5">
                <c:v>40.993000000000002</c:v>
              </c:pt>
              <c:pt idx="6">
                <c:v>45.978000000000002</c:v>
              </c:pt>
              <c:pt idx="7">
                <c:v>44.71</c:v>
              </c:pt>
              <c:pt idx="8">
                <c:v>43.396999999999998</c:v>
              </c:pt>
              <c:pt idx="9">
                <c:v>56.613</c:v>
              </c:pt>
              <c:pt idx="10">
                <c:v>54.226999999999997</c:v>
              </c:pt>
              <c:pt idx="11">
                <c:v>57.96</c:v>
              </c:pt>
              <c:pt idx="12">
                <c:v>56.348999999999997</c:v>
              </c:pt>
              <c:pt idx="13">
                <c:v>59.344000000000001</c:v>
              </c:pt>
              <c:pt idx="14">
                <c:v>58.936999999999998</c:v>
              </c:pt>
              <c:pt idx="15">
                <c:v>57.011000000000003</c:v>
              </c:pt>
              <c:pt idx="16">
                <c:v>54.154000000000003</c:v>
              </c:pt>
              <c:pt idx="17">
                <c:v>53.161000000000001</c:v>
              </c:pt>
              <c:pt idx="18">
                <c:v>54.5</c:v>
              </c:pt>
              <c:pt idx="19">
                <c:v>60.73</c:v>
              </c:pt>
              <c:pt idx="20">
                <c:v>64.983000000000004</c:v>
              </c:pt>
              <c:pt idx="21">
                <c:v>57.624000000000002</c:v>
              </c:pt>
              <c:pt idx="22">
                <c:v>69.528999999999996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02304"/>
        <c:axId val="246803840"/>
      </c:lineChart>
      <c:catAx>
        <c:axId val="246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46803840"/>
        <c:crosses val="autoZero"/>
        <c:auto val="1"/>
        <c:lblAlgn val="ctr"/>
        <c:lblOffset val="100"/>
        <c:noMultiLvlLbl val="0"/>
      </c:catAx>
      <c:valAx>
        <c:axId val="246803840"/>
        <c:scaling>
          <c:orientation val="minMax"/>
          <c:max val="450"/>
          <c:min val="0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46802304"/>
        <c:crosses val="autoZero"/>
        <c:crossBetween val="midCat"/>
        <c:minorUnit val="100"/>
      </c:valAx>
    </c:plotArea>
    <c:legend>
      <c:legendPos val="r"/>
      <c:layout>
        <c:manualLayout>
          <c:xMode val="edge"/>
          <c:yMode val="edge"/>
          <c:x val="0.75732757320926913"/>
          <c:y val="0.17866722659667542"/>
          <c:w val="0.23798371041837829"/>
          <c:h val="0.7893352930883639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54</xdr:row>
      <xdr:rowOff>142875</xdr:rowOff>
    </xdr:from>
    <xdr:to>
      <xdr:col>31</xdr:col>
      <xdr:colOff>57150</xdr:colOff>
      <xdr:row>71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35</xdr:row>
      <xdr:rowOff>95250</xdr:rowOff>
    </xdr:from>
    <xdr:to>
      <xdr:col>31</xdr:col>
      <xdr:colOff>28575</xdr:colOff>
      <xdr:row>54</xdr:row>
      <xdr:rowOff>38100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zoomScale="80" zoomScaleNormal="80" workbookViewId="0">
      <selection activeCell="J153" sqref="J153"/>
    </sheetView>
  </sheetViews>
  <sheetFormatPr defaultRowHeight="15" x14ac:dyDescent="0.25"/>
  <cols>
    <col min="1" max="1" width="39.28515625" bestFit="1" customWidth="1"/>
    <col min="2" max="2" width="10.7109375" bestFit="1" customWidth="1"/>
    <col min="4" max="4" width="10.85546875" bestFit="1" customWidth="1"/>
    <col min="6" max="6" width="10.7109375" bestFit="1" customWidth="1"/>
    <col min="8" max="8" width="26.42578125" customWidth="1"/>
    <col min="9" max="9" width="38.28515625" customWidth="1"/>
    <col min="11" max="11" width="17.5703125" bestFit="1" customWidth="1"/>
    <col min="12" max="12" width="17.28515625" bestFit="1" customWidth="1"/>
    <col min="13" max="13" width="14.7109375" bestFit="1" customWidth="1"/>
    <col min="14" max="14" width="11.28515625" customWidth="1"/>
    <col min="15" max="15" width="36.28515625" bestFit="1" customWidth="1"/>
    <col min="16" max="16" width="36.28515625" customWidth="1"/>
    <col min="17" max="17" width="31.42578125" bestFit="1" customWidth="1"/>
    <col min="18" max="18" width="31.42578125" customWidth="1"/>
    <col min="19" max="19" width="11" customWidth="1"/>
    <col min="20" max="20" width="18.42578125" customWidth="1"/>
    <col min="21" max="21" width="18.140625" bestFit="1" customWidth="1"/>
    <col min="22" max="22" width="16.5703125" bestFit="1" customWidth="1"/>
    <col min="23" max="23" width="9.5703125" bestFit="1" customWidth="1"/>
  </cols>
  <sheetData>
    <row r="1" spans="1:24" x14ac:dyDescent="0.25">
      <c r="A1" s="168" t="s">
        <v>0</v>
      </c>
      <c r="B1" s="169"/>
      <c r="F1" s="167" t="s">
        <v>24</v>
      </c>
      <c r="G1" s="167"/>
      <c r="H1" s="167"/>
      <c r="I1" s="167"/>
      <c r="J1" s="167"/>
      <c r="K1" s="167"/>
      <c r="L1" s="167"/>
      <c r="M1" s="167" t="s">
        <v>23</v>
      </c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</row>
    <row r="2" spans="1:24" x14ac:dyDescent="0.25">
      <c r="A2" s="7" t="s">
        <v>1</v>
      </c>
      <c r="B2" s="11">
        <v>26000</v>
      </c>
      <c r="F2" s="1" t="s">
        <v>26</v>
      </c>
      <c r="G2" s="1" t="s">
        <v>8</v>
      </c>
      <c r="H2" s="1" t="s">
        <v>25</v>
      </c>
      <c r="I2" s="1" t="s">
        <v>30</v>
      </c>
      <c r="J2" s="4" t="s">
        <v>10</v>
      </c>
      <c r="K2" s="23" t="s">
        <v>28</v>
      </c>
      <c r="L2" s="24" t="s">
        <v>29</v>
      </c>
      <c r="M2" t="s">
        <v>7</v>
      </c>
      <c r="N2" t="s">
        <v>8</v>
      </c>
      <c r="O2" t="s">
        <v>9</v>
      </c>
      <c r="P2" t="s">
        <v>27</v>
      </c>
      <c r="Q2" t="s">
        <v>13</v>
      </c>
      <c r="R2" t="s">
        <v>31</v>
      </c>
      <c r="S2" s="5" t="s">
        <v>10</v>
      </c>
      <c r="T2" s="5" t="s">
        <v>11</v>
      </c>
      <c r="U2" s="5" t="s">
        <v>12</v>
      </c>
      <c r="V2" s="21" t="s">
        <v>32</v>
      </c>
      <c r="W2" s="21" t="s">
        <v>33</v>
      </c>
      <c r="X2" s="21" t="s">
        <v>38</v>
      </c>
    </row>
    <row r="3" spans="1:24" x14ac:dyDescent="0.25">
      <c r="A3" s="7" t="s">
        <v>2</v>
      </c>
      <c r="B3" s="12">
        <v>0.01</v>
      </c>
      <c r="F3" s="2">
        <f>B17</f>
        <v>43952</v>
      </c>
      <c r="G3">
        <f>MAX($B$8-J3,0)</f>
        <v>25649.75</v>
      </c>
      <c r="H3" s="3">
        <f>MIN(G3*$B$20,$B$2*1.5-$B$9)</f>
        <v>-9012.25</v>
      </c>
      <c r="I3">
        <f>B9-B10</f>
        <v>11285.900000000001</v>
      </c>
      <c r="J3" s="5"/>
      <c r="K3" s="21">
        <f>MAX(0,J3-$B$8)</f>
        <v>0</v>
      </c>
      <c r="L3" s="25">
        <f>MAX(K3-$B$11,0)</f>
        <v>0</v>
      </c>
      <c r="M3" s="2">
        <f>IF($B$18&gt;$B$22,"",$B$18)</f>
        <v>44132</v>
      </c>
      <c r="N3" s="3">
        <f>MIN(G3:G200)-W3</f>
        <v>25649.75</v>
      </c>
      <c r="O3">
        <f>IF(M4&lt;&gt;"",MIN(N3*$B$3,$B$2*1.5-$B$9-SUM($H$3:$H$200)),"")</f>
        <v>0</v>
      </c>
      <c r="P3" s="3">
        <f>VLOOKUP($B$18-1,$F$3:$I$200,4,0)</f>
        <v>11285.900000000001</v>
      </c>
      <c r="Q3">
        <f>IF(M4&lt;&gt;"",IF(
OR(
AND($B$11&gt;0,OR(T3="",T3=0),M3&lt;&gt;$B$22),
AND(M3&gt;$B$13,M3&lt;$B$22,M3-$B$13&lt;100)),N3*0.01%,0),"")</f>
        <v>2.564975</v>
      </c>
      <c r="R3">
        <f>$B$11-SUM(L3:L200)</f>
        <v>280.66000000000003</v>
      </c>
      <c r="S3" s="5"/>
      <c r="T3" s="5"/>
      <c r="U3" s="5"/>
      <c r="V3" s="21">
        <f>IF(M3&lt;&gt;"",MAX(S3-R3,0),"")</f>
        <v>0</v>
      </c>
      <c r="W3" s="22">
        <f>IF(M3&lt;&gt;"",MAX(0,V3-P3),"")</f>
        <v>0</v>
      </c>
      <c r="X3" s="21">
        <f>IF(M3&lt;&gt;"",MAX(0,T3-R3),"")</f>
        <v>0</v>
      </c>
    </row>
    <row r="4" spans="1:24" x14ac:dyDescent="0.25">
      <c r="A4" s="7" t="s">
        <v>3</v>
      </c>
      <c r="B4" s="11">
        <v>30</v>
      </c>
      <c r="F4" s="2">
        <f>IF(F3&lt;$B$18-1,F3+1,"")</f>
        <v>43953</v>
      </c>
      <c r="G4">
        <f>IF(F4&lt;&gt;"",MAX(G3-J4,0),"")</f>
        <v>25649.75</v>
      </c>
      <c r="H4" s="3">
        <f>IF(F4&lt;&gt;"",MIN(G4*$B$20,$B$2*1.5-$B$9-SUM($H$3:H3)),"")</f>
        <v>0</v>
      </c>
      <c r="I4" s="3">
        <f t="shared" ref="I4:I43" si="0">IF(F4&lt;&gt;"",MAX(H4+I3-K3,0),"")</f>
        <v>11285.900000000001</v>
      </c>
      <c r="J4" s="5"/>
      <c r="K4" s="21">
        <f t="shared" ref="K4:K42" si="1">IF(F4&lt;&gt;"",MAX(0,J4-G3),"")</f>
        <v>0</v>
      </c>
      <c r="L4" s="25">
        <f t="shared" ref="L4:L42" si="2">IF(F4&lt;&gt;"",MAX(K4-I4,0),"")</f>
        <v>0</v>
      </c>
      <c r="M4" s="2">
        <f t="shared" ref="M4:M35" si="3">IF(OR(M3&lt;$B$22,$B$22=""),
IF(M3=$B$17-1,$B$18, M3+1),"")</f>
        <v>44133</v>
      </c>
      <c r="N4" s="3">
        <f>IF(M4&lt;&gt;"",N3-W4,"")</f>
        <v>25649.75</v>
      </c>
      <c r="O4">
        <f>IF(M5&lt;&gt;"",MIN(N4*$B$3,$B$2*1.5-$B$9-SUM($H$3:$H$200)-SUM($O$3:O3)),"")</f>
        <v>0</v>
      </c>
      <c r="P4" s="3">
        <f>IF(M4&lt;&gt;"",MAX(P3+O3-V3-X3,0),"")</f>
        <v>11285.900000000001</v>
      </c>
      <c r="Q4">
        <f>IF(M5&lt;&gt;"",IF(
OR(
AND($B$11&gt;0,OR(T4="",T4=0),M4&lt;&gt;$B$22),
AND(M4&gt;$B$13,M4&lt;$B$22,M4-$B$13&lt;100)),N4*0.01%,0),"")</f>
        <v>2.564975</v>
      </c>
      <c r="R4">
        <f>IF(M4&lt;&gt;"",MAX(0,Q3+R3-S3-T3),"")</f>
        <v>283.22497500000003</v>
      </c>
      <c r="S4" s="5"/>
      <c r="T4" s="5"/>
      <c r="U4" s="5"/>
      <c r="V4" s="21">
        <f t="shared" ref="V4:V67" si="4">IF(M4&lt;&gt;"",MAX(S4-R4,0),"")</f>
        <v>0</v>
      </c>
      <c r="W4" s="22">
        <f t="shared" ref="W4:W67" si="5">IF(M4&lt;&gt;"",MAX(0,V4-P4),"")</f>
        <v>0</v>
      </c>
      <c r="X4" s="21">
        <f t="shared" ref="X4:X67" si="6">IF(M4&lt;&gt;"",MAX(0,T4-R4),"")</f>
        <v>0</v>
      </c>
    </row>
    <row r="5" spans="1:24" ht="15.75" thickBot="1" x14ac:dyDescent="0.3">
      <c r="A5" s="9" t="s">
        <v>15</v>
      </c>
      <c r="B5" s="13">
        <v>43765</v>
      </c>
      <c r="F5" s="2">
        <f t="shared" ref="F5:F68" si="7">IF(F4&lt;$B$18-1,F4+1,"")</f>
        <v>43954</v>
      </c>
      <c r="G5">
        <f t="shared" ref="G5:G68" si="8">IF(F5&lt;&gt;"",MAX(G4-J5,0),"")</f>
        <v>25649.75</v>
      </c>
      <c r="H5" s="3">
        <f>IF(F5&lt;&gt;"",MIN(G5*$B$20,$B$2*1.5-$B$9-SUM($H$3:H4)),"")</f>
        <v>0</v>
      </c>
      <c r="I5" s="3">
        <f t="shared" si="0"/>
        <v>11285.900000000001</v>
      </c>
      <c r="J5" s="5"/>
      <c r="K5" s="21">
        <f t="shared" si="1"/>
        <v>0</v>
      </c>
      <c r="L5" s="25">
        <f t="shared" si="2"/>
        <v>0</v>
      </c>
      <c r="M5" s="2">
        <f t="shared" si="3"/>
        <v>44134</v>
      </c>
      <c r="N5" s="3">
        <f t="shared" ref="N5:N68" si="9">IF(M5&lt;&gt;"",N4-W5,"")</f>
        <v>25649.75</v>
      </c>
      <c r="O5">
        <f>IF(M6&lt;&gt;"",MIN(N5*$B$3,$B$2*1.5-$B$9-SUM($H$3:$H$200)-SUM($O$3:O4)),"")</f>
        <v>0</v>
      </c>
      <c r="P5" s="3">
        <f t="shared" ref="P5:P68" si="10">IF(M5&lt;&gt;"",MAX(P4+O4-V4-X4,0),"")</f>
        <v>11285.900000000001</v>
      </c>
      <c r="Q5">
        <f t="shared" ref="Q5:Q67" si="11">IF(M6&lt;&gt;"",IF(
OR(
AND($B$11&gt;0,OR(T5="",T5=0),M5&lt;&gt;$B$22),
AND(M5&gt;$B$13,M5&lt;$B$22,M5-$B$13&lt;100)),N5*0.01%,0),"")</f>
        <v>2.564975</v>
      </c>
      <c r="R5">
        <f t="shared" ref="R5:R68" si="12">IF(M5&lt;&gt;"",MAX(0,Q4+R4-S4-T4),"")</f>
        <v>285.78995000000003</v>
      </c>
      <c r="S5" s="5"/>
      <c r="T5" s="5"/>
      <c r="U5" s="5"/>
      <c r="V5" s="21">
        <f t="shared" si="4"/>
        <v>0</v>
      </c>
      <c r="W5" s="22">
        <f t="shared" si="5"/>
        <v>0</v>
      </c>
      <c r="X5" s="21">
        <f t="shared" si="6"/>
        <v>0</v>
      </c>
    </row>
    <row r="6" spans="1:24" thickBot="1" x14ac:dyDescent="0.35">
      <c r="B6" s="2"/>
      <c r="D6" s="3"/>
      <c r="F6" s="2">
        <f t="shared" si="7"/>
        <v>43955</v>
      </c>
      <c r="G6">
        <f t="shared" si="8"/>
        <v>25649.75</v>
      </c>
      <c r="H6" s="3">
        <f>IF(F6&lt;&gt;"",MIN(G6*$B$20,$B$2*1.5-$B$9-SUM($H$3:H5)),"")</f>
        <v>0</v>
      </c>
      <c r="I6" s="3">
        <f t="shared" si="0"/>
        <v>11285.900000000001</v>
      </c>
      <c r="J6" s="5"/>
      <c r="K6" s="21">
        <f t="shared" si="1"/>
        <v>0</v>
      </c>
      <c r="L6" s="25">
        <f t="shared" si="2"/>
        <v>0</v>
      </c>
      <c r="M6" s="2">
        <f t="shared" si="3"/>
        <v>44135</v>
      </c>
      <c r="N6" s="3">
        <f t="shared" si="9"/>
        <v>25649.75</v>
      </c>
      <c r="O6" t="str">
        <f>IF(M7&lt;&gt;"",MIN(N6*$B$3,$B$2*1.5-$B$9-SUM($H$3:$H$200)-SUM($O$3:O5)),"")</f>
        <v/>
      </c>
      <c r="P6" s="3">
        <f t="shared" si="10"/>
        <v>11285.900000000001</v>
      </c>
      <c r="Q6" t="str">
        <f t="shared" si="11"/>
        <v/>
      </c>
      <c r="R6">
        <f t="shared" si="12"/>
        <v>288.35492500000004</v>
      </c>
      <c r="S6" s="5"/>
      <c r="T6" s="5"/>
      <c r="U6" s="5"/>
      <c r="V6" s="21">
        <f t="shared" si="4"/>
        <v>0</v>
      </c>
      <c r="W6" s="22">
        <f t="shared" si="5"/>
        <v>0</v>
      </c>
      <c r="X6" s="21">
        <f t="shared" si="6"/>
        <v>0</v>
      </c>
    </row>
    <row r="7" spans="1:24" x14ac:dyDescent="0.25">
      <c r="A7" s="168" t="s">
        <v>20</v>
      </c>
      <c r="B7" s="169"/>
      <c r="F7" s="2">
        <f t="shared" si="7"/>
        <v>43956</v>
      </c>
      <c r="G7">
        <f t="shared" si="8"/>
        <v>25649.75</v>
      </c>
      <c r="H7" s="3">
        <f>IF(F7&lt;&gt;"",MIN(G7*$B$20,$B$2*1.5-$B$9-SUM($H$3:H6)),"")</f>
        <v>0</v>
      </c>
      <c r="I7" s="3">
        <f t="shared" si="0"/>
        <v>11285.900000000001</v>
      </c>
      <c r="J7" s="5"/>
      <c r="K7" s="21">
        <f t="shared" si="1"/>
        <v>0</v>
      </c>
      <c r="L7" s="25">
        <f t="shared" si="2"/>
        <v>0</v>
      </c>
      <c r="M7" s="2" t="str">
        <f t="shared" si="3"/>
        <v/>
      </c>
      <c r="N7" s="3" t="str">
        <f t="shared" si="9"/>
        <v/>
      </c>
      <c r="O7" t="str">
        <f>IF(M8&lt;&gt;"",MIN(N7*$B$3,$B$2*1.5-$B$9-SUM($H$3:$H$200)-SUM($O$3:O6)),"")</f>
        <v/>
      </c>
      <c r="P7" s="3" t="str">
        <f t="shared" si="10"/>
        <v/>
      </c>
      <c r="Q7" t="str">
        <f t="shared" si="11"/>
        <v/>
      </c>
      <c r="R7" t="str">
        <f t="shared" si="12"/>
        <v/>
      </c>
      <c r="S7" s="5"/>
      <c r="T7" s="5"/>
      <c r="U7" s="5"/>
      <c r="V7" s="21" t="str">
        <f t="shared" si="4"/>
        <v/>
      </c>
      <c r="W7" s="22" t="str">
        <f t="shared" si="5"/>
        <v/>
      </c>
      <c r="X7" s="21" t="str">
        <f t="shared" si="6"/>
        <v/>
      </c>
    </row>
    <row r="8" spans="1:24" x14ac:dyDescent="0.25">
      <c r="A8" s="7" t="s">
        <v>17</v>
      </c>
      <c r="B8" s="11">
        <v>25649.75</v>
      </c>
      <c r="D8" s="3"/>
      <c r="F8" s="2">
        <f t="shared" si="7"/>
        <v>43957</v>
      </c>
      <c r="G8">
        <f t="shared" si="8"/>
        <v>25649.75</v>
      </c>
      <c r="H8" s="3">
        <f>IF(F8&lt;&gt;"",MIN(G8*$B$20,$B$2*1.5-$B$9-SUM($H$3:H7)),"")</f>
        <v>0</v>
      </c>
      <c r="I8" s="3">
        <f t="shared" si="0"/>
        <v>11285.900000000001</v>
      </c>
      <c r="J8" s="5"/>
      <c r="K8" s="21">
        <f t="shared" si="1"/>
        <v>0</v>
      </c>
      <c r="L8" s="25">
        <f t="shared" si="2"/>
        <v>0</v>
      </c>
      <c r="M8" s="2" t="str">
        <f t="shared" si="3"/>
        <v/>
      </c>
      <c r="N8" s="3" t="str">
        <f t="shared" si="9"/>
        <v/>
      </c>
      <c r="O8" t="str">
        <f>IF(M9&lt;&gt;"",MIN(N8*$B$3,$B$2*1.5-$B$9-SUM($H$3:$H$200)-SUM($O$3:O7)),"")</f>
        <v/>
      </c>
      <c r="P8" s="3" t="str">
        <f t="shared" si="10"/>
        <v/>
      </c>
      <c r="Q8" t="str">
        <f t="shared" si="11"/>
        <v/>
      </c>
      <c r="R8" t="str">
        <f t="shared" si="12"/>
        <v/>
      </c>
      <c r="S8" s="5"/>
      <c r="T8" s="5"/>
      <c r="U8" s="5"/>
      <c r="V8" s="21" t="str">
        <f t="shared" si="4"/>
        <v/>
      </c>
      <c r="W8" s="22" t="str">
        <f t="shared" si="5"/>
        <v/>
      </c>
      <c r="X8" s="21" t="str">
        <f t="shared" si="6"/>
        <v/>
      </c>
    </row>
    <row r="9" spans="1:24" x14ac:dyDescent="0.25">
      <c r="A9" s="7" t="s">
        <v>18</v>
      </c>
      <c r="B9" s="11">
        <v>48012.25</v>
      </c>
      <c r="F9" s="2">
        <f t="shared" si="7"/>
        <v>43958</v>
      </c>
      <c r="G9">
        <f t="shared" si="8"/>
        <v>25649.75</v>
      </c>
      <c r="H9" s="3">
        <f>IF(F9&lt;&gt;"",MIN(G9*$B$20,$B$2*1.5-$B$9-SUM($H$3:H8)),"")</f>
        <v>0</v>
      </c>
      <c r="I9" s="3">
        <f t="shared" si="0"/>
        <v>11285.900000000001</v>
      </c>
      <c r="J9" s="5"/>
      <c r="K9" s="21">
        <f t="shared" si="1"/>
        <v>0</v>
      </c>
      <c r="L9" s="25">
        <f t="shared" si="2"/>
        <v>0</v>
      </c>
      <c r="M9" s="2" t="str">
        <f t="shared" si="3"/>
        <v/>
      </c>
      <c r="N9" s="3" t="str">
        <f t="shared" si="9"/>
        <v/>
      </c>
      <c r="O9" t="str">
        <f>IF(M10&lt;&gt;"",MIN(N9*$B$3,$B$2*1.5-$B$9-SUM($H$3:$H$200)-SUM($O$3:O8)),"")</f>
        <v/>
      </c>
      <c r="P9" s="3" t="str">
        <f t="shared" si="10"/>
        <v/>
      </c>
      <c r="Q9" t="str">
        <f t="shared" si="11"/>
        <v/>
      </c>
      <c r="R9" t="str">
        <f t="shared" si="12"/>
        <v/>
      </c>
      <c r="S9" s="5"/>
      <c r="T9" s="5"/>
      <c r="U9" s="5"/>
      <c r="V9" s="21" t="str">
        <f t="shared" si="4"/>
        <v/>
      </c>
      <c r="W9" s="22" t="str">
        <f t="shared" si="5"/>
        <v/>
      </c>
      <c r="X9" s="21" t="str">
        <f t="shared" si="6"/>
        <v/>
      </c>
    </row>
    <row r="10" spans="1:24" x14ac:dyDescent="0.25">
      <c r="A10" s="7" t="s">
        <v>19</v>
      </c>
      <c r="B10" s="11">
        <v>36726.35</v>
      </c>
      <c r="F10" s="2">
        <f t="shared" si="7"/>
        <v>43959</v>
      </c>
      <c r="G10">
        <f t="shared" si="8"/>
        <v>25649.75</v>
      </c>
      <c r="H10" s="3">
        <f>IF(F10&lt;&gt;"",MIN(G10*$B$20,$B$2*1.5-$B$9-SUM($H$3:H9)),"")</f>
        <v>0</v>
      </c>
      <c r="I10" s="3">
        <f t="shared" si="0"/>
        <v>11285.900000000001</v>
      </c>
      <c r="J10" s="5"/>
      <c r="K10" s="21">
        <f t="shared" si="1"/>
        <v>0</v>
      </c>
      <c r="L10" s="25">
        <f t="shared" si="2"/>
        <v>0</v>
      </c>
      <c r="M10" s="2" t="str">
        <f t="shared" si="3"/>
        <v/>
      </c>
      <c r="N10" s="3" t="str">
        <f t="shared" si="9"/>
        <v/>
      </c>
      <c r="O10" t="str">
        <f>IF(M11&lt;&gt;"",MIN(N10*$B$3,$B$2*1.5-$B$9-SUM($H$3:$H$200)-SUM($O$3:O9)),"")</f>
        <v/>
      </c>
      <c r="P10" s="3" t="str">
        <f t="shared" si="10"/>
        <v/>
      </c>
      <c r="Q10" t="str">
        <f t="shared" si="11"/>
        <v/>
      </c>
      <c r="R10" t="str">
        <f t="shared" si="12"/>
        <v/>
      </c>
      <c r="S10" s="5"/>
      <c r="T10" s="5"/>
      <c r="U10" s="5"/>
      <c r="V10" s="21" t="str">
        <f t="shared" si="4"/>
        <v/>
      </c>
      <c r="W10" s="22" t="str">
        <f t="shared" si="5"/>
        <v/>
      </c>
      <c r="X10" s="21" t="str">
        <f t="shared" si="6"/>
        <v/>
      </c>
    </row>
    <row r="11" spans="1:24" x14ac:dyDescent="0.25">
      <c r="A11" s="7" t="s">
        <v>39</v>
      </c>
      <c r="B11" s="11">
        <v>280.66000000000003</v>
      </c>
      <c r="F11" s="2">
        <f t="shared" si="7"/>
        <v>43960</v>
      </c>
      <c r="G11">
        <f t="shared" si="8"/>
        <v>25649.75</v>
      </c>
      <c r="H11" s="3">
        <f>IF(F11&lt;&gt;"",MIN(G11*$B$20,$B$2*1.5-$B$9-SUM($H$3:H10)),"")</f>
        <v>0</v>
      </c>
      <c r="I11" s="3">
        <f t="shared" si="0"/>
        <v>11285.900000000001</v>
      </c>
      <c r="J11" s="5"/>
      <c r="K11" s="21">
        <f t="shared" si="1"/>
        <v>0</v>
      </c>
      <c r="L11" s="25">
        <f t="shared" si="2"/>
        <v>0</v>
      </c>
      <c r="M11" s="2" t="str">
        <f t="shared" si="3"/>
        <v/>
      </c>
      <c r="N11" s="3" t="str">
        <f t="shared" si="9"/>
        <v/>
      </c>
      <c r="O11" t="str">
        <f>IF(M12&lt;&gt;"",MIN(N11*$B$3,$B$2*1.5-$B$9-SUM($H$3:$H$200)-SUM($O$3:O10)),"")</f>
        <v/>
      </c>
      <c r="P11" s="3" t="str">
        <f t="shared" si="10"/>
        <v/>
      </c>
      <c r="Q11" t="str">
        <f>IF(M12&lt;&gt;"",IF(
OR(
AND($B$11&gt;0,OR(T11="",T11=0),M11&lt;&gt;$B$22),
AND(M11&gt;$B$13,M11&lt;$B$22,M11-$B$13&lt;100)),N11*0.01%,0),"")</f>
        <v/>
      </c>
      <c r="R11" t="str">
        <f t="shared" si="12"/>
        <v/>
      </c>
      <c r="S11" s="5"/>
      <c r="T11" s="5"/>
      <c r="U11" s="5"/>
      <c r="V11" s="21" t="str">
        <f t="shared" si="4"/>
        <v/>
      </c>
      <c r="W11" s="22" t="str">
        <f t="shared" si="5"/>
        <v/>
      </c>
      <c r="X11" s="21" t="str">
        <f>IF(M11&lt;&gt;"",MAX(0,T11-R11),"")</f>
        <v/>
      </c>
    </row>
    <row r="12" spans="1:24" x14ac:dyDescent="0.25">
      <c r="A12" s="7" t="s">
        <v>21</v>
      </c>
      <c r="B12" s="14">
        <v>43932</v>
      </c>
      <c r="D12" s="2"/>
      <c r="F12" s="2">
        <f t="shared" si="7"/>
        <v>43961</v>
      </c>
      <c r="G12">
        <f t="shared" si="8"/>
        <v>25649.75</v>
      </c>
      <c r="H12" s="3">
        <f>IF(F12&lt;&gt;"",MIN(G12*$B$20,$B$2*1.5-$B$9-SUM($H$3:H11)),"")</f>
        <v>0</v>
      </c>
      <c r="I12" s="3">
        <f t="shared" si="0"/>
        <v>11285.900000000001</v>
      </c>
      <c r="J12" s="5"/>
      <c r="K12" s="21">
        <f t="shared" si="1"/>
        <v>0</v>
      </c>
      <c r="L12" s="25">
        <f t="shared" si="2"/>
        <v>0</v>
      </c>
      <c r="M12" s="2" t="str">
        <f t="shared" si="3"/>
        <v/>
      </c>
      <c r="N12" s="3" t="str">
        <f t="shared" si="9"/>
        <v/>
      </c>
      <c r="O12" t="str">
        <f>IF(M13&lt;&gt;"",MIN(N12*$B$3,$B$2*1.5-$B$9-SUM($H$3:$H$200)-SUM($O$3:O11)),"")</f>
        <v/>
      </c>
      <c r="P12" s="3" t="str">
        <f t="shared" si="10"/>
        <v/>
      </c>
      <c r="Q12" t="str">
        <f t="shared" si="11"/>
        <v/>
      </c>
      <c r="R12" t="str">
        <f>IF(M12&lt;&gt;"",MAX(0,Q11+R11-S11-T11),"")</f>
        <v/>
      </c>
      <c r="S12" s="5"/>
      <c r="T12" s="5"/>
      <c r="U12" s="5"/>
      <c r="V12" s="21" t="str">
        <f t="shared" si="4"/>
        <v/>
      </c>
      <c r="W12" s="22" t="str">
        <f t="shared" si="5"/>
        <v/>
      </c>
      <c r="X12" s="21" t="str">
        <f t="shared" si="6"/>
        <v/>
      </c>
    </row>
    <row r="13" spans="1:24" ht="15.75" thickBot="1" x14ac:dyDescent="0.3">
      <c r="A13" s="9" t="s">
        <v>22</v>
      </c>
      <c r="B13" s="10">
        <f>IF(B12+(B18-B17)+SUM(U3:U200)&lt;B18,B18+1,B12+(B18-B17)+SUM(U3:U200))</f>
        <v>44133</v>
      </c>
      <c r="D13" s="2"/>
      <c r="F13" s="2">
        <f t="shared" si="7"/>
        <v>43962</v>
      </c>
      <c r="G13">
        <f t="shared" si="8"/>
        <v>25649.75</v>
      </c>
      <c r="H13" s="3">
        <f>IF(F13&lt;&gt;"",MIN(G13*$B$20,$B$2*1.5-$B$9-SUM($H$3:H12)),"")</f>
        <v>0</v>
      </c>
      <c r="I13" s="3">
        <f t="shared" si="0"/>
        <v>11285.900000000001</v>
      </c>
      <c r="J13" s="5"/>
      <c r="K13" s="21">
        <f t="shared" si="1"/>
        <v>0</v>
      </c>
      <c r="L13" s="25">
        <f t="shared" si="2"/>
        <v>0</v>
      </c>
      <c r="M13" s="2" t="str">
        <f t="shared" si="3"/>
        <v/>
      </c>
      <c r="N13" s="3" t="str">
        <f t="shared" si="9"/>
        <v/>
      </c>
      <c r="O13" t="str">
        <f>IF(M14&lt;&gt;"",MIN(N13*$B$3,$B$2*1.5-$B$9-SUM($H$3:$H$200)-SUM($O$3:O12)),"")</f>
        <v/>
      </c>
      <c r="P13" s="3" t="str">
        <f t="shared" si="10"/>
        <v/>
      </c>
      <c r="Q13" t="str">
        <f t="shared" si="11"/>
        <v/>
      </c>
      <c r="R13" t="str">
        <f t="shared" si="12"/>
        <v/>
      </c>
      <c r="S13" s="5"/>
      <c r="T13" s="5"/>
      <c r="U13" s="5"/>
      <c r="V13" s="21" t="str">
        <f t="shared" si="4"/>
        <v/>
      </c>
      <c r="W13" s="22" t="str">
        <f t="shared" si="5"/>
        <v/>
      </c>
      <c r="X13" s="21" t="str">
        <f t="shared" si="6"/>
        <v/>
      </c>
    </row>
    <row r="14" spans="1:24" ht="14.45" x14ac:dyDescent="0.3">
      <c r="F14" s="2">
        <f t="shared" si="7"/>
        <v>43963</v>
      </c>
      <c r="G14">
        <f t="shared" si="8"/>
        <v>25649.75</v>
      </c>
      <c r="H14" s="3">
        <f>IF(F14&lt;&gt;"",MIN(G14*$B$20,$B$2*1.5-$B$9-SUM($H$3:H13)),"")</f>
        <v>0</v>
      </c>
      <c r="I14" s="3">
        <f t="shared" si="0"/>
        <v>11285.900000000001</v>
      </c>
      <c r="J14" s="5"/>
      <c r="K14" s="21">
        <f t="shared" si="1"/>
        <v>0</v>
      </c>
      <c r="L14" s="25">
        <f t="shared" si="2"/>
        <v>0</v>
      </c>
      <c r="M14" s="2" t="str">
        <f t="shared" si="3"/>
        <v/>
      </c>
      <c r="N14" s="3" t="str">
        <f>IF(M14&lt;&gt;"",N13-W14,"")</f>
        <v/>
      </c>
      <c r="O14" t="str">
        <f>IF(M15&lt;&gt;"",MIN(N14*$B$3,$B$2*1.5-$B$9-SUM($H$3:$H$200)-SUM($O$3:O13)),"")</f>
        <v/>
      </c>
      <c r="P14" s="3" t="str">
        <f t="shared" si="10"/>
        <v/>
      </c>
      <c r="Q14" t="str">
        <f t="shared" si="11"/>
        <v/>
      </c>
      <c r="R14" t="str">
        <f t="shared" si="12"/>
        <v/>
      </c>
      <c r="S14" s="5"/>
      <c r="T14" s="5"/>
      <c r="U14" s="5"/>
      <c r="V14" s="21" t="str">
        <f t="shared" si="4"/>
        <v/>
      </c>
      <c r="W14" s="22" t="str">
        <f t="shared" si="5"/>
        <v/>
      </c>
      <c r="X14" s="21" t="str">
        <f t="shared" si="6"/>
        <v/>
      </c>
    </row>
    <row r="15" spans="1:24" thickBot="1" x14ac:dyDescent="0.35">
      <c r="F15" s="2">
        <f t="shared" si="7"/>
        <v>43964</v>
      </c>
      <c r="G15">
        <f t="shared" si="8"/>
        <v>25649.75</v>
      </c>
      <c r="H15" s="3">
        <f>IF(F15&lt;&gt;"",MIN(G15*$B$20,$B$2*1.5-$B$9-SUM($H$3:H14)),"")</f>
        <v>0</v>
      </c>
      <c r="I15" s="3">
        <f t="shared" si="0"/>
        <v>11285.900000000001</v>
      </c>
      <c r="J15" s="5"/>
      <c r="K15" s="21">
        <f t="shared" si="1"/>
        <v>0</v>
      </c>
      <c r="L15" s="25">
        <f t="shared" si="2"/>
        <v>0</v>
      </c>
      <c r="M15" s="2" t="str">
        <f t="shared" si="3"/>
        <v/>
      </c>
      <c r="N15" s="3" t="str">
        <f t="shared" si="9"/>
        <v/>
      </c>
      <c r="O15" t="str">
        <f>IF(M16&lt;&gt;"",MIN(N15*$B$3,$B$2*1.5-$B$9-SUM($H$3:$H$200)-SUM($O$3:O14)),"")</f>
        <v/>
      </c>
      <c r="P15" s="3" t="str">
        <f t="shared" si="10"/>
        <v/>
      </c>
      <c r="Q15" t="str">
        <f t="shared" si="11"/>
        <v/>
      </c>
      <c r="R15" t="str">
        <f t="shared" si="12"/>
        <v/>
      </c>
      <c r="S15" s="5"/>
      <c r="T15" s="5"/>
      <c r="U15" s="5"/>
      <c r="V15" s="21" t="str">
        <f t="shared" si="4"/>
        <v/>
      </c>
      <c r="W15" s="22" t="str">
        <f t="shared" si="5"/>
        <v/>
      </c>
      <c r="X15" s="21" t="str">
        <f t="shared" si="6"/>
        <v/>
      </c>
    </row>
    <row r="16" spans="1:24" x14ac:dyDescent="0.25">
      <c r="A16" s="168" t="s">
        <v>4</v>
      </c>
      <c r="B16" s="169"/>
      <c r="F16" s="2">
        <f t="shared" si="7"/>
        <v>43965</v>
      </c>
      <c r="G16">
        <f t="shared" si="8"/>
        <v>25649.75</v>
      </c>
      <c r="H16" s="3">
        <f>IF(F16&lt;&gt;"",MIN(G16*$B$20,$B$2*1.5-$B$9-SUM($H$3:H15)),"")</f>
        <v>0</v>
      </c>
      <c r="I16" s="3">
        <f t="shared" si="0"/>
        <v>11285.900000000001</v>
      </c>
      <c r="J16" s="5"/>
      <c r="K16" s="21">
        <f t="shared" si="1"/>
        <v>0</v>
      </c>
      <c r="L16" s="25">
        <f t="shared" si="2"/>
        <v>0</v>
      </c>
      <c r="M16" s="2" t="str">
        <f t="shared" si="3"/>
        <v/>
      </c>
      <c r="N16" s="3" t="str">
        <f t="shared" si="9"/>
        <v/>
      </c>
      <c r="O16" t="str">
        <f>IF(M17&lt;&gt;"",MIN(N16*$B$3,$B$2*1.5-$B$9-SUM($H$3:$H$200)-SUM($O$3:O15)),"")</f>
        <v/>
      </c>
      <c r="P16" s="3" t="str">
        <f t="shared" si="10"/>
        <v/>
      </c>
      <c r="Q16" t="str">
        <f t="shared" si="11"/>
        <v/>
      </c>
      <c r="R16" t="str">
        <f t="shared" si="12"/>
        <v/>
      </c>
      <c r="S16" s="5"/>
      <c r="T16" s="5"/>
      <c r="U16" s="5"/>
      <c r="V16" s="21" t="str">
        <f t="shared" si="4"/>
        <v/>
      </c>
      <c r="W16" s="22" t="str">
        <f t="shared" si="5"/>
        <v/>
      </c>
      <c r="X16" s="21" t="str">
        <f t="shared" si="6"/>
        <v/>
      </c>
    </row>
    <row r="17" spans="1:24" ht="14.45" x14ac:dyDescent="0.3">
      <c r="A17" s="7" t="s">
        <v>130</v>
      </c>
      <c r="B17" s="14">
        <v>43952</v>
      </c>
      <c r="F17" s="2">
        <f t="shared" si="7"/>
        <v>43966</v>
      </c>
      <c r="G17">
        <f t="shared" si="8"/>
        <v>25649.75</v>
      </c>
      <c r="H17" s="3">
        <f>IF(F17&lt;&gt;"",MIN(G17*$B$20,$B$2*1.5-$B$9-SUM($H$3:H16)),"")</f>
        <v>0</v>
      </c>
      <c r="I17" s="3">
        <f t="shared" si="0"/>
        <v>11285.900000000001</v>
      </c>
      <c r="J17" s="5"/>
      <c r="K17" s="21">
        <f t="shared" si="1"/>
        <v>0</v>
      </c>
      <c r="L17" s="25">
        <f t="shared" si="2"/>
        <v>0</v>
      </c>
      <c r="M17" s="2" t="str">
        <f t="shared" si="3"/>
        <v/>
      </c>
      <c r="N17" s="3" t="str">
        <f t="shared" si="9"/>
        <v/>
      </c>
      <c r="O17" t="str">
        <f>IF(M18&lt;&gt;"",MIN(N17*$B$3,$B$2*1.5-$B$9-SUM($H$3:$H$200)-SUM($O$3:O16)),"")</f>
        <v/>
      </c>
      <c r="P17" s="3" t="str">
        <f t="shared" si="10"/>
        <v/>
      </c>
      <c r="Q17" t="str">
        <f t="shared" si="11"/>
        <v/>
      </c>
      <c r="R17" t="str">
        <f t="shared" si="12"/>
        <v/>
      </c>
      <c r="S17" s="5"/>
      <c r="T17" s="5"/>
      <c r="U17" s="5"/>
      <c r="V17" s="21" t="str">
        <f t="shared" si="4"/>
        <v/>
      </c>
      <c r="W17" s="22" t="str">
        <f t="shared" si="5"/>
        <v/>
      </c>
      <c r="X17" s="21" t="str">
        <f t="shared" si="6"/>
        <v/>
      </c>
    </row>
    <row r="18" spans="1:24" x14ac:dyDescent="0.25">
      <c r="A18" s="7" t="s">
        <v>5</v>
      </c>
      <c r="B18" s="14">
        <v>44132</v>
      </c>
      <c r="F18" s="2">
        <f t="shared" si="7"/>
        <v>43967</v>
      </c>
      <c r="G18">
        <f t="shared" si="8"/>
        <v>25649.75</v>
      </c>
      <c r="H18" s="3">
        <f>IF(F18&lt;&gt;"",MIN(G18*$B$20,$B$2*1.5-$B$9-SUM($H$3:H17)),"")</f>
        <v>0</v>
      </c>
      <c r="I18" s="3">
        <f t="shared" si="0"/>
        <v>11285.900000000001</v>
      </c>
      <c r="J18" s="5"/>
      <c r="K18" s="21">
        <f t="shared" si="1"/>
        <v>0</v>
      </c>
      <c r="L18" s="25">
        <f t="shared" si="2"/>
        <v>0</v>
      </c>
      <c r="M18" s="2" t="str">
        <f t="shared" si="3"/>
        <v/>
      </c>
      <c r="N18" s="3" t="str">
        <f t="shared" si="9"/>
        <v/>
      </c>
      <c r="O18" t="str">
        <f>IF(M19&lt;&gt;"",MIN(N18*$B$3,$B$2*1.5-$B$9-SUM($H$3:$H$200)-SUM($O$3:O17)),"")</f>
        <v/>
      </c>
      <c r="P18" s="3" t="str">
        <f t="shared" si="10"/>
        <v/>
      </c>
      <c r="Q18" t="str">
        <f t="shared" si="11"/>
        <v/>
      </c>
      <c r="R18" t="str">
        <f t="shared" si="12"/>
        <v/>
      </c>
      <c r="S18" s="5"/>
      <c r="T18" s="5"/>
      <c r="U18" s="5"/>
      <c r="V18" s="21" t="str">
        <f t="shared" si="4"/>
        <v/>
      </c>
      <c r="W18" s="22" t="str">
        <f t="shared" si="5"/>
        <v/>
      </c>
      <c r="X18" s="21" t="str">
        <f t="shared" si="6"/>
        <v/>
      </c>
    </row>
    <row r="19" spans="1:24" x14ac:dyDescent="0.25">
      <c r="A19" s="7" t="s">
        <v>6</v>
      </c>
      <c r="B19" s="20">
        <f>B18-B17</f>
        <v>180</v>
      </c>
      <c r="D19" s="2"/>
      <c r="F19" s="2">
        <f t="shared" si="7"/>
        <v>43968</v>
      </c>
      <c r="G19">
        <f t="shared" si="8"/>
        <v>25649.75</v>
      </c>
      <c r="H19" s="3">
        <f>IF(F19&lt;&gt;"",MIN(G19*$B$20,$B$2*1.5-$B$9-SUM($H$3:H18)),"")</f>
        <v>0</v>
      </c>
      <c r="I19" s="3">
        <f t="shared" si="0"/>
        <v>11285.900000000001</v>
      </c>
      <c r="J19" s="5"/>
      <c r="K19" s="21">
        <f t="shared" si="1"/>
        <v>0</v>
      </c>
      <c r="L19" s="25">
        <f t="shared" si="2"/>
        <v>0</v>
      </c>
      <c r="M19" s="2" t="str">
        <f t="shared" si="3"/>
        <v/>
      </c>
      <c r="N19" s="3" t="str">
        <f t="shared" si="9"/>
        <v/>
      </c>
      <c r="O19" t="str">
        <f>IF(M20&lt;&gt;"",MIN(N19*$B$3,$B$2*1.5-$B$9-SUM($H$3:$H$200)-SUM($O$3:O18)),"")</f>
        <v/>
      </c>
      <c r="P19" s="3" t="str">
        <f t="shared" si="10"/>
        <v/>
      </c>
      <c r="Q19" t="str">
        <f t="shared" si="11"/>
        <v/>
      </c>
      <c r="R19" t="str">
        <f t="shared" si="12"/>
        <v/>
      </c>
      <c r="S19" s="5"/>
      <c r="T19" s="5"/>
      <c r="U19" s="5"/>
      <c r="V19" s="21" t="str">
        <f t="shared" si="4"/>
        <v/>
      </c>
      <c r="W19" s="22" t="str">
        <f t="shared" si="5"/>
        <v/>
      </c>
      <c r="X19" s="21" t="str">
        <f t="shared" si="6"/>
        <v/>
      </c>
    </row>
    <row r="20" spans="1:24" ht="15.75" thickBot="1" x14ac:dyDescent="0.3">
      <c r="A20" s="9" t="s">
        <v>14</v>
      </c>
      <c r="B20" s="163">
        <f>IF(B17&lt;='сопоставление ПСК МФО'!AH2,
IF(B4&lt;=30,IF(B2&lt;=30000,'сопоставление ПСК МФО'!AI10,'сопоставление ПСК МФО'!AI11),IF(B2&lt;=30000,'сопоставление ПСК МФО'!AI13,'сопоставление ПСК МФО'!AI14)),
IF(B4&lt;=30,IF(B2&lt;=30000,'сопоставление ПСК МФО'!AL10,'сопоставление ПСК МФО'!AL11),IF(B2&lt;=30000,'сопоставление ПСК МФО'!AL13,'сопоставление ПСК МФО'!AL14)))/100</f>
        <v>6.3699999999999998E-3</v>
      </c>
      <c r="F20" s="2">
        <f t="shared" si="7"/>
        <v>43969</v>
      </c>
      <c r="G20">
        <f t="shared" si="8"/>
        <v>25649.75</v>
      </c>
      <c r="H20" s="3">
        <f>IF(F20&lt;&gt;"",MIN(G20*$B$20,$B$2*1.5-$B$9-SUM($H$3:H19)),"")</f>
        <v>0</v>
      </c>
      <c r="I20" s="3">
        <f t="shared" si="0"/>
        <v>11285.900000000001</v>
      </c>
      <c r="J20" s="5"/>
      <c r="K20" s="21">
        <f t="shared" si="1"/>
        <v>0</v>
      </c>
      <c r="L20" s="25">
        <f t="shared" si="2"/>
        <v>0</v>
      </c>
      <c r="M20" s="2" t="str">
        <f t="shared" si="3"/>
        <v/>
      </c>
      <c r="N20" s="3" t="str">
        <f t="shared" si="9"/>
        <v/>
      </c>
      <c r="O20" t="str">
        <f>IF(M21&lt;&gt;"",MIN(N20*$B$3,$B$2*1.5-$B$9-SUM($H$3:$H$200)-SUM($O$3:O19)),"")</f>
        <v/>
      </c>
      <c r="P20" s="3" t="str">
        <f t="shared" si="10"/>
        <v/>
      </c>
      <c r="Q20" t="str">
        <f t="shared" si="11"/>
        <v/>
      </c>
      <c r="R20" t="str">
        <f t="shared" si="12"/>
        <v/>
      </c>
      <c r="S20" s="5"/>
      <c r="T20" s="5"/>
      <c r="U20" s="5"/>
      <c r="V20" s="21" t="str">
        <f t="shared" si="4"/>
        <v/>
      </c>
      <c r="W20" s="22" t="str">
        <f t="shared" si="5"/>
        <v/>
      </c>
      <c r="X20" s="21" t="str">
        <f t="shared" si="6"/>
        <v/>
      </c>
    </row>
    <row r="21" spans="1:24" thickBot="1" x14ac:dyDescent="0.35">
      <c r="C21" s="164"/>
      <c r="F21" s="2">
        <f t="shared" si="7"/>
        <v>43970</v>
      </c>
      <c r="G21">
        <f t="shared" si="8"/>
        <v>25649.75</v>
      </c>
      <c r="H21" s="3">
        <f>IF(F21&lt;&gt;"",MIN(G21*$B$20,$B$2*1.5-$B$9-SUM($H$3:H20)),"")</f>
        <v>0</v>
      </c>
      <c r="I21" s="3">
        <f t="shared" si="0"/>
        <v>11285.900000000001</v>
      </c>
      <c r="J21" s="5"/>
      <c r="K21" s="21">
        <f t="shared" si="1"/>
        <v>0</v>
      </c>
      <c r="L21" s="25">
        <f t="shared" si="2"/>
        <v>0</v>
      </c>
      <c r="M21" s="2" t="str">
        <f t="shared" si="3"/>
        <v/>
      </c>
      <c r="N21" s="3" t="str">
        <f t="shared" si="9"/>
        <v/>
      </c>
      <c r="O21" t="str">
        <f>IF(M22&lt;&gt;"",MIN(N21*$B$3,$B$2*1.5-$B$9-SUM($H$3:$H$200)-SUM($O$3:O20)),"")</f>
        <v/>
      </c>
      <c r="P21" s="3" t="str">
        <f t="shared" si="10"/>
        <v/>
      </c>
      <c r="Q21" t="str">
        <f t="shared" si="11"/>
        <v/>
      </c>
      <c r="R21" t="str">
        <f>IF(M21&lt;&gt;"",MAX(0,Q20+R20-S20-T20),"")</f>
        <v/>
      </c>
      <c r="S21" s="5"/>
      <c r="T21" s="5"/>
      <c r="U21" s="5"/>
      <c r="V21" s="21" t="str">
        <f t="shared" si="4"/>
        <v/>
      </c>
      <c r="W21" s="22" t="str">
        <f t="shared" si="5"/>
        <v/>
      </c>
      <c r="X21" s="21" t="str">
        <f t="shared" si="6"/>
        <v/>
      </c>
    </row>
    <row r="22" spans="1:24" x14ac:dyDescent="0.25">
      <c r="A22" s="6" t="s">
        <v>16</v>
      </c>
      <c r="B22" s="15">
        <v>44135</v>
      </c>
      <c r="F22" s="2">
        <f t="shared" si="7"/>
        <v>43971</v>
      </c>
      <c r="G22">
        <f t="shared" si="8"/>
        <v>25649.75</v>
      </c>
      <c r="H22" s="3">
        <f>IF(F22&lt;&gt;"",MIN(G22*$B$20,$B$2*1.5-$B$9-SUM($H$3:H21)),"")</f>
        <v>0</v>
      </c>
      <c r="I22" s="3">
        <f t="shared" si="0"/>
        <v>11285.900000000001</v>
      </c>
      <c r="J22" s="5"/>
      <c r="K22" s="21">
        <f t="shared" si="1"/>
        <v>0</v>
      </c>
      <c r="L22" s="25">
        <f t="shared" si="2"/>
        <v>0</v>
      </c>
      <c r="M22" s="2" t="str">
        <f t="shared" si="3"/>
        <v/>
      </c>
      <c r="N22" s="3" t="str">
        <f t="shared" si="9"/>
        <v/>
      </c>
      <c r="O22" t="str">
        <f>IF(M23&lt;&gt;"",MIN(N22*$B$3,$B$2*1.5-$B$9-SUM($H$3:$H$200)-SUM($O$3:O21)),"")</f>
        <v/>
      </c>
      <c r="P22" s="3" t="str">
        <f t="shared" si="10"/>
        <v/>
      </c>
      <c r="Q22" t="str">
        <f t="shared" si="11"/>
        <v/>
      </c>
      <c r="R22" t="str">
        <f t="shared" si="12"/>
        <v/>
      </c>
      <c r="S22" s="5"/>
      <c r="T22" s="5"/>
      <c r="U22" s="5"/>
      <c r="V22" s="21" t="str">
        <f t="shared" si="4"/>
        <v/>
      </c>
      <c r="W22" s="22" t="str">
        <f t="shared" si="5"/>
        <v/>
      </c>
      <c r="X22" s="21" t="str">
        <f t="shared" si="6"/>
        <v/>
      </c>
    </row>
    <row r="23" spans="1:24" x14ac:dyDescent="0.25">
      <c r="A23" s="19" t="s">
        <v>34</v>
      </c>
      <c r="B23" s="8">
        <f>B25+B26+B27</f>
        <v>37224.004925000001</v>
      </c>
      <c r="F23" s="2">
        <f t="shared" si="7"/>
        <v>43972</v>
      </c>
      <c r="G23">
        <f t="shared" si="8"/>
        <v>25649.75</v>
      </c>
      <c r="H23" s="3">
        <f>IF(F23&lt;&gt;"",MIN(G23*$B$20,$B$2*1.5-$B$9-SUM($H$3:H22)),"")</f>
        <v>0</v>
      </c>
      <c r="I23" s="3">
        <f t="shared" si="0"/>
        <v>11285.900000000001</v>
      </c>
      <c r="J23" s="5"/>
      <c r="K23" s="21">
        <f t="shared" si="1"/>
        <v>0</v>
      </c>
      <c r="L23" s="25">
        <f t="shared" si="2"/>
        <v>0</v>
      </c>
      <c r="M23" s="2" t="str">
        <f t="shared" si="3"/>
        <v/>
      </c>
      <c r="N23" s="3" t="str">
        <f t="shared" si="9"/>
        <v/>
      </c>
      <c r="O23" t="str">
        <f>IF(M24&lt;&gt;"",MIN(N23*$B$3,$B$2*1.5-$B$9-SUM($H$3:$H$200)-SUM($O$3:O22)),"")</f>
        <v/>
      </c>
      <c r="P23" s="3" t="str">
        <f t="shared" si="10"/>
        <v/>
      </c>
      <c r="Q23" t="str">
        <f t="shared" si="11"/>
        <v/>
      </c>
      <c r="R23" t="str">
        <f t="shared" si="12"/>
        <v/>
      </c>
      <c r="S23" s="5"/>
      <c r="T23" s="5"/>
      <c r="U23" s="5"/>
      <c r="V23" s="21" t="str">
        <f t="shared" si="4"/>
        <v/>
      </c>
      <c r="W23" s="22" t="str">
        <f t="shared" si="5"/>
        <v/>
      </c>
      <c r="X23" s="21" t="str">
        <f t="shared" si="6"/>
        <v/>
      </c>
    </row>
    <row r="24" spans="1:24" x14ac:dyDescent="0.25">
      <c r="A24" s="165" t="s">
        <v>35</v>
      </c>
      <c r="B24" s="166"/>
      <c r="F24" s="2">
        <f t="shared" si="7"/>
        <v>43973</v>
      </c>
      <c r="G24">
        <f t="shared" si="8"/>
        <v>25649.75</v>
      </c>
      <c r="H24" s="3">
        <f>IF(F24&lt;&gt;"",MIN(G24*$B$20,$B$2*1.5-$B$9-SUM($H$3:H23)),"")</f>
        <v>0</v>
      </c>
      <c r="I24" s="3">
        <f t="shared" si="0"/>
        <v>11285.900000000001</v>
      </c>
      <c r="J24" s="5"/>
      <c r="K24" s="21">
        <f t="shared" si="1"/>
        <v>0</v>
      </c>
      <c r="L24" s="25">
        <f t="shared" si="2"/>
        <v>0</v>
      </c>
      <c r="M24" s="2" t="str">
        <f t="shared" si="3"/>
        <v/>
      </c>
      <c r="N24" s="3" t="str">
        <f t="shared" si="9"/>
        <v/>
      </c>
      <c r="O24" t="str">
        <f>IF(M25&lt;&gt;"",MIN(N24*$B$3,$B$2*1.5-$B$9-SUM($H$3:$H$200)-SUM($O$3:O23)),"")</f>
        <v/>
      </c>
      <c r="P24" s="3" t="str">
        <f t="shared" si="10"/>
        <v/>
      </c>
      <c r="Q24" t="str">
        <f t="shared" si="11"/>
        <v/>
      </c>
      <c r="R24" t="str">
        <f t="shared" si="12"/>
        <v/>
      </c>
      <c r="S24" s="5"/>
      <c r="T24" s="5"/>
      <c r="U24" s="5"/>
      <c r="V24" s="21" t="str">
        <f t="shared" si="4"/>
        <v/>
      </c>
      <c r="W24" s="22" t="str">
        <f t="shared" si="5"/>
        <v/>
      </c>
      <c r="X24" s="21" t="str">
        <f t="shared" si="6"/>
        <v/>
      </c>
    </row>
    <row r="25" spans="1:24" x14ac:dyDescent="0.25">
      <c r="A25" s="16" t="s">
        <v>8</v>
      </c>
      <c r="B25" s="8">
        <f>IFERROR(VLOOKUP($B$22,$F$3:$H$200,2,0),VLOOKUP(B22,$M$3:$N$200,2,0))</f>
        <v>25649.75</v>
      </c>
      <c r="D25" s="3"/>
      <c r="F25" s="2">
        <f t="shared" si="7"/>
        <v>43974</v>
      </c>
      <c r="G25">
        <f>IF(F25&lt;&gt;"",MAX(G24-J25,0),"")</f>
        <v>25649.75</v>
      </c>
      <c r="H25" s="3">
        <f>IF(F25&lt;&gt;"",MIN(G25*$B$20,$B$2*1.5-$B$9-SUM($H$3:H24)),"")</f>
        <v>0</v>
      </c>
      <c r="I25" s="3">
        <f t="shared" si="0"/>
        <v>11285.900000000001</v>
      </c>
      <c r="J25" s="5"/>
      <c r="K25" s="21">
        <f t="shared" si="1"/>
        <v>0</v>
      </c>
      <c r="L25" s="25">
        <f t="shared" si="2"/>
        <v>0</v>
      </c>
      <c r="M25" s="2" t="str">
        <f t="shared" si="3"/>
        <v/>
      </c>
      <c r="N25" s="3" t="str">
        <f t="shared" si="9"/>
        <v/>
      </c>
      <c r="O25" t="str">
        <f>IF(M26&lt;&gt;"",MIN(N25*$B$3,$B$2*1.5-$B$9-SUM($H$3:$H$200)-SUM($O$3:O24)),"")</f>
        <v/>
      </c>
      <c r="P25" s="3" t="str">
        <f t="shared" si="10"/>
        <v/>
      </c>
      <c r="Q25" t="str">
        <f t="shared" si="11"/>
        <v/>
      </c>
      <c r="R25" t="str">
        <f t="shared" si="12"/>
        <v/>
      </c>
      <c r="S25" s="5"/>
      <c r="T25" s="5"/>
      <c r="U25" s="5"/>
      <c r="V25" s="21" t="str">
        <f t="shared" si="4"/>
        <v/>
      </c>
      <c r="W25" s="22" t="str">
        <f t="shared" si="5"/>
        <v/>
      </c>
      <c r="X25" s="21" t="str">
        <f t="shared" si="6"/>
        <v/>
      </c>
    </row>
    <row r="26" spans="1:24" x14ac:dyDescent="0.25">
      <c r="A26" s="16" t="s">
        <v>36</v>
      </c>
      <c r="B26" s="8">
        <f>IFERROR(VLOOKUP($B$22,$F$3:$I$200,4,0),VLOOKUP(B22,$M$3:$P$200,4,0))</f>
        <v>11285.900000000001</v>
      </c>
      <c r="F26" s="2">
        <f t="shared" si="7"/>
        <v>43975</v>
      </c>
      <c r="G26">
        <f t="shared" si="8"/>
        <v>25649.75</v>
      </c>
      <c r="H26" s="3">
        <f>IF(F26&lt;&gt;"",MIN(G26*$B$20,$B$2*1.5-$B$9-SUM($H$3:H25)),"")</f>
        <v>0</v>
      </c>
      <c r="I26" s="3">
        <f t="shared" si="0"/>
        <v>11285.900000000001</v>
      </c>
      <c r="J26" s="5"/>
      <c r="K26" s="21">
        <f t="shared" si="1"/>
        <v>0</v>
      </c>
      <c r="L26" s="25">
        <f t="shared" si="2"/>
        <v>0</v>
      </c>
      <c r="M26" s="2" t="str">
        <f t="shared" si="3"/>
        <v/>
      </c>
      <c r="N26" s="3" t="str">
        <f t="shared" si="9"/>
        <v/>
      </c>
      <c r="O26" t="str">
        <f>IF(M27&lt;&gt;"",MIN(N26*$B$3,$B$2*1.5-$B$9-SUM($H$3:$H$200)-SUM($O$3:O25)),"")</f>
        <v/>
      </c>
      <c r="P26" s="3" t="str">
        <f t="shared" si="10"/>
        <v/>
      </c>
      <c r="Q26" t="str">
        <f t="shared" si="11"/>
        <v/>
      </c>
      <c r="R26" t="str">
        <f t="shared" si="12"/>
        <v/>
      </c>
      <c r="S26" s="5"/>
      <c r="T26" s="5"/>
      <c r="U26" s="5"/>
      <c r="V26" s="21" t="str">
        <f t="shared" si="4"/>
        <v/>
      </c>
      <c r="W26" s="22" t="str">
        <f t="shared" si="5"/>
        <v/>
      </c>
      <c r="X26" s="21" t="str">
        <f t="shared" si="6"/>
        <v/>
      </c>
    </row>
    <row r="27" spans="1:24" ht="15.75" thickBot="1" x14ac:dyDescent="0.3">
      <c r="A27" s="17" t="s">
        <v>37</v>
      </c>
      <c r="B27" s="18">
        <f>IF(B22&lt;B18,B11-SUMIF(F3:F200,"&lt;="&amp;B22,L3:L200),VLOOKUP(B22,M2:R200,6,0))</f>
        <v>288.35492500000004</v>
      </c>
      <c r="F27" s="2">
        <f t="shared" si="7"/>
        <v>43976</v>
      </c>
      <c r="G27">
        <f t="shared" si="8"/>
        <v>25649.75</v>
      </c>
      <c r="H27" s="3">
        <f>IF(F27&lt;&gt;"",MIN(G27*$B$20,$B$2*1.5-$B$9-SUM($H$3:H26)),"")</f>
        <v>0</v>
      </c>
      <c r="I27" s="3">
        <f t="shared" si="0"/>
        <v>11285.900000000001</v>
      </c>
      <c r="J27" s="5"/>
      <c r="K27" s="21">
        <f t="shared" si="1"/>
        <v>0</v>
      </c>
      <c r="L27" s="25">
        <f t="shared" si="2"/>
        <v>0</v>
      </c>
      <c r="M27" s="2" t="str">
        <f t="shared" si="3"/>
        <v/>
      </c>
      <c r="N27" s="3" t="str">
        <f t="shared" si="9"/>
        <v/>
      </c>
      <c r="O27" t="str">
        <f>IF(M28&lt;&gt;"",MIN(N27*$B$3,$B$2*1.5-$B$9-SUM($H$3:$H$200)-SUM($O$3:O26)),"")</f>
        <v/>
      </c>
      <c r="P27" s="3" t="str">
        <f t="shared" si="10"/>
        <v/>
      </c>
      <c r="Q27" t="str">
        <f t="shared" si="11"/>
        <v/>
      </c>
      <c r="R27" t="str">
        <f t="shared" si="12"/>
        <v/>
      </c>
      <c r="S27" s="5"/>
      <c r="T27" s="5"/>
      <c r="U27" s="5"/>
      <c r="V27" s="21" t="str">
        <f t="shared" si="4"/>
        <v/>
      </c>
      <c r="W27" s="22" t="str">
        <f t="shared" si="5"/>
        <v/>
      </c>
      <c r="X27" s="21" t="str">
        <f t="shared" si="6"/>
        <v/>
      </c>
    </row>
    <row r="28" spans="1:24" ht="14.45" x14ac:dyDescent="0.3">
      <c r="F28" s="2">
        <f t="shared" si="7"/>
        <v>43977</v>
      </c>
      <c r="G28">
        <f t="shared" si="8"/>
        <v>25649.75</v>
      </c>
      <c r="H28" s="3">
        <f>IF(F28&lt;&gt;"",MIN(G28*$B$20,$B$2*1.5-$B$9-SUM($H$3:H27)),"")</f>
        <v>0</v>
      </c>
      <c r="I28" s="3">
        <f t="shared" si="0"/>
        <v>11285.900000000001</v>
      </c>
      <c r="J28" s="5"/>
      <c r="K28" s="21">
        <f t="shared" si="1"/>
        <v>0</v>
      </c>
      <c r="L28" s="25">
        <f t="shared" si="2"/>
        <v>0</v>
      </c>
      <c r="M28" s="2" t="str">
        <f t="shared" si="3"/>
        <v/>
      </c>
      <c r="N28" s="3" t="str">
        <f t="shared" si="9"/>
        <v/>
      </c>
      <c r="O28" t="str">
        <f>IF(M29&lt;&gt;"",MIN(N28*$B$3,$B$2*1.5-$B$9-SUM($H$3:$H$200)-SUM($O$3:O27)),"")</f>
        <v/>
      </c>
      <c r="P28" s="3" t="str">
        <f t="shared" si="10"/>
        <v/>
      </c>
      <c r="Q28" t="str">
        <f t="shared" si="11"/>
        <v/>
      </c>
      <c r="R28" t="str">
        <f t="shared" si="12"/>
        <v/>
      </c>
      <c r="S28" s="5"/>
      <c r="T28" s="5"/>
      <c r="U28" s="5"/>
      <c r="V28" s="21" t="str">
        <f t="shared" si="4"/>
        <v/>
      </c>
      <c r="W28" s="22" t="str">
        <f t="shared" si="5"/>
        <v/>
      </c>
      <c r="X28" s="21" t="str">
        <f t="shared" si="6"/>
        <v/>
      </c>
    </row>
    <row r="29" spans="1:24" ht="14.45" x14ac:dyDescent="0.3">
      <c r="F29" s="2">
        <f t="shared" si="7"/>
        <v>43978</v>
      </c>
      <c r="G29">
        <f t="shared" si="8"/>
        <v>25649.75</v>
      </c>
      <c r="H29" s="3">
        <f>IF(F29&lt;&gt;"",MIN(G29*$B$20,$B$2*1.5-$B$9-SUM($H$3:H28)),"")</f>
        <v>0</v>
      </c>
      <c r="I29" s="3">
        <f t="shared" si="0"/>
        <v>11285.900000000001</v>
      </c>
      <c r="J29" s="5"/>
      <c r="K29" s="21">
        <f t="shared" si="1"/>
        <v>0</v>
      </c>
      <c r="L29" s="25">
        <f t="shared" si="2"/>
        <v>0</v>
      </c>
      <c r="M29" s="2" t="str">
        <f t="shared" si="3"/>
        <v/>
      </c>
      <c r="N29" s="3" t="str">
        <f t="shared" si="9"/>
        <v/>
      </c>
      <c r="O29" t="str">
        <f>IF(M30&lt;&gt;"",MIN(N29*$B$3,$B$2*1.5-$B$9-SUM($H$3:$H$200)-SUM($O$3:O28)),"")</f>
        <v/>
      </c>
      <c r="P29" s="3" t="str">
        <f t="shared" si="10"/>
        <v/>
      </c>
      <c r="Q29" t="str">
        <f t="shared" si="11"/>
        <v/>
      </c>
      <c r="R29" t="str">
        <f t="shared" si="12"/>
        <v/>
      </c>
      <c r="S29" s="5"/>
      <c r="T29" s="5"/>
      <c r="U29" s="5"/>
      <c r="V29" s="21" t="str">
        <f t="shared" si="4"/>
        <v/>
      </c>
      <c r="W29" s="22" t="str">
        <f t="shared" si="5"/>
        <v/>
      </c>
      <c r="X29" s="21" t="str">
        <f t="shared" si="6"/>
        <v/>
      </c>
    </row>
    <row r="30" spans="1:24" ht="14.45" x14ac:dyDescent="0.3">
      <c r="F30" s="2">
        <f t="shared" si="7"/>
        <v>43979</v>
      </c>
      <c r="G30">
        <f t="shared" si="8"/>
        <v>25649.75</v>
      </c>
      <c r="H30" s="3">
        <f>IF(F30&lt;&gt;"",MIN(G30*$B$20,$B$2*1.5-$B$9-SUM($H$3:H29)),"")</f>
        <v>0</v>
      </c>
      <c r="I30" s="3">
        <f t="shared" si="0"/>
        <v>11285.900000000001</v>
      </c>
      <c r="J30" s="5"/>
      <c r="K30" s="21">
        <f t="shared" si="1"/>
        <v>0</v>
      </c>
      <c r="L30" s="25">
        <f t="shared" si="2"/>
        <v>0</v>
      </c>
      <c r="M30" s="2" t="str">
        <f t="shared" si="3"/>
        <v/>
      </c>
      <c r="N30" s="3" t="str">
        <f t="shared" si="9"/>
        <v/>
      </c>
      <c r="O30" t="str">
        <f>IF(M31&lt;&gt;"",MIN(N30*$B$3,$B$2*1.5-$B$9-SUM($H$3:$H$200)-SUM($O$3:O29)),"")</f>
        <v/>
      </c>
      <c r="P30" s="3" t="str">
        <f t="shared" si="10"/>
        <v/>
      </c>
      <c r="Q30" t="str">
        <f t="shared" si="11"/>
        <v/>
      </c>
      <c r="R30" t="str">
        <f t="shared" si="12"/>
        <v/>
      </c>
      <c r="S30" s="5"/>
      <c r="T30" s="5"/>
      <c r="U30" s="5"/>
      <c r="V30" s="21" t="str">
        <f t="shared" si="4"/>
        <v/>
      </c>
      <c r="W30" s="22" t="str">
        <f t="shared" si="5"/>
        <v/>
      </c>
      <c r="X30" s="21" t="str">
        <f t="shared" si="6"/>
        <v/>
      </c>
    </row>
    <row r="31" spans="1:24" ht="14.45" x14ac:dyDescent="0.3">
      <c r="F31" s="2">
        <f t="shared" si="7"/>
        <v>43980</v>
      </c>
      <c r="G31">
        <f t="shared" si="8"/>
        <v>25649.75</v>
      </c>
      <c r="H31" s="3">
        <f>IF(F31&lt;&gt;"",MIN(G31*$B$20,$B$2*1.5-$B$9-SUM($H$3:H30)),"")</f>
        <v>0</v>
      </c>
      <c r="I31" s="3">
        <f t="shared" si="0"/>
        <v>11285.900000000001</v>
      </c>
      <c r="J31" s="5"/>
      <c r="K31" s="21">
        <f t="shared" si="1"/>
        <v>0</v>
      </c>
      <c r="L31" s="25">
        <f t="shared" si="2"/>
        <v>0</v>
      </c>
      <c r="M31" s="2" t="str">
        <f t="shared" si="3"/>
        <v/>
      </c>
      <c r="N31" s="3" t="str">
        <f t="shared" si="9"/>
        <v/>
      </c>
      <c r="O31" t="str">
        <f>IF(M32&lt;&gt;"",MIN(N31*$B$3,$B$2*1.5-$B$9-SUM($H$3:$H$200)-SUM($O$3:O30)),"")</f>
        <v/>
      </c>
      <c r="P31" s="3" t="str">
        <f t="shared" si="10"/>
        <v/>
      </c>
      <c r="Q31" t="str">
        <f t="shared" si="11"/>
        <v/>
      </c>
      <c r="R31" t="str">
        <f t="shared" si="12"/>
        <v/>
      </c>
      <c r="S31" s="5"/>
      <c r="T31" s="5"/>
      <c r="U31" s="5"/>
      <c r="V31" s="21" t="str">
        <f t="shared" si="4"/>
        <v/>
      </c>
      <c r="W31" s="22" t="str">
        <f t="shared" si="5"/>
        <v/>
      </c>
      <c r="X31" s="21" t="str">
        <f t="shared" si="6"/>
        <v/>
      </c>
    </row>
    <row r="32" spans="1:24" ht="14.45" x14ac:dyDescent="0.3">
      <c r="B32" s="3"/>
      <c r="F32" s="2">
        <f t="shared" si="7"/>
        <v>43981</v>
      </c>
      <c r="G32">
        <f t="shared" si="8"/>
        <v>25649.75</v>
      </c>
      <c r="H32" s="3">
        <f>IF(F32&lt;&gt;"",MIN(G32*$B$20,$B$2*1.5-$B$9-SUM($H$3:H31)),"")</f>
        <v>0</v>
      </c>
      <c r="I32" s="3">
        <f t="shared" si="0"/>
        <v>11285.900000000001</v>
      </c>
      <c r="J32" s="5"/>
      <c r="K32" s="21">
        <f t="shared" si="1"/>
        <v>0</v>
      </c>
      <c r="L32" s="25">
        <f t="shared" si="2"/>
        <v>0</v>
      </c>
      <c r="M32" s="2" t="str">
        <f t="shared" si="3"/>
        <v/>
      </c>
      <c r="N32" s="3" t="str">
        <f t="shared" si="9"/>
        <v/>
      </c>
      <c r="O32" t="str">
        <f>IF(M33&lt;&gt;"",MIN(N32*$B$3,$B$2*1.5-$B$9-SUM($H$3:$H$200)-SUM($O$3:O31)),"")</f>
        <v/>
      </c>
      <c r="P32" s="3" t="str">
        <f t="shared" si="10"/>
        <v/>
      </c>
      <c r="Q32" t="str">
        <f t="shared" si="11"/>
        <v/>
      </c>
      <c r="R32" t="str">
        <f t="shared" si="12"/>
        <v/>
      </c>
      <c r="S32" s="5"/>
      <c r="T32" s="5"/>
      <c r="U32" s="5"/>
      <c r="V32" s="21" t="str">
        <f t="shared" si="4"/>
        <v/>
      </c>
      <c r="W32" s="22" t="str">
        <f t="shared" si="5"/>
        <v/>
      </c>
      <c r="X32" s="21" t="str">
        <f t="shared" si="6"/>
        <v/>
      </c>
    </row>
    <row r="33" spans="6:24" ht="14.45" x14ac:dyDescent="0.3">
      <c r="F33" s="2">
        <f t="shared" si="7"/>
        <v>43982</v>
      </c>
      <c r="G33">
        <f t="shared" si="8"/>
        <v>25649.75</v>
      </c>
      <c r="H33" s="3">
        <f>IF(F33&lt;&gt;"",MIN(G33*$B$20,$B$2*1.5-$B$9-SUM($H$3:H32)),"")</f>
        <v>0</v>
      </c>
      <c r="I33" s="3">
        <f t="shared" si="0"/>
        <v>11285.900000000001</v>
      </c>
      <c r="J33" s="5"/>
      <c r="K33" s="21">
        <f t="shared" si="1"/>
        <v>0</v>
      </c>
      <c r="L33" s="25">
        <f t="shared" si="2"/>
        <v>0</v>
      </c>
      <c r="M33" s="2" t="str">
        <f t="shared" si="3"/>
        <v/>
      </c>
      <c r="N33" s="3" t="str">
        <f t="shared" si="9"/>
        <v/>
      </c>
      <c r="O33" t="str">
        <f>IF(M34&lt;&gt;"",MIN(N33*$B$3,$B$2*1.5-$B$9-SUM($H$3:$H$200)-SUM($O$3:O32)),"")</f>
        <v/>
      </c>
      <c r="P33" s="3" t="str">
        <f t="shared" si="10"/>
        <v/>
      </c>
      <c r="Q33" t="str">
        <f t="shared" si="11"/>
        <v/>
      </c>
      <c r="R33" t="str">
        <f t="shared" si="12"/>
        <v/>
      </c>
      <c r="S33" s="5"/>
      <c r="T33" s="5"/>
      <c r="U33" s="5"/>
      <c r="V33" s="21" t="str">
        <f t="shared" si="4"/>
        <v/>
      </c>
      <c r="W33" s="22" t="str">
        <f t="shared" si="5"/>
        <v/>
      </c>
      <c r="X33" s="21" t="str">
        <f t="shared" si="6"/>
        <v/>
      </c>
    </row>
    <row r="34" spans="6:24" ht="14.45" x14ac:dyDescent="0.3">
      <c r="F34" s="2">
        <f t="shared" si="7"/>
        <v>43983</v>
      </c>
      <c r="G34">
        <f t="shared" si="8"/>
        <v>25649.75</v>
      </c>
      <c r="H34" s="3">
        <f>IF(F34&lt;&gt;"",MIN(G34*$B$20,$B$2*1.5-$B$9-SUM($H$3:H33)),"")</f>
        <v>0</v>
      </c>
      <c r="I34" s="3">
        <f t="shared" si="0"/>
        <v>11285.900000000001</v>
      </c>
      <c r="J34" s="5"/>
      <c r="K34" s="21">
        <f t="shared" si="1"/>
        <v>0</v>
      </c>
      <c r="L34" s="25">
        <f t="shared" si="2"/>
        <v>0</v>
      </c>
      <c r="M34" s="2" t="str">
        <f t="shared" si="3"/>
        <v/>
      </c>
      <c r="N34" s="3" t="str">
        <f t="shared" si="9"/>
        <v/>
      </c>
      <c r="O34" t="str">
        <f>IF(M35&lt;&gt;"",MIN(N34*$B$3,$B$2*1.5-$B$9-SUM($H$3:$H$200)-SUM($O$3:O33)),"")</f>
        <v/>
      </c>
      <c r="P34" s="3" t="str">
        <f t="shared" si="10"/>
        <v/>
      </c>
      <c r="Q34" t="str">
        <f t="shared" si="11"/>
        <v/>
      </c>
      <c r="R34" t="str">
        <f t="shared" si="12"/>
        <v/>
      </c>
      <c r="S34" s="5"/>
      <c r="T34" s="5"/>
      <c r="U34" s="5"/>
      <c r="V34" s="21" t="str">
        <f t="shared" si="4"/>
        <v/>
      </c>
      <c r="W34" s="22" t="str">
        <f t="shared" si="5"/>
        <v/>
      </c>
      <c r="X34" s="21" t="str">
        <f t="shared" si="6"/>
        <v/>
      </c>
    </row>
    <row r="35" spans="6:24" ht="14.45" x14ac:dyDescent="0.3">
      <c r="F35" s="2">
        <f t="shared" si="7"/>
        <v>43984</v>
      </c>
      <c r="G35">
        <f t="shared" si="8"/>
        <v>25649.75</v>
      </c>
      <c r="H35" s="3">
        <f>IF(F35&lt;&gt;"",MIN(G35*$B$20,$B$2*1.5-$B$9-SUM($H$3:H34)),"")</f>
        <v>0</v>
      </c>
      <c r="I35" s="3">
        <f t="shared" si="0"/>
        <v>11285.900000000001</v>
      </c>
      <c r="J35" s="5"/>
      <c r="K35" s="21">
        <f t="shared" si="1"/>
        <v>0</v>
      </c>
      <c r="L35" s="25">
        <f t="shared" si="2"/>
        <v>0</v>
      </c>
      <c r="M35" s="2" t="str">
        <f t="shared" si="3"/>
        <v/>
      </c>
      <c r="N35" s="3" t="str">
        <f t="shared" si="9"/>
        <v/>
      </c>
      <c r="O35" t="str">
        <f>IF(M36&lt;&gt;"",MIN(N35*$B$3,$B$2*1.5-$B$9-SUM($H$3:$H$200)-SUM($O$3:O34)),"")</f>
        <v/>
      </c>
      <c r="P35" s="3" t="str">
        <f t="shared" si="10"/>
        <v/>
      </c>
      <c r="Q35" t="str">
        <f t="shared" si="11"/>
        <v/>
      </c>
      <c r="R35" t="str">
        <f t="shared" si="12"/>
        <v/>
      </c>
      <c r="S35" s="5"/>
      <c r="T35" s="5"/>
      <c r="U35" s="5"/>
      <c r="V35" s="21" t="str">
        <f t="shared" si="4"/>
        <v/>
      </c>
      <c r="W35" s="22" t="str">
        <f t="shared" si="5"/>
        <v/>
      </c>
      <c r="X35" s="21" t="str">
        <f t="shared" si="6"/>
        <v/>
      </c>
    </row>
    <row r="36" spans="6:24" x14ac:dyDescent="0.25">
      <c r="F36" s="2">
        <f t="shared" si="7"/>
        <v>43985</v>
      </c>
      <c r="G36">
        <f t="shared" si="8"/>
        <v>25649.75</v>
      </c>
      <c r="H36" s="3">
        <f>IF(F36&lt;&gt;"",MIN(G36*$B$20,$B$2*1.5-$B$9-SUM($H$3:H35)),"")</f>
        <v>0</v>
      </c>
      <c r="I36" s="3">
        <f t="shared" si="0"/>
        <v>11285.900000000001</v>
      </c>
      <c r="J36" s="5"/>
      <c r="K36" s="21">
        <f t="shared" si="1"/>
        <v>0</v>
      </c>
      <c r="L36" s="25">
        <f t="shared" si="2"/>
        <v>0</v>
      </c>
      <c r="M36" s="2" t="str">
        <f t="shared" ref="M36:M67" si="13">IF(OR(M35&lt;$B$22,$B$22=""),
IF(M35=$B$17-1,$B$18, M35+1),"")</f>
        <v/>
      </c>
      <c r="N36" s="3" t="str">
        <f t="shared" si="9"/>
        <v/>
      </c>
      <c r="O36" t="str">
        <f>IF(M37&lt;&gt;"",MIN(N36*$B$3,$B$2*1.5-$B$9-SUM($H$3:$H$200)-SUM($O$3:O35)),"")</f>
        <v/>
      </c>
      <c r="P36" s="3" t="str">
        <f t="shared" si="10"/>
        <v/>
      </c>
      <c r="Q36" t="str">
        <f t="shared" si="11"/>
        <v/>
      </c>
      <c r="R36" t="str">
        <f t="shared" si="12"/>
        <v/>
      </c>
      <c r="S36" s="5"/>
      <c r="T36" s="5"/>
      <c r="U36" s="5"/>
      <c r="V36" s="21" t="str">
        <f t="shared" si="4"/>
        <v/>
      </c>
      <c r="W36" s="22" t="str">
        <f t="shared" si="5"/>
        <v/>
      </c>
      <c r="X36" s="21" t="str">
        <f t="shared" si="6"/>
        <v/>
      </c>
    </row>
    <row r="37" spans="6:24" x14ac:dyDescent="0.25">
      <c r="F37" s="2">
        <f t="shared" si="7"/>
        <v>43986</v>
      </c>
      <c r="G37">
        <f t="shared" si="8"/>
        <v>25649.75</v>
      </c>
      <c r="H37" s="3">
        <f>IF(F37&lt;&gt;"",MIN(G37*$B$20,$B$2*1.5-$B$9-SUM($H$3:H36)),"")</f>
        <v>0</v>
      </c>
      <c r="I37" s="3">
        <f t="shared" si="0"/>
        <v>11285.900000000001</v>
      </c>
      <c r="J37" s="5"/>
      <c r="K37" s="21">
        <f t="shared" si="1"/>
        <v>0</v>
      </c>
      <c r="L37" s="25">
        <f t="shared" si="2"/>
        <v>0</v>
      </c>
      <c r="M37" s="2" t="str">
        <f t="shared" si="13"/>
        <v/>
      </c>
      <c r="N37" s="3" t="str">
        <f t="shared" si="9"/>
        <v/>
      </c>
      <c r="O37" t="str">
        <f>IF(M38&lt;&gt;"",MIN(N37*$B$3,$B$2*1.5-$B$9-SUM($H$3:$H$200)-SUM($O$3:O36)),"")</f>
        <v/>
      </c>
      <c r="P37" s="3" t="str">
        <f t="shared" si="10"/>
        <v/>
      </c>
      <c r="Q37" t="str">
        <f t="shared" si="11"/>
        <v/>
      </c>
      <c r="R37" t="str">
        <f t="shared" si="12"/>
        <v/>
      </c>
      <c r="S37" s="5"/>
      <c r="T37" s="5"/>
      <c r="U37" s="5"/>
      <c r="V37" s="21" t="str">
        <f t="shared" si="4"/>
        <v/>
      </c>
      <c r="W37" s="22" t="str">
        <f t="shared" si="5"/>
        <v/>
      </c>
      <c r="X37" s="21" t="str">
        <f t="shared" si="6"/>
        <v/>
      </c>
    </row>
    <row r="38" spans="6:24" x14ac:dyDescent="0.25">
      <c r="F38" s="2">
        <f t="shared" si="7"/>
        <v>43987</v>
      </c>
      <c r="G38">
        <f t="shared" si="8"/>
        <v>25649.75</v>
      </c>
      <c r="H38" s="3">
        <f>IF(F38&lt;&gt;"",MIN(G38*$B$20,$B$2*1.5-$B$9-SUM($H$3:H37)),"")</f>
        <v>0</v>
      </c>
      <c r="I38" s="3">
        <f t="shared" si="0"/>
        <v>11285.900000000001</v>
      </c>
      <c r="J38" s="5"/>
      <c r="K38" s="21">
        <f t="shared" si="1"/>
        <v>0</v>
      </c>
      <c r="L38" s="25">
        <f t="shared" si="2"/>
        <v>0</v>
      </c>
      <c r="M38" s="2" t="str">
        <f t="shared" si="13"/>
        <v/>
      </c>
      <c r="N38" s="3" t="str">
        <f t="shared" si="9"/>
        <v/>
      </c>
      <c r="O38" t="str">
        <f>IF(M39&lt;&gt;"",MIN(N38*$B$3,$B$2*1.5-$B$9-SUM($H$3:$H$200)-SUM($O$3:O37)),"")</f>
        <v/>
      </c>
      <c r="P38" s="3" t="str">
        <f t="shared" si="10"/>
        <v/>
      </c>
      <c r="Q38" t="str">
        <f t="shared" si="11"/>
        <v/>
      </c>
      <c r="R38" t="str">
        <f t="shared" si="12"/>
        <v/>
      </c>
      <c r="S38" s="5"/>
      <c r="T38" s="5"/>
      <c r="U38" s="5"/>
      <c r="V38" s="21" t="str">
        <f t="shared" si="4"/>
        <v/>
      </c>
      <c r="W38" s="22" t="str">
        <f t="shared" si="5"/>
        <v/>
      </c>
      <c r="X38" s="21" t="str">
        <f t="shared" si="6"/>
        <v/>
      </c>
    </row>
    <row r="39" spans="6:24" x14ac:dyDescent="0.25">
      <c r="F39" s="2">
        <f t="shared" si="7"/>
        <v>43988</v>
      </c>
      <c r="G39">
        <f t="shared" si="8"/>
        <v>25649.75</v>
      </c>
      <c r="H39" s="3">
        <f>IF(F39&lt;&gt;"",MIN(G39*$B$20,$B$2*1.5-$B$9-SUM($H$3:H38)),"")</f>
        <v>0</v>
      </c>
      <c r="I39" s="3">
        <f t="shared" si="0"/>
        <v>11285.900000000001</v>
      </c>
      <c r="J39" s="5"/>
      <c r="K39" s="21">
        <f t="shared" si="1"/>
        <v>0</v>
      </c>
      <c r="L39" s="25">
        <f t="shared" si="2"/>
        <v>0</v>
      </c>
      <c r="M39" s="2" t="str">
        <f t="shared" si="13"/>
        <v/>
      </c>
      <c r="N39" s="3" t="str">
        <f t="shared" si="9"/>
        <v/>
      </c>
      <c r="O39" t="str">
        <f>IF(M40&lt;&gt;"",MIN(N39*$B$3,$B$2*1.5-$B$9-SUM($H$3:$H$200)-SUM($O$3:O38)),"")</f>
        <v/>
      </c>
      <c r="P39" s="3" t="str">
        <f t="shared" si="10"/>
        <v/>
      </c>
      <c r="Q39" t="str">
        <f t="shared" si="11"/>
        <v/>
      </c>
      <c r="R39" t="str">
        <f t="shared" si="12"/>
        <v/>
      </c>
      <c r="S39" s="5"/>
      <c r="T39" s="5"/>
      <c r="U39" s="5"/>
      <c r="V39" s="21" t="str">
        <f t="shared" si="4"/>
        <v/>
      </c>
      <c r="W39" s="22" t="str">
        <f t="shared" si="5"/>
        <v/>
      </c>
      <c r="X39" s="21" t="str">
        <f t="shared" si="6"/>
        <v/>
      </c>
    </row>
    <row r="40" spans="6:24" x14ac:dyDescent="0.25">
      <c r="F40" s="2">
        <f t="shared" si="7"/>
        <v>43989</v>
      </c>
      <c r="G40">
        <f t="shared" si="8"/>
        <v>25649.75</v>
      </c>
      <c r="H40" s="3">
        <f>IF(F40&lt;&gt;"",MIN(G40*$B$20,$B$2*1.5-$B$9-SUM($H$3:H39)),"")</f>
        <v>0</v>
      </c>
      <c r="I40" s="3">
        <f t="shared" si="0"/>
        <v>11285.900000000001</v>
      </c>
      <c r="J40" s="5"/>
      <c r="K40" s="21">
        <f t="shared" si="1"/>
        <v>0</v>
      </c>
      <c r="L40" s="25">
        <f t="shared" si="2"/>
        <v>0</v>
      </c>
      <c r="M40" s="2" t="str">
        <f t="shared" si="13"/>
        <v/>
      </c>
      <c r="N40" s="3" t="str">
        <f t="shared" si="9"/>
        <v/>
      </c>
      <c r="O40" t="str">
        <f>IF(M41&lt;&gt;"",MIN(N40*$B$3,$B$2*1.5-$B$9-SUM($H$3:$H$200)-SUM($O$3:O39)),"")</f>
        <v/>
      </c>
      <c r="P40" s="3" t="str">
        <f t="shared" si="10"/>
        <v/>
      </c>
      <c r="Q40" t="str">
        <f t="shared" si="11"/>
        <v/>
      </c>
      <c r="R40" t="str">
        <f t="shared" si="12"/>
        <v/>
      </c>
      <c r="S40" s="5"/>
      <c r="T40" s="5"/>
      <c r="U40" s="5"/>
      <c r="V40" s="21" t="str">
        <f t="shared" si="4"/>
        <v/>
      </c>
      <c r="W40" s="22" t="str">
        <f t="shared" si="5"/>
        <v/>
      </c>
      <c r="X40" s="21" t="str">
        <f t="shared" si="6"/>
        <v/>
      </c>
    </row>
    <row r="41" spans="6:24" x14ac:dyDescent="0.25">
      <c r="F41" s="2">
        <f t="shared" si="7"/>
        <v>43990</v>
      </c>
      <c r="G41">
        <f t="shared" si="8"/>
        <v>25649.75</v>
      </c>
      <c r="H41" s="3">
        <f>IF(F41&lt;&gt;"",MIN(G41*$B$20,$B$2*1.5-$B$9-SUM($H$3:H40)),"")</f>
        <v>0</v>
      </c>
      <c r="I41" s="3">
        <f t="shared" si="0"/>
        <v>11285.900000000001</v>
      </c>
      <c r="J41" s="5"/>
      <c r="K41" s="21">
        <f t="shared" si="1"/>
        <v>0</v>
      </c>
      <c r="L41" s="25">
        <f t="shared" si="2"/>
        <v>0</v>
      </c>
      <c r="M41" s="2" t="str">
        <f t="shared" si="13"/>
        <v/>
      </c>
      <c r="N41" s="3" t="str">
        <f t="shared" si="9"/>
        <v/>
      </c>
      <c r="O41" t="str">
        <f>IF(M42&lt;&gt;"",MIN(N41*$B$3,$B$2*1.5-$B$9-SUM($H$3:$H$200)-SUM($O$3:O40)),"")</f>
        <v/>
      </c>
      <c r="P41" s="3" t="str">
        <f>IF(M41&lt;&gt;"",MAX(P40+O40-V40-X40,0),"")</f>
        <v/>
      </c>
      <c r="Q41" t="str">
        <f t="shared" si="11"/>
        <v/>
      </c>
      <c r="R41" t="str">
        <f t="shared" si="12"/>
        <v/>
      </c>
      <c r="S41" s="5"/>
      <c r="T41" s="5"/>
      <c r="U41" s="5"/>
      <c r="V41" s="21" t="str">
        <f t="shared" si="4"/>
        <v/>
      </c>
      <c r="W41" s="22" t="str">
        <f t="shared" si="5"/>
        <v/>
      </c>
      <c r="X41" s="21" t="str">
        <f t="shared" si="6"/>
        <v/>
      </c>
    </row>
    <row r="42" spans="6:24" x14ac:dyDescent="0.25">
      <c r="F42" s="2">
        <f t="shared" si="7"/>
        <v>43991</v>
      </c>
      <c r="G42">
        <f t="shared" si="8"/>
        <v>25649.75</v>
      </c>
      <c r="H42" s="3">
        <f>IF(F42&lt;&gt;"",MIN(G42*$B$20,$B$2*1.5-$B$9-SUM($H$3:H41)),"")</f>
        <v>0</v>
      </c>
      <c r="I42" s="3">
        <f t="shared" si="0"/>
        <v>11285.900000000001</v>
      </c>
      <c r="J42" s="5"/>
      <c r="K42" s="21">
        <f t="shared" si="1"/>
        <v>0</v>
      </c>
      <c r="L42" s="25">
        <f t="shared" si="2"/>
        <v>0</v>
      </c>
      <c r="M42" s="2" t="str">
        <f t="shared" si="13"/>
        <v/>
      </c>
      <c r="N42" s="3" t="str">
        <f t="shared" si="9"/>
        <v/>
      </c>
      <c r="O42" t="str">
        <f>IF(M43&lt;&gt;"",MIN(N42*$B$3,$B$2*1.5-$B$9-SUM($H$3:$H$200)-SUM($O$3:O41)),"")</f>
        <v/>
      </c>
      <c r="P42" s="3" t="str">
        <f t="shared" si="10"/>
        <v/>
      </c>
      <c r="Q42" t="str">
        <f t="shared" si="11"/>
        <v/>
      </c>
      <c r="R42" t="str">
        <f t="shared" si="12"/>
        <v/>
      </c>
      <c r="S42" s="5"/>
      <c r="T42" s="5"/>
      <c r="U42" s="5"/>
      <c r="V42" s="21" t="str">
        <f t="shared" si="4"/>
        <v/>
      </c>
      <c r="W42" s="22" t="str">
        <f t="shared" si="5"/>
        <v/>
      </c>
      <c r="X42" s="21" t="str">
        <f t="shared" si="6"/>
        <v/>
      </c>
    </row>
    <row r="43" spans="6:24" x14ac:dyDescent="0.25">
      <c r="F43" s="2">
        <f t="shared" si="7"/>
        <v>43992</v>
      </c>
      <c r="G43">
        <f t="shared" si="8"/>
        <v>25649.75</v>
      </c>
      <c r="H43" s="3">
        <f>IF(F43&lt;&gt;"",MIN(G43*$B$20,$B$2*1.5-$B$9-SUM($H$3:H42)),"")</f>
        <v>0</v>
      </c>
      <c r="I43" s="3">
        <f t="shared" si="0"/>
        <v>11285.900000000001</v>
      </c>
      <c r="J43" s="5"/>
      <c r="K43" s="21">
        <f>IF(F43&lt;&gt;"",MAX(0,J43-G42),"")</f>
        <v>0</v>
      </c>
      <c r="L43" s="25">
        <f>IF(F43&lt;&gt;"",MAX(K43-I43,0),"")</f>
        <v>0</v>
      </c>
      <c r="M43" s="2" t="str">
        <f t="shared" si="13"/>
        <v/>
      </c>
      <c r="N43" s="3" t="str">
        <f t="shared" si="9"/>
        <v/>
      </c>
      <c r="O43" t="str">
        <f>IF(M44&lt;&gt;"",MIN(N43*$B$3,$B$2*1.5-$B$9-SUM($H$3:$H$200)-SUM($O$3:O42)),"")</f>
        <v/>
      </c>
      <c r="P43" s="3" t="str">
        <f t="shared" si="10"/>
        <v/>
      </c>
      <c r="Q43" t="str">
        <f t="shared" si="11"/>
        <v/>
      </c>
      <c r="R43" t="str">
        <f t="shared" si="12"/>
        <v/>
      </c>
      <c r="S43" s="5"/>
      <c r="T43" s="5"/>
      <c r="U43" s="5"/>
      <c r="V43" s="21" t="str">
        <f t="shared" si="4"/>
        <v/>
      </c>
      <c r="W43" s="22" t="str">
        <f t="shared" si="5"/>
        <v/>
      </c>
      <c r="X43" s="21" t="str">
        <f t="shared" si="6"/>
        <v/>
      </c>
    </row>
    <row r="44" spans="6:24" x14ac:dyDescent="0.25">
      <c r="F44" s="2">
        <f t="shared" si="7"/>
        <v>43993</v>
      </c>
      <c r="G44">
        <f t="shared" si="8"/>
        <v>25649.75</v>
      </c>
      <c r="H44" s="3">
        <f>IF(F44&lt;&gt;"",MIN(G44*$B$20,$B$2*1.5-$B$9-SUM($H$3:H43)),"")</f>
        <v>0</v>
      </c>
      <c r="I44" s="3">
        <f>IF(F44&lt;&gt;"",MAX(H44+I43-K43,0),"")</f>
        <v>11285.900000000001</v>
      </c>
      <c r="J44" s="5"/>
      <c r="K44" s="21">
        <f t="shared" ref="K44:K107" si="14">IF(F44&lt;&gt;"",MAX(0,J44-G43),"")</f>
        <v>0</v>
      </c>
      <c r="L44" s="25">
        <f t="shared" ref="L44:L107" si="15">IF(F44&lt;&gt;"",MAX(K44-I44,0),"")</f>
        <v>0</v>
      </c>
      <c r="M44" s="2" t="str">
        <f t="shared" si="13"/>
        <v/>
      </c>
      <c r="N44" s="3" t="str">
        <f t="shared" si="9"/>
        <v/>
      </c>
      <c r="O44" t="str">
        <f>IF(M45&lt;&gt;"",MIN(N44*$B$3,$B$2*1.5-$B$9-SUM($H$3:$H$200)-SUM($O$3:O43)),"")</f>
        <v/>
      </c>
      <c r="P44" s="3" t="str">
        <f t="shared" si="10"/>
        <v/>
      </c>
      <c r="Q44" t="str">
        <f t="shared" si="11"/>
        <v/>
      </c>
      <c r="R44" t="str">
        <f t="shared" si="12"/>
        <v/>
      </c>
      <c r="S44" s="5"/>
      <c r="T44" s="5"/>
      <c r="U44" s="5"/>
      <c r="V44" s="21" t="str">
        <f t="shared" si="4"/>
        <v/>
      </c>
      <c r="W44" s="22" t="str">
        <f t="shared" si="5"/>
        <v/>
      </c>
      <c r="X44" s="21" t="str">
        <f t="shared" si="6"/>
        <v/>
      </c>
    </row>
    <row r="45" spans="6:24" x14ac:dyDescent="0.25">
      <c r="F45" s="2">
        <f t="shared" si="7"/>
        <v>43994</v>
      </c>
      <c r="G45">
        <f t="shared" si="8"/>
        <v>25649.75</v>
      </c>
      <c r="H45" s="3">
        <f>IF(F45&lt;&gt;"",MIN(G45*$B$20,$B$2*1.5-$B$9-SUM($H$3:H44)),"")</f>
        <v>0</v>
      </c>
      <c r="I45" s="3">
        <f t="shared" ref="I45:I108" si="16">IF(F45&lt;&gt;"",MAX(H45+I44-K44,0),"")</f>
        <v>11285.900000000001</v>
      </c>
      <c r="J45" s="5"/>
      <c r="K45" s="21">
        <f t="shared" si="14"/>
        <v>0</v>
      </c>
      <c r="L45" s="25">
        <f t="shared" si="15"/>
        <v>0</v>
      </c>
      <c r="M45" s="2" t="str">
        <f t="shared" si="13"/>
        <v/>
      </c>
      <c r="N45" s="3" t="str">
        <f t="shared" si="9"/>
        <v/>
      </c>
      <c r="O45" t="str">
        <f>IF(M46&lt;&gt;"",MIN(N45*$B$3,$B$2*1.5-$B$9-SUM($H$3:$H$200)-SUM($O$3:O44)),"")</f>
        <v/>
      </c>
      <c r="P45" s="3" t="str">
        <f t="shared" si="10"/>
        <v/>
      </c>
      <c r="Q45" t="str">
        <f t="shared" si="11"/>
        <v/>
      </c>
      <c r="R45" t="str">
        <f t="shared" si="12"/>
        <v/>
      </c>
      <c r="S45" s="5"/>
      <c r="T45" s="5"/>
      <c r="U45" s="5"/>
      <c r="V45" s="21" t="str">
        <f t="shared" si="4"/>
        <v/>
      </c>
      <c r="W45" s="22" t="str">
        <f t="shared" si="5"/>
        <v/>
      </c>
      <c r="X45" s="21" t="str">
        <f t="shared" si="6"/>
        <v/>
      </c>
    </row>
    <row r="46" spans="6:24" x14ac:dyDescent="0.25">
      <c r="F46" s="2">
        <f t="shared" si="7"/>
        <v>43995</v>
      </c>
      <c r="G46">
        <f t="shared" si="8"/>
        <v>25649.75</v>
      </c>
      <c r="H46" s="3">
        <f>IF(F46&lt;&gt;"",MIN(G46*$B$20,$B$2*1.5-$B$9-SUM($H$3:H45)),"")</f>
        <v>0</v>
      </c>
      <c r="I46" s="3">
        <f t="shared" si="16"/>
        <v>11285.900000000001</v>
      </c>
      <c r="J46" s="5"/>
      <c r="K46" s="21">
        <f t="shared" si="14"/>
        <v>0</v>
      </c>
      <c r="L46" s="25">
        <f t="shared" si="15"/>
        <v>0</v>
      </c>
      <c r="M46" s="2" t="str">
        <f t="shared" si="13"/>
        <v/>
      </c>
      <c r="N46" s="3" t="str">
        <f t="shared" si="9"/>
        <v/>
      </c>
      <c r="O46" t="str">
        <f>IF(M47&lt;&gt;"",MIN(N46*$B$3,$B$2*1.5-$B$9-SUM($H$3:$H$200)-SUM($O$3:O45)),"")</f>
        <v/>
      </c>
      <c r="P46" s="3" t="str">
        <f t="shared" si="10"/>
        <v/>
      </c>
      <c r="Q46" t="str">
        <f t="shared" si="11"/>
        <v/>
      </c>
      <c r="R46" t="str">
        <f t="shared" si="12"/>
        <v/>
      </c>
      <c r="S46" s="5"/>
      <c r="T46" s="5"/>
      <c r="U46" s="5"/>
      <c r="V46" s="21" t="str">
        <f t="shared" si="4"/>
        <v/>
      </c>
      <c r="W46" s="22" t="str">
        <f t="shared" si="5"/>
        <v/>
      </c>
      <c r="X46" s="21" t="str">
        <f t="shared" si="6"/>
        <v/>
      </c>
    </row>
    <row r="47" spans="6:24" x14ac:dyDescent="0.25">
      <c r="F47" s="2">
        <f t="shared" si="7"/>
        <v>43996</v>
      </c>
      <c r="G47">
        <f t="shared" si="8"/>
        <v>25649.75</v>
      </c>
      <c r="H47" s="3">
        <f>IF(F47&lt;&gt;"",MIN(G47*$B$20,$B$2*1.5-$B$9-SUM($H$3:H46)),"")</f>
        <v>0</v>
      </c>
      <c r="I47" s="3">
        <f t="shared" si="16"/>
        <v>11285.900000000001</v>
      </c>
      <c r="J47" s="5"/>
      <c r="K47" s="21">
        <f t="shared" si="14"/>
        <v>0</v>
      </c>
      <c r="L47" s="25">
        <f t="shared" si="15"/>
        <v>0</v>
      </c>
      <c r="M47" s="2" t="str">
        <f t="shared" si="13"/>
        <v/>
      </c>
      <c r="N47" s="3" t="str">
        <f t="shared" si="9"/>
        <v/>
      </c>
      <c r="O47" t="str">
        <f>IF(M48&lt;&gt;"",MIN(N47*$B$3,$B$2*1.5-$B$9-SUM($H$3:$H$200)-SUM($O$3:O46)),"")</f>
        <v/>
      </c>
      <c r="P47" s="3" t="str">
        <f t="shared" si="10"/>
        <v/>
      </c>
      <c r="Q47" t="str">
        <f t="shared" si="11"/>
        <v/>
      </c>
      <c r="R47" t="str">
        <f t="shared" si="12"/>
        <v/>
      </c>
      <c r="S47" s="5"/>
      <c r="T47" s="5"/>
      <c r="U47" s="5"/>
      <c r="V47" s="21" t="str">
        <f t="shared" si="4"/>
        <v/>
      </c>
      <c r="W47" s="22" t="str">
        <f t="shared" si="5"/>
        <v/>
      </c>
      <c r="X47" s="21" t="str">
        <f t="shared" si="6"/>
        <v/>
      </c>
    </row>
    <row r="48" spans="6:24" x14ac:dyDescent="0.25">
      <c r="F48" s="2">
        <f t="shared" si="7"/>
        <v>43997</v>
      </c>
      <c r="G48">
        <f t="shared" si="8"/>
        <v>25649.75</v>
      </c>
      <c r="H48" s="3">
        <f>IF(F48&lt;&gt;"",MIN(G48*$B$20,$B$2*1.5-$B$9-SUM($H$3:H47)),"")</f>
        <v>0</v>
      </c>
      <c r="I48" s="3">
        <f t="shared" si="16"/>
        <v>11285.900000000001</v>
      </c>
      <c r="J48" s="5"/>
      <c r="K48" s="21">
        <f t="shared" si="14"/>
        <v>0</v>
      </c>
      <c r="L48" s="25">
        <f t="shared" si="15"/>
        <v>0</v>
      </c>
      <c r="M48" s="2" t="str">
        <f t="shared" si="13"/>
        <v/>
      </c>
      <c r="N48" s="3" t="str">
        <f t="shared" si="9"/>
        <v/>
      </c>
      <c r="O48" t="str">
        <f>IF(M49&lt;&gt;"",MIN(N48*$B$3,$B$2*1.5-$B$9-SUM($H$3:$H$200)-SUM($O$3:O47)),"")</f>
        <v/>
      </c>
      <c r="P48" s="3" t="str">
        <f t="shared" si="10"/>
        <v/>
      </c>
      <c r="Q48" t="str">
        <f t="shared" si="11"/>
        <v/>
      </c>
      <c r="R48" t="str">
        <f t="shared" si="12"/>
        <v/>
      </c>
      <c r="S48" s="5"/>
      <c r="T48" s="5"/>
      <c r="U48" s="5"/>
      <c r="V48" s="21" t="str">
        <f t="shared" si="4"/>
        <v/>
      </c>
      <c r="W48" s="22" t="str">
        <f t="shared" si="5"/>
        <v/>
      </c>
      <c r="X48" s="21" t="str">
        <f t="shared" si="6"/>
        <v/>
      </c>
    </row>
    <row r="49" spans="6:24" x14ac:dyDescent="0.25">
      <c r="F49" s="2">
        <f t="shared" si="7"/>
        <v>43998</v>
      </c>
      <c r="G49">
        <f t="shared" si="8"/>
        <v>25649.75</v>
      </c>
      <c r="H49" s="3">
        <f>IF(F49&lt;&gt;"",MIN(G49*$B$20,$B$2*1.5-$B$9-SUM($H$3:H48)),"")</f>
        <v>0</v>
      </c>
      <c r="I49" s="3">
        <f t="shared" si="16"/>
        <v>11285.900000000001</v>
      </c>
      <c r="J49" s="5"/>
      <c r="K49" s="21">
        <f t="shared" si="14"/>
        <v>0</v>
      </c>
      <c r="L49" s="25">
        <f t="shared" si="15"/>
        <v>0</v>
      </c>
      <c r="M49" s="2" t="str">
        <f t="shared" si="13"/>
        <v/>
      </c>
      <c r="N49" s="3" t="str">
        <f t="shared" si="9"/>
        <v/>
      </c>
      <c r="O49" t="str">
        <f>IF(M50&lt;&gt;"",MIN(N49*$B$3,$B$2*1.5-$B$9-SUM($H$3:$H$200)-SUM($O$3:O48)),"")</f>
        <v/>
      </c>
      <c r="P49" s="3" t="str">
        <f t="shared" si="10"/>
        <v/>
      </c>
      <c r="Q49" t="str">
        <f t="shared" si="11"/>
        <v/>
      </c>
      <c r="R49" t="str">
        <f t="shared" si="12"/>
        <v/>
      </c>
      <c r="S49" s="5"/>
      <c r="T49" s="5"/>
      <c r="U49" s="5"/>
      <c r="V49" s="21" t="str">
        <f t="shared" si="4"/>
        <v/>
      </c>
      <c r="W49" s="22" t="str">
        <f t="shared" si="5"/>
        <v/>
      </c>
      <c r="X49" s="21" t="str">
        <f t="shared" si="6"/>
        <v/>
      </c>
    </row>
    <row r="50" spans="6:24" x14ac:dyDescent="0.25">
      <c r="F50" s="2">
        <f t="shared" si="7"/>
        <v>43999</v>
      </c>
      <c r="G50">
        <f t="shared" si="8"/>
        <v>25649.75</v>
      </c>
      <c r="H50" s="3">
        <f>IF(F50&lt;&gt;"",MIN(G50*$B$20,$B$2*1.5-$B$9-SUM($H$3:H49)),"")</f>
        <v>0</v>
      </c>
      <c r="I50" s="3">
        <f t="shared" si="16"/>
        <v>11285.900000000001</v>
      </c>
      <c r="J50" s="5"/>
      <c r="K50" s="21">
        <f t="shared" si="14"/>
        <v>0</v>
      </c>
      <c r="L50" s="25">
        <f t="shared" si="15"/>
        <v>0</v>
      </c>
      <c r="M50" s="2" t="str">
        <f t="shared" si="13"/>
        <v/>
      </c>
      <c r="N50" s="3" t="str">
        <f t="shared" si="9"/>
        <v/>
      </c>
      <c r="O50" t="str">
        <f>IF(M51&lt;&gt;"",MIN(N50*$B$3,$B$2*1.5-$B$9-SUM($H$3:$H$200)-SUM($O$3:O49)),"")</f>
        <v/>
      </c>
      <c r="P50" s="3" t="str">
        <f t="shared" si="10"/>
        <v/>
      </c>
      <c r="Q50" t="str">
        <f t="shared" si="11"/>
        <v/>
      </c>
      <c r="R50" t="str">
        <f t="shared" si="12"/>
        <v/>
      </c>
      <c r="S50" s="5"/>
      <c r="T50" s="5"/>
      <c r="U50" s="5"/>
      <c r="V50" s="21" t="str">
        <f t="shared" si="4"/>
        <v/>
      </c>
      <c r="W50" s="22" t="str">
        <f t="shared" si="5"/>
        <v/>
      </c>
      <c r="X50" s="21" t="str">
        <f t="shared" si="6"/>
        <v/>
      </c>
    </row>
    <row r="51" spans="6:24" x14ac:dyDescent="0.25">
      <c r="F51" s="2">
        <f t="shared" si="7"/>
        <v>44000</v>
      </c>
      <c r="G51">
        <f t="shared" si="8"/>
        <v>25649.75</v>
      </c>
      <c r="H51" s="3">
        <f>IF(F51&lt;&gt;"",MIN(G51*$B$20,$B$2*1.5-$B$9-SUM($H$3:H50)),"")</f>
        <v>0</v>
      </c>
      <c r="I51" s="3">
        <f t="shared" si="16"/>
        <v>11285.900000000001</v>
      </c>
      <c r="J51" s="5"/>
      <c r="K51" s="21">
        <f t="shared" si="14"/>
        <v>0</v>
      </c>
      <c r="L51" s="25">
        <f t="shared" si="15"/>
        <v>0</v>
      </c>
      <c r="M51" s="2" t="str">
        <f t="shared" si="13"/>
        <v/>
      </c>
      <c r="N51" s="3" t="str">
        <f t="shared" si="9"/>
        <v/>
      </c>
      <c r="O51" t="str">
        <f>IF(M52&lt;&gt;"",MIN(N51*$B$3,$B$2*1.5-$B$9-SUM($H$3:$H$200)-SUM($O$3:O50)),"")</f>
        <v/>
      </c>
      <c r="P51" s="3" t="str">
        <f t="shared" si="10"/>
        <v/>
      </c>
      <c r="Q51" t="str">
        <f t="shared" si="11"/>
        <v/>
      </c>
      <c r="R51" t="str">
        <f t="shared" si="12"/>
        <v/>
      </c>
      <c r="S51" s="5"/>
      <c r="T51" s="5"/>
      <c r="U51" s="5"/>
      <c r="V51" s="21" t="str">
        <f t="shared" si="4"/>
        <v/>
      </c>
      <c r="W51" s="22" t="str">
        <f t="shared" si="5"/>
        <v/>
      </c>
      <c r="X51" s="21" t="str">
        <f t="shared" si="6"/>
        <v/>
      </c>
    </row>
    <row r="52" spans="6:24" x14ac:dyDescent="0.25">
      <c r="F52" s="2">
        <f t="shared" si="7"/>
        <v>44001</v>
      </c>
      <c r="G52">
        <f t="shared" si="8"/>
        <v>25649.75</v>
      </c>
      <c r="H52" s="3">
        <f>IF(F52&lt;&gt;"",MIN(G52*$B$20,$B$2*1.5-$B$9-SUM($H$3:H51)),"")</f>
        <v>0</v>
      </c>
      <c r="I52" s="3">
        <f t="shared" si="16"/>
        <v>11285.900000000001</v>
      </c>
      <c r="J52" s="5"/>
      <c r="K52" s="21">
        <f t="shared" si="14"/>
        <v>0</v>
      </c>
      <c r="L52" s="25">
        <f t="shared" si="15"/>
        <v>0</v>
      </c>
      <c r="M52" s="2" t="str">
        <f t="shared" si="13"/>
        <v/>
      </c>
      <c r="N52" s="3" t="str">
        <f t="shared" si="9"/>
        <v/>
      </c>
      <c r="O52" t="str">
        <f>IF(M53&lt;&gt;"",MIN(N52*$B$3,$B$2*1.5-$B$9-SUM($H$3:$H$200)-SUM($O$3:O51)),"")</f>
        <v/>
      </c>
      <c r="P52" s="3" t="str">
        <f t="shared" si="10"/>
        <v/>
      </c>
      <c r="Q52" t="str">
        <f t="shared" si="11"/>
        <v/>
      </c>
      <c r="R52" t="str">
        <f t="shared" si="12"/>
        <v/>
      </c>
      <c r="S52" s="5"/>
      <c r="T52" s="5"/>
      <c r="U52" s="5"/>
      <c r="V52" s="21" t="str">
        <f t="shared" si="4"/>
        <v/>
      </c>
      <c r="W52" s="22" t="str">
        <f t="shared" si="5"/>
        <v/>
      </c>
      <c r="X52" s="21" t="str">
        <f t="shared" si="6"/>
        <v/>
      </c>
    </row>
    <row r="53" spans="6:24" x14ac:dyDescent="0.25">
      <c r="F53" s="2">
        <f t="shared" si="7"/>
        <v>44002</v>
      </c>
      <c r="G53">
        <f t="shared" si="8"/>
        <v>25649.75</v>
      </c>
      <c r="H53" s="3">
        <f>IF(F53&lt;&gt;"",MIN(G53*$B$20,$B$2*1.5-$B$9-SUM($H$3:H52)),"")</f>
        <v>0</v>
      </c>
      <c r="I53" s="3">
        <f t="shared" si="16"/>
        <v>11285.900000000001</v>
      </c>
      <c r="J53" s="5"/>
      <c r="K53" s="21">
        <f t="shared" si="14"/>
        <v>0</v>
      </c>
      <c r="L53" s="25">
        <f t="shared" si="15"/>
        <v>0</v>
      </c>
      <c r="M53" s="2" t="str">
        <f t="shared" si="13"/>
        <v/>
      </c>
      <c r="N53" s="3" t="str">
        <f t="shared" si="9"/>
        <v/>
      </c>
      <c r="O53" t="str">
        <f>IF(M54&lt;&gt;"",MIN(N53*$B$3,$B$2*1.5-$B$9-SUM($H$3:$H$200)-SUM($O$3:O52)),"")</f>
        <v/>
      </c>
      <c r="P53" s="3" t="str">
        <f t="shared" si="10"/>
        <v/>
      </c>
      <c r="Q53" t="str">
        <f t="shared" si="11"/>
        <v/>
      </c>
      <c r="R53" t="str">
        <f t="shared" si="12"/>
        <v/>
      </c>
      <c r="S53" s="5"/>
      <c r="T53" s="5"/>
      <c r="U53" s="5"/>
      <c r="V53" s="21" t="str">
        <f t="shared" si="4"/>
        <v/>
      </c>
      <c r="W53" s="22" t="str">
        <f t="shared" si="5"/>
        <v/>
      </c>
      <c r="X53" s="21" t="str">
        <f t="shared" si="6"/>
        <v/>
      </c>
    </row>
    <row r="54" spans="6:24" x14ac:dyDescent="0.25">
      <c r="F54" s="2">
        <f t="shared" si="7"/>
        <v>44003</v>
      </c>
      <c r="G54">
        <f t="shared" si="8"/>
        <v>25649.75</v>
      </c>
      <c r="H54" s="3">
        <f>IF(F54&lt;&gt;"",MIN(G54*$B$20,$B$2*1.5-$B$9-SUM($H$3:H53)),"")</f>
        <v>0</v>
      </c>
      <c r="I54" s="3">
        <f t="shared" si="16"/>
        <v>11285.900000000001</v>
      </c>
      <c r="J54" s="5"/>
      <c r="K54" s="21">
        <f t="shared" si="14"/>
        <v>0</v>
      </c>
      <c r="L54" s="25">
        <f t="shared" si="15"/>
        <v>0</v>
      </c>
      <c r="M54" s="2" t="str">
        <f t="shared" si="13"/>
        <v/>
      </c>
      <c r="N54" s="3" t="str">
        <f t="shared" si="9"/>
        <v/>
      </c>
      <c r="O54" t="str">
        <f>IF(M55&lt;&gt;"",MIN(N54*$B$3,$B$2*1.5-$B$9-SUM($H$3:$H$200)-SUM($O$3:O53)),"")</f>
        <v/>
      </c>
      <c r="P54" s="3" t="str">
        <f t="shared" si="10"/>
        <v/>
      </c>
      <c r="Q54" t="str">
        <f t="shared" si="11"/>
        <v/>
      </c>
      <c r="R54" t="str">
        <f t="shared" si="12"/>
        <v/>
      </c>
      <c r="S54" s="5"/>
      <c r="T54" s="5"/>
      <c r="U54" s="5"/>
      <c r="V54" s="21" t="str">
        <f t="shared" si="4"/>
        <v/>
      </c>
      <c r="W54" s="22" t="str">
        <f t="shared" si="5"/>
        <v/>
      </c>
      <c r="X54" s="21" t="str">
        <f t="shared" si="6"/>
        <v/>
      </c>
    </row>
    <row r="55" spans="6:24" x14ac:dyDescent="0.25">
      <c r="F55" s="2">
        <f t="shared" si="7"/>
        <v>44004</v>
      </c>
      <c r="G55">
        <f t="shared" si="8"/>
        <v>25649.75</v>
      </c>
      <c r="H55" s="3">
        <f>IF(F55&lt;&gt;"",MIN(G55*$B$20,$B$2*1.5-$B$9-SUM($H$3:H54)),"")</f>
        <v>0</v>
      </c>
      <c r="I55" s="3">
        <f t="shared" si="16"/>
        <v>11285.900000000001</v>
      </c>
      <c r="J55" s="5"/>
      <c r="K55" s="21">
        <f t="shared" si="14"/>
        <v>0</v>
      </c>
      <c r="L55" s="25">
        <f t="shared" si="15"/>
        <v>0</v>
      </c>
      <c r="M55" s="2" t="str">
        <f t="shared" si="13"/>
        <v/>
      </c>
      <c r="N55" s="3" t="str">
        <f t="shared" si="9"/>
        <v/>
      </c>
      <c r="O55" t="str">
        <f>IF(M56&lt;&gt;"",MIN(N55*$B$3,$B$2*1.5-$B$9-SUM($H$3:$H$200)-SUM($O$3:O54)),"")</f>
        <v/>
      </c>
      <c r="P55" s="3" t="str">
        <f t="shared" si="10"/>
        <v/>
      </c>
      <c r="Q55" t="str">
        <f t="shared" si="11"/>
        <v/>
      </c>
      <c r="R55" t="str">
        <f t="shared" si="12"/>
        <v/>
      </c>
      <c r="S55" s="5"/>
      <c r="T55" s="5"/>
      <c r="U55" s="5"/>
      <c r="V55" s="21" t="str">
        <f t="shared" si="4"/>
        <v/>
      </c>
      <c r="W55" s="22" t="str">
        <f t="shared" si="5"/>
        <v/>
      </c>
      <c r="X55" s="21" t="str">
        <f t="shared" si="6"/>
        <v/>
      </c>
    </row>
    <row r="56" spans="6:24" x14ac:dyDescent="0.25">
      <c r="F56" s="2">
        <f t="shared" si="7"/>
        <v>44005</v>
      </c>
      <c r="G56">
        <f t="shared" si="8"/>
        <v>25649.75</v>
      </c>
      <c r="H56" s="3">
        <f>IF(F56&lt;&gt;"",MIN(G56*$B$20,$B$2*1.5-$B$9-SUM($H$3:H55)),"")</f>
        <v>0</v>
      </c>
      <c r="I56" s="3">
        <f t="shared" si="16"/>
        <v>11285.900000000001</v>
      </c>
      <c r="J56" s="5"/>
      <c r="K56" s="21">
        <f t="shared" si="14"/>
        <v>0</v>
      </c>
      <c r="L56" s="25">
        <f t="shared" si="15"/>
        <v>0</v>
      </c>
      <c r="M56" s="2" t="str">
        <f t="shared" si="13"/>
        <v/>
      </c>
      <c r="N56" s="3" t="str">
        <f t="shared" si="9"/>
        <v/>
      </c>
      <c r="O56" t="str">
        <f>IF(M57&lt;&gt;"",MIN(N56*$B$3,$B$2*1.5-$B$9-SUM($H$3:$H$200)-SUM($O$3:O55)),"")</f>
        <v/>
      </c>
      <c r="P56" s="3" t="str">
        <f t="shared" si="10"/>
        <v/>
      </c>
      <c r="Q56" t="str">
        <f t="shared" si="11"/>
        <v/>
      </c>
      <c r="R56" t="str">
        <f t="shared" si="12"/>
        <v/>
      </c>
      <c r="S56" s="5"/>
      <c r="T56" s="5"/>
      <c r="U56" s="5"/>
      <c r="V56" s="21" t="str">
        <f t="shared" si="4"/>
        <v/>
      </c>
      <c r="W56" s="22" t="str">
        <f t="shared" si="5"/>
        <v/>
      </c>
      <c r="X56" s="21" t="str">
        <f t="shared" si="6"/>
        <v/>
      </c>
    </row>
    <row r="57" spans="6:24" x14ac:dyDescent="0.25">
      <c r="F57" s="2">
        <f t="shared" si="7"/>
        <v>44006</v>
      </c>
      <c r="G57">
        <f t="shared" si="8"/>
        <v>25649.75</v>
      </c>
      <c r="H57" s="3">
        <f>IF(F57&lt;&gt;"",MIN(G57*$B$20,$B$2*1.5-$B$9-SUM($H$3:H56)),"")</f>
        <v>0</v>
      </c>
      <c r="I57" s="3">
        <f t="shared" si="16"/>
        <v>11285.900000000001</v>
      </c>
      <c r="J57" s="5"/>
      <c r="K57" s="21">
        <f t="shared" si="14"/>
        <v>0</v>
      </c>
      <c r="L57" s="25">
        <f t="shared" si="15"/>
        <v>0</v>
      </c>
      <c r="M57" s="2" t="str">
        <f t="shared" si="13"/>
        <v/>
      </c>
      <c r="N57" s="3" t="str">
        <f t="shared" si="9"/>
        <v/>
      </c>
      <c r="O57" t="str">
        <f>IF(M58&lt;&gt;"",MIN(N57*$B$3,$B$2*1.5-$B$9-SUM($H$3:$H$200)-SUM($O$3:O56)),"")</f>
        <v/>
      </c>
      <c r="P57" s="3" t="str">
        <f t="shared" si="10"/>
        <v/>
      </c>
      <c r="Q57" t="str">
        <f t="shared" si="11"/>
        <v/>
      </c>
      <c r="R57" t="str">
        <f t="shared" si="12"/>
        <v/>
      </c>
      <c r="S57" s="5"/>
      <c r="T57" s="5"/>
      <c r="U57" s="5"/>
      <c r="V57" s="21" t="str">
        <f t="shared" si="4"/>
        <v/>
      </c>
      <c r="W57" s="22" t="str">
        <f t="shared" si="5"/>
        <v/>
      </c>
      <c r="X57" s="21" t="str">
        <f t="shared" si="6"/>
        <v/>
      </c>
    </row>
    <row r="58" spans="6:24" x14ac:dyDescent="0.25">
      <c r="F58" s="2">
        <f t="shared" si="7"/>
        <v>44007</v>
      </c>
      <c r="G58">
        <f t="shared" si="8"/>
        <v>25649.75</v>
      </c>
      <c r="H58" s="3">
        <f>IF(F58&lt;&gt;"",MIN(G58*$B$20,$B$2*1.5-$B$9-SUM($H$3:H57)),"")</f>
        <v>0</v>
      </c>
      <c r="I58" s="3">
        <f t="shared" si="16"/>
        <v>11285.900000000001</v>
      </c>
      <c r="J58" s="5"/>
      <c r="K58" s="21">
        <f t="shared" si="14"/>
        <v>0</v>
      </c>
      <c r="L58" s="25">
        <f t="shared" si="15"/>
        <v>0</v>
      </c>
      <c r="M58" s="2" t="str">
        <f t="shared" si="13"/>
        <v/>
      </c>
      <c r="N58" s="3" t="str">
        <f t="shared" si="9"/>
        <v/>
      </c>
      <c r="O58" t="str">
        <f>IF(M59&lt;&gt;"",MIN(N58*$B$3,$B$2*1.5-$B$9-SUM($H$3:$H$200)-SUM($O$3:O57)),"")</f>
        <v/>
      </c>
      <c r="P58" s="3" t="str">
        <f t="shared" si="10"/>
        <v/>
      </c>
      <c r="Q58" t="str">
        <f t="shared" si="11"/>
        <v/>
      </c>
      <c r="R58" t="str">
        <f t="shared" si="12"/>
        <v/>
      </c>
      <c r="S58" s="5"/>
      <c r="T58" s="5"/>
      <c r="U58" s="5"/>
      <c r="V58" s="21" t="str">
        <f t="shared" si="4"/>
        <v/>
      </c>
      <c r="W58" s="22" t="str">
        <f t="shared" si="5"/>
        <v/>
      </c>
      <c r="X58" s="21" t="str">
        <f t="shared" si="6"/>
        <v/>
      </c>
    </row>
    <row r="59" spans="6:24" x14ac:dyDescent="0.25">
      <c r="F59" s="2">
        <f t="shared" si="7"/>
        <v>44008</v>
      </c>
      <c r="G59">
        <f t="shared" si="8"/>
        <v>25649.75</v>
      </c>
      <c r="H59" s="3">
        <f>IF(F59&lt;&gt;"",MIN(G59*$B$20,$B$2*1.5-$B$9-SUM($H$3:H58)),"")</f>
        <v>0</v>
      </c>
      <c r="I59" s="3">
        <f t="shared" si="16"/>
        <v>11285.900000000001</v>
      </c>
      <c r="J59" s="5"/>
      <c r="K59" s="21">
        <f t="shared" si="14"/>
        <v>0</v>
      </c>
      <c r="L59" s="25">
        <f t="shared" si="15"/>
        <v>0</v>
      </c>
      <c r="M59" s="2" t="str">
        <f t="shared" si="13"/>
        <v/>
      </c>
      <c r="N59" s="3" t="str">
        <f t="shared" si="9"/>
        <v/>
      </c>
      <c r="O59" t="str">
        <f>IF(M60&lt;&gt;"",MIN(N59*$B$3,$B$2*1.5-$B$9-SUM($H$3:$H$200)-SUM($O$3:O58)),"")</f>
        <v/>
      </c>
      <c r="P59" s="3" t="str">
        <f t="shared" si="10"/>
        <v/>
      </c>
      <c r="Q59" t="str">
        <f t="shared" si="11"/>
        <v/>
      </c>
      <c r="R59" t="str">
        <f t="shared" si="12"/>
        <v/>
      </c>
      <c r="S59" s="5"/>
      <c r="T59" s="5"/>
      <c r="U59" s="5"/>
      <c r="V59" s="21" t="str">
        <f t="shared" si="4"/>
        <v/>
      </c>
      <c r="W59" s="22" t="str">
        <f t="shared" si="5"/>
        <v/>
      </c>
      <c r="X59" s="21" t="str">
        <f t="shared" si="6"/>
        <v/>
      </c>
    </row>
    <row r="60" spans="6:24" x14ac:dyDescent="0.25">
      <c r="F60" s="2">
        <f t="shared" si="7"/>
        <v>44009</v>
      </c>
      <c r="G60">
        <f t="shared" si="8"/>
        <v>25649.75</v>
      </c>
      <c r="H60" s="3">
        <f>IF(F60&lt;&gt;"",MIN(G60*$B$20,$B$2*1.5-$B$9-SUM($H$3:H59)),"")</f>
        <v>0</v>
      </c>
      <c r="I60" s="3">
        <f t="shared" si="16"/>
        <v>11285.900000000001</v>
      </c>
      <c r="J60" s="5"/>
      <c r="K60" s="21">
        <f t="shared" si="14"/>
        <v>0</v>
      </c>
      <c r="L60" s="25">
        <f t="shared" si="15"/>
        <v>0</v>
      </c>
      <c r="M60" s="2" t="str">
        <f t="shared" si="13"/>
        <v/>
      </c>
      <c r="N60" s="3" t="str">
        <f t="shared" si="9"/>
        <v/>
      </c>
      <c r="O60" t="str">
        <f>IF(M61&lt;&gt;"",MIN(N60*$B$3,$B$2*1.5-$B$9-SUM($H$3:$H$200)-SUM($O$3:O59)),"")</f>
        <v/>
      </c>
      <c r="P60" s="3" t="str">
        <f t="shared" si="10"/>
        <v/>
      </c>
      <c r="Q60" t="str">
        <f t="shared" si="11"/>
        <v/>
      </c>
      <c r="R60" t="str">
        <f t="shared" si="12"/>
        <v/>
      </c>
      <c r="S60" s="5"/>
      <c r="T60" s="5"/>
      <c r="U60" s="5"/>
      <c r="V60" s="21" t="str">
        <f t="shared" si="4"/>
        <v/>
      </c>
      <c r="W60" s="22" t="str">
        <f t="shared" si="5"/>
        <v/>
      </c>
      <c r="X60" s="21" t="str">
        <f t="shared" si="6"/>
        <v/>
      </c>
    </row>
    <row r="61" spans="6:24" x14ac:dyDescent="0.25">
      <c r="F61" s="2">
        <f t="shared" si="7"/>
        <v>44010</v>
      </c>
      <c r="G61">
        <f t="shared" si="8"/>
        <v>25649.75</v>
      </c>
      <c r="H61" s="3">
        <f>IF(F61&lt;&gt;"",MIN(G61*$B$20,$B$2*1.5-$B$9-SUM($H$3:H60)),"")</f>
        <v>0</v>
      </c>
      <c r="I61" s="3">
        <f t="shared" si="16"/>
        <v>11285.900000000001</v>
      </c>
      <c r="J61" s="5"/>
      <c r="K61" s="21">
        <f t="shared" si="14"/>
        <v>0</v>
      </c>
      <c r="L61" s="25">
        <f t="shared" si="15"/>
        <v>0</v>
      </c>
      <c r="M61" s="2" t="str">
        <f t="shared" si="13"/>
        <v/>
      </c>
      <c r="N61" s="3" t="str">
        <f t="shared" si="9"/>
        <v/>
      </c>
      <c r="O61" t="str">
        <f>IF(M62&lt;&gt;"",MIN(N61*$B$3,$B$2*1.5-$B$9-SUM($H$3:$H$200)-SUM($O$3:O60)),"")</f>
        <v/>
      </c>
      <c r="P61" s="3" t="str">
        <f t="shared" si="10"/>
        <v/>
      </c>
      <c r="Q61" t="str">
        <f t="shared" si="11"/>
        <v/>
      </c>
      <c r="R61" t="str">
        <f t="shared" si="12"/>
        <v/>
      </c>
      <c r="S61" s="5"/>
      <c r="T61" s="5"/>
      <c r="U61" s="5"/>
      <c r="V61" s="21" t="str">
        <f t="shared" si="4"/>
        <v/>
      </c>
      <c r="W61" s="22" t="str">
        <f t="shared" si="5"/>
        <v/>
      </c>
      <c r="X61" s="21" t="str">
        <f t="shared" si="6"/>
        <v/>
      </c>
    </row>
    <row r="62" spans="6:24" x14ac:dyDescent="0.25">
      <c r="F62" s="2">
        <f t="shared" si="7"/>
        <v>44011</v>
      </c>
      <c r="G62">
        <f t="shared" si="8"/>
        <v>25649.75</v>
      </c>
      <c r="H62" s="3">
        <f>IF(F62&lt;&gt;"",MIN(G62*$B$20,$B$2*1.5-$B$9-SUM($H$3:H61)),"")</f>
        <v>0</v>
      </c>
      <c r="I62" s="3">
        <f t="shared" si="16"/>
        <v>11285.900000000001</v>
      </c>
      <c r="J62" s="5"/>
      <c r="K62" s="21">
        <f t="shared" si="14"/>
        <v>0</v>
      </c>
      <c r="L62" s="25">
        <f t="shared" si="15"/>
        <v>0</v>
      </c>
      <c r="M62" s="2" t="str">
        <f t="shared" si="13"/>
        <v/>
      </c>
      <c r="N62" s="3" t="str">
        <f t="shared" si="9"/>
        <v/>
      </c>
      <c r="O62" t="str">
        <f>IF(M63&lt;&gt;"",MIN(N62*$B$3,$B$2*1.5-$B$9-SUM($H$3:$H$200)-SUM($O$3:O61)),"")</f>
        <v/>
      </c>
      <c r="P62" s="3" t="str">
        <f t="shared" si="10"/>
        <v/>
      </c>
      <c r="Q62" t="str">
        <f t="shared" si="11"/>
        <v/>
      </c>
      <c r="R62" t="str">
        <f t="shared" si="12"/>
        <v/>
      </c>
      <c r="S62" s="5"/>
      <c r="T62" s="5"/>
      <c r="U62" s="5"/>
      <c r="V62" s="21" t="str">
        <f t="shared" si="4"/>
        <v/>
      </c>
      <c r="W62" s="22" t="str">
        <f t="shared" si="5"/>
        <v/>
      </c>
      <c r="X62" s="21" t="str">
        <f t="shared" si="6"/>
        <v/>
      </c>
    </row>
    <row r="63" spans="6:24" x14ac:dyDescent="0.25">
      <c r="F63" s="2">
        <f t="shared" si="7"/>
        <v>44012</v>
      </c>
      <c r="G63">
        <f t="shared" si="8"/>
        <v>25649.75</v>
      </c>
      <c r="H63" s="3">
        <f>IF(F63&lt;&gt;"",MIN(G63*$B$20,$B$2*1.5-$B$9-SUM($H$3:H62)),"")</f>
        <v>0</v>
      </c>
      <c r="I63" s="3">
        <f t="shared" si="16"/>
        <v>11285.900000000001</v>
      </c>
      <c r="J63" s="5"/>
      <c r="K63" s="21">
        <f t="shared" si="14"/>
        <v>0</v>
      </c>
      <c r="L63" s="25">
        <f t="shared" si="15"/>
        <v>0</v>
      </c>
      <c r="M63" s="2" t="str">
        <f t="shared" si="13"/>
        <v/>
      </c>
      <c r="N63" s="3" t="str">
        <f t="shared" si="9"/>
        <v/>
      </c>
      <c r="O63" t="str">
        <f>IF(M64&lt;&gt;"",MIN(N63*$B$3,$B$2*1.5-$B$9-SUM($H$3:$H$200)-SUM($O$3:O62)),"")</f>
        <v/>
      </c>
      <c r="P63" s="3" t="str">
        <f t="shared" si="10"/>
        <v/>
      </c>
      <c r="Q63" t="str">
        <f t="shared" si="11"/>
        <v/>
      </c>
      <c r="R63" t="str">
        <f t="shared" si="12"/>
        <v/>
      </c>
      <c r="S63" s="5"/>
      <c r="T63" s="5"/>
      <c r="U63" s="5"/>
      <c r="V63" s="21" t="str">
        <f t="shared" si="4"/>
        <v/>
      </c>
      <c r="W63" s="22" t="str">
        <f t="shared" si="5"/>
        <v/>
      </c>
      <c r="X63" s="21" t="str">
        <f t="shared" si="6"/>
        <v/>
      </c>
    </row>
    <row r="64" spans="6:24" x14ac:dyDescent="0.25">
      <c r="F64" s="2">
        <f t="shared" si="7"/>
        <v>44013</v>
      </c>
      <c r="G64">
        <f t="shared" si="8"/>
        <v>25649.75</v>
      </c>
      <c r="H64" s="3">
        <f>IF(F64&lt;&gt;"",MIN(G64*$B$20,$B$2*1.5-$B$9-SUM($H$3:H63)),"")</f>
        <v>0</v>
      </c>
      <c r="I64" s="3">
        <f t="shared" si="16"/>
        <v>11285.900000000001</v>
      </c>
      <c r="J64" s="5"/>
      <c r="K64" s="21">
        <f t="shared" si="14"/>
        <v>0</v>
      </c>
      <c r="L64" s="25">
        <f t="shared" si="15"/>
        <v>0</v>
      </c>
      <c r="M64" s="2" t="str">
        <f t="shared" si="13"/>
        <v/>
      </c>
      <c r="N64" s="3" t="str">
        <f t="shared" si="9"/>
        <v/>
      </c>
      <c r="O64" t="str">
        <f>IF(M65&lt;&gt;"",MIN(N64*$B$3,$B$2*1.5-$B$9-SUM($H$3:$H$200)-SUM($O$3:O63)),"")</f>
        <v/>
      </c>
      <c r="P64" s="3" t="str">
        <f t="shared" si="10"/>
        <v/>
      </c>
      <c r="Q64" t="str">
        <f t="shared" si="11"/>
        <v/>
      </c>
      <c r="R64" t="str">
        <f t="shared" si="12"/>
        <v/>
      </c>
      <c r="S64" s="5"/>
      <c r="T64" s="5"/>
      <c r="U64" s="5"/>
      <c r="V64" s="21" t="str">
        <f t="shared" si="4"/>
        <v/>
      </c>
      <c r="W64" s="22" t="str">
        <f t="shared" si="5"/>
        <v/>
      </c>
      <c r="X64" s="21" t="str">
        <f t="shared" si="6"/>
        <v/>
      </c>
    </row>
    <row r="65" spans="6:24" x14ac:dyDescent="0.25">
      <c r="F65" s="2">
        <f t="shared" si="7"/>
        <v>44014</v>
      </c>
      <c r="G65">
        <f t="shared" si="8"/>
        <v>25649.75</v>
      </c>
      <c r="H65" s="3">
        <f>IF(F65&lt;&gt;"",MIN(G65*$B$20,$B$2*1.5-$B$9-SUM($H$3:H64)),"")</f>
        <v>0</v>
      </c>
      <c r="I65" s="3">
        <f t="shared" si="16"/>
        <v>11285.900000000001</v>
      </c>
      <c r="J65" s="5"/>
      <c r="K65" s="21">
        <f t="shared" si="14"/>
        <v>0</v>
      </c>
      <c r="L65" s="25">
        <f t="shared" si="15"/>
        <v>0</v>
      </c>
      <c r="M65" s="2" t="str">
        <f t="shared" si="13"/>
        <v/>
      </c>
      <c r="N65" s="3" t="str">
        <f t="shared" si="9"/>
        <v/>
      </c>
      <c r="O65" t="str">
        <f>IF(M66&lt;&gt;"",MIN(N65*$B$3,$B$2*1.5-$B$9-SUM($H$3:$H$200)-SUM($O$3:O64)),"")</f>
        <v/>
      </c>
      <c r="P65" s="3" t="str">
        <f t="shared" si="10"/>
        <v/>
      </c>
      <c r="Q65" t="str">
        <f t="shared" si="11"/>
        <v/>
      </c>
      <c r="R65" t="str">
        <f t="shared" si="12"/>
        <v/>
      </c>
      <c r="S65" s="5"/>
      <c r="T65" s="5"/>
      <c r="U65" s="5"/>
      <c r="V65" s="21" t="str">
        <f t="shared" si="4"/>
        <v/>
      </c>
      <c r="W65" s="22" t="str">
        <f t="shared" si="5"/>
        <v/>
      </c>
      <c r="X65" s="21" t="str">
        <f t="shared" si="6"/>
        <v/>
      </c>
    </row>
    <row r="66" spans="6:24" x14ac:dyDescent="0.25">
      <c r="F66" s="2">
        <f t="shared" si="7"/>
        <v>44015</v>
      </c>
      <c r="G66">
        <f t="shared" si="8"/>
        <v>25649.75</v>
      </c>
      <c r="H66" s="3">
        <f>IF(F66&lt;&gt;"",MIN(G66*$B$20,$B$2*1.5-$B$9-SUM($H$3:H65)),"")</f>
        <v>0</v>
      </c>
      <c r="I66" s="3">
        <f t="shared" si="16"/>
        <v>11285.900000000001</v>
      </c>
      <c r="J66" s="5"/>
      <c r="K66" s="21">
        <f t="shared" si="14"/>
        <v>0</v>
      </c>
      <c r="L66" s="25">
        <f t="shared" si="15"/>
        <v>0</v>
      </c>
      <c r="M66" s="2" t="str">
        <f t="shared" si="13"/>
        <v/>
      </c>
      <c r="N66" s="3" t="str">
        <f t="shared" si="9"/>
        <v/>
      </c>
      <c r="O66" t="str">
        <f>IF(M67&lt;&gt;"",MIN(N66*$B$3,$B$2*1.5-$B$9-SUM($H$3:$H$200)-SUM($O$3:O65)),"")</f>
        <v/>
      </c>
      <c r="P66" s="3" t="str">
        <f t="shared" si="10"/>
        <v/>
      </c>
      <c r="Q66" t="str">
        <f t="shared" si="11"/>
        <v/>
      </c>
      <c r="R66" t="str">
        <f t="shared" si="12"/>
        <v/>
      </c>
      <c r="S66" s="5"/>
      <c r="T66" s="5"/>
      <c r="U66" s="5"/>
      <c r="V66" s="21" t="str">
        <f t="shared" si="4"/>
        <v/>
      </c>
      <c r="W66" s="22" t="str">
        <f t="shared" si="5"/>
        <v/>
      </c>
      <c r="X66" s="21" t="str">
        <f t="shared" si="6"/>
        <v/>
      </c>
    </row>
    <row r="67" spans="6:24" x14ac:dyDescent="0.25">
      <c r="F67" s="2">
        <f t="shared" si="7"/>
        <v>44016</v>
      </c>
      <c r="G67">
        <f t="shared" si="8"/>
        <v>25649.75</v>
      </c>
      <c r="H67" s="3">
        <f>IF(F67&lt;&gt;"",MIN(G67*$B$20,$B$2*1.5-$B$9-SUM($H$3:H66)),"")</f>
        <v>0</v>
      </c>
      <c r="I67" s="3">
        <f t="shared" si="16"/>
        <v>11285.900000000001</v>
      </c>
      <c r="J67" s="5"/>
      <c r="K67" s="21">
        <f t="shared" si="14"/>
        <v>0</v>
      </c>
      <c r="L67" s="25">
        <f t="shared" si="15"/>
        <v>0</v>
      </c>
      <c r="M67" s="2" t="str">
        <f t="shared" si="13"/>
        <v/>
      </c>
      <c r="N67" s="3" t="str">
        <f t="shared" si="9"/>
        <v/>
      </c>
      <c r="O67" t="str">
        <f>IF(M68&lt;&gt;"",MIN(N67*$B$3,$B$2*1.5-$B$9-SUM($H$3:$H$200)-SUM($O$3:O66)),"")</f>
        <v/>
      </c>
      <c r="P67" s="3" t="str">
        <f t="shared" si="10"/>
        <v/>
      </c>
      <c r="Q67" t="str">
        <f t="shared" si="11"/>
        <v/>
      </c>
      <c r="R67" t="str">
        <f t="shared" si="12"/>
        <v/>
      </c>
      <c r="S67" s="5"/>
      <c r="T67" s="5"/>
      <c r="U67" s="5"/>
      <c r="V67" s="21" t="str">
        <f t="shared" si="4"/>
        <v/>
      </c>
      <c r="W67" s="22" t="str">
        <f t="shared" si="5"/>
        <v/>
      </c>
      <c r="X67" s="21" t="str">
        <f t="shared" si="6"/>
        <v/>
      </c>
    </row>
    <row r="68" spans="6:24" x14ac:dyDescent="0.25">
      <c r="F68" s="2">
        <f t="shared" si="7"/>
        <v>44017</v>
      </c>
      <c r="G68">
        <f t="shared" si="8"/>
        <v>25649.75</v>
      </c>
      <c r="H68" s="3">
        <f>IF(F68&lt;&gt;"",MIN(G68*$B$20,$B$2*1.5-$B$9-SUM($H$3:H67)),"")</f>
        <v>0</v>
      </c>
      <c r="I68" s="3">
        <f t="shared" si="16"/>
        <v>11285.900000000001</v>
      </c>
      <c r="J68" s="5"/>
      <c r="K68" s="21">
        <f t="shared" si="14"/>
        <v>0</v>
      </c>
      <c r="L68" s="25">
        <f t="shared" si="15"/>
        <v>0</v>
      </c>
      <c r="M68" s="2" t="str">
        <f t="shared" ref="M68:M99" si="17">IF(OR(M67&lt;$B$22,$B$22=""),
IF(M67=$B$17-1,$B$18, M67+1),"")</f>
        <v/>
      </c>
      <c r="N68" s="3" t="str">
        <f t="shared" si="9"/>
        <v/>
      </c>
      <c r="O68" t="str">
        <f>IF(M69&lt;&gt;"",MIN(N68*$B$3,$B$2*1.5-$B$9-SUM($H$3:$H$200)-SUM($O$3:O67)),"")</f>
        <v/>
      </c>
      <c r="P68" s="3" t="str">
        <f t="shared" si="10"/>
        <v/>
      </c>
      <c r="Q68" t="str">
        <f t="shared" ref="Q68:Q131" si="18">IF(M69&lt;&gt;"",IF(
OR(
AND($B$11&gt;0,OR(T68="",T68=0),M68&lt;&gt;$B$22),
AND(M68&gt;$B$13,M68&lt;$B$22,M68-$B$13&lt;100)),N68*0.01%,0),"")</f>
        <v/>
      </c>
      <c r="R68" t="str">
        <f t="shared" si="12"/>
        <v/>
      </c>
      <c r="S68" s="5"/>
      <c r="T68" s="5"/>
      <c r="U68" s="5"/>
      <c r="V68" s="21" t="str">
        <f t="shared" ref="V68:V131" si="19">IF(M68&lt;&gt;"",MAX(S68-R68,0),"")</f>
        <v/>
      </c>
      <c r="W68" s="22" t="str">
        <f t="shared" ref="W68:W131" si="20">IF(M68&lt;&gt;"",MAX(0,V68-P68),"")</f>
        <v/>
      </c>
      <c r="X68" s="21" t="str">
        <f t="shared" ref="X68:X131" si="21">IF(M68&lt;&gt;"",MAX(0,T68-R68),"")</f>
        <v/>
      </c>
    </row>
    <row r="69" spans="6:24" x14ac:dyDescent="0.25">
      <c r="F69" s="2">
        <f t="shared" ref="F69:F132" si="22">IF(F68&lt;$B$18-1,F68+1,"")</f>
        <v>44018</v>
      </c>
      <c r="G69">
        <f t="shared" ref="G69:G132" si="23">IF(F69&lt;&gt;"",MAX(G68-J69,0),"")</f>
        <v>25649.75</v>
      </c>
      <c r="H69" s="3">
        <f>IF(F69&lt;&gt;"",MIN(G69*$B$20,$B$2*1.5-$B$9-SUM($H$3:H68)),"")</f>
        <v>0</v>
      </c>
      <c r="I69" s="3">
        <f t="shared" si="16"/>
        <v>11285.900000000001</v>
      </c>
      <c r="J69" s="5"/>
      <c r="K69" s="21">
        <f t="shared" si="14"/>
        <v>0</v>
      </c>
      <c r="L69" s="25">
        <f t="shared" si="15"/>
        <v>0</v>
      </c>
      <c r="M69" s="2" t="str">
        <f t="shared" si="17"/>
        <v/>
      </c>
      <c r="N69" s="3" t="str">
        <f t="shared" ref="N69:N132" si="24">IF(M69&lt;&gt;"",N68-W69,"")</f>
        <v/>
      </c>
      <c r="O69" t="str">
        <f>IF(M70&lt;&gt;"",MIN(N69*$B$3,$B$2*1.5-$B$9-SUM($H$3:$H$200)-SUM($O$3:O68)),"")</f>
        <v/>
      </c>
      <c r="P69" s="3" t="str">
        <f t="shared" ref="P69:P132" si="25">IF(M69&lt;&gt;"",MAX(P68+O68-V68-X68,0),"")</f>
        <v/>
      </c>
      <c r="Q69" t="str">
        <f t="shared" si="18"/>
        <v/>
      </c>
      <c r="R69" t="str">
        <f t="shared" ref="R69:R132" si="26">IF(M69&lt;&gt;"",MAX(0,Q68+R68-S68-T68),"")</f>
        <v/>
      </c>
      <c r="S69" s="5"/>
      <c r="T69" s="5"/>
      <c r="U69" s="5"/>
      <c r="V69" s="21" t="str">
        <f t="shared" si="19"/>
        <v/>
      </c>
      <c r="W69" s="22" t="str">
        <f t="shared" si="20"/>
        <v/>
      </c>
      <c r="X69" s="21" t="str">
        <f t="shared" si="21"/>
        <v/>
      </c>
    </row>
    <row r="70" spans="6:24" x14ac:dyDescent="0.25">
      <c r="F70" s="2">
        <f t="shared" si="22"/>
        <v>44019</v>
      </c>
      <c r="G70">
        <f t="shared" si="23"/>
        <v>25649.75</v>
      </c>
      <c r="H70" s="3">
        <f>IF(F70&lt;&gt;"",MIN(G70*$B$20,$B$2*1.5-$B$9-SUM($H$3:H69)),"")</f>
        <v>0</v>
      </c>
      <c r="I70" s="3">
        <f t="shared" si="16"/>
        <v>11285.900000000001</v>
      </c>
      <c r="J70" s="5"/>
      <c r="K70" s="21">
        <f t="shared" si="14"/>
        <v>0</v>
      </c>
      <c r="L70" s="25">
        <f t="shared" si="15"/>
        <v>0</v>
      </c>
      <c r="M70" s="2" t="str">
        <f t="shared" si="17"/>
        <v/>
      </c>
      <c r="N70" s="3" t="str">
        <f t="shared" si="24"/>
        <v/>
      </c>
      <c r="O70" t="str">
        <f>IF(M71&lt;&gt;"",MIN(N70*$B$3,$B$2*1.5-$B$9-SUM($H$3:$H$200)-SUM($O$3:O69)),"")</f>
        <v/>
      </c>
      <c r="P70" s="3" t="str">
        <f t="shared" si="25"/>
        <v/>
      </c>
      <c r="Q70" t="str">
        <f t="shared" si="18"/>
        <v/>
      </c>
      <c r="R70" t="str">
        <f t="shared" si="26"/>
        <v/>
      </c>
      <c r="S70" s="5"/>
      <c r="T70" s="5"/>
      <c r="U70" s="5"/>
      <c r="V70" s="21" t="str">
        <f t="shared" si="19"/>
        <v/>
      </c>
      <c r="W70" s="22" t="str">
        <f t="shared" si="20"/>
        <v/>
      </c>
      <c r="X70" s="21" t="str">
        <f t="shared" si="21"/>
        <v/>
      </c>
    </row>
    <row r="71" spans="6:24" x14ac:dyDescent="0.25">
      <c r="F71" s="2">
        <f t="shared" si="22"/>
        <v>44020</v>
      </c>
      <c r="G71">
        <f>IF(F71&lt;&gt;"",MAX(G70-J71,0),"")</f>
        <v>25649.75</v>
      </c>
      <c r="H71" s="3">
        <f>IF(F71&lt;&gt;"",MIN(G71*$B$20,$B$2*1.5-$B$9-SUM($H$3:H70)),"")</f>
        <v>0</v>
      </c>
      <c r="I71" s="3">
        <f t="shared" si="16"/>
        <v>11285.900000000001</v>
      </c>
      <c r="J71" s="5"/>
      <c r="K71" s="21">
        <f t="shared" si="14"/>
        <v>0</v>
      </c>
      <c r="L71" s="25">
        <f t="shared" si="15"/>
        <v>0</v>
      </c>
      <c r="M71" s="2" t="str">
        <f t="shared" si="17"/>
        <v/>
      </c>
      <c r="N71" s="3" t="str">
        <f t="shared" si="24"/>
        <v/>
      </c>
      <c r="O71" t="str">
        <f>IF(M72&lt;&gt;"",MIN(N71*$B$3,$B$2*1.5-$B$9-SUM($H$3:$H$200)-SUM($O$3:O70)),"")</f>
        <v/>
      </c>
      <c r="P71" s="3" t="str">
        <f t="shared" si="25"/>
        <v/>
      </c>
      <c r="Q71" t="str">
        <f t="shared" si="18"/>
        <v/>
      </c>
      <c r="R71" t="str">
        <f t="shared" si="26"/>
        <v/>
      </c>
      <c r="S71" s="5"/>
      <c r="T71" s="5"/>
      <c r="U71" s="5"/>
      <c r="V71" s="21" t="str">
        <f t="shared" si="19"/>
        <v/>
      </c>
      <c r="W71" s="22" t="str">
        <f t="shared" si="20"/>
        <v/>
      </c>
      <c r="X71" s="21" t="str">
        <f t="shared" si="21"/>
        <v/>
      </c>
    </row>
    <row r="72" spans="6:24" x14ac:dyDescent="0.25">
      <c r="F72" s="2">
        <f t="shared" si="22"/>
        <v>44021</v>
      </c>
      <c r="G72">
        <f t="shared" si="23"/>
        <v>25649.75</v>
      </c>
      <c r="H72" s="3">
        <f>IF(F72&lt;&gt;"",MIN(G72*$B$20,$B$2*1.5-$B$9-SUM($H$3:H71)),"")</f>
        <v>0</v>
      </c>
      <c r="I72" s="3">
        <f t="shared" si="16"/>
        <v>11285.900000000001</v>
      </c>
      <c r="J72" s="5"/>
      <c r="K72" s="21">
        <f t="shared" si="14"/>
        <v>0</v>
      </c>
      <c r="L72" s="25">
        <f t="shared" si="15"/>
        <v>0</v>
      </c>
      <c r="M72" s="2" t="str">
        <f t="shared" si="17"/>
        <v/>
      </c>
      <c r="N72" s="3" t="str">
        <f t="shared" si="24"/>
        <v/>
      </c>
      <c r="O72" t="str">
        <f>IF(M73&lt;&gt;"",MIN(N72*$B$3,$B$2*1.5-$B$9-SUM($H$3:$H$200)-SUM($O$3:O71)),"")</f>
        <v/>
      </c>
      <c r="P72" s="3" t="str">
        <f t="shared" si="25"/>
        <v/>
      </c>
      <c r="Q72" t="str">
        <f t="shared" si="18"/>
        <v/>
      </c>
      <c r="R72" t="str">
        <f t="shared" si="26"/>
        <v/>
      </c>
      <c r="S72" s="5"/>
      <c r="T72" s="5"/>
      <c r="U72" s="5"/>
      <c r="V72" s="21" t="str">
        <f t="shared" si="19"/>
        <v/>
      </c>
      <c r="W72" s="22" t="str">
        <f t="shared" si="20"/>
        <v/>
      </c>
      <c r="X72" s="21" t="str">
        <f t="shared" si="21"/>
        <v/>
      </c>
    </row>
    <row r="73" spans="6:24" x14ac:dyDescent="0.25">
      <c r="F73" s="2">
        <f t="shared" si="22"/>
        <v>44022</v>
      </c>
      <c r="G73">
        <f t="shared" si="23"/>
        <v>25649.75</v>
      </c>
      <c r="H73" s="3">
        <f>IF(F73&lt;&gt;"",MIN(G73*$B$20,$B$2*1.5-$B$9-SUM($H$3:H72)),"")</f>
        <v>0</v>
      </c>
      <c r="I73" s="3">
        <f t="shared" si="16"/>
        <v>11285.900000000001</v>
      </c>
      <c r="J73" s="5"/>
      <c r="K73" s="21">
        <f t="shared" si="14"/>
        <v>0</v>
      </c>
      <c r="L73" s="25">
        <f t="shared" si="15"/>
        <v>0</v>
      </c>
      <c r="M73" s="2" t="str">
        <f t="shared" si="17"/>
        <v/>
      </c>
      <c r="N73" s="3" t="str">
        <f t="shared" si="24"/>
        <v/>
      </c>
      <c r="O73" t="str">
        <f>IF(M74&lt;&gt;"",MIN(N73*$B$3,$B$2*1.5-$B$9-SUM($H$3:$H$200)-SUM($O$3:O72)),"")</f>
        <v/>
      </c>
      <c r="P73" s="3" t="str">
        <f t="shared" si="25"/>
        <v/>
      </c>
      <c r="Q73" t="str">
        <f t="shared" si="18"/>
        <v/>
      </c>
      <c r="R73" t="str">
        <f t="shared" si="26"/>
        <v/>
      </c>
      <c r="S73" s="5"/>
      <c r="T73" s="5"/>
      <c r="U73" s="5"/>
      <c r="V73" s="21" t="str">
        <f t="shared" si="19"/>
        <v/>
      </c>
      <c r="W73" s="22" t="str">
        <f t="shared" si="20"/>
        <v/>
      </c>
      <c r="X73" s="21" t="str">
        <f t="shared" si="21"/>
        <v/>
      </c>
    </row>
    <row r="74" spans="6:24" x14ac:dyDescent="0.25">
      <c r="F74" s="2">
        <f t="shared" si="22"/>
        <v>44023</v>
      </c>
      <c r="G74">
        <f t="shared" si="23"/>
        <v>25649.75</v>
      </c>
      <c r="H74" s="3">
        <f>IF(F74&lt;&gt;"",MIN(G74*$B$20,$B$2*1.5-$B$9-SUM($H$3:H73)),"")</f>
        <v>0</v>
      </c>
      <c r="I74" s="3">
        <f t="shared" si="16"/>
        <v>11285.900000000001</v>
      </c>
      <c r="J74" s="5"/>
      <c r="K74" s="21">
        <f t="shared" si="14"/>
        <v>0</v>
      </c>
      <c r="L74" s="25">
        <f t="shared" si="15"/>
        <v>0</v>
      </c>
      <c r="M74" s="2" t="str">
        <f t="shared" si="17"/>
        <v/>
      </c>
      <c r="N74" s="3" t="str">
        <f t="shared" si="24"/>
        <v/>
      </c>
      <c r="O74" t="str">
        <f>IF(M75&lt;&gt;"",MIN(N74*$B$3,$B$2*1.5-$B$9-SUM($H$3:$H$200)-SUM($O$3:O73)),"")</f>
        <v/>
      </c>
      <c r="P74" s="3" t="str">
        <f t="shared" si="25"/>
        <v/>
      </c>
      <c r="Q74" t="str">
        <f t="shared" si="18"/>
        <v/>
      </c>
      <c r="R74" t="str">
        <f t="shared" si="26"/>
        <v/>
      </c>
      <c r="S74" s="5"/>
      <c r="T74" s="5"/>
      <c r="U74" s="5"/>
      <c r="V74" s="21" t="str">
        <f t="shared" si="19"/>
        <v/>
      </c>
      <c r="W74" s="22" t="str">
        <f t="shared" si="20"/>
        <v/>
      </c>
      <c r="X74" s="21" t="str">
        <f t="shared" si="21"/>
        <v/>
      </c>
    </row>
    <row r="75" spans="6:24" x14ac:dyDescent="0.25">
      <c r="F75" s="2">
        <f t="shared" si="22"/>
        <v>44024</v>
      </c>
      <c r="G75">
        <f t="shared" si="23"/>
        <v>25649.75</v>
      </c>
      <c r="H75" s="3">
        <f>IF(F75&lt;&gt;"",MIN(G75*$B$20,$B$2*1.5-$B$9-SUM($H$3:H74)),"")</f>
        <v>0</v>
      </c>
      <c r="I75" s="3">
        <f t="shared" si="16"/>
        <v>11285.900000000001</v>
      </c>
      <c r="J75" s="5"/>
      <c r="K75" s="21">
        <f t="shared" si="14"/>
        <v>0</v>
      </c>
      <c r="L75" s="25">
        <f t="shared" si="15"/>
        <v>0</v>
      </c>
      <c r="M75" s="2" t="str">
        <f t="shared" si="17"/>
        <v/>
      </c>
      <c r="N75" s="3" t="str">
        <f t="shared" si="24"/>
        <v/>
      </c>
      <c r="O75" t="str">
        <f>IF(M76&lt;&gt;"",MIN(N75*$B$3,$B$2*1.5-$B$9-SUM($H$3:$H$200)-SUM($O$3:O74)),"")</f>
        <v/>
      </c>
      <c r="P75" s="3" t="str">
        <f t="shared" si="25"/>
        <v/>
      </c>
      <c r="Q75" t="str">
        <f t="shared" si="18"/>
        <v/>
      </c>
      <c r="R75" t="str">
        <f t="shared" si="26"/>
        <v/>
      </c>
      <c r="S75" s="5"/>
      <c r="T75" s="5"/>
      <c r="U75" s="5"/>
      <c r="V75" s="21" t="str">
        <f t="shared" si="19"/>
        <v/>
      </c>
      <c r="W75" s="22" t="str">
        <f t="shared" si="20"/>
        <v/>
      </c>
      <c r="X75" s="21" t="str">
        <f t="shared" si="21"/>
        <v/>
      </c>
    </row>
    <row r="76" spans="6:24" x14ac:dyDescent="0.25">
      <c r="F76" s="2">
        <f t="shared" si="22"/>
        <v>44025</v>
      </c>
      <c r="G76">
        <f t="shared" si="23"/>
        <v>25649.75</v>
      </c>
      <c r="H76" s="3">
        <f>IF(F76&lt;&gt;"",MIN(G76*$B$20,$B$2*1.5-$B$9-SUM($H$3:H75)),"")</f>
        <v>0</v>
      </c>
      <c r="I76" s="3">
        <f t="shared" si="16"/>
        <v>11285.900000000001</v>
      </c>
      <c r="J76" s="5"/>
      <c r="K76" s="21">
        <f t="shared" si="14"/>
        <v>0</v>
      </c>
      <c r="L76" s="25">
        <f t="shared" si="15"/>
        <v>0</v>
      </c>
      <c r="M76" s="2" t="str">
        <f t="shared" si="17"/>
        <v/>
      </c>
      <c r="N76" s="3" t="str">
        <f t="shared" si="24"/>
        <v/>
      </c>
      <c r="O76" t="str">
        <f>IF(M77&lt;&gt;"",MIN(N76*$B$3,$B$2*1.5-$B$9-SUM($H$3:$H$200)-SUM($O$3:O75)),"")</f>
        <v/>
      </c>
      <c r="P76" s="3" t="str">
        <f t="shared" si="25"/>
        <v/>
      </c>
      <c r="Q76" t="str">
        <f t="shared" si="18"/>
        <v/>
      </c>
      <c r="R76" t="str">
        <f t="shared" si="26"/>
        <v/>
      </c>
      <c r="S76" s="5"/>
      <c r="T76" s="5"/>
      <c r="U76" s="5"/>
      <c r="V76" s="21" t="str">
        <f t="shared" si="19"/>
        <v/>
      </c>
      <c r="W76" s="22" t="str">
        <f t="shared" si="20"/>
        <v/>
      </c>
      <c r="X76" s="21" t="str">
        <f t="shared" si="21"/>
        <v/>
      </c>
    </row>
    <row r="77" spans="6:24" x14ac:dyDescent="0.25">
      <c r="F77" s="2">
        <f t="shared" si="22"/>
        <v>44026</v>
      </c>
      <c r="G77">
        <f t="shared" si="23"/>
        <v>25649.75</v>
      </c>
      <c r="H77" s="3">
        <f>IF(F77&lt;&gt;"",MIN(G77*$B$20,$B$2*1.5-$B$9-SUM($H$3:H76)),"")</f>
        <v>0</v>
      </c>
      <c r="I77" s="3">
        <f t="shared" si="16"/>
        <v>11285.900000000001</v>
      </c>
      <c r="J77" s="5"/>
      <c r="K77" s="21">
        <f t="shared" si="14"/>
        <v>0</v>
      </c>
      <c r="L77" s="25">
        <f t="shared" si="15"/>
        <v>0</v>
      </c>
      <c r="M77" s="2" t="str">
        <f t="shared" si="17"/>
        <v/>
      </c>
      <c r="N77" s="3" t="str">
        <f t="shared" si="24"/>
        <v/>
      </c>
      <c r="O77" t="str">
        <f>IF(M78&lt;&gt;"",MIN(N77*$B$3,$B$2*1.5-$B$9-SUM($H$3:$H$200)-SUM($O$3:O76)),"")</f>
        <v/>
      </c>
      <c r="P77" s="3" t="str">
        <f t="shared" si="25"/>
        <v/>
      </c>
      <c r="Q77" t="str">
        <f t="shared" si="18"/>
        <v/>
      </c>
      <c r="R77" t="str">
        <f t="shared" si="26"/>
        <v/>
      </c>
      <c r="S77" s="5"/>
      <c r="T77" s="5"/>
      <c r="U77" s="5"/>
      <c r="V77" s="21" t="str">
        <f t="shared" si="19"/>
        <v/>
      </c>
      <c r="W77" s="22" t="str">
        <f t="shared" si="20"/>
        <v/>
      </c>
      <c r="X77" s="21" t="str">
        <f t="shared" si="21"/>
        <v/>
      </c>
    </row>
    <row r="78" spans="6:24" x14ac:dyDescent="0.25">
      <c r="F78" s="2">
        <f t="shared" si="22"/>
        <v>44027</v>
      </c>
      <c r="G78">
        <f t="shared" si="23"/>
        <v>25649.75</v>
      </c>
      <c r="H78" s="3">
        <f>IF(F78&lt;&gt;"",MIN(G78*$B$20,$B$2*1.5-$B$9-SUM($H$3:H77)),"")</f>
        <v>0</v>
      </c>
      <c r="I78" s="3">
        <f t="shared" si="16"/>
        <v>11285.900000000001</v>
      </c>
      <c r="J78" s="5"/>
      <c r="K78" s="21">
        <f t="shared" si="14"/>
        <v>0</v>
      </c>
      <c r="L78" s="25">
        <f t="shared" si="15"/>
        <v>0</v>
      </c>
      <c r="M78" s="2" t="str">
        <f t="shared" si="17"/>
        <v/>
      </c>
      <c r="N78" s="3" t="str">
        <f t="shared" si="24"/>
        <v/>
      </c>
      <c r="O78" t="str">
        <f>IF(M79&lt;&gt;"",MIN(N78*$B$3,$B$2*1.5-$B$9-SUM($H$3:$H$200)-SUM($O$3:O77)),"")</f>
        <v/>
      </c>
      <c r="P78" s="3" t="str">
        <f t="shared" si="25"/>
        <v/>
      </c>
      <c r="Q78" t="str">
        <f t="shared" si="18"/>
        <v/>
      </c>
      <c r="R78" t="str">
        <f t="shared" si="26"/>
        <v/>
      </c>
      <c r="S78" s="5"/>
      <c r="T78" s="5"/>
      <c r="U78" s="5"/>
      <c r="V78" s="21" t="str">
        <f t="shared" si="19"/>
        <v/>
      </c>
      <c r="W78" s="22" t="str">
        <f t="shared" si="20"/>
        <v/>
      </c>
      <c r="X78" s="21" t="str">
        <f t="shared" si="21"/>
        <v/>
      </c>
    </row>
    <row r="79" spans="6:24" x14ac:dyDescent="0.25">
      <c r="F79" s="2">
        <f t="shared" si="22"/>
        <v>44028</v>
      </c>
      <c r="G79">
        <f t="shared" si="23"/>
        <v>25649.75</v>
      </c>
      <c r="H79" s="3">
        <f>IF(F79&lt;&gt;"",MIN(G79*$B$20,$B$2*1.5-$B$9-SUM($H$3:H78)),"")</f>
        <v>0</v>
      </c>
      <c r="I79" s="3">
        <f t="shared" si="16"/>
        <v>11285.900000000001</v>
      </c>
      <c r="J79" s="5"/>
      <c r="K79" s="21">
        <f t="shared" si="14"/>
        <v>0</v>
      </c>
      <c r="L79" s="25">
        <f t="shared" si="15"/>
        <v>0</v>
      </c>
      <c r="M79" s="2" t="str">
        <f t="shared" si="17"/>
        <v/>
      </c>
      <c r="N79" s="3" t="str">
        <f t="shared" si="24"/>
        <v/>
      </c>
      <c r="O79" t="str">
        <f>IF(M80&lt;&gt;"",MIN(N79*$B$3,$B$2*1.5-$B$9-SUM($H$3:$H$200)-SUM($O$3:O78)),"")</f>
        <v/>
      </c>
      <c r="P79" s="3" t="str">
        <f t="shared" si="25"/>
        <v/>
      </c>
      <c r="Q79" t="str">
        <f t="shared" si="18"/>
        <v/>
      </c>
      <c r="R79" t="str">
        <f t="shared" si="26"/>
        <v/>
      </c>
      <c r="S79" s="5"/>
      <c r="T79" s="5"/>
      <c r="U79" s="5"/>
      <c r="V79" s="21" t="str">
        <f t="shared" si="19"/>
        <v/>
      </c>
      <c r="W79" s="22" t="str">
        <f t="shared" si="20"/>
        <v/>
      </c>
      <c r="X79" s="21" t="str">
        <f t="shared" si="21"/>
        <v/>
      </c>
    </row>
    <row r="80" spans="6:24" x14ac:dyDescent="0.25">
      <c r="F80" s="2">
        <f t="shared" si="22"/>
        <v>44029</v>
      </c>
      <c r="G80">
        <f t="shared" si="23"/>
        <v>25649.75</v>
      </c>
      <c r="H80" s="3">
        <f>IF(F80&lt;&gt;"",MIN(G80*$B$20,$B$2*1.5-$B$9-SUM($H$3:H79)),"")</f>
        <v>0</v>
      </c>
      <c r="I80" s="3">
        <f t="shared" si="16"/>
        <v>11285.900000000001</v>
      </c>
      <c r="J80" s="5"/>
      <c r="K80" s="21">
        <f t="shared" si="14"/>
        <v>0</v>
      </c>
      <c r="L80" s="25">
        <f t="shared" si="15"/>
        <v>0</v>
      </c>
      <c r="M80" s="2" t="str">
        <f t="shared" si="17"/>
        <v/>
      </c>
      <c r="N80" s="3" t="str">
        <f t="shared" si="24"/>
        <v/>
      </c>
      <c r="O80" t="str">
        <f>IF(M81&lt;&gt;"",MIN(N80*$B$3,$B$2*1.5-$B$9-SUM($H$3:$H$200)-SUM($O$3:O79)),"")</f>
        <v/>
      </c>
      <c r="P80" s="3" t="str">
        <f t="shared" si="25"/>
        <v/>
      </c>
      <c r="Q80" t="str">
        <f t="shared" si="18"/>
        <v/>
      </c>
      <c r="R80" t="str">
        <f t="shared" si="26"/>
        <v/>
      </c>
      <c r="S80" s="5"/>
      <c r="T80" s="5"/>
      <c r="U80" s="5"/>
      <c r="V80" s="21" t="str">
        <f t="shared" si="19"/>
        <v/>
      </c>
      <c r="W80" s="22" t="str">
        <f t="shared" si="20"/>
        <v/>
      </c>
      <c r="X80" s="21" t="str">
        <f t="shared" si="21"/>
        <v/>
      </c>
    </row>
    <row r="81" spans="6:24" x14ac:dyDescent="0.25">
      <c r="F81" s="2">
        <f t="shared" si="22"/>
        <v>44030</v>
      </c>
      <c r="G81">
        <f t="shared" si="23"/>
        <v>25649.75</v>
      </c>
      <c r="H81" s="3">
        <f>IF(F81&lt;&gt;"",MIN(G81*$B$20,$B$2*1.5-$B$9-SUM($H$3:H80)),"")</f>
        <v>0</v>
      </c>
      <c r="I81" s="3">
        <f t="shared" si="16"/>
        <v>11285.900000000001</v>
      </c>
      <c r="J81" s="5"/>
      <c r="K81" s="21">
        <f t="shared" si="14"/>
        <v>0</v>
      </c>
      <c r="L81" s="25">
        <f t="shared" si="15"/>
        <v>0</v>
      </c>
      <c r="M81" s="2" t="str">
        <f t="shared" si="17"/>
        <v/>
      </c>
      <c r="N81" s="3" t="str">
        <f t="shared" si="24"/>
        <v/>
      </c>
      <c r="O81" t="str">
        <f>IF(M82&lt;&gt;"",MIN(N81*$B$3,$B$2*1.5-$B$9-SUM($H$3:$H$200)-SUM($O$3:O80)),"")</f>
        <v/>
      </c>
      <c r="P81" s="3" t="str">
        <f t="shared" si="25"/>
        <v/>
      </c>
      <c r="Q81" t="str">
        <f t="shared" si="18"/>
        <v/>
      </c>
      <c r="R81" t="str">
        <f t="shared" si="26"/>
        <v/>
      </c>
      <c r="S81" s="5"/>
      <c r="T81" s="5"/>
      <c r="U81" s="5"/>
      <c r="V81" s="21" t="str">
        <f t="shared" si="19"/>
        <v/>
      </c>
      <c r="W81" s="22" t="str">
        <f t="shared" si="20"/>
        <v/>
      </c>
      <c r="X81" s="21" t="str">
        <f t="shared" si="21"/>
        <v/>
      </c>
    </row>
    <row r="82" spans="6:24" x14ac:dyDescent="0.25">
      <c r="F82" s="2">
        <f t="shared" si="22"/>
        <v>44031</v>
      </c>
      <c r="G82">
        <f t="shared" si="23"/>
        <v>25649.75</v>
      </c>
      <c r="H82" s="3">
        <f>IF(F82&lt;&gt;"",MIN(G82*$B$20,$B$2*1.5-$B$9-SUM($H$3:H81)),"")</f>
        <v>0</v>
      </c>
      <c r="I82" s="3">
        <f t="shared" si="16"/>
        <v>11285.900000000001</v>
      </c>
      <c r="J82" s="5"/>
      <c r="K82" s="21">
        <f t="shared" si="14"/>
        <v>0</v>
      </c>
      <c r="L82" s="25">
        <f t="shared" si="15"/>
        <v>0</v>
      </c>
      <c r="M82" s="2" t="str">
        <f t="shared" si="17"/>
        <v/>
      </c>
      <c r="N82" s="3" t="str">
        <f t="shared" si="24"/>
        <v/>
      </c>
      <c r="O82" t="str">
        <f>IF(M83&lt;&gt;"",MIN(N82*$B$3,$B$2*1.5-$B$9-SUM($H$3:$H$200)-SUM($O$3:O81)),"")</f>
        <v/>
      </c>
      <c r="P82" s="3" t="str">
        <f t="shared" si="25"/>
        <v/>
      </c>
      <c r="Q82" t="str">
        <f t="shared" si="18"/>
        <v/>
      </c>
      <c r="R82" t="str">
        <f t="shared" si="26"/>
        <v/>
      </c>
      <c r="S82" s="5"/>
      <c r="T82" s="5"/>
      <c r="U82" s="5"/>
      <c r="V82" s="21" t="str">
        <f t="shared" si="19"/>
        <v/>
      </c>
      <c r="W82" s="22" t="str">
        <f t="shared" si="20"/>
        <v/>
      </c>
      <c r="X82" s="21" t="str">
        <f t="shared" si="21"/>
        <v/>
      </c>
    </row>
    <row r="83" spans="6:24" x14ac:dyDescent="0.25">
      <c r="F83" s="2">
        <f t="shared" si="22"/>
        <v>44032</v>
      </c>
      <c r="G83">
        <f t="shared" si="23"/>
        <v>25649.75</v>
      </c>
      <c r="H83" s="3">
        <f>IF(F83&lt;&gt;"",MIN(G83*$B$20,$B$2*1.5-$B$9-SUM($H$3:H82)),"")</f>
        <v>0</v>
      </c>
      <c r="I83" s="3">
        <f t="shared" si="16"/>
        <v>11285.900000000001</v>
      </c>
      <c r="J83" s="5"/>
      <c r="K83" s="21">
        <f t="shared" si="14"/>
        <v>0</v>
      </c>
      <c r="L83" s="25">
        <f t="shared" si="15"/>
        <v>0</v>
      </c>
      <c r="M83" s="2" t="str">
        <f t="shared" si="17"/>
        <v/>
      </c>
      <c r="N83" s="3" t="str">
        <f t="shared" si="24"/>
        <v/>
      </c>
      <c r="O83" t="str">
        <f>IF(M84&lt;&gt;"",MIN(N83*$B$3,$B$2*1.5-$B$9-SUM($H$3:$H$200)-SUM($O$3:O82)),"")</f>
        <v/>
      </c>
      <c r="P83" s="3" t="str">
        <f t="shared" si="25"/>
        <v/>
      </c>
      <c r="Q83" t="str">
        <f t="shared" si="18"/>
        <v/>
      </c>
      <c r="R83" t="str">
        <f t="shared" si="26"/>
        <v/>
      </c>
      <c r="S83" s="5"/>
      <c r="T83" s="5"/>
      <c r="U83" s="5"/>
      <c r="V83" s="21" t="str">
        <f t="shared" si="19"/>
        <v/>
      </c>
      <c r="W83" s="22" t="str">
        <f t="shared" si="20"/>
        <v/>
      </c>
      <c r="X83" s="21" t="str">
        <f t="shared" si="21"/>
        <v/>
      </c>
    </row>
    <row r="84" spans="6:24" x14ac:dyDescent="0.25">
      <c r="F84" s="2">
        <f t="shared" si="22"/>
        <v>44033</v>
      </c>
      <c r="G84">
        <f t="shared" si="23"/>
        <v>25649.75</v>
      </c>
      <c r="H84" s="3">
        <f>IF(F84&lt;&gt;"",MIN(G84*$B$20,$B$2*1.5-$B$9-SUM($H$3:H83)),"")</f>
        <v>0</v>
      </c>
      <c r="I84" s="3">
        <f t="shared" si="16"/>
        <v>11285.900000000001</v>
      </c>
      <c r="J84" s="5"/>
      <c r="K84" s="21">
        <f t="shared" si="14"/>
        <v>0</v>
      </c>
      <c r="L84" s="25">
        <f t="shared" si="15"/>
        <v>0</v>
      </c>
      <c r="M84" s="2" t="str">
        <f t="shared" si="17"/>
        <v/>
      </c>
      <c r="N84" s="3" t="str">
        <f t="shared" si="24"/>
        <v/>
      </c>
      <c r="O84" t="str">
        <f>IF(M85&lt;&gt;"",MIN(N84*$B$3,$B$2*1.5-$B$9-SUM($H$3:$H$200)-SUM($O$3:O83)),"")</f>
        <v/>
      </c>
      <c r="P84" s="3" t="str">
        <f t="shared" si="25"/>
        <v/>
      </c>
      <c r="Q84" t="str">
        <f t="shared" si="18"/>
        <v/>
      </c>
      <c r="R84" t="str">
        <f t="shared" si="26"/>
        <v/>
      </c>
      <c r="S84" s="5"/>
      <c r="T84" s="5"/>
      <c r="U84" s="5"/>
      <c r="V84" s="21" t="str">
        <f t="shared" si="19"/>
        <v/>
      </c>
      <c r="W84" s="22" t="str">
        <f t="shared" si="20"/>
        <v/>
      </c>
      <c r="X84" s="21" t="str">
        <f t="shared" si="21"/>
        <v/>
      </c>
    </row>
    <row r="85" spans="6:24" x14ac:dyDescent="0.25">
      <c r="F85" s="2">
        <f t="shared" si="22"/>
        <v>44034</v>
      </c>
      <c r="G85">
        <f t="shared" si="23"/>
        <v>25649.75</v>
      </c>
      <c r="H85" s="3">
        <f>IF(F85&lt;&gt;"",MIN(G85*$B$20,$B$2*1.5-$B$9-SUM($H$3:H84)),"")</f>
        <v>0</v>
      </c>
      <c r="I85" s="3">
        <f t="shared" si="16"/>
        <v>11285.900000000001</v>
      </c>
      <c r="J85" s="5"/>
      <c r="K85" s="21">
        <f t="shared" si="14"/>
        <v>0</v>
      </c>
      <c r="L85" s="25">
        <f t="shared" si="15"/>
        <v>0</v>
      </c>
      <c r="M85" s="2" t="str">
        <f t="shared" si="17"/>
        <v/>
      </c>
      <c r="N85" s="3" t="str">
        <f t="shared" si="24"/>
        <v/>
      </c>
      <c r="O85" t="str">
        <f>IF(M86&lt;&gt;"",MIN(N85*$B$3,$B$2*1.5-$B$9-SUM($H$3:$H$200)-SUM($O$3:O84)),"")</f>
        <v/>
      </c>
      <c r="P85" s="3" t="str">
        <f t="shared" si="25"/>
        <v/>
      </c>
      <c r="Q85" t="str">
        <f t="shared" si="18"/>
        <v/>
      </c>
      <c r="R85" t="str">
        <f t="shared" si="26"/>
        <v/>
      </c>
      <c r="S85" s="5"/>
      <c r="T85" s="5"/>
      <c r="U85" s="5"/>
      <c r="V85" s="21" t="str">
        <f t="shared" si="19"/>
        <v/>
      </c>
      <c r="W85" s="22" t="str">
        <f t="shared" si="20"/>
        <v/>
      </c>
      <c r="X85" s="21" t="str">
        <f t="shared" si="21"/>
        <v/>
      </c>
    </row>
    <row r="86" spans="6:24" x14ac:dyDescent="0.25">
      <c r="F86" s="2">
        <f t="shared" si="22"/>
        <v>44035</v>
      </c>
      <c r="G86">
        <f t="shared" si="23"/>
        <v>25649.75</v>
      </c>
      <c r="H86" s="3">
        <f>IF(F86&lt;&gt;"",MIN(G86*$B$20,$B$2*1.5-$B$9-SUM($H$3:H85)),"")</f>
        <v>0</v>
      </c>
      <c r="I86" s="3">
        <f t="shared" si="16"/>
        <v>11285.900000000001</v>
      </c>
      <c r="J86" s="5"/>
      <c r="K86" s="21">
        <f t="shared" si="14"/>
        <v>0</v>
      </c>
      <c r="L86" s="25">
        <f t="shared" si="15"/>
        <v>0</v>
      </c>
      <c r="M86" s="2" t="str">
        <f t="shared" si="17"/>
        <v/>
      </c>
      <c r="N86" s="3" t="str">
        <f t="shared" si="24"/>
        <v/>
      </c>
      <c r="O86" t="str">
        <f>IF(M87&lt;&gt;"",MIN(N86*$B$3,$B$2*1.5-$B$9-SUM($H$3:$H$200)-SUM($O$3:O85)),"")</f>
        <v/>
      </c>
      <c r="P86" s="3" t="str">
        <f t="shared" si="25"/>
        <v/>
      </c>
      <c r="Q86" t="str">
        <f t="shared" si="18"/>
        <v/>
      </c>
      <c r="R86" t="str">
        <f t="shared" si="26"/>
        <v/>
      </c>
      <c r="S86" s="5"/>
      <c r="T86" s="5"/>
      <c r="U86" s="5"/>
      <c r="V86" s="21" t="str">
        <f t="shared" si="19"/>
        <v/>
      </c>
      <c r="W86" s="22" t="str">
        <f t="shared" si="20"/>
        <v/>
      </c>
      <c r="X86" s="21" t="str">
        <f t="shared" si="21"/>
        <v/>
      </c>
    </row>
    <row r="87" spans="6:24" x14ac:dyDescent="0.25">
      <c r="F87" s="2">
        <f t="shared" si="22"/>
        <v>44036</v>
      </c>
      <c r="G87">
        <f t="shared" si="23"/>
        <v>25649.75</v>
      </c>
      <c r="H87" s="3">
        <f>IF(F87&lt;&gt;"",MIN(G87*$B$20,$B$2*1.5-$B$9-SUM($H$3:H86)),"")</f>
        <v>0</v>
      </c>
      <c r="I87" s="3">
        <f t="shared" si="16"/>
        <v>11285.900000000001</v>
      </c>
      <c r="J87" s="5"/>
      <c r="K87" s="21">
        <f t="shared" si="14"/>
        <v>0</v>
      </c>
      <c r="L87" s="25">
        <f t="shared" si="15"/>
        <v>0</v>
      </c>
      <c r="M87" s="2" t="str">
        <f t="shared" si="17"/>
        <v/>
      </c>
      <c r="N87" s="3" t="str">
        <f t="shared" si="24"/>
        <v/>
      </c>
      <c r="O87" t="str">
        <f>IF(M88&lt;&gt;"",MIN(N87*$B$3,$B$2*1.5-$B$9-SUM($H$3:$H$200)-SUM($O$3:O86)),"")</f>
        <v/>
      </c>
      <c r="P87" s="3" t="str">
        <f t="shared" si="25"/>
        <v/>
      </c>
      <c r="Q87" t="str">
        <f t="shared" si="18"/>
        <v/>
      </c>
      <c r="R87" t="str">
        <f t="shared" si="26"/>
        <v/>
      </c>
      <c r="S87" s="5"/>
      <c r="T87" s="5"/>
      <c r="U87" s="5"/>
      <c r="V87" s="21" t="str">
        <f t="shared" si="19"/>
        <v/>
      </c>
      <c r="W87" s="22" t="str">
        <f t="shared" si="20"/>
        <v/>
      </c>
      <c r="X87" s="21" t="str">
        <f t="shared" si="21"/>
        <v/>
      </c>
    </row>
    <row r="88" spans="6:24" x14ac:dyDescent="0.25">
      <c r="F88" s="2">
        <f t="shared" si="22"/>
        <v>44037</v>
      </c>
      <c r="G88">
        <f t="shared" si="23"/>
        <v>25649.75</v>
      </c>
      <c r="H88" s="3">
        <f>IF(F88&lt;&gt;"",MIN(G88*$B$20,$B$2*1.5-$B$9-SUM($H$3:H87)),"")</f>
        <v>0</v>
      </c>
      <c r="I88" s="3">
        <f t="shared" si="16"/>
        <v>11285.900000000001</v>
      </c>
      <c r="J88" s="5"/>
      <c r="K88" s="21">
        <f t="shared" si="14"/>
        <v>0</v>
      </c>
      <c r="L88" s="25">
        <f t="shared" si="15"/>
        <v>0</v>
      </c>
      <c r="M88" s="2" t="str">
        <f t="shared" si="17"/>
        <v/>
      </c>
      <c r="N88" s="3" t="str">
        <f t="shared" si="24"/>
        <v/>
      </c>
      <c r="O88" t="str">
        <f>IF(M89&lt;&gt;"",MIN(N88*$B$3,$B$2*1.5-$B$9-SUM($H$3:$H$200)-SUM($O$3:O87)),"")</f>
        <v/>
      </c>
      <c r="P88" s="3" t="str">
        <f t="shared" si="25"/>
        <v/>
      </c>
      <c r="Q88" t="str">
        <f t="shared" si="18"/>
        <v/>
      </c>
      <c r="R88" t="str">
        <f t="shared" si="26"/>
        <v/>
      </c>
      <c r="S88" s="5"/>
      <c r="T88" s="5"/>
      <c r="U88" s="5"/>
      <c r="V88" s="21" t="str">
        <f t="shared" si="19"/>
        <v/>
      </c>
      <c r="W88" s="22" t="str">
        <f t="shared" si="20"/>
        <v/>
      </c>
      <c r="X88" s="21" t="str">
        <f t="shared" si="21"/>
        <v/>
      </c>
    </row>
    <row r="89" spans="6:24" x14ac:dyDescent="0.25">
      <c r="F89" s="2">
        <f t="shared" si="22"/>
        <v>44038</v>
      </c>
      <c r="G89">
        <f t="shared" si="23"/>
        <v>25649.75</v>
      </c>
      <c r="H89" s="3">
        <f>IF(F89&lt;&gt;"",MIN(G89*$B$20,$B$2*1.5-$B$9-SUM($H$3:H88)),"")</f>
        <v>0</v>
      </c>
      <c r="I89" s="3">
        <f t="shared" si="16"/>
        <v>11285.900000000001</v>
      </c>
      <c r="J89" s="5"/>
      <c r="K89" s="21">
        <f t="shared" si="14"/>
        <v>0</v>
      </c>
      <c r="L89" s="25">
        <f t="shared" si="15"/>
        <v>0</v>
      </c>
      <c r="M89" s="2" t="str">
        <f t="shared" si="17"/>
        <v/>
      </c>
      <c r="N89" s="3" t="str">
        <f t="shared" si="24"/>
        <v/>
      </c>
      <c r="O89" t="str">
        <f>IF(M90&lt;&gt;"",MIN(N89*$B$3,$B$2*1.5-$B$9-SUM($H$3:$H$200)-SUM($O$3:O88)),"")</f>
        <v/>
      </c>
      <c r="P89" s="3" t="str">
        <f t="shared" si="25"/>
        <v/>
      </c>
      <c r="Q89" t="str">
        <f t="shared" si="18"/>
        <v/>
      </c>
      <c r="R89" t="str">
        <f t="shared" si="26"/>
        <v/>
      </c>
      <c r="S89" s="5"/>
      <c r="T89" s="5"/>
      <c r="U89" s="5"/>
      <c r="V89" s="21" t="str">
        <f t="shared" si="19"/>
        <v/>
      </c>
      <c r="W89" s="22" t="str">
        <f t="shared" si="20"/>
        <v/>
      </c>
      <c r="X89" s="21" t="str">
        <f t="shared" si="21"/>
        <v/>
      </c>
    </row>
    <row r="90" spans="6:24" x14ac:dyDescent="0.25">
      <c r="F90" s="2">
        <f t="shared" si="22"/>
        <v>44039</v>
      </c>
      <c r="G90">
        <f t="shared" si="23"/>
        <v>25649.75</v>
      </c>
      <c r="H90" s="3">
        <f>IF(F90&lt;&gt;"",MIN(G90*$B$20,$B$2*1.5-$B$9-SUM($H$3:H89)),"")</f>
        <v>0</v>
      </c>
      <c r="I90" s="3">
        <f t="shared" si="16"/>
        <v>11285.900000000001</v>
      </c>
      <c r="J90" s="5"/>
      <c r="K90" s="21">
        <f t="shared" si="14"/>
        <v>0</v>
      </c>
      <c r="L90" s="25">
        <f t="shared" si="15"/>
        <v>0</v>
      </c>
      <c r="M90" s="2" t="str">
        <f t="shared" si="17"/>
        <v/>
      </c>
      <c r="N90" s="3" t="str">
        <f t="shared" si="24"/>
        <v/>
      </c>
      <c r="O90" t="str">
        <f>IF(M91&lt;&gt;"",MIN(N90*$B$3,$B$2*1.5-$B$9-SUM($H$3:$H$200)-SUM($O$3:O89)),"")</f>
        <v/>
      </c>
      <c r="P90" s="3" t="str">
        <f t="shared" si="25"/>
        <v/>
      </c>
      <c r="Q90" t="str">
        <f t="shared" si="18"/>
        <v/>
      </c>
      <c r="R90" t="str">
        <f t="shared" si="26"/>
        <v/>
      </c>
      <c r="S90" s="5"/>
      <c r="T90" s="5"/>
      <c r="U90" s="5"/>
      <c r="V90" s="21" t="str">
        <f t="shared" si="19"/>
        <v/>
      </c>
      <c r="W90" s="22" t="str">
        <f t="shared" si="20"/>
        <v/>
      </c>
      <c r="X90" s="21" t="str">
        <f t="shared" si="21"/>
        <v/>
      </c>
    </row>
    <row r="91" spans="6:24" x14ac:dyDescent="0.25">
      <c r="F91" s="2">
        <f t="shared" si="22"/>
        <v>44040</v>
      </c>
      <c r="G91">
        <f t="shared" si="23"/>
        <v>25649.75</v>
      </c>
      <c r="H91" s="3">
        <f>IF(F91&lt;&gt;"",MIN(G91*$B$20,$B$2*1.5-$B$9-SUM($H$3:H90)),"")</f>
        <v>0</v>
      </c>
      <c r="I91" s="3">
        <f t="shared" si="16"/>
        <v>11285.900000000001</v>
      </c>
      <c r="J91" s="5"/>
      <c r="K91" s="21">
        <f t="shared" si="14"/>
        <v>0</v>
      </c>
      <c r="L91" s="25">
        <f t="shared" si="15"/>
        <v>0</v>
      </c>
      <c r="M91" s="2" t="str">
        <f t="shared" si="17"/>
        <v/>
      </c>
      <c r="N91" s="3" t="str">
        <f t="shared" si="24"/>
        <v/>
      </c>
      <c r="O91" t="str">
        <f>IF(M92&lt;&gt;"",MIN(N91*$B$3,$B$2*1.5-$B$9-SUM($H$3:$H$200)-SUM($O$3:O90)),"")</f>
        <v/>
      </c>
      <c r="P91" s="3" t="str">
        <f t="shared" si="25"/>
        <v/>
      </c>
      <c r="Q91" t="str">
        <f t="shared" si="18"/>
        <v/>
      </c>
      <c r="R91" t="str">
        <f t="shared" si="26"/>
        <v/>
      </c>
      <c r="S91" s="5"/>
      <c r="T91" s="5"/>
      <c r="U91" s="5"/>
      <c r="V91" s="21" t="str">
        <f t="shared" si="19"/>
        <v/>
      </c>
      <c r="W91" s="22" t="str">
        <f t="shared" si="20"/>
        <v/>
      </c>
      <c r="X91" s="21" t="str">
        <f t="shared" si="21"/>
        <v/>
      </c>
    </row>
    <row r="92" spans="6:24" x14ac:dyDescent="0.25">
      <c r="F92" s="2">
        <f t="shared" si="22"/>
        <v>44041</v>
      </c>
      <c r="G92">
        <f t="shared" si="23"/>
        <v>25649.75</v>
      </c>
      <c r="H92" s="3">
        <f>IF(F92&lt;&gt;"",MIN(G92*$B$20,$B$2*1.5-$B$9-SUM($H$3:H91)),"")</f>
        <v>0</v>
      </c>
      <c r="I92" s="3">
        <f t="shared" si="16"/>
        <v>11285.900000000001</v>
      </c>
      <c r="J92" s="5"/>
      <c r="K92" s="21">
        <f t="shared" si="14"/>
        <v>0</v>
      </c>
      <c r="L92" s="25">
        <f t="shared" si="15"/>
        <v>0</v>
      </c>
      <c r="M92" s="2" t="str">
        <f t="shared" si="17"/>
        <v/>
      </c>
      <c r="N92" s="3" t="str">
        <f t="shared" si="24"/>
        <v/>
      </c>
      <c r="O92" t="str">
        <f>IF(M93&lt;&gt;"",MIN(N92*$B$3,$B$2*1.5-$B$9-SUM($H$3:$H$200)-SUM($O$3:O91)),"")</f>
        <v/>
      </c>
      <c r="P92" s="3" t="str">
        <f t="shared" si="25"/>
        <v/>
      </c>
      <c r="Q92" t="str">
        <f t="shared" si="18"/>
        <v/>
      </c>
      <c r="R92" t="str">
        <f t="shared" si="26"/>
        <v/>
      </c>
      <c r="S92" s="5"/>
      <c r="T92" s="5"/>
      <c r="U92" s="5"/>
      <c r="V92" s="21" t="str">
        <f t="shared" si="19"/>
        <v/>
      </c>
      <c r="W92" s="22" t="str">
        <f t="shared" si="20"/>
        <v/>
      </c>
      <c r="X92" s="21" t="str">
        <f t="shared" si="21"/>
        <v/>
      </c>
    </row>
    <row r="93" spans="6:24" x14ac:dyDescent="0.25">
      <c r="F93" s="2">
        <f t="shared" si="22"/>
        <v>44042</v>
      </c>
      <c r="G93">
        <f t="shared" si="23"/>
        <v>25649.75</v>
      </c>
      <c r="H93" s="3">
        <f>IF(F93&lt;&gt;"",MIN(G93*$B$20,$B$2*1.5-$B$9-SUM($H$3:H92)),"")</f>
        <v>0</v>
      </c>
      <c r="I93" s="3">
        <f t="shared" si="16"/>
        <v>11285.900000000001</v>
      </c>
      <c r="J93" s="5"/>
      <c r="K93" s="21">
        <f t="shared" si="14"/>
        <v>0</v>
      </c>
      <c r="L93" s="25">
        <f t="shared" si="15"/>
        <v>0</v>
      </c>
      <c r="M93" s="2" t="str">
        <f t="shared" si="17"/>
        <v/>
      </c>
      <c r="N93" s="3" t="str">
        <f t="shared" si="24"/>
        <v/>
      </c>
      <c r="O93" t="str">
        <f>IF(M94&lt;&gt;"",MIN(N93*$B$3,$B$2*1.5-$B$9-SUM($H$3:$H$200)-SUM($O$3:O92)),"")</f>
        <v/>
      </c>
      <c r="P93" s="3" t="str">
        <f t="shared" si="25"/>
        <v/>
      </c>
      <c r="Q93" t="str">
        <f t="shared" si="18"/>
        <v/>
      </c>
      <c r="R93" t="str">
        <f t="shared" si="26"/>
        <v/>
      </c>
      <c r="S93" s="5"/>
      <c r="T93" s="5"/>
      <c r="U93" s="5"/>
      <c r="V93" s="21" t="str">
        <f t="shared" si="19"/>
        <v/>
      </c>
      <c r="W93" s="22" t="str">
        <f t="shared" si="20"/>
        <v/>
      </c>
      <c r="X93" s="21" t="str">
        <f t="shared" si="21"/>
        <v/>
      </c>
    </row>
    <row r="94" spans="6:24" x14ac:dyDescent="0.25">
      <c r="F94" s="2">
        <f t="shared" si="22"/>
        <v>44043</v>
      </c>
      <c r="G94">
        <f t="shared" si="23"/>
        <v>25649.75</v>
      </c>
      <c r="H94" s="3">
        <f>IF(F94&lt;&gt;"",MIN(G94*$B$20,$B$2*1.5-$B$9-SUM($H$3:H93)),"")</f>
        <v>0</v>
      </c>
      <c r="I94" s="3">
        <f t="shared" si="16"/>
        <v>11285.900000000001</v>
      </c>
      <c r="J94" s="5"/>
      <c r="K94" s="21">
        <f t="shared" si="14"/>
        <v>0</v>
      </c>
      <c r="L94" s="25">
        <f t="shared" si="15"/>
        <v>0</v>
      </c>
      <c r="M94" s="2" t="str">
        <f t="shared" si="17"/>
        <v/>
      </c>
      <c r="N94" s="3" t="str">
        <f t="shared" si="24"/>
        <v/>
      </c>
      <c r="O94" t="str">
        <f>IF(M95&lt;&gt;"",MIN(N94*$B$3,$B$2*1.5-$B$9-SUM($H$3:$H$200)-SUM($O$3:O93)),"")</f>
        <v/>
      </c>
      <c r="P94" s="3" t="str">
        <f t="shared" si="25"/>
        <v/>
      </c>
      <c r="Q94" t="str">
        <f t="shared" si="18"/>
        <v/>
      </c>
      <c r="R94" t="str">
        <f t="shared" si="26"/>
        <v/>
      </c>
      <c r="S94" s="5"/>
      <c r="T94" s="5"/>
      <c r="U94" s="5"/>
      <c r="V94" s="21" t="str">
        <f t="shared" si="19"/>
        <v/>
      </c>
      <c r="W94" s="22" t="str">
        <f t="shared" si="20"/>
        <v/>
      </c>
      <c r="X94" s="21" t="str">
        <f t="shared" si="21"/>
        <v/>
      </c>
    </row>
    <row r="95" spans="6:24" x14ac:dyDescent="0.25">
      <c r="F95" s="2">
        <f t="shared" si="22"/>
        <v>44044</v>
      </c>
      <c r="G95">
        <f t="shared" si="23"/>
        <v>25649.75</v>
      </c>
      <c r="H95" s="3">
        <f>IF(F95&lt;&gt;"",MIN(G95*$B$20,$B$2*1.5-$B$9-SUM($H$3:H94)),"")</f>
        <v>0</v>
      </c>
      <c r="I95" s="3">
        <f t="shared" si="16"/>
        <v>11285.900000000001</v>
      </c>
      <c r="J95" s="5"/>
      <c r="K95" s="21">
        <f t="shared" si="14"/>
        <v>0</v>
      </c>
      <c r="L95" s="25">
        <f t="shared" si="15"/>
        <v>0</v>
      </c>
      <c r="M95" s="2" t="str">
        <f t="shared" si="17"/>
        <v/>
      </c>
      <c r="N95" s="3" t="str">
        <f t="shared" si="24"/>
        <v/>
      </c>
      <c r="O95" t="str">
        <f>IF(M96&lt;&gt;"",MIN(N95*$B$3,$B$2*1.5-$B$9-SUM($H$3:$H$200)-SUM($O$3:O94)),"")</f>
        <v/>
      </c>
      <c r="P95" s="3" t="str">
        <f t="shared" si="25"/>
        <v/>
      </c>
      <c r="Q95" t="str">
        <f t="shared" si="18"/>
        <v/>
      </c>
      <c r="R95" t="str">
        <f t="shared" si="26"/>
        <v/>
      </c>
      <c r="S95" s="5"/>
      <c r="T95" s="5"/>
      <c r="U95" s="5"/>
      <c r="V95" s="21" t="str">
        <f t="shared" si="19"/>
        <v/>
      </c>
      <c r="W95" s="22" t="str">
        <f t="shared" si="20"/>
        <v/>
      </c>
      <c r="X95" s="21" t="str">
        <f t="shared" si="21"/>
        <v/>
      </c>
    </row>
    <row r="96" spans="6:24" x14ac:dyDescent="0.25">
      <c r="F96" s="2">
        <f t="shared" si="22"/>
        <v>44045</v>
      </c>
      <c r="G96">
        <f t="shared" si="23"/>
        <v>25649.75</v>
      </c>
      <c r="H96" s="3">
        <f>IF(F96&lt;&gt;"",MIN(G96*$B$20,$B$2*1.5-$B$9-SUM($H$3:H95)),"")</f>
        <v>0</v>
      </c>
      <c r="I96" s="3">
        <f t="shared" si="16"/>
        <v>11285.900000000001</v>
      </c>
      <c r="J96" s="5"/>
      <c r="K96" s="21">
        <f t="shared" si="14"/>
        <v>0</v>
      </c>
      <c r="L96" s="25">
        <f t="shared" si="15"/>
        <v>0</v>
      </c>
      <c r="M96" s="2" t="str">
        <f t="shared" si="17"/>
        <v/>
      </c>
      <c r="N96" s="3" t="str">
        <f t="shared" si="24"/>
        <v/>
      </c>
      <c r="O96" t="str">
        <f>IF(M97&lt;&gt;"",MIN(N96*$B$3,$B$2*1.5-$B$9-SUM($H$3:$H$200)-SUM($O$3:O95)),"")</f>
        <v/>
      </c>
      <c r="P96" s="3" t="str">
        <f t="shared" si="25"/>
        <v/>
      </c>
      <c r="Q96" t="str">
        <f t="shared" si="18"/>
        <v/>
      </c>
      <c r="R96" t="str">
        <f t="shared" si="26"/>
        <v/>
      </c>
      <c r="S96" s="5"/>
      <c r="T96" s="5"/>
      <c r="U96" s="5"/>
      <c r="V96" s="21" t="str">
        <f t="shared" si="19"/>
        <v/>
      </c>
      <c r="W96" s="22" t="str">
        <f t="shared" si="20"/>
        <v/>
      </c>
      <c r="X96" s="21" t="str">
        <f t="shared" si="21"/>
        <v/>
      </c>
    </row>
    <row r="97" spans="6:24" x14ac:dyDescent="0.25">
      <c r="F97" s="2">
        <f t="shared" si="22"/>
        <v>44046</v>
      </c>
      <c r="G97">
        <f t="shared" si="23"/>
        <v>25649.75</v>
      </c>
      <c r="H97" s="3">
        <f>IF(F97&lt;&gt;"",MIN(G97*$B$20,$B$2*1.5-$B$9-SUM($H$3:H96)),"")</f>
        <v>0</v>
      </c>
      <c r="I97" s="3">
        <f t="shared" si="16"/>
        <v>11285.900000000001</v>
      </c>
      <c r="J97" s="5"/>
      <c r="K97" s="21">
        <f t="shared" si="14"/>
        <v>0</v>
      </c>
      <c r="L97" s="25">
        <f t="shared" si="15"/>
        <v>0</v>
      </c>
      <c r="M97" s="2" t="str">
        <f t="shared" si="17"/>
        <v/>
      </c>
      <c r="N97" s="3" t="str">
        <f t="shared" si="24"/>
        <v/>
      </c>
      <c r="O97" t="str">
        <f>IF(M98&lt;&gt;"",MIN(N97*$B$3,$B$2*1.5-$B$9-SUM($H$3:$H$200)-SUM($O$3:O96)),"")</f>
        <v/>
      </c>
      <c r="P97" s="3" t="str">
        <f t="shared" si="25"/>
        <v/>
      </c>
      <c r="Q97" t="str">
        <f t="shared" si="18"/>
        <v/>
      </c>
      <c r="R97" t="str">
        <f t="shared" si="26"/>
        <v/>
      </c>
      <c r="S97" s="5"/>
      <c r="T97" s="5"/>
      <c r="U97" s="5"/>
      <c r="V97" s="21" t="str">
        <f t="shared" si="19"/>
        <v/>
      </c>
      <c r="W97" s="22" t="str">
        <f t="shared" si="20"/>
        <v/>
      </c>
      <c r="X97" s="21" t="str">
        <f t="shared" si="21"/>
        <v/>
      </c>
    </row>
    <row r="98" spans="6:24" x14ac:dyDescent="0.25">
      <c r="F98" s="2">
        <f t="shared" si="22"/>
        <v>44047</v>
      </c>
      <c r="G98">
        <f t="shared" si="23"/>
        <v>25649.75</v>
      </c>
      <c r="H98" s="3">
        <f>IF(F98&lt;&gt;"",MIN(G98*$B$20,$B$2*1.5-$B$9-SUM($H$3:H97)),"")</f>
        <v>0</v>
      </c>
      <c r="I98" s="3">
        <f t="shared" si="16"/>
        <v>11285.900000000001</v>
      </c>
      <c r="J98" s="5"/>
      <c r="K98" s="21">
        <f t="shared" si="14"/>
        <v>0</v>
      </c>
      <c r="L98" s="25">
        <f t="shared" si="15"/>
        <v>0</v>
      </c>
      <c r="M98" s="2" t="str">
        <f t="shared" si="17"/>
        <v/>
      </c>
      <c r="N98" s="3" t="str">
        <f t="shared" si="24"/>
        <v/>
      </c>
      <c r="O98" t="str">
        <f>IF(M99&lt;&gt;"",MIN(N98*$B$3,$B$2*1.5-$B$9-SUM($H$3:$H$200)-SUM($O$3:O97)),"")</f>
        <v/>
      </c>
      <c r="P98" s="3" t="str">
        <f t="shared" si="25"/>
        <v/>
      </c>
      <c r="Q98" t="str">
        <f t="shared" si="18"/>
        <v/>
      </c>
      <c r="R98" t="str">
        <f t="shared" si="26"/>
        <v/>
      </c>
      <c r="S98" s="5"/>
      <c r="T98" s="5"/>
      <c r="U98" s="5"/>
      <c r="V98" s="21" t="str">
        <f t="shared" si="19"/>
        <v/>
      </c>
      <c r="W98" s="22" t="str">
        <f t="shared" si="20"/>
        <v/>
      </c>
      <c r="X98" s="21" t="str">
        <f t="shared" si="21"/>
        <v/>
      </c>
    </row>
    <row r="99" spans="6:24" x14ac:dyDescent="0.25">
      <c r="F99" s="2">
        <f t="shared" si="22"/>
        <v>44048</v>
      </c>
      <c r="G99">
        <f t="shared" si="23"/>
        <v>25649.75</v>
      </c>
      <c r="H99" s="3">
        <f>IF(F99&lt;&gt;"",MIN(G99*$B$20,$B$2*1.5-$B$9-SUM($H$3:H98)),"")</f>
        <v>0</v>
      </c>
      <c r="I99" s="3">
        <f t="shared" si="16"/>
        <v>11285.900000000001</v>
      </c>
      <c r="J99" s="5"/>
      <c r="K99" s="21">
        <f t="shared" si="14"/>
        <v>0</v>
      </c>
      <c r="L99" s="25">
        <f t="shared" si="15"/>
        <v>0</v>
      </c>
      <c r="M99" s="2" t="str">
        <f t="shared" si="17"/>
        <v/>
      </c>
      <c r="N99" s="3" t="str">
        <f t="shared" si="24"/>
        <v/>
      </c>
      <c r="O99" t="str">
        <f>IF(M100&lt;&gt;"",MIN(N99*$B$3,$B$2*1.5-$B$9-SUM($H$3:$H$200)-SUM($O$3:O98)),"")</f>
        <v/>
      </c>
      <c r="P99" s="3" t="str">
        <f t="shared" si="25"/>
        <v/>
      </c>
      <c r="Q99" t="str">
        <f t="shared" si="18"/>
        <v/>
      </c>
      <c r="R99" t="str">
        <f t="shared" si="26"/>
        <v/>
      </c>
      <c r="S99" s="5"/>
      <c r="T99" s="5"/>
      <c r="U99" s="5"/>
      <c r="V99" s="21" t="str">
        <f t="shared" si="19"/>
        <v/>
      </c>
      <c r="W99" s="22" t="str">
        <f t="shared" si="20"/>
        <v/>
      </c>
      <c r="X99" s="21" t="str">
        <f t="shared" si="21"/>
        <v/>
      </c>
    </row>
    <row r="100" spans="6:24" x14ac:dyDescent="0.25">
      <c r="F100" s="2">
        <f t="shared" si="22"/>
        <v>44049</v>
      </c>
      <c r="G100">
        <f t="shared" si="23"/>
        <v>25649.75</v>
      </c>
      <c r="H100" s="3">
        <f>IF(F100&lt;&gt;"",MIN(G100*$B$20,$B$2*1.5-$B$9-SUM($H$3:H99)),"")</f>
        <v>0</v>
      </c>
      <c r="I100" s="3">
        <f t="shared" si="16"/>
        <v>11285.900000000001</v>
      </c>
      <c r="J100" s="5"/>
      <c r="K100" s="21">
        <f t="shared" si="14"/>
        <v>0</v>
      </c>
      <c r="L100" s="25">
        <f t="shared" si="15"/>
        <v>0</v>
      </c>
      <c r="M100" s="2" t="str">
        <f t="shared" ref="M100:M131" si="27">IF(OR(M99&lt;$B$22,$B$22=""),
IF(M99=$B$17-1,$B$18, M99+1),"")</f>
        <v/>
      </c>
      <c r="N100" s="3" t="str">
        <f t="shared" si="24"/>
        <v/>
      </c>
      <c r="O100" t="str">
        <f>IF(M101&lt;&gt;"",MIN(N100*$B$3,$B$2*1.5-$B$9-SUM($H$3:$H$200)-SUM($O$3:O99)),"")</f>
        <v/>
      </c>
      <c r="P100" s="3" t="str">
        <f t="shared" si="25"/>
        <v/>
      </c>
      <c r="Q100" t="str">
        <f t="shared" si="18"/>
        <v/>
      </c>
      <c r="R100" t="str">
        <f t="shared" si="26"/>
        <v/>
      </c>
      <c r="S100" s="5"/>
      <c r="T100" s="5"/>
      <c r="U100" s="5"/>
      <c r="V100" s="21" t="str">
        <f t="shared" si="19"/>
        <v/>
      </c>
      <c r="W100" s="22" t="str">
        <f t="shared" si="20"/>
        <v/>
      </c>
      <c r="X100" s="21" t="str">
        <f t="shared" si="21"/>
        <v/>
      </c>
    </row>
    <row r="101" spans="6:24" x14ac:dyDescent="0.25">
      <c r="F101" s="2">
        <f t="shared" si="22"/>
        <v>44050</v>
      </c>
      <c r="G101">
        <f t="shared" si="23"/>
        <v>25649.75</v>
      </c>
      <c r="H101" s="3">
        <f>IF(F101&lt;&gt;"",MIN(G101*$B$20,$B$2*1.5-$B$9-SUM($H$3:H100)),"")</f>
        <v>0</v>
      </c>
      <c r="I101" s="3">
        <f t="shared" si="16"/>
        <v>11285.900000000001</v>
      </c>
      <c r="J101" s="5"/>
      <c r="K101" s="21">
        <f t="shared" si="14"/>
        <v>0</v>
      </c>
      <c r="L101" s="25">
        <f t="shared" si="15"/>
        <v>0</v>
      </c>
      <c r="M101" s="2" t="str">
        <f t="shared" si="27"/>
        <v/>
      </c>
      <c r="N101" s="3" t="str">
        <f t="shared" si="24"/>
        <v/>
      </c>
      <c r="O101" t="str">
        <f>IF(M102&lt;&gt;"",MIN(N101*$B$3,$B$2*1.5-$B$9-SUM($H$3:$H$200)-SUM($O$3:O100)),"")</f>
        <v/>
      </c>
      <c r="P101" s="3" t="str">
        <f t="shared" si="25"/>
        <v/>
      </c>
      <c r="Q101" t="str">
        <f t="shared" si="18"/>
        <v/>
      </c>
      <c r="R101" t="str">
        <f t="shared" si="26"/>
        <v/>
      </c>
      <c r="S101" s="5"/>
      <c r="T101" s="5"/>
      <c r="U101" s="5"/>
      <c r="V101" s="21" t="str">
        <f t="shared" si="19"/>
        <v/>
      </c>
      <c r="W101" s="22" t="str">
        <f t="shared" si="20"/>
        <v/>
      </c>
      <c r="X101" s="21" t="str">
        <f t="shared" si="21"/>
        <v/>
      </c>
    </row>
    <row r="102" spans="6:24" x14ac:dyDescent="0.25">
      <c r="F102" s="2">
        <f t="shared" si="22"/>
        <v>44051</v>
      </c>
      <c r="G102">
        <f t="shared" si="23"/>
        <v>25649.75</v>
      </c>
      <c r="H102" s="3">
        <f>IF(F102&lt;&gt;"",MIN(G102*$B$20,$B$2*1.5-$B$9-SUM($H$3:H101)),"")</f>
        <v>0</v>
      </c>
      <c r="I102" s="3">
        <f t="shared" si="16"/>
        <v>11285.900000000001</v>
      </c>
      <c r="J102" s="5"/>
      <c r="K102" s="21">
        <f t="shared" si="14"/>
        <v>0</v>
      </c>
      <c r="L102" s="25">
        <f t="shared" si="15"/>
        <v>0</v>
      </c>
      <c r="M102" s="2" t="str">
        <f t="shared" si="27"/>
        <v/>
      </c>
      <c r="N102" s="3" t="str">
        <f t="shared" si="24"/>
        <v/>
      </c>
      <c r="O102" t="str">
        <f>IF(M103&lt;&gt;"",MIN(N102*$B$3,$B$2*1.5-$B$9-SUM($H$3:$H$200)-SUM($O$3:O101)),"")</f>
        <v/>
      </c>
      <c r="P102" s="3" t="str">
        <f t="shared" si="25"/>
        <v/>
      </c>
      <c r="Q102" t="str">
        <f t="shared" si="18"/>
        <v/>
      </c>
      <c r="R102" t="str">
        <f t="shared" si="26"/>
        <v/>
      </c>
      <c r="S102" s="5"/>
      <c r="T102" s="5"/>
      <c r="U102" s="5"/>
      <c r="V102" s="21" t="str">
        <f t="shared" si="19"/>
        <v/>
      </c>
      <c r="W102" s="22" t="str">
        <f t="shared" si="20"/>
        <v/>
      </c>
      <c r="X102" s="21" t="str">
        <f t="shared" si="21"/>
        <v/>
      </c>
    </row>
    <row r="103" spans="6:24" x14ac:dyDescent="0.25">
      <c r="F103" s="2">
        <f t="shared" si="22"/>
        <v>44052</v>
      </c>
      <c r="G103">
        <f t="shared" si="23"/>
        <v>25649.75</v>
      </c>
      <c r="H103" s="3">
        <f>IF(F103&lt;&gt;"",MIN(G103*$B$20,$B$2*1.5-$B$9-SUM($H$3:H102)),"")</f>
        <v>0</v>
      </c>
      <c r="I103" s="3">
        <f t="shared" si="16"/>
        <v>11285.900000000001</v>
      </c>
      <c r="J103" s="5"/>
      <c r="K103" s="21">
        <f t="shared" si="14"/>
        <v>0</v>
      </c>
      <c r="L103" s="25">
        <f t="shared" si="15"/>
        <v>0</v>
      </c>
      <c r="M103" s="2" t="str">
        <f t="shared" si="27"/>
        <v/>
      </c>
      <c r="N103" s="3" t="str">
        <f t="shared" si="24"/>
        <v/>
      </c>
      <c r="O103" t="str">
        <f>IF(M104&lt;&gt;"",MIN(N103*$B$3,$B$2*1.5-$B$9-SUM($H$3:$H$200)-SUM($O$3:O102)),"")</f>
        <v/>
      </c>
      <c r="P103" s="3" t="str">
        <f t="shared" si="25"/>
        <v/>
      </c>
      <c r="Q103" t="str">
        <f t="shared" si="18"/>
        <v/>
      </c>
      <c r="R103" t="str">
        <f t="shared" si="26"/>
        <v/>
      </c>
      <c r="S103" s="5"/>
      <c r="T103" s="5"/>
      <c r="U103" s="5"/>
      <c r="V103" s="21" t="str">
        <f t="shared" si="19"/>
        <v/>
      </c>
      <c r="W103" s="22" t="str">
        <f t="shared" si="20"/>
        <v/>
      </c>
      <c r="X103" s="21" t="str">
        <f t="shared" si="21"/>
        <v/>
      </c>
    </row>
    <row r="104" spans="6:24" x14ac:dyDescent="0.25">
      <c r="F104" s="2">
        <f t="shared" si="22"/>
        <v>44053</v>
      </c>
      <c r="G104">
        <f t="shared" si="23"/>
        <v>25649.75</v>
      </c>
      <c r="H104" s="3">
        <f>IF(F104&lt;&gt;"",MIN(G104*$B$20,$B$2*1.5-$B$9-SUM($H$3:H103)),"")</f>
        <v>0</v>
      </c>
      <c r="I104" s="3">
        <f t="shared" si="16"/>
        <v>11285.900000000001</v>
      </c>
      <c r="J104" s="5"/>
      <c r="K104" s="21">
        <f t="shared" si="14"/>
        <v>0</v>
      </c>
      <c r="L104" s="25">
        <f t="shared" si="15"/>
        <v>0</v>
      </c>
      <c r="M104" s="2" t="str">
        <f t="shared" si="27"/>
        <v/>
      </c>
      <c r="N104" s="3" t="str">
        <f t="shared" si="24"/>
        <v/>
      </c>
      <c r="O104" t="str">
        <f>IF(M105&lt;&gt;"",MIN(N104*$B$3,$B$2*1.5-$B$9-SUM($H$3:$H$200)-SUM($O$3:O103)),"")</f>
        <v/>
      </c>
      <c r="P104" s="3" t="str">
        <f t="shared" si="25"/>
        <v/>
      </c>
      <c r="Q104" t="str">
        <f t="shared" si="18"/>
        <v/>
      </c>
      <c r="R104" t="str">
        <f t="shared" si="26"/>
        <v/>
      </c>
      <c r="S104" s="5"/>
      <c r="T104" s="5"/>
      <c r="U104" s="5"/>
      <c r="V104" s="21" t="str">
        <f t="shared" si="19"/>
        <v/>
      </c>
      <c r="W104" s="22" t="str">
        <f t="shared" si="20"/>
        <v/>
      </c>
      <c r="X104" s="21" t="str">
        <f t="shared" si="21"/>
        <v/>
      </c>
    </row>
    <row r="105" spans="6:24" x14ac:dyDescent="0.25">
      <c r="F105" s="2">
        <f t="shared" si="22"/>
        <v>44054</v>
      </c>
      <c r="G105">
        <f t="shared" si="23"/>
        <v>25649.75</v>
      </c>
      <c r="H105" s="3">
        <f>IF(F105&lt;&gt;"",MIN(G105*$B$20,$B$2*1.5-$B$9-SUM($H$3:H104)),"")</f>
        <v>0</v>
      </c>
      <c r="I105" s="3">
        <f t="shared" si="16"/>
        <v>11285.900000000001</v>
      </c>
      <c r="J105" s="5"/>
      <c r="K105" s="21">
        <f t="shared" si="14"/>
        <v>0</v>
      </c>
      <c r="L105" s="25">
        <f t="shared" si="15"/>
        <v>0</v>
      </c>
      <c r="M105" s="2" t="str">
        <f t="shared" si="27"/>
        <v/>
      </c>
      <c r="N105" s="3" t="str">
        <f t="shared" si="24"/>
        <v/>
      </c>
      <c r="O105" t="str">
        <f>IF(M106&lt;&gt;"",MIN(N105*$B$3,$B$2*1.5-$B$9-SUM($H$3:$H$200)-SUM($O$3:O104)),"")</f>
        <v/>
      </c>
      <c r="P105" s="3" t="str">
        <f t="shared" si="25"/>
        <v/>
      </c>
      <c r="Q105" t="str">
        <f t="shared" si="18"/>
        <v/>
      </c>
      <c r="R105" t="str">
        <f t="shared" si="26"/>
        <v/>
      </c>
      <c r="S105" s="5"/>
      <c r="T105" s="5"/>
      <c r="U105" s="5"/>
      <c r="V105" s="21" t="str">
        <f t="shared" si="19"/>
        <v/>
      </c>
      <c r="W105" s="22" t="str">
        <f t="shared" si="20"/>
        <v/>
      </c>
      <c r="X105" s="21" t="str">
        <f t="shared" si="21"/>
        <v/>
      </c>
    </row>
    <row r="106" spans="6:24" x14ac:dyDescent="0.25">
      <c r="F106" s="2">
        <f t="shared" si="22"/>
        <v>44055</v>
      </c>
      <c r="G106">
        <f t="shared" si="23"/>
        <v>25649.75</v>
      </c>
      <c r="H106" s="3">
        <f>IF(F106&lt;&gt;"",MIN(G106*$B$20,$B$2*1.5-$B$9-SUM($H$3:H105)),"")</f>
        <v>0</v>
      </c>
      <c r="I106" s="3">
        <f t="shared" si="16"/>
        <v>11285.900000000001</v>
      </c>
      <c r="J106" s="5"/>
      <c r="K106" s="21">
        <f t="shared" si="14"/>
        <v>0</v>
      </c>
      <c r="L106" s="25">
        <f t="shared" si="15"/>
        <v>0</v>
      </c>
      <c r="M106" s="2" t="str">
        <f t="shared" si="27"/>
        <v/>
      </c>
      <c r="N106" s="3" t="str">
        <f t="shared" si="24"/>
        <v/>
      </c>
      <c r="O106" t="str">
        <f>IF(M107&lt;&gt;"",MIN(N106*$B$3,$B$2*1.5-$B$9-SUM($H$3:$H$200)-SUM($O$3:O105)),"")</f>
        <v/>
      </c>
      <c r="P106" s="3" t="str">
        <f t="shared" si="25"/>
        <v/>
      </c>
      <c r="Q106" t="str">
        <f t="shared" si="18"/>
        <v/>
      </c>
      <c r="R106" t="str">
        <f t="shared" si="26"/>
        <v/>
      </c>
      <c r="S106" s="5"/>
      <c r="T106" s="5"/>
      <c r="U106" s="5"/>
      <c r="V106" s="21" t="str">
        <f t="shared" si="19"/>
        <v/>
      </c>
      <c r="W106" s="22" t="str">
        <f t="shared" si="20"/>
        <v/>
      </c>
      <c r="X106" s="21" t="str">
        <f t="shared" si="21"/>
        <v/>
      </c>
    </row>
    <row r="107" spans="6:24" x14ac:dyDescent="0.25">
      <c r="F107" s="2">
        <f t="shared" si="22"/>
        <v>44056</v>
      </c>
      <c r="G107">
        <f t="shared" si="23"/>
        <v>25649.75</v>
      </c>
      <c r="H107" s="3">
        <f>IF(F107&lt;&gt;"",MIN(G107*$B$20,$B$2*1.5-$B$9-SUM($H$3:H106)),"")</f>
        <v>0</v>
      </c>
      <c r="I107" s="3">
        <f t="shared" si="16"/>
        <v>11285.900000000001</v>
      </c>
      <c r="J107" s="5"/>
      <c r="K107" s="21">
        <f t="shared" si="14"/>
        <v>0</v>
      </c>
      <c r="L107" s="25">
        <f t="shared" si="15"/>
        <v>0</v>
      </c>
      <c r="M107" s="2" t="str">
        <f t="shared" si="27"/>
        <v/>
      </c>
      <c r="N107" s="3" t="str">
        <f t="shared" si="24"/>
        <v/>
      </c>
      <c r="O107" t="str">
        <f>IF(M108&lt;&gt;"",MIN(N107*$B$3,$B$2*1.5-$B$9-SUM($H$3:$H$200)-SUM($O$3:O106)),"")</f>
        <v/>
      </c>
      <c r="P107" s="3" t="str">
        <f t="shared" si="25"/>
        <v/>
      </c>
      <c r="Q107" t="str">
        <f t="shared" si="18"/>
        <v/>
      </c>
      <c r="R107" t="str">
        <f t="shared" si="26"/>
        <v/>
      </c>
      <c r="S107" s="5"/>
      <c r="T107" s="5"/>
      <c r="U107" s="5"/>
      <c r="V107" s="21" t="str">
        <f t="shared" si="19"/>
        <v/>
      </c>
      <c r="W107" s="22" t="str">
        <f t="shared" si="20"/>
        <v/>
      </c>
      <c r="X107" s="21" t="str">
        <f t="shared" si="21"/>
        <v/>
      </c>
    </row>
    <row r="108" spans="6:24" x14ac:dyDescent="0.25">
      <c r="F108" s="2">
        <f t="shared" si="22"/>
        <v>44057</v>
      </c>
      <c r="G108">
        <f t="shared" si="23"/>
        <v>25649.75</v>
      </c>
      <c r="H108" s="3">
        <f>IF(F108&lt;&gt;"",MIN(G108*$B$20,$B$2*1.5-$B$9-SUM($H$3:H107)),"")</f>
        <v>0</v>
      </c>
      <c r="I108" s="3">
        <f t="shared" si="16"/>
        <v>11285.900000000001</v>
      </c>
      <c r="J108" s="5"/>
      <c r="K108" s="21">
        <f t="shared" ref="K108:K171" si="28">IF(F108&lt;&gt;"",MAX(0,J108-G107),"")</f>
        <v>0</v>
      </c>
      <c r="L108" s="25">
        <f t="shared" ref="L108:L171" si="29">IF(F108&lt;&gt;"",MAX(K108-I108,0),"")</f>
        <v>0</v>
      </c>
      <c r="M108" s="2" t="str">
        <f t="shared" si="27"/>
        <v/>
      </c>
      <c r="N108" s="3" t="str">
        <f t="shared" si="24"/>
        <v/>
      </c>
      <c r="O108" t="str">
        <f>IF(M109&lt;&gt;"",MIN(N108*$B$3,$B$2*1.5-$B$9-SUM($H$3:$H$200)-SUM($O$3:O107)),"")</f>
        <v/>
      </c>
      <c r="P108" s="3" t="str">
        <f t="shared" si="25"/>
        <v/>
      </c>
      <c r="Q108" t="str">
        <f t="shared" si="18"/>
        <v/>
      </c>
      <c r="R108" t="str">
        <f t="shared" si="26"/>
        <v/>
      </c>
      <c r="S108" s="5"/>
      <c r="T108" s="5"/>
      <c r="U108" s="5"/>
      <c r="V108" s="21" t="str">
        <f t="shared" si="19"/>
        <v/>
      </c>
      <c r="W108" s="22" t="str">
        <f t="shared" si="20"/>
        <v/>
      </c>
      <c r="X108" s="21" t="str">
        <f t="shared" si="21"/>
        <v/>
      </c>
    </row>
    <row r="109" spans="6:24" x14ac:dyDescent="0.25">
      <c r="F109" s="2">
        <f t="shared" si="22"/>
        <v>44058</v>
      </c>
      <c r="G109">
        <f t="shared" si="23"/>
        <v>25649.75</v>
      </c>
      <c r="H109" s="3">
        <f>IF(F109&lt;&gt;"",MIN(G109*$B$20,$B$2*1.5-$B$9-SUM($H$3:H108)),"")</f>
        <v>0</v>
      </c>
      <c r="I109" s="3">
        <f t="shared" ref="I109:I172" si="30">IF(F109&lt;&gt;"",MAX(H109+I108-K108,0),"")</f>
        <v>11285.900000000001</v>
      </c>
      <c r="J109" s="5"/>
      <c r="K109" s="21">
        <f t="shared" si="28"/>
        <v>0</v>
      </c>
      <c r="L109" s="25">
        <f t="shared" si="29"/>
        <v>0</v>
      </c>
      <c r="M109" s="2" t="str">
        <f t="shared" si="27"/>
        <v/>
      </c>
      <c r="N109" s="3" t="str">
        <f t="shared" si="24"/>
        <v/>
      </c>
      <c r="O109" t="str">
        <f>IF(M110&lt;&gt;"",MIN(N109*$B$3,$B$2*1.5-$B$9-SUM($H$3:$H$200)-SUM($O$3:O108)),"")</f>
        <v/>
      </c>
      <c r="P109" s="3" t="str">
        <f t="shared" si="25"/>
        <v/>
      </c>
      <c r="Q109" t="str">
        <f t="shared" si="18"/>
        <v/>
      </c>
      <c r="R109" t="str">
        <f t="shared" si="26"/>
        <v/>
      </c>
      <c r="S109" s="5"/>
      <c r="T109" s="5"/>
      <c r="U109" s="5"/>
      <c r="V109" s="21" t="str">
        <f t="shared" si="19"/>
        <v/>
      </c>
      <c r="W109" s="22" t="str">
        <f t="shared" si="20"/>
        <v/>
      </c>
      <c r="X109" s="21" t="str">
        <f t="shared" si="21"/>
        <v/>
      </c>
    </row>
    <row r="110" spans="6:24" x14ac:dyDescent="0.25">
      <c r="F110" s="2">
        <f t="shared" si="22"/>
        <v>44059</v>
      </c>
      <c r="G110">
        <f t="shared" si="23"/>
        <v>25649.75</v>
      </c>
      <c r="H110" s="3">
        <f>IF(F110&lt;&gt;"",MIN(G110*$B$20,$B$2*1.5-$B$9-SUM($H$3:H109)),"")</f>
        <v>0</v>
      </c>
      <c r="I110" s="3">
        <f t="shared" si="30"/>
        <v>11285.900000000001</v>
      </c>
      <c r="J110" s="5"/>
      <c r="K110" s="21">
        <f t="shared" si="28"/>
        <v>0</v>
      </c>
      <c r="L110" s="25">
        <f t="shared" si="29"/>
        <v>0</v>
      </c>
      <c r="M110" s="2" t="str">
        <f t="shared" si="27"/>
        <v/>
      </c>
      <c r="N110" s="3" t="str">
        <f t="shared" si="24"/>
        <v/>
      </c>
      <c r="O110" t="str">
        <f>IF(M111&lt;&gt;"",MIN(N110*$B$3,$B$2*1.5-$B$9-SUM($H$3:$H$200)-SUM($O$3:O109)),"")</f>
        <v/>
      </c>
      <c r="P110" s="3" t="str">
        <f t="shared" si="25"/>
        <v/>
      </c>
      <c r="Q110" t="str">
        <f t="shared" si="18"/>
        <v/>
      </c>
      <c r="R110" t="str">
        <f t="shared" si="26"/>
        <v/>
      </c>
      <c r="S110" s="5"/>
      <c r="T110" s="5"/>
      <c r="U110" s="5"/>
      <c r="V110" s="21" t="str">
        <f t="shared" si="19"/>
        <v/>
      </c>
      <c r="W110" s="22" t="str">
        <f t="shared" si="20"/>
        <v/>
      </c>
      <c r="X110" s="21" t="str">
        <f t="shared" si="21"/>
        <v/>
      </c>
    </row>
    <row r="111" spans="6:24" x14ac:dyDescent="0.25">
      <c r="F111" s="2">
        <f t="shared" si="22"/>
        <v>44060</v>
      </c>
      <c r="G111">
        <f t="shared" si="23"/>
        <v>25649.75</v>
      </c>
      <c r="H111" s="3">
        <f>IF(F111&lt;&gt;"",MIN(G111*$B$20,$B$2*1.5-$B$9-SUM($H$3:H110)),"")</f>
        <v>0</v>
      </c>
      <c r="I111" s="3">
        <f t="shared" si="30"/>
        <v>11285.900000000001</v>
      </c>
      <c r="J111" s="5"/>
      <c r="K111" s="21">
        <f t="shared" si="28"/>
        <v>0</v>
      </c>
      <c r="L111" s="25">
        <f t="shared" si="29"/>
        <v>0</v>
      </c>
      <c r="M111" s="2" t="str">
        <f t="shared" si="27"/>
        <v/>
      </c>
      <c r="N111" s="3" t="str">
        <f t="shared" si="24"/>
        <v/>
      </c>
      <c r="O111" t="str">
        <f>IF(M112&lt;&gt;"",MIN(N111*$B$3,$B$2*1.5-$B$9-SUM($H$3:$H$200)-SUM($O$3:O110)),"")</f>
        <v/>
      </c>
      <c r="P111" s="3" t="str">
        <f t="shared" si="25"/>
        <v/>
      </c>
      <c r="Q111" t="str">
        <f t="shared" si="18"/>
        <v/>
      </c>
      <c r="R111" t="str">
        <f t="shared" si="26"/>
        <v/>
      </c>
      <c r="S111" s="5"/>
      <c r="T111" s="5"/>
      <c r="U111" s="5"/>
      <c r="V111" s="21" t="str">
        <f t="shared" si="19"/>
        <v/>
      </c>
      <c r="W111" s="22" t="str">
        <f t="shared" si="20"/>
        <v/>
      </c>
      <c r="X111" s="21" t="str">
        <f t="shared" si="21"/>
        <v/>
      </c>
    </row>
    <row r="112" spans="6:24" x14ac:dyDescent="0.25">
      <c r="F112" s="2">
        <f t="shared" si="22"/>
        <v>44061</v>
      </c>
      <c r="G112">
        <f t="shared" si="23"/>
        <v>25649.75</v>
      </c>
      <c r="H112" s="3">
        <f>IF(F112&lt;&gt;"",MIN(G112*$B$20,$B$2*1.5-$B$9-SUM($H$3:H111)),"")</f>
        <v>0</v>
      </c>
      <c r="I112" s="3">
        <f t="shared" si="30"/>
        <v>11285.900000000001</v>
      </c>
      <c r="J112" s="5"/>
      <c r="K112" s="21">
        <f t="shared" si="28"/>
        <v>0</v>
      </c>
      <c r="L112" s="25">
        <f t="shared" si="29"/>
        <v>0</v>
      </c>
      <c r="M112" s="2" t="str">
        <f t="shared" si="27"/>
        <v/>
      </c>
      <c r="N112" s="3" t="str">
        <f t="shared" si="24"/>
        <v/>
      </c>
      <c r="O112" t="str">
        <f>IF(M113&lt;&gt;"",MIN(N112*$B$3,$B$2*1.5-$B$9-SUM($H$3:$H$200)-SUM($O$3:O111)),"")</f>
        <v/>
      </c>
      <c r="P112" s="3" t="str">
        <f t="shared" si="25"/>
        <v/>
      </c>
      <c r="Q112" t="str">
        <f t="shared" si="18"/>
        <v/>
      </c>
      <c r="R112" t="str">
        <f t="shared" si="26"/>
        <v/>
      </c>
      <c r="S112" s="5"/>
      <c r="T112" s="5"/>
      <c r="U112" s="5"/>
      <c r="V112" s="21" t="str">
        <f t="shared" si="19"/>
        <v/>
      </c>
      <c r="W112" s="22" t="str">
        <f t="shared" si="20"/>
        <v/>
      </c>
      <c r="X112" s="21" t="str">
        <f t="shared" si="21"/>
        <v/>
      </c>
    </row>
    <row r="113" spans="6:24" x14ac:dyDescent="0.25">
      <c r="F113" s="2">
        <f t="shared" si="22"/>
        <v>44062</v>
      </c>
      <c r="G113">
        <f t="shared" si="23"/>
        <v>25649.75</v>
      </c>
      <c r="H113" s="3">
        <f>IF(F113&lt;&gt;"",MIN(G113*$B$20,$B$2*1.5-$B$9-SUM($H$3:H112)),"")</f>
        <v>0</v>
      </c>
      <c r="I113" s="3">
        <f t="shared" si="30"/>
        <v>11285.900000000001</v>
      </c>
      <c r="J113" s="5"/>
      <c r="K113" s="21">
        <f t="shared" si="28"/>
        <v>0</v>
      </c>
      <c r="L113" s="25">
        <f t="shared" si="29"/>
        <v>0</v>
      </c>
      <c r="M113" s="2" t="str">
        <f t="shared" si="27"/>
        <v/>
      </c>
      <c r="N113" s="3" t="str">
        <f t="shared" si="24"/>
        <v/>
      </c>
      <c r="O113" t="str">
        <f>IF(M114&lt;&gt;"",MIN(N113*$B$3,$B$2*1.5-$B$9-SUM($H$3:$H$200)-SUM($O$3:O112)),"")</f>
        <v/>
      </c>
      <c r="P113" s="3" t="str">
        <f t="shared" si="25"/>
        <v/>
      </c>
      <c r="Q113" t="str">
        <f t="shared" si="18"/>
        <v/>
      </c>
      <c r="R113" t="str">
        <f t="shared" si="26"/>
        <v/>
      </c>
      <c r="S113" s="5"/>
      <c r="T113" s="5"/>
      <c r="U113" s="5"/>
      <c r="V113" s="21" t="str">
        <f t="shared" si="19"/>
        <v/>
      </c>
      <c r="W113" s="22" t="str">
        <f t="shared" si="20"/>
        <v/>
      </c>
      <c r="X113" s="21" t="str">
        <f t="shared" si="21"/>
        <v/>
      </c>
    </row>
    <row r="114" spans="6:24" x14ac:dyDescent="0.25">
      <c r="F114" s="2">
        <f t="shared" si="22"/>
        <v>44063</v>
      </c>
      <c r="G114">
        <f t="shared" si="23"/>
        <v>25649.75</v>
      </c>
      <c r="H114" s="3">
        <f>IF(F114&lt;&gt;"",MIN(G114*$B$20,$B$2*1.5-$B$9-SUM($H$3:H113)),"")</f>
        <v>0</v>
      </c>
      <c r="I114" s="3">
        <f t="shared" si="30"/>
        <v>11285.900000000001</v>
      </c>
      <c r="J114" s="5"/>
      <c r="K114" s="21">
        <f t="shared" si="28"/>
        <v>0</v>
      </c>
      <c r="L114" s="25">
        <f t="shared" si="29"/>
        <v>0</v>
      </c>
      <c r="M114" s="2" t="str">
        <f t="shared" si="27"/>
        <v/>
      </c>
      <c r="N114" s="3" t="str">
        <f t="shared" si="24"/>
        <v/>
      </c>
      <c r="O114" t="str">
        <f>IF(M115&lt;&gt;"",MIN(N114*$B$3,$B$2*1.5-$B$9-SUM($H$3:$H$200)-SUM($O$3:O113)),"")</f>
        <v/>
      </c>
      <c r="P114" s="3" t="str">
        <f t="shared" si="25"/>
        <v/>
      </c>
      <c r="Q114" t="str">
        <f t="shared" si="18"/>
        <v/>
      </c>
      <c r="R114" t="str">
        <f t="shared" si="26"/>
        <v/>
      </c>
      <c r="S114" s="5"/>
      <c r="T114" s="5"/>
      <c r="U114" s="5"/>
      <c r="V114" s="21" t="str">
        <f t="shared" si="19"/>
        <v/>
      </c>
      <c r="W114" s="22" t="str">
        <f t="shared" si="20"/>
        <v/>
      </c>
      <c r="X114" s="21" t="str">
        <f t="shared" si="21"/>
        <v/>
      </c>
    </row>
    <row r="115" spans="6:24" x14ac:dyDescent="0.25">
      <c r="F115" s="2">
        <f t="shared" si="22"/>
        <v>44064</v>
      </c>
      <c r="G115">
        <f t="shared" si="23"/>
        <v>25649.75</v>
      </c>
      <c r="H115" s="3">
        <f>IF(F115&lt;&gt;"",MIN(G115*$B$20,$B$2*1.5-$B$9-SUM($H$3:H114)),"")</f>
        <v>0</v>
      </c>
      <c r="I115" s="3">
        <f t="shared" si="30"/>
        <v>11285.900000000001</v>
      </c>
      <c r="J115" s="5"/>
      <c r="K115" s="21">
        <f t="shared" si="28"/>
        <v>0</v>
      </c>
      <c r="L115" s="25">
        <f t="shared" si="29"/>
        <v>0</v>
      </c>
      <c r="M115" s="2" t="str">
        <f t="shared" si="27"/>
        <v/>
      </c>
      <c r="N115" s="3" t="str">
        <f t="shared" si="24"/>
        <v/>
      </c>
      <c r="O115" t="str">
        <f>IF(M116&lt;&gt;"",MIN(N115*$B$3,$B$2*1.5-$B$9-SUM($H$3:$H$200)-SUM($O$3:O114)),"")</f>
        <v/>
      </c>
      <c r="P115" s="3" t="str">
        <f t="shared" si="25"/>
        <v/>
      </c>
      <c r="Q115" t="str">
        <f t="shared" si="18"/>
        <v/>
      </c>
      <c r="R115" t="str">
        <f t="shared" si="26"/>
        <v/>
      </c>
      <c r="S115" s="5"/>
      <c r="T115" s="5"/>
      <c r="U115" s="5"/>
      <c r="V115" s="21" t="str">
        <f t="shared" si="19"/>
        <v/>
      </c>
      <c r="W115" s="22" t="str">
        <f t="shared" si="20"/>
        <v/>
      </c>
      <c r="X115" s="21" t="str">
        <f t="shared" si="21"/>
        <v/>
      </c>
    </row>
    <row r="116" spans="6:24" x14ac:dyDescent="0.25">
      <c r="F116" s="2">
        <f t="shared" si="22"/>
        <v>44065</v>
      </c>
      <c r="G116">
        <f t="shared" si="23"/>
        <v>25649.75</v>
      </c>
      <c r="H116" s="3">
        <f>IF(F116&lt;&gt;"",MIN(G116*$B$20,$B$2*1.5-$B$9-SUM($H$3:H115)),"")</f>
        <v>0</v>
      </c>
      <c r="I116" s="3">
        <f t="shared" si="30"/>
        <v>11285.900000000001</v>
      </c>
      <c r="J116" s="5"/>
      <c r="K116" s="21">
        <f t="shared" si="28"/>
        <v>0</v>
      </c>
      <c r="L116" s="25">
        <f t="shared" si="29"/>
        <v>0</v>
      </c>
      <c r="M116" s="2" t="str">
        <f t="shared" si="27"/>
        <v/>
      </c>
      <c r="N116" s="3" t="str">
        <f t="shared" si="24"/>
        <v/>
      </c>
      <c r="O116" t="str">
        <f>IF(M117&lt;&gt;"",MIN(N116*$B$3,$B$2*1.5-$B$9-SUM($H$3:$H$200)-SUM($O$3:O115)),"")</f>
        <v/>
      </c>
      <c r="P116" s="3" t="str">
        <f t="shared" si="25"/>
        <v/>
      </c>
      <c r="Q116" t="str">
        <f t="shared" si="18"/>
        <v/>
      </c>
      <c r="R116" t="str">
        <f t="shared" si="26"/>
        <v/>
      </c>
      <c r="S116" s="5"/>
      <c r="T116" s="5"/>
      <c r="U116" s="5"/>
      <c r="V116" s="21" t="str">
        <f t="shared" si="19"/>
        <v/>
      </c>
      <c r="W116" s="22" t="str">
        <f t="shared" si="20"/>
        <v/>
      </c>
      <c r="X116" s="21" t="str">
        <f t="shared" si="21"/>
        <v/>
      </c>
    </row>
    <row r="117" spans="6:24" x14ac:dyDescent="0.25">
      <c r="F117" s="2">
        <f t="shared" si="22"/>
        <v>44066</v>
      </c>
      <c r="G117">
        <f t="shared" si="23"/>
        <v>25649.75</v>
      </c>
      <c r="H117" s="3">
        <f>IF(F117&lt;&gt;"",MIN(G117*$B$20,$B$2*1.5-$B$9-SUM($H$3:H116)),"")</f>
        <v>0</v>
      </c>
      <c r="I117" s="3">
        <f t="shared" si="30"/>
        <v>11285.900000000001</v>
      </c>
      <c r="J117" s="5"/>
      <c r="K117" s="21">
        <f t="shared" si="28"/>
        <v>0</v>
      </c>
      <c r="L117" s="25">
        <f t="shared" si="29"/>
        <v>0</v>
      </c>
      <c r="M117" s="2" t="str">
        <f t="shared" si="27"/>
        <v/>
      </c>
      <c r="N117" s="3" t="str">
        <f t="shared" si="24"/>
        <v/>
      </c>
      <c r="O117" t="str">
        <f>IF(M118&lt;&gt;"",MIN(N117*$B$3,$B$2*1.5-$B$9-SUM($H$3:$H$200)-SUM($O$3:O116)),"")</f>
        <v/>
      </c>
      <c r="P117" s="3" t="str">
        <f t="shared" si="25"/>
        <v/>
      </c>
      <c r="Q117" t="str">
        <f t="shared" si="18"/>
        <v/>
      </c>
      <c r="R117" t="str">
        <f t="shared" si="26"/>
        <v/>
      </c>
      <c r="S117" s="5"/>
      <c r="T117" s="5"/>
      <c r="U117" s="5"/>
      <c r="V117" s="21" t="str">
        <f t="shared" si="19"/>
        <v/>
      </c>
      <c r="W117" s="22" t="str">
        <f t="shared" si="20"/>
        <v/>
      </c>
      <c r="X117" s="21" t="str">
        <f t="shared" si="21"/>
        <v/>
      </c>
    </row>
    <row r="118" spans="6:24" x14ac:dyDescent="0.25">
      <c r="F118" s="2">
        <f t="shared" si="22"/>
        <v>44067</v>
      </c>
      <c r="G118">
        <f t="shared" si="23"/>
        <v>25649.75</v>
      </c>
      <c r="H118" s="3">
        <f>IF(F118&lt;&gt;"",MIN(G118*$B$20,$B$2*1.5-$B$9-SUM($H$3:H117)),"")</f>
        <v>0</v>
      </c>
      <c r="I118" s="3">
        <f t="shared" si="30"/>
        <v>11285.900000000001</v>
      </c>
      <c r="J118" s="5"/>
      <c r="K118" s="21">
        <f t="shared" si="28"/>
        <v>0</v>
      </c>
      <c r="L118" s="25">
        <f t="shared" si="29"/>
        <v>0</v>
      </c>
      <c r="M118" s="2" t="str">
        <f t="shared" si="27"/>
        <v/>
      </c>
      <c r="N118" s="3" t="str">
        <f t="shared" si="24"/>
        <v/>
      </c>
      <c r="O118" t="str">
        <f>IF(M119&lt;&gt;"",MIN(N118*$B$3,$B$2*1.5-$B$9-SUM($H$3:$H$200)-SUM($O$3:O117)),"")</f>
        <v/>
      </c>
      <c r="P118" s="3" t="str">
        <f t="shared" si="25"/>
        <v/>
      </c>
      <c r="Q118" t="str">
        <f t="shared" si="18"/>
        <v/>
      </c>
      <c r="R118" t="str">
        <f t="shared" si="26"/>
        <v/>
      </c>
      <c r="S118" s="5"/>
      <c r="T118" s="5"/>
      <c r="U118" s="5"/>
      <c r="V118" s="21" t="str">
        <f t="shared" si="19"/>
        <v/>
      </c>
      <c r="W118" s="22" t="str">
        <f t="shared" si="20"/>
        <v/>
      </c>
      <c r="X118" s="21" t="str">
        <f t="shared" si="21"/>
        <v/>
      </c>
    </row>
    <row r="119" spans="6:24" x14ac:dyDescent="0.25">
      <c r="F119" s="2">
        <f t="shared" si="22"/>
        <v>44068</v>
      </c>
      <c r="G119">
        <f t="shared" si="23"/>
        <v>25649.75</v>
      </c>
      <c r="H119" s="3">
        <f>IF(F119&lt;&gt;"",MIN(G119*$B$20,$B$2*1.5-$B$9-SUM($H$3:H118)),"")</f>
        <v>0</v>
      </c>
      <c r="I119" s="3">
        <f t="shared" si="30"/>
        <v>11285.900000000001</v>
      </c>
      <c r="J119" s="5"/>
      <c r="K119" s="21">
        <f t="shared" si="28"/>
        <v>0</v>
      </c>
      <c r="L119" s="25">
        <f t="shared" si="29"/>
        <v>0</v>
      </c>
      <c r="M119" s="2" t="str">
        <f t="shared" si="27"/>
        <v/>
      </c>
      <c r="N119" s="3" t="str">
        <f t="shared" si="24"/>
        <v/>
      </c>
      <c r="O119" t="str">
        <f>IF(M120&lt;&gt;"",MIN(N119*$B$3,$B$2*1.5-$B$9-SUM($H$3:$H$200)-SUM($O$3:O118)),"")</f>
        <v/>
      </c>
      <c r="P119" s="3" t="str">
        <f t="shared" si="25"/>
        <v/>
      </c>
      <c r="Q119" t="str">
        <f t="shared" si="18"/>
        <v/>
      </c>
      <c r="R119" t="str">
        <f t="shared" si="26"/>
        <v/>
      </c>
      <c r="S119" s="5"/>
      <c r="T119" s="5"/>
      <c r="U119" s="5"/>
      <c r="V119" s="21" t="str">
        <f t="shared" si="19"/>
        <v/>
      </c>
      <c r="W119" s="22" t="str">
        <f t="shared" si="20"/>
        <v/>
      </c>
      <c r="X119" s="21" t="str">
        <f t="shared" si="21"/>
        <v/>
      </c>
    </row>
    <row r="120" spans="6:24" x14ac:dyDescent="0.25">
      <c r="F120" s="2">
        <f t="shared" si="22"/>
        <v>44069</v>
      </c>
      <c r="G120">
        <f t="shared" si="23"/>
        <v>25649.75</v>
      </c>
      <c r="H120" s="3">
        <f>IF(F120&lt;&gt;"",MIN(G120*$B$20,$B$2*1.5-$B$9-SUM($H$3:H119)),"")</f>
        <v>0</v>
      </c>
      <c r="I120" s="3">
        <f t="shared" si="30"/>
        <v>11285.900000000001</v>
      </c>
      <c r="J120" s="5"/>
      <c r="K120" s="21">
        <f t="shared" si="28"/>
        <v>0</v>
      </c>
      <c r="L120" s="25">
        <f t="shared" si="29"/>
        <v>0</v>
      </c>
      <c r="M120" s="2" t="str">
        <f t="shared" si="27"/>
        <v/>
      </c>
      <c r="N120" s="3" t="str">
        <f t="shared" si="24"/>
        <v/>
      </c>
      <c r="O120" t="str">
        <f>IF(M121&lt;&gt;"",MIN(N120*$B$3,$B$2*1.5-$B$9-SUM($H$3:$H$200)-SUM($O$3:O119)),"")</f>
        <v/>
      </c>
      <c r="P120" s="3" t="str">
        <f t="shared" si="25"/>
        <v/>
      </c>
      <c r="Q120" t="str">
        <f t="shared" si="18"/>
        <v/>
      </c>
      <c r="R120" t="str">
        <f t="shared" si="26"/>
        <v/>
      </c>
      <c r="S120" s="5"/>
      <c r="T120" s="5"/>
      <c r="U120" s="5"/>
      <c r="V120" s="21" t="str">
        <f t="shared" si="19"/>
        <v/>
      </c>
      <c r="W120" s="22" t="str">
        <f t="shared" si="20"/>
        <v/>
      </c>
      <c r="X120" s="21" t="str">
        <f t="shared" si="21"/>
        <v/>
      </c>
    </row>
    <row r="121" spans="6:24" x14ac:dyDescent="0.25">
      <c r="F121" s="2">
        <f t="shared" si="22"/>
        <v>44070</v>
      </c>
      <c r="G121">
        <f t="shared" si="23"/>
        <v>25649.75</v>
      </c>
      <c r="H121" s="3">
        <f>IF(F121&lt;&gt;"",MIN(G121*$B$20,$B$2*1.5-$B$9-SUM($H$3:H120)),"")</f>
        <v>0</v>
      </c>
      <c r="I121" s="3">
        <f t="shared" si="30"/>
        <v>11285.900000000001</v>
      </c>
      <c r="J121" s="5"/>
      <c r="K121" s="21">
        <f t="shared" si="28"/>
        <v>0</v>
      </c>
      <c r="L121" s="25">
        <f t="shared" si="29"/>
        <v>0</v>
      </c>
      <c r="M121" s="2" t="str">
        <f t="shared" si="27"/>
        <v/>
      </c>
      <c r="N121" s="3" t="str">
        <f t="shared" si="24"/>
        <v/>
      </c>
      <c r="O121" t="str">
        <f>IF(M122&lt;&gt;"",MIN(N121*$B$3,$B$2*1.5-$B$9-SUM($H$3:$H$200)-SUM($O$3:O120)),"")</f>
        <v/>
      </c>
      <c r="P121" s="3" t="str">
        <f t="shared" si="25"/>
        <v/>
      </c>
      <c r="Q121" t="str">
        <f t="shared" si="18"/>
        <v/>
      </c>
      <c r="R121" t="str">
        <f t="shared" si="26"/>
        <v/>
      </c>
      <c r="S121" s="5"/>
      <c r="T121" s="5"/>
      <c r="U121" s="5"/>
      <c r="V121" s="21" t="str">
        <f t="shared" si="19"/>
        <v/>
      </c>
      <c r="W121" s="22" t="str">
        <f t="shared" si="20"/>
        <v/>
      </c>
      <c r="X121" s="21" t="str">
        <f t="shared" si="21"/>
        <v/>
      </c>
    </row>
    <row r="122" spans="6:24" x14ac:dyDescent="0.25">
      <c r="F122" s="2">
        <f t="shared" si="22"/>
        <v>44071</v>
      </c>
      <c r="G122">
        <f t="shared" si="23"/>
        <v>25649.75</v>
      </c>
      <c r="H122" s="3">
        <f>IF(F122&lt;&gt;"",MIN(G122*$B$20,$B$2*1.5-$B$9-SUM($H$3:H121)),"")</f>
        <v>0</v>
      </c>
      <c r="I122" s="3">
        <f t="shared" si="30"/>
        <v>11285.900000000001</v>
      </c>
      <c r="J122" s="5"/>
      <c r="K122" s="21">
        <f t="shared" si="28"/>
        <v>0</v>
      </c>
      <c r="L122" s="25">
        <f t="shared" si="29"/>
        <v>0</v>
      </c>
      <c r="M122" s="2" t="str">
        <f t="shared" si="27"/>
        <v/>
      </c>
      <c r="N122" s="3" t="str">
        <f t="shared" si="24"/>
        <v/>
      </c>
      <c r="O122" t="str">
        <f>IF(M123&lt;&gt;"",MIN(N122*$B$3,$B$2*1.5-$B$9-SUM($H$3:$H$200)-SUM($O$3:O121)),"")</f>
        <v/>
      </c>
      <c r="P122" s="3" t="str">
        <f t="shared" si="25"/>
        <v/>
      </c>
      <c r="Q122" t="str">
        <f t="shared" si="18"/>
        <v/>
      </c>
      <c r="R122" t="str">
        <f t="shared" si="26"/>
        <v/>
      </c>
      <c r="S122" s="5"/>
      <c r="T122" s="5"/>
      <c r="U122" s="5"/>
      <c r="V122" s="21" t="str">
        <f t="shared" si="19"/>
        <v/>
      </c>
      <c r="W122" s="22" t="str">
        <f t="shared" si="20"/>
        <v/>
      </c>
      <c r="X122" s="21" t="str">
        <f t="shared" si="21"/>
        <v/>
      </c>
    </row>
    <row r="123" spans="6:24" x14ac:dyDescent="0.25">
      <c r="F123" s="2">
        <f t="shared" si="22"/>
        <v>44072</v>
      </c>
      <c r="G123">
        <f t="shared" si="23"/>
        <v>25649.75</v>
      </c>
      <c r="H123" s="3">
        <f>IF(F123&lt;&gt;"",MIN(G123*$B$20,$B$2*1.5-$B$9-SUM($H$3:H122)),"")</f>
        <v>0</v>
      </c>
      <c r="I123" s="3">
        <f t="shared" si="30"/>
        <v>11285.900000000001</v>
      </c>
      <c r="J123" s="5"/>
      <c r="K123" s="21">
        <f t="shared" si="28"/>
        <v>0</v>
      </c>
      <c r="L123" s="25">
        <f t="shared" si="29"/>
        <v>0</v>
      </c>
      <c r="M123" s="2" t="str">
        <f t="shared" si="27"/>
        <v/>
      </c>
      <c r="N123" s="3" t="str">
        <f t="shared" si="24"/>
        <v/>
      </c>
      <c r="O123" t="str">
        <f>IF(M124&lt;&gt;"",MIN(N123*$B$3,$B$2*1.5-$B$9-SUM($H$3:$H$200)-SUM($O$3:O122)),"")</f>
        <v/>
      </c>
      <c r="P123" s="3" t="str">
        <f t="shared" si="25"/>
        <v/>
      </c>
      <c r="Q123" t="str">
        <f t="shared" si="18"/>
        <v/>
      </c>
      <c r="R123" t="str">
        <f t="shared" si="26"/>
        <v/>
      </c>
      <c r="S123" s="5"/>
      <c r="T123" s="5"/>
      <c r="U123" s="5"/>
      <c r="V123" s="21" t="str">
        <f t="shared" si="19"/>
        <v/>
      </c>
      <c r="W123" s="22" t="str">
        <f t="shared" si="20"/>
        <v/>
      </c>
      <c r="X123" s="21" t="str">
        <f t="shared" si="21"/>
        <v/>
      </c>
    </row>
    <row r="124" spans="6:24" x14ac:dyDescent="0.25">
      <c r="F124" s="2">
        <f t="shared" si="22"/>
        <v>44073</v>
      </c>
      <c r="G124">
        <f t="shared" si="23"/>
        <v>25649.75</v>
      </c>
      <c r="H124" s="3">
        <f>IF(F124&lt;&gt;"",MIN(G124*$B$20,$B$2*1.5-$B$9-SUM($H$3:H123)),"")</f>
        <v>0</v>
      </c>
      <c r="I124" s="3">
        <f t="shared" si="30"/>
        <v>11285.900000000001</v>
      </c>
      <c r="J124" s="5"/>
      <c r="K124" s="21">
        <f t="shared" si="28"/>
        <v>0</v>
      </c>
      <c r="L124" s="25">
        <f t="shared" si="29"/>
        <v>0</v>
      </c>
      <c r="M124" s="2" t="str">
        <f t="shared" si="27"/>
        <v/>
      </c>
      <c r="N124" s="3" t="str">
        <f t="shared" si="24"/>
        <v/>
      </c>
      <c r="O124" t="str">
        <f>IF(M125&lt;&gt;"",MIN(N124*$B$3,$B$2*1.5-$B$9-SUM($H$3:$H$200)-SUM($O$3:O123)),"")</f>
        <v/>
      </c>
      <c r="P124" s="3" t="str">
        <f t="shared" si="25"/>
        <v/>
      </c>
      <c r="Q124" t="str">
        <f t="shared" si="18"/>
        <v/>
      </c>
      <c r="R124" t="str">
        <f t="shared" si="26"/>
        <v/>
      </c>
      <c r="S124" s="5"/>
      <c r="T124" s="5"/>
      <c r="U124" s="5"/>
      <c r="V124" s="21" t="str">
        <f t="shared" si="19"/>
        <v/>
      </c>
      <c r="W124" s="22" t="str">
        <f t="shared" si="20"/>
        <v/>
      </c>
      <c r="X124" s="21" t="str">
        <f t="shared" si="21"/>
        <v/>
      </c>
    </row>
    <row r="125" spans="6:24" x14ac:dyDescent="0.25">
      <c r="F125" s="2">
        <f t="shared" si="22"/>
        <v>44074</v>
      </c>
      <c r="G125">
        <f t="shared" si="23"/>
        <v>25649.75</v>
      </c>
      <c r="H125" s="3">
        <f>IF(F125&lt;&gt;"",MIN(G125*$B$20,$B$2*1.5-$B$9-SUM($H$3:H124)),"")</f>
        <v>0</v>
      </c>
      <c r="I125" s="3">
        <f t="shared" si="30"/>
        <v>11285.900000000001</v>
      </c>
      <c r="J125" s="5"/>
      <c r="K125" s="21">
        <f t="shared" si="28"/>
        <v>0</v>
      </c>
      <c r="L125" s="25">
        <f t="shared" si="29"/>
        <v>0</v>
      </c>
      <c r="M125" s="2" t="str">
        <f t="shared" si="27"/>
        <v/>
      </c>
      <c r="N125" s="3" t="str">
        <f t="shared" si="24"/>
        <v/>
      </c>
      <c r="O125" t="str">
        <f>IF(M126&lt;&gt;"",MIN(N125*$B$3,$B$2*1.5-$B$9-SUM($H$3:$H$200)-SUM($O$3:O124)),"")</f>
        <v/>
      </c>
      <c r="P125" s="3" t="str">
        <f t="shared" si="25"/>
        <v/>
      </c>
      <c r="Q125" t="str">
        <f t="shared" si="18"/>
        <v/>
      </c>
      <c r="R125" t="str">
        <f t="shared" si="26"/>
        <v/>
      </c>
      <c r="S125" s="5"/>
      <c r="T125" s="5"/>
      <c r="U125" s="5"/>
      <c r="V125" s="21" t="str">
        <f t="shared" si="19"/>
        <v/>
      </c>
      <c r="W125" s="22" t="str">
        <f t="shared" si="20"/>
        <v/>
      </c>
      <c r="X125" s="21" t="str">
        <f t="shared" si="21"/>
        <v/>
      </c>
    </row>
    <row r="126" spans="6:24" x14ac:dyDescent="0.25">
      <c r="F126" s="2">
        <f t="shared" si="22"/>
        <v>44075</v>
      </c>
      <c r="G126">
        <f t="shared" si="23"/>
        <v>25649.75</v>
      </c>
      <c r="H126" s="3">
        <f>IF(F126&lt;&gt;"",MIN(G126*$B$20,$B$2*1.5-$B$9-SUM($H$3:H125)),"")</f>
        <v>0</v>
      </c>
      <c r="I126" s="3">
        <f t="shared" si="30"/>
        <v>11285.900000000001</v>
      </c>
      <c r="J126" s="5"/>
      <c r="K126" s="21">
        <f t="shared" si="28"/>
        <v>0</v>
      </c>
      <c r="L126" s="25">
        <f t="shared" si="29"/>
        <v>0</v>
      </c>
      <c r="M126" s="2" t="str">
        <f t="shared" si="27"/>
        <v/>
      </c>
      <c r="N126" s="3" t="str">
        <f t="shared" si="24"/>
        <v/>
      </c>
      <c r="O126" t="str">
        <f>IF(M127&lt;&gt;"",MIN(N126*$B$3,$B$2*1.5-$B$9-SUM($H$3:$H$200)-SUM($O$3:O125)),"")</f>
        <v/>
      </c>
      <c r="P126" s="3" t="str">
        <f t="shared" si="25"/>
        <v/>
      </c>
      <c r="Q126" t="str">
        <f t="shared" si="18"/>
        <v/>
      </c>
      <c r="R126" t="str">
        <f t="shared" si="26"/>
        <v/>
      </c>
      <c r="S126" s="5"/>
      <c r="T126" s="5"/>
      <c r="U126" s="5"/>
      <c r="V126" s="21" t="str">
        <f t="shared" si="19"/>
        <v/>
      </c>
      <c r="W126" s="22" t="str">
        <f t="shared" si="20"/>
        <v/>
      </c>
      <c r="X126" s="21" t="str">
        <f t="shared" si="21"/>
        <v/>
      </c>
    </row>
    <row r="127" spans="6:24" x14ac:dyDescent="0.25">
      <c r="F127" s="2">
        <f t="shared" si="22"/>
        <v>44076</v>
      </c>
      <c r="G127">
        <f t="shared" si="23"/>
        <v>25649.75</v>
      </c>
      <c r="H127" s="3">
        <f>IF(F127&lt;&gt;"",MIN(G127*$B$20,$B$2*1.5-$B$9-SUM($H$3:H126)),"")</f>
        <v>0</v>
      </c>
      <c r="I127" s="3">
        <f t="shared" si="30"/>
        <v>11285.900000000001</v>
      </c>
      <c r="J127" s="5"/>
      <c r="K127" s="21">
        <f t="shared" si="28"/>
        <v>0</v>
      </c>
      <c r="L127" s="25">
        <f t="shared" si="29"/>
        <v>0</v>
      </c>
      <c r="M127" s="2" t="str">
        <f t="shared" si="27"/>
        <v/>
      </c>
      <c r="N127" s="3" t="str">
        <f t="shared" si="24"/>
        <v/>
      </c>
      <c r="O127" t="str">
        <f>IF(M128&lt;&gt;"",MIN(N127*$B$3,$B$2*1.5-$B$9-SUM($H$3:$H$200)-SUM($O$3:O126)),"")</f>
        <v/>
      </c>
      <c r="P127" s="3" t="str">
        <f t="shared" si="25"/>
        <v/>
      </c>
      <c r="Q127" t="str">
        <f t="shared" si="18"/>
        <v/>
      </c>
      <c r="R127" t="str">
        <f t="shared" si="26"/>
        <v/>
      </c>
      <c r="S127" s="5"/>
      <c r="T127" s="5"/>
      <c r="U127" s="5"/>
      <c r="V127" s="21" t="str">
        <f t="shared" si="19"/>
        <v/>
      </c>
      <c r="W127" s="22" t="str">
        <f t="shared" si="20"/>
        <v/>
      </c>
      <c r="X127" s="21" t="str">
        <f t="shared" si="21"/>
        <v/>
      </c>
    </row>
    <row r="128" spans="6:24" x14ac:dyDescent="0.25">
      <c r="F128" s="2">
        <f t="shared" si="22"/>
        <v>44077</v>
      </c>
      <c r="G128">
        <f t="shared" si="23"/>
        <v>25649.75</v>
      </c>
      <c r="H128" s="3">
        <f>IF(F128&lt;&gt;"",MIN(G128*$B$20,$B$2*1.5-$B$9-SUM($H$3:H127)),"")</f>
        <v>0</v>
      </c>
      <c r="I128" s="3">
        <f t="shared" si="30"/>
        <v>11285.900000000001</v>
      </c>
      <c r="J128" s="5"/>
      <c r="K128" s="21">
        <f t="shared" si="28"/>
        <v>0</v>
      </c>
      <c r="L128" s="25">
        <f t="shared" si="29"/>
        <v>0</v>
      </c>
      <c r="M128" s="2" t="str">
        <f t="shared" si="27"/>
        <v/>
      </c>
      <c r="N128" s="3" t="str">
        <f t="shared" si="24"/>
        <v/>
      </c>
      <c r="O128" t="str">
        <f>IF(M129&lt;&gt;"",MIN(N128*$B$3,$B$2*1.5-$B$9-SUM($H$3:$H$200)-SUM($O$3:O127)),"")</f>
        <v/>
      </c>
      <c r="P128" s="3" t="str">
        <f t="shared" si="25"/>
        <v/>
      </c>
      <c r="Q128" t="str">
        <f t="shared" si="18"/>
        <v/>
      </c>
      <c r="R128" t="str">
        <f t="shared" si="26"/>
        <v/>
      </c>
      <c r="S128" s="5"/>
      <c r="T128" s="5"/>
      <c r="U128" s="5"/>
      <c r="V128" s="21" t="str">
        <f t="shared" si="19"/>
        <v/>
      </c>
      <c r="W128" s="22" t="str">
        <f t="shared" si="20"/>
        <v/>
      </c>
      <c r="X128" s="21" t="str">
        <f t="shared" si="21"/>
        <v/>
      </c>
    </row>
    <row r="129" spans="6:24" x14ac:dyDescent="0.25">
      <c r="F129" s="2">
        <f t="shared" si="22"/>
        <v>44078</v>
      </c>
      <c r="G129">
        <f t="shared" si="23"/>
        <v>25649.75</v>
      </c>
      <c r="H129" s="3">
        <f>IF(F129&lt;&gt;"",MIN(G129*$B$20,$B$2*1.5-$B$9-SUM($H$3:H128)),"")</f>
        <v>0</v>
      </c>
      <c r="I129" s="3">
        <f t="shared" si="30"/>
        <v>11285.900000000001</v>
      </c>
      <c r="J129" s="5"/>
      <c r="K129" s="21">
        <f t="shared" si="28"/>
        <v>0</v>
      </c>
      <c r="L129" s="25">
        <f t="shared" si="29"/>
        <v>0</v>
      </c>
      <c r="M129" s="2" t="str">
        <f t="shared" si="27"/>
        <v/>
      </c>
      <c r="N129" s="3" t="str">
        <f t="shared" si="24"/>
        <v/>
      </c>
      <c r="O129" t="str">
        <f>IF(M130&lt;&gt;"",MIN(N129*$B$3,$B$2*1.5-$B$9-SUM($H$3:$H$200)-SUM($O$3:O128)),"")</f>
        <v/>
      </c>
      <c r="P129" s="3" t="str">
        <f t="shared" si="25"/>
        <v/>
      </c>
      <c r="Q129" t="str">
        <f t="shared" si="18"/>
        <v/>
      </c>
      <c r="R129" t="str">
        <f t="shared" si="26"/>
        <v/>
      </c>
      <c r="S129" s="5"/>
      <c r="T129" s="5"/>
      <c r="U129" s="5"/>
      <c r="V129" s="21" t="str">
        <f t="shared" si="19"/>
        <v/>
      </c>
      <c r="W129" s="22" t="str">
        <f t="shared" si="20"/>
        <v/>
      </c>
      <c r="X129" s="21" t="str">
        <f t="shared" si="21"/>
        <v/>
      </c>
    </row>
    <row r="130" spans="6:24" x14ac:dyDescent="0.25">
      <c r="F130" s="2">
        <f t="shared" si="22"/>
        <v>44079</v>
      </c>
      <c r="G130">
        <f t="shared" si="23"/>
        <v>25649.75</v>
      </c>
      <c r="H130" s="3">
        <f>IF(F130&lt;&gt;"",MIN(G130*$B$20,$B$2*1.5-$B$9-SUM($H$3:H129)),"")</f>
        <v>0</v>
      </c>
      <c r="I130" s="3">
        <f t="shared" si="30"/>
        <v>11285.900000000001</v>
      </c>
      <c r="J130" s="5"/>
      <c r="K130" s="21">
        <f t="shared" si="28"/>
        <v>0</v>
      </c>
      <c r="L130" s="25">
        <f t="shared" si="29"/>
        <v>0</v>
      </c>
      <c r="M130" s="2" t="str">
        <f t="shared" si="27"/>
        <v/>
      </c>
      <c r="N130" s="3" t="str">
        <f t="shared" si="24"/>
        <v/>
      </c>
      <c r="O130" t="str">
        <f>IF(M131&lt;&gt;"",MIN(N130*$B$3,$B$2*1.5-$B$9-SUM($H$3:$H$200)-SUM($O$3:O129)),"")</f>
        <v/>
      </c>
      <c r="P130" s="3" t="str">
        <f t="shared" si="25"/>
        <v/>
      </c>
      <c r="Q130" t="str">
        <f t="shared" si="18"/>
        <v/>
      </c>
      <c r="R130" t="str">
        <f t="shared" si="26"/>
        <v/>
      </c>
      <c r="S130" s="5"/>
      <c r="T130" s="5"/>
      <c r="U130" s="5"/>
      <c r="V130" s="21" t="str">
        <f t="shared" si="19"/>
        <v/>
      </c>
      <c r="W130" s="22" t="str">
        <f t="shared" si="20"/>
        <v/>
      </c>
      <c r="X130" s="21" t="str">
        <f t="shared" si="21"/>
        <v/>
      </c>
    </row>
    <row r="131" spans="6:24" x14ac:dyDescent="0.25">
      <c r="F131" s="2">
        <f t="shared" si="22"/>
        <v>44080</v>
      </c>
      <c r="G131">
        <f t="shared" si="23"/>
        <v>25649.75</v>
      </c>
      <c r="H131" s="3">
        <f>IF(F131&lt;&gt;"",MIN(G131*$B$20,$B$2*1.5-$B$9-SUM($H$3:H130)),"")</f>
        <v>0</v>
      </c>
      <c r="I131" s="3">
        <f t="shared" si="30"/>
        <v>11285.900000000001</v>
      </c>
      <c r="J131" s="5"/>
      <c r="K131" s="21">
        <f t="shared" si="28"/>
        <v>0</v>
      </c>
      <c r="L131" s="25">
        <f t="shared" si="29"/>
        <v>0</v>
      </c>
      <c r="M131" s="2" t="str">
        <f t="shared" si="27"/>
        <v/>
      </c>
      <c r="N131" s="3" t="str">
        <f t="shared" si="24"/>
        <v/>
      </c>
      <c r="O131" t="str">
        <f>IF(M132&lt;&gt;"",MIN(N131*$B$3,$B$2*1.5-$B$9-SUM($H$3:$H$200)-SUM($O$3:O130)),"")</f>
        <v/>
      </c>
      <c r="P131" s="3" t="str">
        <f t="shared" si="25"/>
        <v/>
      </c>
      <c r="Q131" t="str">
        <f t="shared" si="18"/>
        <v/>
      </c>
      <c r="R131" t="str">
        <f t="shared" si="26"/>
        <v/>
      </c>
      <c r="S131" s="5"/>
      <c r="T131" s="5"/>
      <c r="U131" s="5"/>
      <c r="V131" s="21" t="str">
        <f t="shared" si="19"/>
        <v/>
      </c>
      <c r="W131" s="22" t="str">
        <f t="shared" si="20"/>
        <v/>
      </c>
      <c r="X131" s="21" t="str">
        <f t="shared" si="21"/>
        <v/>
      </c>
    </row>
    <row r="132" spans="6:24" x14ac:dyDescent="0.25">
      <c r="F132" s="2">
        <f t="shared" si="22"/>
        <v>44081</v>
      </c>
      <c r="G132">
        <f t="shared" si="23"/>
        <v>25649.75</v>
      </c>
      <c r="H132" s="3">
        <f>IF(F132&lt;&gt;"",MIN(G132*$B$20,$B$2*1.5-$B$9-SUM($H$3:H131)),"")</f>
        <v>0</v>
      </c>
      <c r="I132" s="3">
        <f t="shared" si="30"/>
        <v>11285.900000000001</v>
      </c>
      <c r="J132" s="5"/>
      <c r="K132" s="21">
        <f t="shared" si="28"/>
        <v>0</v>
      </c>
      <c r="L132" s="25">
        <f t="shared" si="29"/>
        <v>0</v>
      </c>
      <c r="M132" s="2" t="str">
        <f t="shared" ref="M132:M163" si="31">IF(OR(M131&lt;$B$22,$B$22=""),
IF(M131=$B$17-1,$B$18, M131+1),"")</f>
        <v/>
      </c>
      <c r="N132" s="3" t="str">
        <f t="shared" si="24"/>
        <v/>
      </c>
      <c r="O132" t="str">
        <f>IF(M133&lt;&gt;"",MIN(N132*$B$3,$B$2*1.5-$B$9-SUM($H$3:$H$200)-SUM($O$3:O131)),"")</f>
        <v/>
      </c>
      <c r="P132" s="3" t="str">
        <f t="shared" si="25"/>
        <v/>
      </c>
      <c r="Q132" t="str">
        <f t="shared" ref="Q132:Q195" si="32">IF(M133&lt;&gt;"",IF(
OR(
AND($B$11&gt;0,OR(T132="",T132=0),M132&lt;&gt;$B$22),
AND(M132&gt;$B$13,M132&lt;$B$22,M132-$B$13&lt;100)),N132*0.01%,0),"")</f>
        <v/>
      </c>
      <c r="R132" t="str">
        <f t="shared" si="26"/>
        <v/>
      </c>
      <c r="S132" s="5"/>
      <c r="T132" s="5"/>
      <c r="U132" s="5"/>
      <c r="V132" s="21" t="str">
        <f t="shared" ref="V132:V195" si="33">IF(M132&lt;&gt;"",MAX(S132-R132,0),"")</f>
        <v/>
      </c>
      <c r="W132" s="22" t="str">
        <f t="shared" ref="W132:W195" si="34">IF(M132&lt;&gt;"",MAX(0,V132-P132),"")</f>
        <v/>
      </c>
      <c r="X132" s="21" t="str">
        <f t="shared" ref="X132:X195" si="35">IF(M132&lt;&gt;"",MAX(0,T132-R132),"")</f>
        <v/>
      </c>
    </row>
    <row r="133" spans="6:24" x14ac:dyDescent="0.25">
      <c r="F133" s="2">
        <f t="shared" ref="F133:F196" si="36">IF(F132&lt;$B$18-1,F132+1,"")</f>
        <v>44082</v>
      </c>
      <c r="G133">
        <f t="shared" ref="G133:G182" si="37">IF(F133&lt;&gt;"",MAX(G132-J133,0),"")</f>
        <v>25649.75</v>
      </c>
      <c r="H133" s="3">
        <f>IF(F133&lt;&gt;"",MIN(G133*$B$20,$B$2*1.5-$B$9-SUM($H$3:H132)),"")</f>
        <v>0</v>
      </c>
      <c r="I133" s="3">
        <f t="shared" si="30"/>
        <v>11285.900000000001</v>
      </c>
      <c r="J133" s="5"/>
      <c r="K133" s="21">
        <f t="shared" si="28"/>
        <v>0</v>
      </c>
      <c r="L133" s="25">
        <f t="shared" si="29"/>
        <v>0</v>
      </c>
      <c r="M133" s="2" t="str">
        <f t="shared" si="31"/>
        <v/>
      </c>
      <c r="N133" s="3" t="str">
        <f t="shared" ref="N133:N196" si="38">IF(M133&lt;&gt;"",N132-W133,"")</f>
        <v/>
      </c>
      <c r="O133" t="str">
        <f>IF(M134&lt;&gt;"",MIN(N133*$B$3,$B$2*1.5-$B$9-SUM($H$3:$H$200)-SUM($O$3:O132)),"")</f>
        <v/>
      </c>
      <c r="P133" s="3" t="str">
        <f t="shared" ref="P133:P196" si="39">IF(M133&lt;&gt;"",MAX(P132+O132-V132-X132,0),"")</f>
        <v/>
      </c>
      <c r="Q133" t="str">
        <f t="shared" si="32"/>
        <v/>
      </c>
      <c r="R133" t="str">
        <f t="shared" ref="R133:R196" si="40">IF(M133&lt;&gt;"",MAX(0,Q132+R132-S132-T132),"")</f>
        <v/>
      </c>
      <c r="S133" s="5"/>
      <c r="T133" s="5"/>
      <c r="U133" s="5"/>
      <c r="V133" s="21" t="str">
        <f t="shared" si="33"/>
        <v/>
      </c>
      <c r="W133" s="22" t="str">
        <f t="shared" si="34"/>
        <v/>
      </c>
      <c r="X133" s="21" t="str">
        <f t="shared" si="35"/>
        <v/>
      </c>
    </row>
    <row r="134" spans="6:24" x14ac:dyDescent="0.25">
      <c r="F134" s="2">
        <f t="shared" si="36"/>
        <v>44083</v>
      </c>
      <c r="G134">
        <f t="shared" si="37"/>
        <v>25649.75</v>
      </c>
      <c r="H134" s="3">
        <f>IF(F134&lt;&gt;"",MIN(G134*$B$20,$B$2*1.5-$B$9-SUM($H$3:H133)),"")</f>
        <v>0</v>
      </c>
      <c r="I134" s="3">
        <f t="shared" si="30"/>
        <v>11285.900000000001</v>
      </c>
      <c r="J134" s="5"/>
      <c r="K134" s="21">
        <f t="shared" si="28"/>
        <v>0</v>
      </c>
      <c r="L134" s="25">
        <f t="shared" si="29"/>
        <v>0</v>
      </c>
      <c r="M134" s="2" t="str">
        <f t="shared" si="31"/>
        <v/>
      </c>
      <c r="N134" s="3" t="str">
        <f t="shared" si="38"/>
        <v/>
      </c>
      <c r="O134" t="str">
        <f>IF(M135&lt;&gt;"",MIN(N134*$B$3,$B$2*1.5-$B$9-SUM($H$3:$H$200)-SUM($O$3:O133)),"")</f>
        <v/>
      </c>
      <c r="P134" s="3" t="str">
        <f t="shared" si="39"/>
        <v/>
      </c>
      <c r="Q134" t="str">
        <f t="shared" si="32"/>
        <v/>
      </c>
      <c r="R134" t="str">
        <f t="shared" si="40"/>
        <v/>
      </c>
      <c r="S134" s="5"/>
      <c r="T134" s="5"/>
      <c r="U134" s="5"/>
      <c r="V134" s="21" t="str">
        <f t="shared" si="33"/>
        <v/>
      </c>
      <c r="W134" s="22" t="str">
        <f t="shared" si="34"/>
        <v/>
      </c>
      <c r="X134" s="21" t="str">
        <f t="shared" si="35"/>
        <v/>
      </c>
    </row>
    <row r="135" spans="6:24" x14ac:dyDescent="0.25">
      <c r="F135" s="2">
        <f t="shared" si="36"/>
        <v>44084</v>
      </c>
      <c r="G135">
        <f t="shared" si="37"/>
        <v>25649.75</v>
      </c>
      <c r="H135" s="3">
        <f>IF(F135&lt;&gt;"",MIN(G135*$B$20,$B$2*1.5-$B$9-SUM($H$3:H134)),"")</f>
        <v>0</v>
      </c>
      <c r="I135" s="3">
        <f t="shared" si="30"/>
        <v>11285.900000000001</v>
      </c>
      <c r="J135" s="5"/>
      <c r="K135" s="21">
        <f t="shared" si="28"/>
        <v>0</v>
      </c>
      <c r="L135" s="25">
        <f t="shared" si="29"/>
        <v>0</v>
      </c>
      <c r="M135" s="2" t="str">
        <f t="shared" si="31"/>
        <v/>
      </c>
      <c r="N135" s="3" t="str">
        <f t="shared" si="38"/>
        <v/>
      </c>
      <c r="O135" t="str">
        <f>IF(M136&lt;&gt;"",MIN(N135*$B$3,$B$2*1.5-$B$9-SUM($H$3:$H$200)-SUM($O$3:O134)),"")</f>
        <v/>
      </c>
      <c r="P135" s="3" t="str">
        <f t="shared" si="39"/>
        <v/>
      </c>
      <c r="Q135" t="str">
        <f t="shared" si="32"/>
        <v/>
      </c>
      <c r="R135" t="str">
        <f t="shared" si="40"/>
        <v/>
      </c>
      <c r="S135" s="5"/>
      <c r="T135" s="5"/>
      <c r="U135" s="5"/>
      <c r="V135" s="21" t="str">
        <f t="shared" si="33"/>
        <v/>
      </c>
      <c r="W135" s="22" t="str">
        <f t="shared" si="34"/>
        <v/>
      </c>
      <c r="X135" s="21" t="str">
        <f t="shared" si="35"/>
        <v/>
      </c>
    </row>
    <row r="136" spans="6:24" x14ac:dyDescent="0.25">
      <c r="F136" s="2">
        <f t="shared" si="36"/>
        <v>44085</v>
      </c>
      <c r="G136">
        <f t="shared" si="37"/>
        <v>25649.75</v>
      </c>
      <c r="H136" s="3">
        <f>IF(F136&lt;&gt;"",MIN(G136*$B$20,$B$2*1.5-$B$9-SUM($H$3:H135)),"")</f>
        <v>0</v>
      </c>
      <c r="I136" s="3">
        <f t="shared" si="30"/>
        <v>11285.900000000001</v>
      </c>
      <c r="J136" s="5"/>
      <c r="K136" s="21">
        <f t="shared" si="28"/>
        <v>0</v>
      </c>
      <c r="L136" s="25">
        <f t="shared" si="29"/>
        <v>0</v>
      </c>
      <c r="M136" s="2" t="str">
        <f t="shared" si="31"/>
        <v/>
      </c>
      <c r="N136" s="3" t="str">
        <f t="shared" si="38"/>
        <v/>
      </c>
      <c r="O136" t="str">
        <f>IF(M137&lt;&gt;"",MIN(N136*$B$3,$B$2*1.5-$B$9-SUM($H$3:$H$200)-SUM($O$3:O135)),"")</f>
        <v/>
      </c>
      <c r="P136" s="3" t="str">
        <f t="shared" si="39"/>
        <v/>
      </c>
      <c r="Q136" t="str">
        <f t="shared" si="32"/>
        <v/>
      </c>
      <c r="R136" t="str">
        <f t="shared" si="40"/>
        <v/>
      </c>
      <c r="S136" s="5"/>
      <c r="T136" s="5"/>
      <c r="U136" s="5"/>
      <c r="V136" s="21" t="str">
        <f t="shared" si="33"/>
        <v/>
      </c>
      <c r="W136" s="22" t="str">
        <f t="shared" si="34"/>
        <v/>
      </c>
      <c r="X136" s="21" t="str">
        <f t="shared" si="35"/>
        <v/>
      </c>
    </row>
    <row r="137" spans="6:24" x14ac:dyDescent="0.25">
      <c r="F137" s="2">
        <f t="shared" si="36"/>
        <v>44086</v>
      </c>
      <c r="G137">
        <f t="shared" si="37"/>
        <v>25649.75</v>
      </c>
      <c r="H137" s="3">
        <f>IF(F137&lt;&gt;"",MIN(G137*$B$20,$B$2*1.5-$B$9-SUM($H$3:H136)),"")</f>
        <v>0</v>
      </c>
      <c r="I137" s="3">
        <f t="shared" si="30"/>
        <v>11285.900000000001</v>
      </c>
      <c r="J137" s="5"/>
      <c r="K137" s="21">
        <f t="shared" si="28"/>
        <v>0</v>
      </c>
      <c r="L137" s="25">
        <f t="shared" si="29"/>
        <v>0</v>
      </c>
      <c r="M137" s="2" t="str">
        <f t="shared" si="31"/>
        <v/>
      </c>
      <c r="N137" s="3" t="str">
        <f t="shared" si="38"/>
        <v/>
      </c>
      <c r="O137" t="str">
        <f>IF(M138&lt;&gt;"",MIN(N137*$B$3,$B$2*1.5-$B$9-SUM($H$3:$H$200)-SUM($O$3:O136)),"")</f>
        <v/>
      </c>
      <c r="P137" s="3" t="str">
        <f t="shared" si="39"/>
        <v/>
      </c>
      <c r="Q137" t="str">
        <f t="shared" si="32"/>
        <v/>
      </c>
      <c r="R137" t="str">
        <f t="shared" si="40"/>
        <v/>
      </c>
      <c r="S137" s="5"/>
      <c r="T137" s="5"/>
      <c r="U137" s="5"/>
      <c r="V137" s="21" t="str">
        <f t="shared" si="33"/>
        <v/>
      </c>
      <c r="W137" s="22" t="str">
        <f t="shared" si="34"/>
        <v/>
      </c>
      <c r="X137" s="21" t="str">
        <f t="shared" si="35"/>
        <v/>
      </c>
    </row>
    <row r="138" spans="6:24" x14ac:dyDescent="0.25">
      <c r="F138" s="2">
        <f t="shared" si="36"/>
        <v>44087</v>
      </c>
      <c r="G138">
        <f t="shared" si="37"/>
        <v>25649.75</v>
      </c>
      <c r="H138" s="3">
        <f>IF(F138&lt;&gt;"",MIN(G138*$B$20,$B$2*1.5-$B$9-SUM($H$3:H137)),"")</f>
        <v>0</v>
      </c>
      <c r="I138" s="3">
        <f t="shared" si="30"/>
        <v>11285.900000000001</v>
      </c>
      <c r="J138" s="5"/>
      <c r="K138" s="21">
        <f t="shared" si="28"/>
        <v>0</v>
      </c>
      <c r="L138" s="25">
        <f t="shared" si="29"/>
        <v>0</v>
      </c>
      <c r="M138" s="2" t="str">
        <f t="shared" si="31"/>
        <v/>
      </c>
      <c r="N138" s="3" t="str">
        <f t="shared" si="38"/>
        <v/>
      </c>
      <c r="O138" t="str">
        <f>IF(M139&lt;&gt;"",MIN(N138*$B$3,$B$2*1.5-$B$9-SUM($H$3:$H$200)-SUM($O$3:O137)),"")</f>
        <v/>
      </c>
      <c r="P138" s="3" t="str">
        <f t="shared" si="39"/>
        <v/>
      </c>
      <c r="Q138" t="str">
        <f t="shared" si="32"/>
        <v/>
      </c>
      <c r="R138" t="str">
        <f t="shared" si="40"/>
        <v/>
      </c>
      <c r="S138" s="5"/>
      <c r="T138" s="5"/>
      <c r="U138" s="5"/>
      <c r="V138" s="21" t="str">
        <f t="shared" si="33"/>
        <v/>
      </c>
      <c r="W138" s="22" t="str">
        <f t="shared" si="34"/>
        <v/>
      </c>
      <c r="X138" s="21" t="str">
        <f t="shared" si="35"/>
        <v/>
      </c>
    </row>
    <row r="139" spans="6:24" x14ac:dyDescent="0.25">
      <c r="F139" s="2">
        <f t="shared" si="36"/>
        <v>44088</v>
      </c>
      <c r="G139">
        <f t="shared" si="37"/>
        <v>25649.75</v>
      </c>
      <c r="H139" s="3">
        <f>IF(F139&lt;&gt;"",MIN(G139*$B$20,$B$2*1.5-$B$9-SUM($H$3:H138)),"")</f>
        <v>0</v>
      </c>
      <c r="I139" s="3">
        <f t="shared" si="30"/>
        <v>11285.900000000001</v>
      </c>
      <c r="J139" s="5"/>
      <c r="K139" s="21">
        <f t="shared" si="28"/>
        <v>0</v>
      </c>
      <c r="L139" s="25">
        <f t="shared" si="29"/>
        <v>0</v>
      </c>
      <c r="M139" s="2" t="str">
        <f t="shared" si="31"/>
        <v/>
      </c>
      <c r="N139" s="3" t="str">
        <f t="shared" si="38"/>
        <v/>
      </c>
      <c r="O139" t="str">
        <f>IF(M140&lt;&gt;"",MIN(N139*$B$3,$B$2*1.5-$B$9-SUM($H$3:$H$200)-SUM($O$3:O138)),"")</f>
        <v/>
      </c>
      <c r="P139" s="3" t="str">
        <f t="shared" si="39"/>
        <v/>
      </c>
      <c r="Q139" t="str">
        <f t="shared" si="32"/>
        <v/>
      </c>
      <c r="R139" t="str">
        <f t="shared" si="40"/>
        <v/>
      </c>
      <c r="S139" s="5"/>
      <c r="T139" s="5"/>
      <c r="U139" s="5"/>
      <c r="V139" s="21" t="str">
        <f t="shared" si="33"/>
        <v/>
      </c>
      <c r="W139" s="22" t="str">
        <f t="shared" si="34"/>
        <v/>
      </c>
      <c r="X139" s="21" t="str">
        <f t="shared" si="35"/>
        <v/>
      </c>
    </row>
    <row r="140" spans="6:24" x14ac:dyDescent="0.25">
      <c r="F140" s="2">
        <f t="shared" si="36"/>
        <v>44089</v>
      </c>
      <c r="G140">
        <f t="shared" si="37"/>
        <v>25649.75</v>
      </c>
      <c r="H140" s="3">
        <f>IF(F140&lt;&gt;"",MIN(G140*$B$20,$B$2*1.5-$B$9-SUM($H$3:H139)),"")</f>
        <v>0</v>
      </c>
      <c r="I140" s="3">
        <f t="shared" si="30"/>
        <v>11285.900000000001</v>
      </c>
      <c r="J140" s="5"/>
      <c r="K140" s="21">
        <f t="shared" si="28"/>
        <v>0</v>
      </c>
      <c r="L140" s="25">
        <f t="shared" si="29"/>
        <v>0</v>
      </c>
      <c r="M140" s="2" t="str">
        <f t="shared" si="31"/>
        <v/>
      </c>
      <c r="N140" s="3" t="str">
        <f t="shared" si="38"/>
        <v/>
      </c>
      <c r="O140" t="str">
        <f>IF(M141&lt;&gt;"",MIN(N140*$B$3,$B$2*1.5-$B$9-SUM($H$3:$H$200)-SUM($O$3:O139)),"")</f>
        <v/>
      </c>
      <c r="P140" s="3" t="str">
        <f t="shared" si="39"/>
        <v/>
      </c>
      <c r="Q140" t="str">
        <f t="shared" si="32"/>
        <v/>
      </c>
      <c r="R140" t="str">
        <f t="shared" si="40"/>
        <v/>
      </c>
      <c r="S140" s="5"/>
      <c r="T140" s="5"/>
      <c r="U140" s="5"/>
      <c r="V140" s="21" t="str">
        <f t="shared" si="33"/>
        <v/>
      </c>
      <c r="W140" s="22" t="str">
        <f t="shared" si="34"/>
        <v/>
      </c>
      <c r="X140" s="21" t="str">
        <f t="shared" si="35"/>
        <v/>
      </c>
    </row>
    <row r="141" spans="6:24" x14ac:dyDescent="0.25">
      <c r="F141" s="2">
        <f t="shared" si="36"/>
        <v>44090</v>
      </c>
      <c r="G141">
        <f t="shared" si="37"/>
        <v>25649.75</v>
      </c>
      <c r="H141" s="3">
        <f>IF(F141&lt;&gt;"",MIN(G141*$B$20,$B$2*1.5-$B$9-SUM($H$3:H140)),"")</f>
        <v>0</v>
      </c>
      <c r="I141" s="3">
        <f t="shared" si="30"/>
        <v>11285.900000000001</v>
      </c>
      <c r="J141" s="5"/>
      <c r="K141" s="21">
        <f t="shared" si="28"/>
        <v>0</v>
      </c>
      <c r="L141" s="25">
        <f t="shared" si="29"/>
        <v>0</v>
      </c>
      <c r="M141" s="2" t="str">
        <f t="shared" si="31"/>
        <v/>
      </c>
      <c r="N141" s="3" t="str">
        <f t="shared" si="38"/>
        <v/>
      </c>
      <c r="O141" t="str">
        <f>IF(M142&lt;&gt;"",MIN(N141*$B$3,$B$2*1.5-$B$9-SUM($H$3:$H$200)-SUM($O$3:O140)),"")</f>
        <v/>
      </c>
      <c r="P141" s="3" t="str">
        <f t="shared" si="39"/>
        <v/>
      </c>
      <c r="Q141" t="str">
        <f t="shared" si="32"/>
        <v/>
      </c>
      <c r="R141" t="str">
        <f t="shared" si="40"/>
        <v/>
      </c>
      <c r="S141" s="5"/>
      <c r="T141" s="5"/>
      <c r="U141" s="5"/>
      <c r="V141" s="21" t="str">
        <f t="shared" si="33"/>
        <v/>
      </c>
      <c r="W141" s="22" t="str">
        <f t="shared" si="34"/>
        <v/>
      </c>
      <c r="X141" s="21" t="str">
        <f t="shared" si="35"/>
        <v/>
      </c>
    </row>
    <row r="142" spans="6:24" x14ac:dyDescent="0.25">
      <c r="F142" s="2">
        <f t="shared" si="36"/>
        <v>44091</v>
      </c>
      <c r="G142">
        <f t="shared" si="37"/>
        <v>25649.75</v>
      </c>
      <c r="H142" s="3">
        <f>IF(F142&lt;&gt;"",MIN(G142*$B$20,$B$2*1.5-$B$9-SUM($H$3:H141)),"")</f>
        <v>0</v>
      </c>
      <c r="I142" s="3">
        <f t="shared" si="30"/>
        <v>11285.900000000001</v>
      </c>
      <c r="J142" s="5"/>
      <c r="K142" s="21">
        <f t="shared" si="28"/>
        <v>0</v>
      </c>
      <c r="L142" s="25">
        <f t="shared" si="29"/>
        <v>0</v>
      </c>
      <c r="M142" s="2" t="str">
        <f t="shared" si="31"/>
        <v/>
      </c>
      <c r="N142" s="3" t="str">
        <f t="shared" si="38"/>
        <v/>
      </c>
      <c r="O142" t="str">
        <f>IF(M143&lt;&gt;"",MIN(N142*$B$3,$B$2*1.5-$B$9-SUM($H$3:$H$200)-SUM($O$3:O141)),"")</f>
        <v/>
      </c>
      <c r="P142" s="3" t="str">
        <f t="shared" si="39"/>
        <v/>
      </c>
      <c r="Q142" t="str">
        <f t="shared" si="32"/>
        <v/>
      </c>
      <c r="R142" t="str">
        <f t="shared" si="40"/>
        <v/>
      </c>
      <c r="S142" s="5"/>
      <c r="T142" s="5"/>
      <c r="U142" s="5"/>
      <c r="V142" s="21" t="str">
        <f t="shared" si="33"/>
        <v/>
      </c>
      <c r="W142" s="22" t="str">
        <f t="shared" si="34"/>
        <v/>
      </c>
      <c r="X142" s="21" t="str">
        <f t="shared" si="35"/>
        <v/>
      </c>
    </row>
    <row r="143" spans="6:24" x14ac:dyDescent="0.25">
      <c r="F143" s="2">
        <f t="shared" si="36"/>
        <v>44092</v>
      </c>
      <c r="G143">
        <f t="shared" si="37"/>
        <v>25649.75</v>
      </c>
      <c r="H143" s="3">
        <f>IF(F143&lt;&gt;"",MIN(G143*$B$20,$B$2*1.5-$B$9-SUM($H$3:H142)),"")</f>
        <v>0</v>
      </c>
      <c r="I143" s="3">
        <f t="shared" si="30"/>
        <v>11285.900000000001</v>
      </c>
      <c r="J143" s="5"/>
      <c r="K143" s="21">
        <f t="shared" si="28"/>
        <v>0</v>
      </c>
      <c r="L143" s="25">
        <f t="shared" si="29"/>
        <v>0</v>
      </c>
      <c r="M143" s="2" t="str">
        <f t="shared" si="31"/>
        <v/>
      </c>
      <c r="N143" s="3" t="str">
        <f t="shared" si="38"/>
        <v/>
      </c>
      <c r="O143" t="str">
        <f>IF(M144&lt;&gt;"",MIN(N143*$B$3,$B$2*1.5-$B$9-SUM($H$3:$H$200)-SUM($O$3:O142)),"")</f>
        <v/>
      </c>
      <c r="P143" s="3" t="str">
        <f t="shared" si="39"/>
        <v/>
      </c>
      <c r="Q143" t="str">
        <f t="shared" si="32"/>
        <v/>
      </c>
      <c r="R143" t="str">
        <f t="shared" si="40"/>
        <v/>
      </c>
      <c r="S143" s="5"/>
      <c r="T143" s="5"/>
      <c r="U143" s="5"/>
      <c r="V143" s="21" t="str">
        <f t="shared" si="33"/>
        <v/>
      </c>
      <c r="W143" s="22" t="str">
        <f t="shared" si="34"/>
        <v/>
      </c>
      <c r="X143" s="21" t="str">
        <f t="shared" si="35"/>
        <v/>
      </c>
    </row>
    <row r="144" spans="6:24" x14ac:dyDescent="0.25">
      <c r="F144" s="2">
        <f t="shared" si="36"/>
        <v>44093</v>
      </c>
      <c r="G144">
        <f t="shared" si="37"/>
        <v>25649.75</v>
      </c>
      <c r="H144" s="3">
        <f>IF(F144&lt;&gt;"",MIN(G144*$B$20,$B$2*1.5-$B$9-SUM($H$3:H143)),"")</f>
        <v>0</v>
      </c>
      <c r="I144" s="3">
        <f t="shared" si="30"/>
        <v>11285.900000000001</v>
      </c>
      <c r="J144" s="5"/>
      <c r="K144" s="21">
        <f t="shared" si="28"/>
        <v>0</v>
      </c>
      <c r="L144" s="25">
        <f t="shared" si="29"/>
        <v>0</v>
      </c>
      <c r="M144" s="2" t="str">
        <f t="shared" si="31"/>
        <v/>
      </c>
      <c r="N144" s="3" t="str">
        <f t="shared" si="38"/>
        <v/>
      </c>
      <c r="O144" t="str">
        <f>IF(M145&lt;&gt;"",MIN(N144*$B$3,$B$2*1.5-$B$9-SUM($H$3:$H$200)-SUM($O$3:O143)),"")</f>
        <v/>
      </c>
      <c r="P144" s="3" t="str">
        <f t="shared" si="39"/>
        <v/>
      </c>
      <c r="Q144" t="str">
        <f t="shared" si="32"/>
        <v/>
      </c>
      <c r="R144" t="str">
        <f t="shared" si="40"/>
        <v/>
      </c>
      <c r="S144" s="5"/>
      <c r="T144" s="5"/>
      <c r="U144" s="5"/>
      <c r="V144" s="21" t="str">
        <f t="shared" si="33"/>
        <v/>
      </c>
      <c r="W144" s="22" t="str">
        <f t="shared" si="34"/>
        <v/>
      </c>
      <c r="X144" s="21" t="str">
        <f t="shared" si="35"/>
        <v/>
      </c>
    </row>
    <row r="145" spans="6:24" x14ac:dyDescent="0.25">
      <c r="F145" s="2">
        <f t="shared" si="36"/>
        <v>44094</v>
      </c>
      <c r="G145">
        <f t="shared" si="37"/>
        <v>25649.75</v>
      </c>
      <c r="H145" s="3">
        <f>IF(F145&lt;&gt;"",MIN(G145*$B$20,$B$2*1.5-$B$9-SUM($H$3:H144)),"")</f>
        <v>0</v>
      </c>
      <c r="I145" s="3">
        <f t="shared" si="30"/>
        <v>11285.900000000001</v>
      </c>
      <c r="J145" s="5"/>
      <c r="K145" s="21">
        <f t="shared" si="28"/>
        <v>0</v>
      </c>
      <c r="L145" s="25">
        <f t="shared" si="29"/>
        <v>0</v>
      </c>
      <c r="M145" s="2" t="str">
        <f t="shared" si="31"/>
        <v/>
      </c>
      <c r="N145" s="3" t="str">
        <f t="shared" si="38"/>
        <v/>
      </c>
      <c r="O145" t="str">
        <f>IF(M146&lt;&gt;"",MIN(N145*$B$3,$B$2*1.5-$B$9-SUM($H$3:$H$200)-SUM($O$3:O144)),"")</f>
        <v/>
      </c>
      <c r="P145" s="3" t="str">
        <f t="shared" si="39"/>
        <v/>
      </c>
      <c r="Q145" t="str">
        <f t="shared" si="32"/>
        <v/>
      </c>
      <c r="R145" t="str">
        <f t="shared" si="40"/>
        <v/>
      </c>
      <c r="S145" s="5"/>
      <c r="T145" s="5"/>
      <c r="U145" s="5"/>
      <c r="V145" s="21" t="str">
        <f t="shared" si="33"/>
        <v/>
      </c>
      <c r="W145" s="22" t="str">
        <f t="shared" si="34"/>
        <v/>
      </c>
      <c r="X145" s="21" t="str">
        <f t="shared" si="35"/>
        <v/>
      </c>
    </row>
    <row r="146" spans="6:24" x14ac:dyDescent="0.25">
      <c r="F146" s="2">
        <f t="shared" si="36"/>
        <v>44095</v>
      </c>
      <c r="G146">
        <f t="shared" si="37"/>
        <v>25649.75</v>
      </c>
      <c r="H146" s="3">
        <f>IF(F146&lt;&gt;"",MIN(G146*$B$20,$B$2*1.5-$B$9-SUM($H$3:H145)),"")</f>
        <v>0</v>
      </c>
      <c r="I146" s="3">
        <f t="shared" si="30"/>
        <v>11285.900000000001</v>
      </c>
      <c r="J146" s="5"/>
      <c r="K146" s="21">
        <f t="shared" si="28"/>
        <v>0</v>
      </c>
      <c r="L146" s="25">
        <f t="shared" si="29"/>
        <v>0</v>
      </c>
      <c r="M146" s="2" t="str">
        <f t="shared" si="31"/>
        <v/>
      </c>
      <c r="N146" s="3" t="str">
        <f t="shared" si="38"/>
        <v/>
      </c>
      <c r="O146" t="str">
        <f>IF(M147&lt;&gt;"",MIN(N146*$B$3,$B$2*1.5-$B$9-SUM($H$3:$H$200)-SUM($O$3:O145)),"")</f>
        <v/>
      </c>
      <c r="P146" s="3" t="str">
        <f t="shared" si="39"/>
        <v/>
      </c>
      <c r="Q146" t="str">
        <f t="shared" si="32"/>
        <v/>
      </c>
      <c r="R146" t="str">
        <f t="shared" si="40"/>
        <v/>
      </c>
      <c r="S146" s="5"/>
      <c r="T146" s="5"/>
      <c r="U146" s="5"/>
      <c r="V146" s="21" t="str">
        <f t="shared" si="33"/>
        <v/>
      </c>
      <c r="W146" s="22" t="str">
        <f t="shared" si="34"/>
        <v/>
      </c>
      <c r="X146" s="21" t="str">
        <f t="shared" si="35"/>
        <v/>
      </c>
    </row>
    <row r="147" spans="6:24" x14ac:dyDescent="0.25">
      <c r="F147" s="2">
        <f t="shared" si="36"/>
        <v>44096</v>
      </c>
      <c r="G147">
        <f t="shared" si="37"/>
        <v>25649.75</v>
      </c>
      <c r="H147" s="3">
        <f>IF(F147&lt;&gt;"",MIN(G147*$B$20,$B$2*1.5-$B$9-SUM($H$3:H146)),"")</f>
        <v>0</v>
      </c>
      <c r="I147" s="3">
        <f t="shared" si="30"/>
        <v>11285.900000000001</v>
      </c>
      <c r="J147" s="5"/>
      <c r="K147" s="21">
        <f t="shared" si="28"/>
        <v>0</v>
      </c>
      <c r="L147" s="25">
        <f t="shared" si="29"/>
        <v>0</v>
      </c>
      <c r="M147" s="2" t="str">
        <f t="shared" si="31"/>
        <v/>
      </c>
      <c r="N147" s="3" t="str">
        <f t="shared" si="38"/>
        <v/>
      </c>
      <c r="O147" t="str">
        <f>IF(M148&lt;&gt;"",MIN(N147*$B$3,$B$2*1.5-$B$9-SUM($H$3:$H$200)-SUM($O$3:O146)),"")</f>
        <v/>
      </c>
      <c r="P147" s="3" t="str">
        <f t="shared" si="39"/>
        <v/>
      </c>
      <c r="Q147" t="str">
        <f t="shared" si="32"/>
        <v/>
      </c>
      <c r="R147" t="str">
        <f t="shared" si="40"/>
        <v/>
      </c>
      <c r="S147" s="5"/>
      <c r="T147" s="5"/>
      <c r="U147" s="5"/>
      <c r="V147" s="21" t="str">
        <f t="shared" si="33"/>
        <v/>
      </c>
      <c r="W147" s="22" t="str">
        <f t="shared" si="34"/>
        <v/>
      </c>
      <c r="X147" s="21" t="str">
        <f t="shared" si="35"/>
        <v/>
      </c>
    </row>
    <row r="148" spans="6:24" x14ac:dyDescent="0.25">
      <c r="F148" s="2">
        <f t="shared" si="36"/>
        <v>44097</v>
      </c>
      <c r="G148">
        <f t="shared" si="37"/>
        <v>25649.75</v>
      </c>
      <c r="H148" s="3">
        <f>IF(F148&lt;&gt;"",MIN(G148*$B$20,$B$2*1.5-$B$9-SUM($H$3:H147)),"")</f>
        <v>0</v>
      </c>
      <c r="I148" s="3">
        <f t="shared" si="30"/>
        <v>11285.900000000001</v>
      </c>
      <c r="J148" s="5"/>
      <c r="K148" s="21">
        <f t="shared" si="28"/>
        <v>0</v>
      </c>
      <c r="L148" s="25">
        <f t="shared" si="29"/>
        <v>0</v>
      </c>
      <c r="M148" s="2" t="str">
        <f t="shared" si="31"/>
        <v/>
      </c>
      <c r="N148" s="3" t="str">
        <f t="shared" si="38"/>
        <v/>
      </c>
      <c r="O148" t="str">
        <f>IF(M149&lt;&gt;"",MIN(N148*$B$3,$B$2*1.5-$B$9-SUM($H$3:$H$200)-SUM($O$3:O147)),"")</f>
        <v/>
      </c>
      <c r="P148" s="3" t="str">
        <f t="shared" si="39"/>
        <v/>
      </c>
      <c r="Q148" t="str">
        <f t="shared" si="32"/>
        <v/>
      </c>
      <c r="R148" t="str">
        <f t="shared" si="40"/>
        <v/>
      </c>
      <c r="S148" s="5"/>
      <c r="T148" s="5"/>
      <c r="U148" s="5"/>
      <c r="V148" s="21" t="str">
        <f t="shared" si="33"/>
        <v/>
      </c>
      <c r="W148" s="22" t="str">
        <f t="shared" si="34"/>
        <v/>
      </c>
      <c r="X148" s="21" t="str">
        <f t="shared" si="35"/>
        <v/>
      </c>
    </row>
    <row r="149" spans="6:24" x14ac:dyDescent="0.25">
      <c r="F149" s="2">
        <f t="shared" si="36"/>
        <v>44098</v>
      </c>
      <c r="G149">
        <f t="shared" si="37"/>
        <v>25649.75</v>
      </c>
      <c r="H149" s="3">
        <f>IF(F149&lt;&gt;"",MIN(G149*$B$20,$B$2*1.5-$B$9-SUM($H$3:H148)),"")</f>
        <v>0</v>
      </c>
      <c r="I149" s="3">
        <f t="shared" si="30"/>
        <v>11285.900000000001</v>
      </c>
      <c r="J149" s="5"/>
      <c r="K149" s="21">
        <f t="shared" si="28"/>
        <v>0</v>
      </c>
      <c r="L149" s="25">
        <f t="shared" si="29"/>
        <v>0</v>
      </c>
      <c r="M149" s="2" t="str">
        <f t="shared" si="31"/>
        <v/>
      </c>
      <c r="N149" s="3" t="str">
        <f t="shared" si="38"/>
        <v/>
      </c>
      <c r="O149" t="str">
        <f>IF(M150&lt;&gt;"",MIN(N149*$B$3,$B$2*1.5-$B$9-SUM($H$3:$H$200)-SUM($O$3:O148)),"")</f>
        <v/>
      </c>
      <c r="P149" s="3" t="str">
        <f t="shared" si="39"/>
        <v/>
      </c>
      <c r="Q149" t="str">
        <f t="shared" si="32"/>
        <v/>
      </c>
      <c r="R149" t="str">
        <f t="shared" si="40"/>
        <v/>
      </c>
      <c r="S149" s="5"/>
      <c r="T149" s="5"/>
      <c r="U149" s="5"/>
      <c r="V149" s="21" t="str">
        <f t="shared" si="33"/>
        <v/>
      </c>
      <c r="W149" s="22" t="str">
        <f t="shared" si="34"/>
        <v/>
      </c>
      <c r="X149" s="21" t="str">
        <f t="shared" si="35"/>
        <v/>
      </c>
    </row>
    <row r="150" spans="6:24" x14ac:dyDescent="0.25">
      <c r="F150" s="2">
        <f t="shared" si="36"/>
        <v>44099</v>
      </c>
      <c r="G150">
        <f t="shared" si="37"/>
        <v>25649.75</v>
      </c>
      <c r="H150" s="3">
        <f>IF(F150&lt;&gt;"",MIN(G150*$B$20,$B$2*1.5-$B$9-SUM($H$3:H149)),"")</f>
        <v>0</v>
      </c>
      <c r="I150" s="3">
        <f t="shared" si="30"/>
        <v>11285.900000000001</v>
      </c>
      <c r="J150" s="5"/>
      <c r="K150" s="21">
        <f t="shared" si="28"/>
        <v>0</v>
      </c>
      <c r="L150" s="25">
        <f t="shared" si="29"/>
        <v>0</v>
      </c>
      <c r="M150" s="2" t="str">
        <f t="shared" si="31"/>
        <v/>
      </c>
      <c r="N150" s="3" t="str">
        <f t="shared" si="38"/>
        <v/>
      </c>
      <c r="O150" t="str">
        <f>IF(M151&lt;&gt;"",MIN(N150*$B$3,$B$2*1.5-$B$9-SUM($H$3:$H$200)-SUM($O$3:O149)),"")</f>
        <v/>
      </c>
      <c r="P150" s="3" t="str">
        <f t="shared" si="39"/>
        <v/>
      </c>
      <c r="Q150" t="str">
        <f t="shared" si="32"/>
        <v/>
      </c>
      <c r="R150" t="str">
        <f t="shared" si="40"/>
        <v/>
      </c>
      <c r="S150" s="5"/>
      <c r="T150" s="5"/>
      <c r="U150" s="5"/>
      <c r="V150" s="21" t="str">
        <f t="shared" si="33"/>
        <v/>
      </c>
      <c r="W150" s="22" t="str">
        <f t="shared" si="34"/>
        <v/>
      </c>
      <c r="X150" s="21" t="str">
        <f t="shared" si="35"/>
        <v/>
      </c>
    </row>
    <row r="151" spans="6:24" x14ac:dyDescent="0.25">
      <c r="F151" s="2">
        <f t="shared" si="36"/>
        <v>44100</v>
      </c>
      <c r="G151">
        <f t="shared" si="37"/>
        <v>25649.75</v>
      </c>
      <c r="H151" s="3">
        <f>IF(F151&lt;&gt;"",MIN(G151*$B$20,$B$2*1.5-$B$9-SUM($H$3:H150)),"")</f>
        <v>0</v>
      </c>
      <c r="I151" s="3">
        <f t="shared" si="30"/>
        <v>11285.900000000001</v>
      </c>
      <c r="J151" s="5"/>
      <c r="K151" s="21">
        <f t="shared" si="28"/>
        <v>0</v>
      </c>
      <c r="L151" s="25">
        <f t="shared" si="29"/>
        <v>0</v>
      </c>
      <c r="M151" s="2" t="str">
        <f t="shared" si="31"/>
        <v/>
      </c>
      <c r="N151" s="3" t="str">
        <f t="shared" si="38"/>
        <v/>
      </c>
      <c r="O151" t="str">
        <f>IF(M152&lt;&gt;"",MIN(N151*$B$3,$B$2*1.5-$B$9-SUM($H$3:$H$200)-SUM($O$3:O150)),"")</f>
        <v/>
      </c>
      <c r="P151" s="3" t="str">
        <f t="shared" si="39"/>
        <v/>
      </c>
      <c r="Q151" t="str">
        <f t="shared" si="32"/>
        <v/>
      </c>
      <c r="R151" t="str">
        <f t="shared" si="40"/>
        <v/>
      </c>
      <c r="S151" s="5"/>
      <c r="T151" s="5"/>
      <c r="U151" s="5"/>
      <c r="V151" s="21" t="str">
        <f t="shared" si="33"/>
        <v/>
      </c>
      <c r="W151" s="22" t="str">
        <f t="shared" si="34"/>
        <v/>
      </c>
      <c r="X151" s="21" t="str">
        <f t="shared" si="35"/>
        <v/>
      </c>
    </row>
    <row r="152" spans="6:24" x14ac:dyDescent="0.25">
      <c r="F152" s="2">
        <f t="shared" si="36"/>
        <v>44101</v>
      </c>
      <c r="G152">
        <f t="shared" si="37"/>
        <v>25649.75</v>
      </c>
      <c r="H152" s="3">
        <f>IF(F152&lt;&gt;"",MIN(G152*$B$20,$B$2*1.5-$B$9-SUM($H$3:H151)),"")</f>
        <v>0</v>
      </c>
      <c r="I152" s="3">
        <f t="shared" si="30"/>
        <v>11285.900000000001</v>
      </c>
      <c r="J152" s="5"/>
      <c r="K152" s="21">
        <f t="shared" si="28"/>
        <v>0</v>
      </c>
      <c r="L152" s="25">
        <f t="shared" si="29"/>
        <v>0</v>
      </c>
      <c r="M152" s="2" t="str">
        <f t="shared" si="31"/>
        <v/>
      </c>
      <c r="N152" s="3" t="str">
        <f t="shared" si="38"/>
        <v/>
      </c>
      <c r="O152" t="str">
        <f>IF(M153&lt;&gt;"",MIN(N152*$B$3,$B$2*1.5-$B$9-SUM($H$3:$H$200)-SUM($O$3:O151)),"")</f>
        <v/>
      </c>
      <c r="P152" s="3" t="str">
        <f t="shared" si="39"/>
        <v/>
      </c>
      <c r="Q152" t="str">
        <f t="shared" si="32"/>
        <v/>
      </c>
      <c r="R152" t="str">
        <f t="shared" si="40"/>
        <v/>
      </c>
      <c r="S152" s="5"/>
      <c r="T152" s="5"/>
      <c r="U152" s="5"/>
      <c r="V152" s="21" t="str">
        <f t="shared" si="33"/>
        <v/>
      </c>
      <c r="W152" s="22" t="str">
        <f t="shared" si="34"/>
        <v/>
      </c>
      <c r="X152" s="21" t="str">
        <f t="shared" si="35"/>
        <v/>
      </c>
    </row>
    <row r="153" spans="6:24" x14ac:dyDescent="0.25">
      <c r="F153" s="2">
        <f t="shared" si="36"/>
        <v>44102</v>
      </c>
      <c r="G153">
        <f t="shared" si="37"/>
        <v>25649.75</v>
      </c>
      <c r="H153" s="3">
        <f>IF(F153&lt;&gt;"",MIN(G153*$B$20,$B$2*1.5-$B$9-SUM($H$3:H152)),"")</f>
        <v>0</v>
      </c>
      <c r="I153" s="3">
        <f t="shared" si="30"/>
        <v>11285.900000000001</v>
      </c>
      <c r="J153" s="5"/>
      <c r="K153" s="21">
        <f t="shared" si="28"/>
        <v>0</v>
      </c>
      <c r="L153" s="25">
        <f t="shared" si="29"/>
        <v>0</v>
      </c>
      <c r="M153" s="2" t="str">
        <f t="shared" si="31"/>
        <v/>
      </c>
      <c r="N153" s="3" t="str">
        <f t="shared" si="38"/>
        <v/>
      </c>
      <c r="O153" t="str">
        <f>IF(M154&lt;&gt;"",MIN(N153*$B$3,$B$2*1.5-$B$9-SUM($H$3:$H$200)-SUM($O$3:O152)),"")</f>
        <v/>
      </c>
      <c r="P153" s="3" t="str">
        <f t="shared" si="39"/>
        <v/>
      </c>
      <c r="Q153" t="str">
        <f t="shared" si="32"/>
        <v/>
      </c>
      <c r="R153" t="str">
        <f t="shared" si="40"/>
        <v/>
      </c>
      <c r="S153" s="5"/>
      <c r="T153" s="5"/>
      <c r="U153" s="5"/>
      <c r="V153" s="21" t="str">
        <f t="shared" si="33"/>
        <v/>
      </c>
      <c r="W153" s="22" t="str">
        <f t="shared" si="34"/>
        <v/>
      </c>
      <c r="X153" s="21" t="str">
        <f t="shared" si="35"/>
        <v/>
      </c>
    </row>
    <row r="154" spans="6:24" x14ac:dyDescent="0.25">
      <c r="F154" s="2">
        <f t="shared" si="36"/>
        <v>44103</v>
      </c>
      <c r="G154">
        <f t="shared" si="37"/>
        <v>25649.75</v>
      </c>
      <c r="H154" s="3">
        <f>IF(F154&lt;&gt;"",MIN(G154*$B$20,$B$2*1.5-$B$9-SUM($H$3:H153)),"")</f>
        <v>0</v>
      </c>
      <c r="I154" s="3">
        <f t="shared" si="30"/>
        <v>11285.900000000001</v>
      </c>
      <c r="J154" s="5"/>
      <c r="K154" s="21">
        <f t="shared" si="28"/>
        <v>0</v>
      </c>
      <c r="L154" s="25">
        <f t="shared" si="29"/>
        <v>0</v>
      </c>
      <c r="M154" s="2" t="str">
        <f t="shared" si="31"/>
        <v/>
      </c>
      <c r="N154" s="3" t="str">
        <f t="shared" si="38"/>
        <v/>
      </c>
      <c r="O154" t="str">
        <f>IF(M155&lt;&gt;"",MIN(N154*$B$3,$B$2*1.5-$B$9-SUM($H$3:$H$200)-SUM($O$3:O153)),"")</f>
        <v/>
      </c>
      <c r="P154" s="3" t="str">
        <f t="shared" si="39"/>
        <v/>
      </c>
      <c r="Q154" t="str">
        <f t="shared" si="32"/>
        <v/>
      </c>
      <c r="R154" t="str">
        <f t="shared" si="40"/>
        <v/>
      </c>
      <c r="S154" s="5"/>
      <c r="T154" s="5"/>
      <c r="U154" s="5"/>
      <c r="V154" s="21" t="str">
        <f t="shared" si="33"/>
        <v/>
      </c>
      <c r="W154" s="22" t="str">
        <f t="shared" si="34"/>
        <v/>
      </c>
      <c r="X154" s="21" t="str">
        <f t="shared" si="35"/>
        <v/>
      </c>
    </row>
    <row r="155" spans="6:24" x14ac:dyDescent="0.25">
      <c r="F155" s="2">
        <f t="shared" si="36"/>
        <v>44104</v>
      </c>
      <c r="G155">
        <f t="shared" si="37"/>
        <v>25649.75</v>
      </c>
      <c r="H155" s="3">
        <f>IF(F155&lt;&gt;"",MIN(G155*$B$20,$B$2*1.5-$B$9-SUM($H$3:H154)),"")</f>
        <v>0</v>
      </c>
      <c r="I155" s="3">
        <f t="shared" si="30"/>
        <v>11285.900000000001</v>
      </c>
      <c r="J155" s="5"/>
      <c r="K155" s="21">
        <f t="shared" si="28"/>
        <v>0</v>
      </c>
      <c r="L155" s="25">
        <f t="shared" si="29"/>
        <v>0</v>
      </c>
      <c r="M155" s="2" t="str">
        <f t="shared" si="31"/>
        <v/>
      </c>
      <c r="N155" s="3" t="str">
        <f t="shared" si="38"/>
        <v/>
      </c>
      <c r="O155" t="str">
        <f>IF(M156&lt;&gt;"",MIN(N155*$B$3,$B$2*1.5-$B$9-SUM($H$3:$H$200)-SUM($O$3:O154)),"")</f>
        <v/>
      </c>
      <c r="P155" s="3" t="str">
        <f t="shared" si="39"/>
        <v/>
      </c>
      <c r="Q155" t="str">
        <f t="shared" si="32"/>
        <v/>
      </c>
      <c r="R155" t="str">
        <f t="shared" si="40"/>
        <v/>
      </c>
      <c r="S155" s="5"/>
      <c r="T155" s="5"/>
      <c r="U155" s="5"/>
      <c r="V155" s="21" t="str">
        <f t="shared" si="33"/>
        <v/>
      </c>
      <c r="W155" s="22" t="str">
        <f t="shared" si="34"/>
        <v/>
      </c>
      <c r="X155" s="21" t="str">
        <f t="shared" si="35"/>
        <v/>
      </c>
    </row>
    <row r="156" spans="6:24" x14ac:dyDescent="0.25">
      <c r="F156" s="2">
        <f t="shared" si="36"/>
        <v>44105</v>
      </c>
      <c r="G156">
        <f t="shared" si="37"/>
        <v>25649.75</v>
      </c>
      <c r="H156" s="3">
        <f>IF(F156&lt;&gt;"",MIN(G156*$B$20,$B$2*1.5-$B$9-SUM($H$3:H155)),"")</f>
        <v>0</v>
      </c>
      <c r="I156" s="3">
        <f t="shared" si="30"/>
        <v>11285.900000000001</v>
      </c>
      <c r="J156" s="5"/>
      <c r="K156" s="21">
        <f t="shared" si="28"/>
        <v>0</v>
      </c>
      <c r="L156" s="25">
        <f t="shared" si="29"/>
        <v>0</v>
      </c>
      <c r="M156" s="2" t="str">
        <f t="shared" si="31"/>
        <v/>
      </c>
      <c r="N156" s="3" t="str">
        <f t="shared" si="38"/>
        <v/>
      </c>
      <c r="O156" t="str">
        <f>IF(M157&lt;&gt;"",MIN(N156*$B$3,$B$2*1.5-$B$9-SUM($H$3:$H$200)-SUM($O$3:O155)),"")</f>
        <v/>
      </c>
      <c r="P156" s="3" t="str">
        <f t="shared" si="39"/>
        <v/>
      </c>
      <c r="Q156" t="str">
        <f t="shared" si="32"/>
        <v/>
      </c>
      <c r="R156" t="str">
        <f t="shared" si="40"/>
        <v/>
      </c>
      <c r="S156" s="5"/>
      <c r="T156" s="5"/>
      <c r="U156" s="5"/>
      <c r="V156" s="21" t="str">
        <f t="shared" si="33"/>
        <v/>
      </c>
      <c r="W156" s="22" t="str">
        <f t="shared" si="34"/>
        <v/>
      </c>
      <c r="X156" s="21" t="str">
        <f t="shared" si="35"/>
        <v/>
      </c>
    </row>
    <row r="157" spans="6:24" x14ac:dyDescent="0.25">
      <c r="F157" s="2">
        <f t="shared" si="36"/>
        <v>44106</v>
      </c>
      <c r="G157">
        <f t="shared" si="37"/>
        <v>25649.75</v>
      </c>
      <c r="H157" s="3">
        <f>IF(F157&lt;&gt;"",MIN(G157*$B$20,$B$2*1.5-$B$9-SUM($H$3:H156)),"")</f>
        <v>0</v>
      </c>
      <c r="I157" s="3">
        <f t="shared" si="30"/>
        <v>11285.900000000001</v>
      </c>
      <c r="J157" s="5"/>
      <c r="K157" s="21">
        <f t="shared" si="28"/>
        <v>0</v>
      </c>
      <c r="L157" s="25">
        <f t="shared" si="29"/>
        <v>0</v>
      </c>
      <c r="M157" s="2" t="str">
        <f t="shared" si="31"/>
        <v/>
      </c>
      <c r="N157" s="3" t="str">
        <f t="shared" si="38"/>
        <v/>
      </c>
      <c r="O157" t="str">
        <f>IF(M158&lt;&gt;"",MIN(N157*$B$3,$B$2*1.5-$B$9-SUM($H$3:$H$200)-SUM($O$3:O156)),"")</f>
        <v/>
      </c>
      <c r="P157" s="3" t="str">
        <f t="shared" si="39"/>
        <v/>
      </c>
      <c r="Q157" t="str">
        <f t="shared" si="32"/>
        <v/>
      </c>
      <c r="R157" t="str">
        <f t="shared" si="40"/>
        <v/>
      </c>
      <c r="S157" s="5"/>
      <c r="T157" s="5"/>
      <c r="U157" s="5"/>
      <c r="V157" s="21" t="str">
        <f t="shared" si="33"/>
        <v/>
      </c>
      <c r="W157" s="22" t="str">
        <f t="shared" si="34"/>
        <v/>
      </c>
      <c r="X157" s="21" t="str">
        <f t="shared" si="35"/>
        <v/>
      </c>
    </row>
    <row r="158" spans="6:24" x14ac:dyDescent="0.25">
      <c r="F158" s="2">
        <f t="shared" si="36"/>
        <v>44107</v>
      </c>
      <c r="G158">
        <f t="shared" si="37"/>
        <v>25649.75</v>
      </c>
      <c r="H158" s="3">
        <f>IF(F158&lt;&gt;"",MIN(G158*$B$20,$B$2*1.5-$B$9-SUM($H$3:H157)),"")</f>
        <v>0</v>
      </c>
      <c r="I158" s="3">
        <f t="shared" si="30"/>
        <v>11285.900000000001</v>
      </c>
      <c r="J158" s="5"/>
      <c r="K158" s="21">
        <f t="shared" si="28"/>
        <v>0</v>
      </c>
      <c r="L158" s="25">
        <f t="shared" si="29"/>
        <v>0</v>
      </c>
      <c r="M158" s="2" t="str">
        <f t="shared" si="31"/>
        <v/>
      </c>
      <c r="N158" s="3" t="str">
        <f t="shared" si="38"/>
        <v/>
      </c>
      <c r="O158" t="str">
        <f>IF(M159&lt;&gt;"",MIN(N158*$B$3,$B$2*1.5-$B$9-SUM($H$3:$H$200)-SUM($O$3:O157)),"")</f>
        <v/>
      </c>
      <c r="P158" s="3" t="str">
        <f t="shared" si="39"/>
        <v/>
      </c>
      <c r="Q158" t="str">
        <f t="shared" si="32"/>
        <v/>
      </c>
      <c r="R158" t="str">
        <f t="shared" si="40"/>
        <v/>
      </c>
      <c r="S158" s="5"/>
      <c r="T158" s="5"/>
      <c r="U158" s="5"/>
      <c r="V158" s="21" t="str">
        <f t="shared" si="33"/>
        <v/>
      </c>
      <c r="W158" s="22" t="str">
        <f t="shared" si="34"/>
        <v/>
      </c>
      <c r="X158" s="21" t="str">
        <f t="shared" si="35"/>
        <v/>
      </c>
    </row>
    <row r="159" spans="6:24" x14ac:dyDescent="0.25">
      <c r="F159" s="2">
        <f t="shared" si="36"/>
        <v>44108</v>
      </c>
      <c r="G159">
        <f t="shared" si="37"/>
        <v>25649.75</v>
      </c>
      <c r="H159" s="3">
        <f>IF(F159&lt;&gt;"",MIN(G159*$B$20,$B$2*1.5-$B$9-SUM($H$3:H158)),"")</f>
        <v>0</v>
      </c>
      <c r="I159" s="3">
        <f t="shared" si="30"/>
        <v>11285.900000000001</v>
      </c>
      <c r="J159" s="5"/>
      <c r="K159" s="21">
        <f t="shared" si="28"/>
        <v>0</v>
      </c>
      <c r="L159" s="25">
        <f t="shared" si="29"/>
        <v>0</v>
      </c>
      <c r="M159" s="2" t="str">
        <f t="shared" si="31"/>
        <v/>
      </c>
      <c r="N159" s="3" t="str">
        <f t="shared" si="38"/>
        <v/>
      </c>
      <c r="O159" t="str">
        <f>IF(M160&lt;&gt;"",MIN(N159*$B$3,$B$2*1.5-$B$9-SUM($H$3:$H$200)-SUM($O$3:O158)),"")</f>
        <v/>
      </c>
      <c r="P159" s="3" t="str">
        <f t="shared" si="39"/>
        <v/>
      </c>
      <c r="Q159" t="str">
        <f t="shared" si="32"/>
        <v/>
      </c>
      <c r="R159" t="str">
        <f t="shared" si="40"/>
        <v/>
      </c>
      <c r="S159" s="5"/>
      <c r="T159" s="5"/>
      <c r="U159" s="5"/>
      <c r="V159" s="21" t="str">
        <f t="shared" si="33"/>
        <v/>
      </c>
      <c r="W159" s="22" t="str">
        <f t="shared" si="34"/>
        <v/>
      </c>
      <c r="X159" s="21" t="str">
        <f t="shared" si="35"/>
        <v/>
      </c>
    </row>
    <row r="160" spans="6:24" x14ac:dyDescent="0.25">
      <c r="F160" s="2">
        <f t="shared" si="36"/>
        <v>44109</v>
      </c>
      <c r="G160">
        <f t="shared" si="37"/>
        <v>25649.75</v>
      </c>
      <c r="H160" s="3">
        <f>IF(F160&lt;&gt;"",MIN(G160*$B$20,$B$2*1.5-$B$9-SUM($H$3:H159)),"")</f>
        <v>0</v>
      </c>
      <c r="I160" s="3">
        <f t="shared" si="30"/>
        <v>11285.900000000001</v>
      </c>
      <c r="J160" s="5"/>
      <c r="K160" s="21">
        <f t="shared" si="28"/>
        <v>0</v>
      </c>
      <c r="L160" s="25">
        <f t="shared" si="29"/>
        <v>0</v>
      </c>
      <c r="M160" s="2" t="str">
        <f t="shared" si="31"/>
        <v/>
      </c>
      <c r="N160" s="3" t="str">
        <f t="shared" si="38"/>
        <v/>
      </c>
      <c r="O160" t="str">
        <f>IF(M161&lt;&gt;"",MIN(N160*$B$3,$B$2*1.5-$B$9-SUM($H$3:$H$200)-SUM($O$3:O159)),"")</f>
        <v/>
      </c>
      <c r="P160" s="3" t="str">
        <f t="shared" si="39"/>
        <v/>
      </c>
      <c r="Q160" t="str">
        <f t="shared" si="32"/>
        <v/>
      </c>
      <c r="R160" t="str">
        <f t="shared" si="40"/>
        <v/>
      </c>
      <c r="S160" s="5"/>
      <c r="T160" s="5"/>
      <c r="U160" s="5"/>
      <c r="V160" s="21" t="str">
        <f t="shared" si="33"/>
        <v/>
      </c>
      <c r="W160" s="22" t="str">
        <f t="shared" si="34"/>
        <v/>
      </c>
      <c r="X160" s="21" t="str">
        <f t="shared" si="35"/>
        <v/>
      </c>
    </row>
    <row r="161" spans="6:24" x14ac:dyDescent="0.25">
      <c r="F161" s="2">
        <f t="shared" si="36"/>
        <v>44110</v>
      </c>
      <c r="G161">
        <f t="shared" si="37"/>
        <v>25649.75</v>
      </c>
      <c r="H161" s="3">
        <f>IF(F161&lt;&gt;"",MIN(G161*$B$20,$B$2*1.5-$B$9-SUM($H$3:H160)),"")</f>
        <v>0</v>
      </c>
      <c r="I161" s="3">
        <f t="shared" si="30"/>
        <v>11285.900000000001</v>
      </c>
      <c r="J161" s="5"/>
      <c r="K161" s="21">
        <f t="shared" si="28"/>
        <v>0</v>
      </c>
      <c r="L161" s="25">
        <f t="shared" si="29"/>
        <v>0</v>
      </c>
      <c r="M161" s="2" t="str">
        <f t="shared" si="31"/>
        <v/>
      </c>
      <c r="N161" s="3" t="str">
        <f t="shared" si="38"/>
        <v/>
      </c>
      <c r="O161" t="str">
        <f>IF(M162&lt;&gt;"",MIN(N161*$B$3,$B$2*1.5-$B$9-SUM($H$3:$H$200)-SUM($O$3:O160)),"")</f>
        <v/>
      </c>
      <c r="P161" s="3" t="str">
        <f t="shared" si="39"/>
        <v/>
      </c>
      <c r="Q161" t="str">
        <f t="shared" si="32"/>
        <v/>
      </c>
      <c r="R161" t="str">
        <f t="shared" si="40"/>
        <v/>
      </c>
      <c r="S161" s="5"/>
      <c r="T161" s="5"/>
      <c r="U161" s="5"/>
      <c r="V161" s="21" t="str">
        <f t="shared" si="33"/>
        <v/>
      </c>
      <c r="W161" s="22" t="str">
        <f t="shared" si="34"/>
        <v/>
      </c>
      <c r="X161" s="21" t="str">
        <f t="shared" si="35"/>
        <v/>
      </c>
    </row>
    <row r="162" spans="6:24" x14ac:dyDescent="0.25">
      <c r="F162" s="2">
        <f t="shared" si="36"/>
        <v>44111</v>
      </c>
      <c r="G162">
        <f t="shared" si="37"/>
        <v>25649.75</v>
      </c>
      <c r="H162" s="3">
        <f>IF(F162&lt;&gt;"",MIN(G162*$B$20,$B$2*1.5-$B$9-SUM($H$3:H161)),"")</f>
        <v>0</v>
      </c>
      <c r="I162" s="3">
        <f t="shared" si="30"/>
        <v>11285.900000000001</v>
      </c>
      <c r="J162" s="5"/>
      <c r="K162" s="21">
        <f t="shared" si="28"/>
        <v>0</v>
      </c>
      <c r="L162" s="25">
        <f t="shared" si="29"/>
        <v>0</v>
      </c>
      <c r="M162" s="2" t="str">
        <f t="shared" si="31"/>
        <v/>
      </c>
      <c r="N162" s="3" t="str">
        <f t="shared" si="38"/>
        <v/>
      </c>
      <c r="O162" t="str">
        <f>IF(M163&lt;&gt;"",MIN(N162*$B$3,$B$2*1.5-$B$9-SUM($H$3:$H$200)-SUM($O$3:O161)),"")</f>
        <v/>
      </c>
      <c r="P162" s="3" t="str">
        <f t="shared" si="39"/>
        <v/>
      </c>
      <c r="Q162" t="str">
        <f t="shared" si="32"/>
        <v/>
      </c>
      <c r="R162" t="str">
        <f t="shared" si="40"/>
        <v/>
      </c>
      <c r="S162" s="5"/>
      <c r="T162" s="5"/>
      <c r="U162" s="5"/>
      <c r="V162" s="21" t="str">
        <f t="shared" si="33"/>
        <v/>
      </c>
      <c r="W162" s="22" t="str">
        <f t="shared" si="34"/>
        <v/>
      </c>
      <c r="X162" s="21" t="str">
        <f t="shared" si="35"/>
        <v/>
      </c>
    </row>
    <row r="163" spans="6:24" x14ac:dyDescent="0.25">
      <c r="F163" s="2">
        <f t="shared" si="36"/>
        <v>44112</v>
      </c>
      <c r="G163">
        <f t="shared" si="37"/>
        <v>25649.75</v>
      </c>
      <c r="H163" s="3">
        <f>IF(F163&lt;&gt;"",MIN(G163*$B$20,$B$2*1.5-$B$9-SUM($H$3:H162)),"")</f>
        <v>0</v>
      </c>
      <c r="I163" s="3">
        <f t="shared" si="30"/>
        <v>11285.900000000001</v>
      </c>
      <c r="J163" s="5"/>
      <c r="K163" s="21">
        <f t="shared" si="28"/>
        <v>0</v>
      </c>
      <c r="L163" s="25">
        <f t="shared" si="29"/>
        <v>0</v>
      </c>
      <c r="M163" s="2" t="str">
        <f t="shared" si="31"/>
        <v/>
      </c>
      <c r="N163" s="3" t="str">
        <f t="shared" si="38"/>
        <v/>
      </c>
      <c r="O163" t="str">
        <f>IF(M164&lt;&gt;"",MIN(N163*$B$3,$B$2*1.5-$B$9-SUM($H$3:$H$200)-SUM($O$3:O162)),"")</f>
        <v/>
      </c>
      <c r="P163" s="3" t="str">
        <f t="shared" si="39"/>
        <v/>
      </c>
      <c r="Q163" t="str">
        <f t="shared" si="32"/>
        <v/>
      </c>
      <c r="R163" t="str">
        <f t="shared" si="40"/>
        <v/>
      </c>
      <c r="S163" s="5"/>
      <c r="T163" s="5"/>
      <c r="U163" s="5"/>
      <c r="V163" s="21" t="str">
        <f t="shared" si="33"/>
        <v/>
      </c>
      <c r="W163" s="22" t="str">
        <f t="shared" si="34"/>
        <v/>
      </c>
      <c r="X163" s="21" t="str">
        <f t="shared" si="35"/>
        <v/>
      </c>
    </row>
    <row r="164" spans="6:24" x14ac:dyDescent="0.25">
      <c r="F164" s="2">
        <f t="shared" si="36"/>
        <v>44113</v>
      </c>
      <c r="G164">
        <f t="shared" si="37"/>
        <v>25649.75</v>
      </c>
      <c r="H164" s="3">
        <f>IF(F164&lt;&gt;"",MIN(G164*$B$20,$B$2*1.5-$B$9-SUM($H$3:H163)),"")</f>
        <v>0</v>
      </c>
      <c r="I164" s="3">
        <f t="shared" si="30"/>
        <v>11285.900000000001</v>
      </c>
      <c r="J164" s="5"/>
      <c r="K164" s="21">
        <f t="shared" si="28"/>
        <v>0</v>
      </c>
      <c r="L164" s="25">
        <f t="shared" si="29"/>
        <v>0</v>
      </c>
      <c r="M164" s="2" t="str">
        <f t="shared" ref="M164:M200" si="41">IF(OR(M163&lt;$B$22,$B$22=""),
IF(M163=$B$17-1,$B$18, M163+1),"")</f>
        <v/>
      </c>
      <c r="N164" s="3" t="str">
        <f t="shared" si="38"/>
        <v/>
      </c>
      <c r="O164" t="str">
        <f>IF(M165&lt;&gt;"",MIN(N164*$B$3,$B$2*1.5-$B$9-SUM($H$3:$H$200)-SUM($O$3:O163)),"")</f>
        <v/>
      </c>
      <c r="P164" s="3" t="str">
        <f t="shared" si="39"/>
        <v/>
      </c>
      <c r="Q164" t="str">
        <f t="shared" si="32"/>
        <v/>
      </c>
      <c r="R164" t="str">
        <f t="shared" si="40"/>
        <v/>
      </c>
      <c r="S164" s="5"/>
      <c r="T164" s="5"/>
      <c r="U164" s="5"/>
      <c r="V164" s="21" t="str">
        <f t="shared" si="33"/>
        <v/>
      </c>
      <c r="W164" s="22" t="str">
        <f t="shared" si="34"/>
        <v/>
      </c>
      <c r="X164" s="21" t="str">
        <f t="shared" si="35"/>
        <v/>
      </c>
    </row>
    <row r="165" spans="6:24" x14ac:dyDescent="0.25">
      <c r="F165" s="2">
        <f t="shared" si="36"/>
        <v>44114</v>
      </c>
      <c r="G165">
        <f t="shared" si="37"/>
        <v>25649.75</v>
      </c>
      <c r="H165" s="3">
        <f>IF(F165&lt;&gt;"",MIN(G165*$B$20,$B$2*1.5-$B$9-SUM($H$3:H164)),"")</f>
        <v>0</v>
      </c>
      <c r="I165" s="3">
        <f t="shared" si="30"/>
        <v>11285.900000000001</v>
      </c>
      <c r="J165" s="5"/>
      <c r="K165" s="21">
        <f t="shared" si="28"/>
        <v>0</v>
      </c>
      <c r="L165" s="25">
        <f t="shared" si="29"/>
        <v>0</v>
      </c>
      <c r="M165" s="2" t="str">
        <f t="shared" si="41"/>
        <v/>
      </c>
      <c r="N165" s="3" t="str">
        <f t="shared" si="38"/>
        <v/>
      </c>
      <c r="O165" t="str">
        <f>IF(M166&lt;&gt;"",MIN(N165*$B$3,$B$2*1.5-$B$9-SUM($H$3:$H$200)-SUM($O$3:O164)),"")</f>
        <v/>
      </c>
      <c r="P165" s="3" t="str">
        <f t="shared" si="39"/>
        <v/>
      </c>
      <c r="Q165" t="str">
        <f t="shared" si="32"/>
        <v/>
      </c>
      <c r="R165" t="str">
        <f t="shared" si="40"/>
        <v/>
      </c>
      <c r="S165" s="5"/>
      <c r="T165" s="5"/>
      <c r="U165" s="5"/>
      <c r="V165" s="21" t="str">
        <f t="shared" si="33"/>
        <v/>
      </c>
      <c r="W165" s="22" t="str">
        <f t="shared" si="34"/>
        <v/>
      </c>
      <c r="X165" s="21" t="str">
        <f t="shared" si="35"/>
        <v/>
      </c>
    </row>
    <row r="166" spans="6:24" x14ac:dyDescent="0.25">
      <c r="F166" s="2">
        <f t="shared" si="36"/>
        <v>44115</v>
      </c>
      <c r="G166">
        <f t="shared" si="37"/>
        <v>25649.75</v>
      </c>
      <c r="H166" s="3">
        <f>IF(F166&lt;&gt;"",MIN(G166*$B$20,$B$2*1.5-$B$9-SUM($H$3:H165)),"")</f>
        <v>0</v>
      </c>
      <c r="I166" s="3">
        <f t="shared" si="30"/>
        <v>11285.900000000001</v>
      </c>
      <c r="J166" s="5"/>
      <c r="K166" s="21">
        <f t="shared" si="28"/>
        <v>0</v>
      </c>
      <c r="L166" s="25">
        <f t="shared" si="29"/>
        <v>0</v>
      </c>
      <c r="M166" s="2" t="str">
        <f t="shared" si="41"/>
        <v/>
      </c>
      <c r="N166" s="3" t="str">
        <f t="shared" si="38"/>
        <v/>
      </c>
      <c r="O166" t="str">
        <f>IF(M167&lt;&gt;"",MIN(N166*$B$3,$B$2*1.5-$B$9-SUM($H$3:$H$200)-SUM($O$3:O165)),"")</f>
        <v/>
      </c>
      <c r="P166" s="3" t="str">
        <f t="shared" si="39"/>
        <v/>
      </c>
      <c r="Q166" t="str">
        <f t="shared" si="32"/>
        <v/>
      </c>
      <c r="R166" t="str">
        <f t="shared" si="40"/>
        <v/>
      </c>
      <c r="S166" s="5"/>
      <c r="T166" s="5"/>
      <c r="U166" s="5"/>
      <c r="V166" s="21" t="str">
        <f t="shared" si="33"/>
        <v/>
      </c>
      <c r="W166" s="22" t="str">
        <f t="shared" si="34"/>
        <v/>
      </c>
      <c r="X166" s="21" t="str">
        <f t="shared" si="35"/>
        <v/>
      </c>
    </row>
    <row r="167" spans="6:24" x14ac:dyDescent="0.25">
      <c r="F167" s="2">
        <f t="shared" si="36"/>
        <v>44116</v>
      </c>
      <c r="G167">
        <f t="shared" si="37"/>
        <v>25649.75</v>
      </c>
      <c r="H167" s="3">
        <f>IF(F167&lt;&gt;"",MIN(G167*$B$20,$B$2*1.5-$B$9-SUM($H$3:H166)),"")</f>
        <v>0</v>
      </c>
      <c r="I167" s="3">
        <f t="shared" si="30"/>
        <v>11285.900000000001</v>
      </c>
      <c r="J167" s="5"/>
      <c r="K167" s="21">
        <f t="shared" si="28"/>
        <v>0</v>
      </c>
      <c r="L167" s="25">
        <f t="shared" si="29"/>
        <v>0</v>
      </c>
      <c r="M167" s="2" t="str">
        <f t="shared" si="41"/>
        <v/>
      </c>
      <c r="N167" s="3" t="str">
        <f t="shared" si="38"/>
        <v/>
      </c>
      <c r="O167" t="str">
        <f>IF(M168&lt;&gt;"",MIN(N167*$B$3,$B$2*1.5-$B$9-SUM($H$3:$H$200)-SUM($O$3:O166)),"")</f>
        <v/>
      </c>
      <c r="P167" s="3" t="str">
        <f t="shared" si="39"/>
        <v/>
      </c>
      <c r="Q167" t="str">
        <f t="shared" si="32"/>
        <v/>
      </c>
      <c r="R167" t="str">
        <f t="shared" si="40"/>
        <v/>
      </c>
      <c r="S167" s="5"/>
      <c r="T167" s="5"/>
      <c r="U167" s="5"/>
      <c r="V167" s="21" t="str">
        <f t="shared" si="33"/>
        <v/>
      </c>
      <c r="W167" s="22" t="str">
        <f t="shared" si="34"/>
        <v/>
      </c>
      <c r="X167" s="21" t="str">
        <f t="shared" si="35"/>
        <v/>
      </c>
    </row>
    <row r="168" spans="6:24" x14ac:dyDescent="0.25">
      <c r="F168" s="2">
        <f t="shared" si="36"/>
        <v>44117</v>
      </c>
      <c r="G168">
        <f t="shared" si="37"/>
        <v>25649.75</v>
      </c>
      <c r="H168" s="3">
        <f>IF(F168&lt;&gt;"",MIN(G168*$B$20,$B$2*1.5-$B$9-SUM($H$3:H167)),"")</f>
        <v>0</v>
      </c>
      <c r="I168" s="3">
        <f t="shared" si="30"/>
        <v>11285.900000000001</v>
      </c>
      <c r="J168" s="5"/>
      <c r="K168" s="21">
        <f t="shared" si="28"/>
        <v>0</v>
      </c>
      <c r="L168" s="25">
        <f t="shared" si="29"/>
        <v>0</v>
      </c>
      <c r="M168" s="2" t="str">
        <f t="shared" si="41"/>
        <v/>
      </c>
      <c r="N168" s="3" t="str">
        <f t="shared" si="38"/>
        <v/>
      </c>
      <c r="O168" t="str">
        <f>IF(M169&lt;&gt;"",MIN(N168*$B$3,$B$2*1.5-$B$9-SUM($H$3:$H$200)-SUM($O$3:O167)),"")</f>
        <v/>
      </c>
      <c r="P168" s="3" t="str">
        <f t="shared" si="39"/>
        <v/>
      </c>
      <c r="Q168" t="str">
        <f t="shared" si="32"/>
        <v/>
      </c>
      <c r="R168" t="str">
        <f t="shared" si="40"/>
        <v/>
      </c>
      <c r="S168" s="5"/>
      <c r="T168" s="5"/>
      <c r="U168" s="5"/>
      <c r="V168" s="21" t="str">
        <f t="shared" si="33"/>
        <v/>
      </c>
      <c r="W168" s="22" t="str">
        <f t="shared" si="34"/>
        <v/>
      </c>
      <c r="X168" s="21" t="str">
        <f t="shared" si="35"/>
        <v/>
      </c>
    </row>
    <row r="169" spans="6:24" x14ac:dyDescent="0.25">
      <c r="F169" s="2">
        <f t="shared" si="36"/>
        <v>44118</v>
      </c>
      <c r="G169">
        <f t="shared" si="37"/>
        <v>25649.75</v>
      </c>
      <c r="H169" s="3">
        <f>IF(F169&lt;&gt;"",MIN(G169*$B$20,$B$2*1.5-$B$9-SUM($H$3:H168)),"")</f>
        <v>0</v>
      </c>
      <c r="I169" s="3">
        <f t="shared" si="30"/>
        <v>11285.900000000001</v>
      </c>
      <c r="J169" s="5"/>
      <c r="K169" s="21">
        <f t="shared" si="28"/>
        <v>0</v>
      </c>
      <c r="L169" s="25">
        <f t="shared" si="29"/>
        <v>0</v>
      </c>
      <c r="M169" s="2" t="str">
        <f t="shared" si="41"/>
        <v/>
      </c>
      <c r="N169" s="3" t="str">
        <f t="shared" si="38"/>
        <v/>
      </c>
      <c r="O169" t="str">
        <f>IF(M170&lt;&gt;"",MIN(N169*$B$3,$B$2*1.5-$B$9-SUM($H$3:$H$200)-SUM($O$3:O168)),"")</f>
        <v/>
      </c>
      <c r="P169" s="3" t="str">
        <f t="shared" si="39"/>
        <v/>
      </c>
      <c r="Q169" t="str">
        <f t="shared" si="32"/>
        <v/>
      </c>
      <c r="R169" t="str">
        <f t="shared" si="40"/>
        <v/>
      </c>
      <c r="S169" s="5"/>
      <c r="T169" s="5"/>
      <c r="U169" s="5"/>
      <c r="V169" s="21" t="str">
        <f t="shared" si="33"/>
        <v/>
      </c>
      <c r="W169" s="22" t="str">
        <f t="shared" si="34"/>
        <v/>
      </c>
      <c r="X169" s="21" t="str">
        <f t="shared" si="35"/>
        <v/>
      </c>
    </row>
    <row r="170" spans="6:24" x14ac:dyDescent="0.25">
      <c r="F170" s="2">
        <f t="shared" si="36"/>
        <v>44119</v>
      </c>
      <c r="G170">
        <f t="shared" si="37"/>
        <v>25649.75</v>
      </c>
      <c r="H170" s="3">
        <f>IF(F170&lt;&gt;"",MIN(G170*$B$20,$B$2*1.5-$B$9-SUM($H$3:H169)),"")</f>
        <v>0</v>
      </c>
      <c r="I170" s="3">
        <f t="shared" si="30"/>
        <v>11285.900000000001</v>
      </c>
      <c r="J170" s="5"/>
      <c r="K170" s="21">
        <f t="shared" si="28"/>
        <v>0</v>
      </c>
      <c r="L170" s="25">
        <f t="shared" si="29"/>
        <v>0</v>
      </c>
      <c r="M170" s="2" t="str">
        <f t="shared" si="41"/>
        <v/>
      </c>
      <c r="N170" s="3" t="str">
        <f t="shared" si="38"/>
        <v/>
      </c>
      <c r="O170" t="str">
        <f>IF(M171&lt;&gt;"",MIN(N170*$B$3,$B$2*1.5-$B$9-SUM($H$3:$H$200)-SUM($O$3:O169)),"")</f>
        <v/>
      </c>
      <c r="P170" s="3" t="str">
        <f t="shared" si="39"/>
        <v/>
      </c>
      <c r="Q170" t="str">
        <f t="shared" si="32"/>
        <v/>
      </c>
      <c r="R170" t="str">
        <f t="shared" si="40"/>
        <v/>
      </c>
      <c r="S170" s="5"/>
      <c r="T170" s="5"/>
      <c r="U170" s="5"/>
      <c r="V170" s="21" t="str">
        <f t="shared" si="33"/>
        <v/>
      </c>
      <c r="W170" s="22" t="str">
        <f t="shared" si="34"/>
        <v/>
      </c>
      <c r="X170" s="21" t="str">
        <f t="shared" si="35"/>
        <v/>
      </c>
    </row>
    <row r="171" spans="6:24" x14ac:dyDescent="0.25">
      <c r="F171" s="2">
        <f t="shared" si="36"/>
        <v>44120</v>
      </c>
      <c r="G171">
        <f t="shared" si="37"/>
        <v>25649.75</v>
      </c>
      <c r="H171" s="3">
        <f>IF(F171&lt;&gt;"",MIN(G171*$B$20,$B$2*1.5-$B$9-SUM($H$3:H170)),"")</f>
        <v>0</v>
      </c>
      <c r="I171" s="3">
        <f t="shared" si="30"/>
        <v>11285.900000000001</v>
      </c>
      <c r="J171" s="5"/>
      <c r="K171" s="21">
        <f t="shared" si="28"/>
        <v>0</v>
      </c>
      <c r="L171" s="25">
        <f t="shared" si="29"/>
        <v>0</v>
      </c>
      <c r="M171" s="2" t="str">
        <f t="shared" si="41"/>
        <v/>
      </c>
      <c r="N171" s="3" t="str">
        <f t="shared" si="38"/>
        <v/>
      </c>
      <c r="O171" t="str">
        <f>IF(M172&lt;&gt;"",MIN(N171*$B$3,$B$2*1.5-$B$9-SUM($H$3:$H$200)-SUM($O$3:O170)),"")</f>
        <v/>
      </c>
      <c r="P171" s="3" t="str">
        <f t="shared" si="39"/>
        <v/>
      </c>
      <c r="Q171" t="str">
        <f t="shared" si="32"/>
        <v/>
      </c>
      <c r="R171" t="str">
        <f t="shared" si="40"/>
        <v/>
      </c>
      <c r="S171" s="5"/>
      <c r="T171" s="5"/>
      <c r="U171" s="5"/>
      <c r="V171" s="21" t="str">
        <f t="shared" si="33"/>
        <v/>
      </c>
      <c r="W171" s="22" t="str">
        <f t="shared" si="34"/>
        <v/>
      </c>
      <c r="X171" s="21" t="str">
        <f t="shared" si="35"/>
        <v/>
      </c>
    </row>
    <row r="172" spans="6:24" x14ac:dyDescent="0.25">
      <c r="F172" s="2">
        <f t="shared" si="36"/>
        <v>44121</v>
      </c>
      <c r="G172">
        <f t="shared" si="37"/>
        <v>25649.75</v>
      </c>
      <c r="H172" s="3">
        <f>IF(F172&lt;&gt;"",MIN(G172*$B$20,$B$2*1.5-$B$9-SUM($H$3:H171)),"")</f>
        <v>0</v>
      </c>
      <c r="I172" s="3">
        <f t="shared" si="30"/>
        <v>11285.900000000001</v>
      </c>
      <c r="J172" s="5"/>
      <c r="K172" s="21">
        <f t="shared" ref="K172:K200" si="42">IF(F172&lt;&gt;"",MAX(0,J172-G171),"")</f>
        <v>0</v>
      </c>
      <c r="L172" s="25">
        <f t="shared" ref="L172:L200" si="43">IF(F172&lt;&gt;"",MAX(K172-I172,0),"")</f>
        <v>0</v>
      </c>
      <c r="M172" s="2" t="str">
        <f t="shared" si="41"/>
        <v/>
      </c>
      <c r="N172" s="3" t="str">
        <f t="shared" si="38"/>
        <v/>
      </c>
      <c r="O172" t="str">
        <f>IF(M173&lt;&gt;"",MIN(N172*$B$3,$B$2*1.5-$B$9-SUM($H$3:$H$200)-SUM($O$3:O171)),"")</f>
        <v/>
      </c>
      <c r="P172" s="3" t="str">
        <f t="shared" si="39"/>
        <v/>
      </c>
      <c r="Q172" t="str">
        <f t="shared" si="32"/>
        <v/>
      </c>
      <c r="R172" t="str">
        <f t="shared" si="40"/>
        <v/>
      </c>
      <c r="S172" s="5"/>
      <c r="T172" s="5"/>
      <c r="U172" s="5"/>
      <c r="V172" s="21" t="str">
        <f t="shared" si="33"/>
        <v/>
      </c>
      <c r="W172" s="22" t="str">
        <f t="shared" si="34"/>
        <v/>
      </c>
      <c r="X172" s="21" t="str">
        <f t="shared" si="35"/>
        <v/>
      </c>
    </row>
    <row r="173" spans="6:24" x14ac:dyDescent="0.25">
      <c r="F173" s="2">
        <f t="shared" si="36"/>
        <v>44122</v>
      </c>
      <c r="G173">
        <f t="shared" si="37"/>
        <v>25649.75</v>
      </c>
      <c r="H173" s="3">
        <f>IF(F173&lt;&gt;"",MIN(G173*$B$20,$B$2*1.5-$B$9-SUM($H$3:H172)),"")</f>
        <v>0</v>
      </c>
      <c r="I173" s="3">
        <f t="shared" ref="I173:I200" si="44">IF(F173&lt;&gt;"",MAX(H173+I172-K172,0),"")</f>
        <v>11285.900000000001</v>
      </c>
      <c r="J173" s="5"/>
      <c r="K173" s="21">
        <f t="shared" si="42"/>
        <v>0</v>
      </c>
      <c r="L173" s="25">
        <f t="shared" si="43"/>
        <v>0</v>
      </c>
      <c r="M173" s="2" t="str">
        <f t="shared" si="41"/>
        <v/>
      </c>
      <c r="N173" s="3" t="str">
        <f t="shared" si="38"/>
        <v/>
      </c>
      <c r="O173" t="str">
        <f>IF(M174&lt;&gt;"",MIN(N173*$B$3,$B$2*1.5-$B$9-SUM($H$3:$H$200)-SUM($O$3:O172)),"")</f>
        <v/>
      </c>
      <c r="P173" s="3" t="str">
        <f t="shared" si="39"/>
        <v/>
      </c>
      <c r="Q173" t="str">
        <f t="shared" si="32"/>
        <v/>
      </c>
      <c r="R173" t="str">
        <f t="shared" si="40"/>
        <v/>
      </c>
      <c r="S173" s="5"/>
      <c r="T173" s="5"/>
      <c r="U173" s="5"/>
      <c r="V173" s="21" t="str">
        <f t="shared" si="33"/>
        <v/>
      </c>
      <c r="W173" s="22" t="str">
        <f t="shared" si="34"/>
        <v/>
      </c>
      <c r="X173" s="21" t="str">
        <f t="shared" si="35"/>
        <v/>
      </c>
    </row>
    <row r="174" spans="6:24" x14ac:dyDescent="0.25">
      <c r="F174" s="2">
        <f t="shared" si="36"/>
        <v>44123</v>
      </c>
      <c r="G174">
        <f t="shared" si="37"/>
        <v>25649.75</v>
      </c>
      <c r="H174" s="3">
        <f>IF(F174&lt;&gt;"",MIN(G174*$B$20,$B$2*1.5-$B$9-SUM($H$3:H173)),"")</f>
        <v>0</v>
      </c>
      <c r="I174" s="3">
        <f t="shared" si="44"/>
        <v>11285.900000000001</v>
      </c>
      <c r="J174" s="5"/>
      <c r="K174" s="21">
        <f t="shared" si="42"/>
        <v>0</v>
      </c>
      <c r="L174" s="25">
        <f t="shared" si="43"/>
        <v>0</v>
      </c>
      <c r="M174" s="2" t="str">
        <f t="shared" si="41"/>
        <v/>
      </c>
      <c r="N174" s="3" t="str">
        <f t="shared" si="38"/>
        <v/>
      </c>
      <c r="O174" t="str">
        <f>IF(M175&lt;&gt;"",MIN(N174*$B$3,$B$2*1.5-$B$9-SUM($H$3:$H$200)-SUM($O$3:O173)),"")</f>
        <v/>
      </c>
      <c r="P174" s="3" t="str">
        <f t="shared" si="39"/>
        <v/>
      </c>
      <c r="Q174" t="str">
        <f t="shared" si="32"/>
        <v/>
      </c>
      <c r="R174" t="str">
        <f t="shared" si="40"/>
        <v/>
      </c>
      <c r="S174" s="5"/>
      <c r="T174" s="5"/>
      <c r="U174" s="5"/>
      <c r="V174" s="21" t="str">
        <f t="shared" si="33"/>
        <v/>
      </c>
      <c r="W174" s="22" t="str">
        <f t="shared" si="34"/>
        <v/>
      </c>
      <c r="X174" s="21" t="str">
        <f t="shared" si="35"/>
        <v/>
      </c>
    </row>
    <row r="175" spans="6:24" x14ac:dyDescent="0.25">
      <c r="F175" s="2">
        <f t="shared" si="36"/>
        <v>44124</v>
      </c>
      <c r="G175">
        <f t="shared" si="37"/>
        <v>25649.75</v>
      </c>
      <c r="H175" s="3">
        <f>IF(F175&lt;&gt;"",MIN(G175*$B$20,$B$2*1.5-$B$9-SUM($H$3:H174)),"")</f>
        <v>0</v>
      </c>
      <c r="I175" s="3">
        <f t="shared" si="44"/>
        <v>11285.900000000001</v>
      </c>
      <c r="J175" s="5"/>
      <c r="K175" s="21">
        <f t="shared" si="42"/>
        <v>0</v>
      </c>
      <c r="L175" s="25">
        <f t="shared" si="43"/>
        <v>0</v>
      </c>
      <c r="M175" s="2" t="str">
        <f t="shared" si="41"/>
        <v/>
      </c>
      <c r="N175" s="3" t="str">
        <f t="shared" si="38"/>
        <v/>
      </c>
      <c r="O175" t="str">
        <f>IF(M176&lt;&gt;"",MIN(N175*$B$3,$B$2*1.5-$B$9-SUM($H$3:$H$200)-SUM($O$3:O174)),"")</f>
        <v/>
      </c>
      <c r="P175" s="3" t="str">
        <f t="shared" si="39"/>
        <v/>
      </c>
      <c r="Q175" t="str">
        <f t="shared" si="32"/>
        <v/>
      </c>
      <c r="R175" t="str">
        <f t="shared" si="40"/>
        <v/>
      </c>
      <c r="S175" s="5"/>
      <c r="T175" s="5"/>
      <c r="U175" s="5"/>
      <c r="V175" s="21" t="str">
        <f t="shared" si="33"/>
        <v/>
      </c>
      <c r="W175" s="22" t="str">
        <f t="shared" si="34"/>
        <v/>
      </c>
      <c r="X175" s="21" t="str">
        <f t="shared" si="35"/>
        <v/>
      </c>
    </row>
    <row r="176" spans="6:24" x14ac:dyDescent="0.25">
      <c r="F176" s="2">
        <f t="shared" si="36"/>
        <v>44125</v>
      </c>
      <c r="G176">
        <f t="shared" si="37"/>
        <v>25649.75</v>
      </c>
      <c r="H176" s="3">
        <f>IF(F176&lt;&gt;"",MIN(G176*$B$20,$B$2*1.5-$B$9-SUM($H$3:H175)),"")</f>
        <v>0</v>
      </c>
      <c r="I176" s="3">
        <f t="shared" si="44"/>
        <v>11285.900000000001</v>
      </c>
      <c r="J176" s="5"/>
      <c r="K176" s="21">
        <f t="shared" si="42"/>
        <v>0</v>
      </c>
      <c r="L176" s="25">
        <f t="shared" si="43"/>
        <v>0</v>
      </c>
      <c r="M176" s="2" t="str">
        <f t="shared" si="41"/>
        <v/>
      </c>
      <c r="N176" s="3" t="str">
        <f t="shared" si="38"/>
        <v/>
      </c>
      <c r="O176" t="str">
        <f>IF(M177&lt;&gt;"",MIN(N176*$B$3,$B$2*1.5-$B$9-SUM($H$3:$H$200)-SUM($O$3:O175)),"")</f>
        <v/>
      </c>
      <c r="P176" s="3" t="str">
        <f t="shared" si="39"/>
        <v/>
      </c>
      <c r="Q176" t="str">
        <f t="shared" si="32"/>
        <v/>
      </c>
      <c r="R176" t="str">
        <f t="shared" si="40"/>
        <v/>
      </c>
      <c r="S176" s="5"/>
      <c r="T176" s="5"/>
      <c r="U176" s="5"/>
      <c r="V176" s="21" t="str">
        <f t="shared" si="33"/>
        <v/>
      </c>
      <c r="W176" s="22" t="str">
        <f t="shared" si="34"/>
        <v/>
      </c>
      <c r="X176" s="21" t="str">
        <f t="shared" si="35"/>
        <v/>
      </c>
    </row>
    <row r="177" spans="1:24" x14ac:dyDescent="0.25">
      <c r="F177" s="2">
        <f t="shared" si="36"/>
        <v>44126</v>
      </c>
      <c r="G177">
        <f t="shared" si="37"/>
        <v>25649.75</v>
      </c>
      <c r="H177" s="3">
        <f>IF(F177&lt;&gt;"",MIN(G177*$B$20,$B$2*1.5-$B$9-SUM($H$3:H176)),"")</f>
        <v>0</v>
      </c>
      <c r="I177" s="3">
        <f t="shared" si="44"/>
        <v>11285.900000000001</v>
      </c>
      <c r="J177" s="5"/>
      <c r="K177" s="21">
        <f t="shared" si="42"/>
        <v>0</v>
      </c>
      <c r="L177" s="25">
        <f t="shared" si="43"/>
        <v>0</v>
      </c>
      <c r="M177" s="2" t="str">
        <f t="shared" si="41"/>
        <v/>
      </c>
      <c r="N177" s="3" t="str">
        <f t="shared" si="38"/>
        <v/>
      </c>
      <c r="O177" t="str">
        <f>IF(M178&lt;&gt;"",MIN(N177*$B$3,$B$2*1.5-$B$9-SUM($H$3:$H$200)-SUM($O$3:O176)),"")</f>
        <v/>
      </c>
      <c r="P177" s="3" t="str">
        <f t="shared" si="39"/>
        <v/>
      </c>
      <c r="Q177" t="str">
        <f t="shared" si="32"/>
        <v/>
      </c>
      <c r="R177" t="str">
        <f t="shared" si="40"/>
        <v/>
      </c>
      <c r="S177" s="5"/>
      <c r="T177" s="5"/>
      <c r="U177" s="5"/>
      <c r="V177" s="21" t="str">
        <f t="shared" si="33"/>
        <v/>
      </c>
      <c r="W177" s="22" t="str">
        <f t="shared" si="34"/>
        <v/>
      </c>
      <c r="X177" s="21" t="str">
        <f t="shared" si="35"/>
        <v/>
      </c>
    </row>
    <row r="178" spans="1:24" x14ac:dyDescent="0.25">
      <c r="F178" s="2">
        <f t="shared" si="36"/>
        <v>44127</v>
      </c>
      <c r="G178">
        <f t="shared" si="37"/>
        <v>25649.75</v>
      </c>
      <c r="H178" s="3">
        <f>IF(F178&lt;&gt;"",MIN(G178*$B$20,$B$2*1.5-$B$9-SUM($H$3:H177)),"")</f>
        <v>0</v>
      </c>
      <c r="I178" s="3">
        <f t="shared" si="44"/>
        <v>11285.900000000001</v>
      </c>
      <c r="J178" s="5"/>
      <c r="K178" s="21">
        <f t="shared" si="42"/>
        <v>0</v>
      </c>
      <c r="L178" s="25">
        <f t="shared" si="43"/>
        <v>0</v>
      </c>
      <c r="M178" s="2" t="str">
        <f t="shared" si="41"/>
        <v/>
      </c>
      <c r="N178" s="3" t="str">
        <f t="shared" si="38"/>
        <v/>
      </c>
      <c r="O178" t="str">
        <f>IF(M179&lt;&gt;"",MIN(N178*$B$3,$B$2*1.5-$B$9-SUM($H$3:$H$200)-SUM($O$3:O177)),"")</f>
        <v/>
      </c>
      <c r="P178" s="3" t="str">
        <f t="shared" si="39"/>
        <v/>
      </c>
      <c r="Q178" t="str">
        <f t="shared" si="32"/>
        <v/>
      </c>
      <c r="R178" t="str">
        <f t="shared" si="40"/>
        <v/>
      </c>
      <c r="S178" s="5"/>
      <c r="T178" s="5"/>
      <c r="U178" s="5"/>
      <c r="V178" s="21" t="str">
        <f t="shared" si="33"/>
        <v/>
      </c>
      <c r="W178" s="22" t="str">
        <f t="shared" si="34"/>
        <v/>
      </c>
      <c r="X178" s="21" t="str">
        <f t="shared" si="35"/>
        <v/>
      </c>
    </row>
    <row r="179" spans="1:24" x14ac:dyDescent="0.25">
      <c r="F179" s="2">
        <f t="shared" si="36"/>
        <v>44128</v>
      </c>
      <c r="G179">
        <f t="shared" si="37"/>
        <v>25649.75</v>
      </c>
      <c r="H179" s="3">
        <f>IF(F179&lt;&gt;"",MIN(G179*$B$20,$B$2*1.5-$B$9-SUM($H$3:H178)),"")</f>
        <v>0</v>
      </c>
      <c r="I179" s="3">
        <f t="shared" si="44"/>
        <v>11285.900000000001</v>
      </c>
      <c r="J179" s="5"/>
      <c r="K179" s="21">
        <f t="shared" si="42"/>
        <v>0</v>
      </c>
      <c r="L179" s="25">
        <f t="shared" si="43"/>
        <v>0</v>
      </c>
      <c r="M179" s="2" t="str">
        <f t="shared" si="41"/>
        <v/>
      </c>
      <c r="N179" s="3" t="str">
        <f t="shared" si="38"/>
        <v/>
      </c>
      <c r="O179" t="str">
        <f>IF(M180&lt;&gt;"",MIN(N179*$B$3,$B$2*1.5-$B$9-SUM($H$3:$H$200)-SUM($O$3:O178)),"")</f>
        <v/>
      </c>
      <c r="P179" s="3" t="str">
        <f t="shared" si="39"/>
        <v/>
      </c>
      <c r="Q179" t="str">
        <f t="shared" si="32"/>
        <v/>
      </c>
      <c r="R179" t="str">
        <f t="shared" si="40"/>
        <v/>
      </c>
      <c r="S179" s="5"/>
      <c r="T179" s="5"/>
      <c r="U179" s="5"/>
      <c r="V179" s="21" t="str">
        <f t="shared" si="33"/>
        <v/>
      </c>
      <c r="W179" s="22" t="str">
        <f t="shared" si="34"/>
        <v/>
      </c>
      <c r="X179" s="21" t="str">
        <f t="shared" si="35"/>
        <v/>
      </c>
    </row>
    <row r="180" spans="1:24" x14ac:dyDescent="0.25">
      <c r="F180" s="2">
        <f t="shared" si="36"/>
        <v>44129</v>
      </c>
      <c r="G180">
        <f t="shared" si="37"/>
        <v>25649.75</v>
      </c>
      <c r="H180" s="3">
        <f>IF(F180&lt;&gt;"",MIN(G180*$B$20,$B$2*1.5-$B$9-SUM($H$3:H179)),"")</f>
        <v>0</v>
      </c>
      <c r="I180" s="3">
        <f t="shared" si="44"/>
        <v>11285.900000000001</v>
      </c>
      <c r="J180" s="5"/>
      <c r="K180" s="21">
        <f t="shared" si="42"/>
        <v>0</v>
      </c>
      <c r="L180" s="25">
        <f t="shared" si="43"/>
        <v>0</v>
      </c>
      <c r="M180" s="2" t="str">
        <f t="shared" si="41"/>
        <v/>
      </c>
      <c r="N180" s="3" t="str">
        <f t="shared" si="38"/>
        <v/>
      </c>
      <c r="O180" t="str">
        <f>IF(M181&lt;&gt;"",MIN(N180*$B$3,$B$2*1.5-$B$9-SUM($H$3:$H$200)-SUM($O$3:O179)),"")</f>
        <v/>
      </c>
      <c r="P180" s="3" t="str">
        <f t="shared" si="39"/>
        <v/>
      </c>
      <c r="Q180" t="str">
        <f t="shared" si="32"/>
        <v/>
      </c>
      <c r="R180" t="str">
        <f t="shared" si="40"/>
        <v/>
      </c>
      <c r="S180" s="5"/>
      <c r="T180" s="5"/>
      <c r="U180" s="5"/>
      <c r="V180" s="21" t="str">
        <f t="shared" si="33"/>
        <v/>
      </c>
      <c r="W180" s="22" t="str">
        <f t="shared" si="34"/>
        <v/>
      </c>
      <c r="X180" s="21" t="str">
        <f t="shared" si="35"/>
        <v/>
      </c>
    </row>
    <row r="181" spans="1:24" x14ac:dyDescent="0.25">
      <c r="A181" s="3"/>
      <c r="F181" s="2">
        <f t="shared" si="36"/>
        <v>44130</v>
      </c>
      <c r="G181">
        <f t="shared" si="37"/>
        <v>25649.75</v>
      </c>
      <c r="H181" s="3">
        <f>IF(F181&lt;&gt;"",MIN(G181*$B$20,$B$2*1.5-$B$9-SUM($H$3:H180)),"")</f>
        <v>0</v>
      </c>
      <c r="I181" s="3">
        <f t="shared" si="44"/>
        <v>11285.900000000001</v>
      </c>
      <c r="J181" s="5"/>
      <c r="K181" s="21">
        <f t="shared" si="42"/>
        <v>0</v>
      </c>
      <c r="L181" s="25">
        <f t="shared" si="43"/>
        <v>0</v>
      </c>
      <c r="M181" s="2" t="str">
        <f t="shared" si="41"/>
        <v/>
      </c>
      <c r="N181" s="3" t="str">
        <f t="shared" si="38"/>
        <v/>
      </c>
      <c r="O181" t="str">
        <f>IF(M182&lt;&gt;"",MIN(N181*$B$3,$B$2*1.5-$B$9-SUM($H$3:$H$200)-SUM($O$3:O180)),"")</f>
        <v/>
      </c>
      <c r="P181" s="3" t="str">
        <f t="shared" si="39"/>
        <v/>
      </c>
      <c r="Q181" t="str">
        <f t="shared" si="32"/>
        <v/>
      </c>
      <c r="R181" t="str">
        <f t="shared" si="40"/>
        <v/>
      </c>
      <c r="S181" s="5"/>
      <c r="T181" s="5"/>
      <c r="U181" s="5"/>
      <c r="V181" s="21" t="str">
        <f t="shared" si="33"/>
        <v/>
      </c>
      <c r="W181" s="22" t="str">
        <f t="shared" si="34"/>
        <v/>
      </c>
      <c r="X181" s="21" t="str">
        <f t="shared" si="35"/>
        <v/>
      </c>
    </row>
    <row r="182" spans="1:24" x14ac:dyDescent="0.25">
      <c r="A182" s="3"/>
      <c r="F182" s="2">
        <f t="shared" si="36"/>
        <v>44131</v>
      </c>
      <c r="G182">
        <f t="shared" si="37"/>
        <v>25649.75</v>
      </c>
      <c r="H182" s="3">
        <f>IF(F182&lt;&gt;"",MIN(G182*$B$20,$B$2*1.5-$B$9-SUM($H$3:H181)),"")</f>
        <v>0</v>
      </c>
      <c r="I182" s="3">
        <f>IF(F182&lt;&gt;"",MAX(H182+I181-K181,0),"")</f>
        <v>11285.900000000001</v>
      </c>
      <c r="J182" s="5"/>
      <c r="K182" s="21">
        <f>IF(F182&lt;&gt;"",MAX(0,J182-G181),"")</f>
        <v>0</v>
      </c>
      <c r="L182" s="25">
        <f t="shared" si="43"/>
        <v>0</v>
      </c>
      <c r="M182" s="2" t="str">
        <f t="shared" si="41"/>
        <v/>
      </c>
      <c r="N182" s="3" t="str">
        <f t="shared" si="38"/>
        <v/>
      </c>
      <c r="O182" t="str">
        <f>IF(M183&lt;&gt;"",MIN(N182*$B$3,$B$2*1.5-$B$9-SUM($H$3:$H$200)-SUM($O$3:O181)),"")</f>
        <v/>
      </c>
      <c r="P182" s="3" t="str">
        <f t="shared" si="39"/>
        <v/>
      </c>
      <c r="Q182" t="str">
        <f t="shared" si="32"/>
        <v/>
      </c>
      <c r="R182" t="str">
        <f t="shared" si="40"/>
        <v/>
      </c>
      <c r="S182" s="5"/>
      <c r="T182" s="5"/>
      <c r="U182" s="5"/>
      <c r="V182" s="21" t="str">
        <f t="shared" si="33"/>
        <v/>
      </c>
      <c r="W182" s="22" t="str">
        <f t="shared" si="34"/>
        <v/>
      </c>
      <c r="X182" s="21" t="str">
        <f t="shared" si="35"/>
        <v/>
      </c>
    </row>
    <row r="183" spans="1:24" x14ac:dyDescent="0.25">
      <c r="A183" s="3"/>
      <c r="F183" s="2" t="str">
        <f t="shared" si="36"/>
        <v/>
      </c>
      <c r="G183" t="str">
        <f t="shared" ref="G183:G200" si="45">IF(F183&lt;&gt;"",MAX(G182-J183,0),"")</f>
        <v/>
      </c>
      <c r="H183" s="3" t="str">
        <f>IF(F183&lt;&gt;"",MIN(G183*$B$20,$B$2*1.5-$B$9-SUM($H$3:H182)),"")</f>
        <v/>
      </c>
      <c r="I183" s="3" t="str">
        <f t="shared" si="44"/>
        <v/>
      </c>
      <c r="J183" s="5"/>
      <c r="K183" s="21" t="str">
        <f t="shared" si="42"/>
        <v/>
      </c>
      <c r="L183" s="25" t="str">
        <f t="shared" si="43"/>
        <v/>
      </c>
      <c r="M183" s="2" t="str">
        <f t="shared" si="41"/>
        <v/>
      </c>
      <c r="N183" s="3" t="str">
        <f t="shared" si="38"/>
        <v/>
      </c>
      <c r="O183" t="str">
        <f>IF(M184&lt;&gt;"",MIN(N183*$B$3,$B$2*1.5-$B$9-SUM($H$3:$H$200)-SUM($O$3:O182)),"")</f>
        <v/>
      </c>
      <c r="P183" s="3" t="str">
        <f t="shared" si="39"/>
        <v/>
      </c>
      <c r="Q183" t="str">
        <f t="shared" si="32"/>
        <v/>
      </c>
      <c r="R183" t="str">
        <f t="shared" si="40"/>
        <v/>
      </c>
      <c r="S183" s="5"/>
      <c r="T183" s="5"/>
      <c r="U183" s="5"/>
      <c r="V183" s="21" t="str">
        <f t="shared" si="33"/>
        <v/>
      </c>
      <c r="W183" s="22" t="str">
        <f t="shared" si="34"/>
        <v/>
      </c>
      <c r="X183" s="21" t="str">
        <f t="shared" si="35"/>
        <v/>
      </c>
    </row>
    <row r="184" spans="1:24" x14ac:dyDescent="0.25">
      <c r="F184" s="2" t="str">
        <f t="shared" si="36"/>
        <v/>
      </c>
      <c r="G184" t="str">
        <f t="shared" si="45"/>
        <v/>
      </c>
      <c r="H184" s="3" t="str">
        <f>IF(F184&lt;&gt;"",MIN(G184*$B$20,$B$2*1.5-$B$9-SUM($H$3:H183)),"")</f>
        <v/>
      </c>
      <c r="I184" s="3" t="str">
        <f t="shared" si="44"/>
        <v/>
      </c>
      <c r="J184" s="5"/>
      <c r="K184" s="21" t="str">
        <f t="shared" si="42"/>
        <v/>
      </c>
      <c r="L184" s="25" t="str">
        <f t="shared" si="43"/>
        <v/>
      </c>
      <c r="M184" s="2" t="str">
        <f t="shared" si="41"/>
        <v/>
      </c>
      <c r="N184" s="3" t="str">
        <f t="shared" si="38"/>
        <v/>
      </c>
      <c r="O184" t="str">
        <f>IF(M185&lt;&gt;"",MIN(N184*$B$3,$B$2*1.5-$B$9-SUM($H$3:$H$200)-SUM($O$3:O183)),"")</f>
        <v/>
      </c>
      <c r="P184" s="3" t="str">
        <f t="shared" si="39"/>
        <v/>
      </c>
      <c r="Q184" t="str">
        <f t="shared" si="32"/>
        <v/>
      </c>
      <c r="R184" t="str">
        <f t="shared" si="40"/>
        <v/>
      </c>
      <c r="S184" s="5"/>
      <c r="T184" s="5"/>
      <c r="U184" s="5"/>
      <c r="V184" s="21" t="str">
        <f t="shared" si="33"/>
        <v/>
      </c>
      <c r="W184" s="22" t="str">
        <f t="shared" si="34"/>
        <v/>
      </c>
      <c r="X184" s="21" t="str">
        <f t="shared" si="35"/>
        <v/>
      </c>
    </row>
    <row r="185" spans="1:24" x14ac:dyDescent="0.25">
      <c r="F185" s="2" t="str">
        <f t="shared" si="36"/>
        <v/>
      </c>
      <c r="G185" t="str">
        <f t="shared" si="45"/>
        <v/>
      </c>
      <c r="H185" s="3" t="str">
        <f>IF(F185&lt;&gt;"",MIN(G185*$B$20,$B$2*1.5-$B$9-SUM($H$3:H184)),"")</f>
        <v/>
      </c>
      <c r="I185" s="3" t="str">
        <f t="shared" si="44"/>
        <v/>
      </c>
      <c r="J185" s="5"/>
      <c r="K185" s="21" t="str">
        <f t="shared" si="42"/>
        <v/>
      </c>
      <c r="L185" s="25" t="str">
        <f t="shared" si="43"/>
        <v/>
      </c>
      <c r="M185" s="2" t="str">
        <f t="shared" si="41"/>
        <v/>
      </c>
      <c r="N185" s="3" t="str">
        <f t="shared" si="38"/>
        <v/>
      </c>
      <c r="O185" t="str">
        <f>IF(M186&lt;&gt;"",MIN(N185*$B$3,$B$2*1.5-$B$9-SUM($H$3:$H$200)-SUM($O$3:O184)),"")</f>
        <v/>
      </c>
      <c r="P185" s="3" t="str">
        <f t="shared" si="39"/>
        <v/>
      </c>
      <c r="Q185" t="str">
        <f t="shared" si="32"/>
        <v/>
      </c>
      <c r="R185" t="str">
        <f t="shared" si="40"/>
        <v/>
      </c>
      <c r="S185" s="5"/>
      <c r="T185" s="5"/>
      <c r="U185" s="5"/>
      <c r="V185" s="21" t="str">
        <f t="shared" si="33"/>
        <v/>
      </c>
      <c r="W185" s="22" t="str">
        <f t="shared" si="34"/>
        <v/>
      </c>
      <c r="X185" s="21" t="str">
        <f t="shared" si="35"/>
        <v/>
      </c>
    </row>
    <row r="186" spans="1:24" x14ac:dyDescent="0.25">
      <c r="F186" s="2" t="str">
        <f t="shared" si="36"/>
        <v/>
      </c>
      <c r="G186" t="str">
        <f t="shared" si="45"/>
        <v/>
      </c>
      <c r="H186" s="3" t="str">
        <f>IF(F186&lt;&gt;"",MIN(G186*$B$20,$B$2*1.5-$B$9-SUM($H$3:H185)),"")</f>
        <v/>
      </c>
      <c r="I186" s="3" t="str">
        <f t="shared" si="44"/>
        <v/>
      </c>
      <c r="J186" s="5"/>
      <c r="K186" s="21" t="str">
        <f t="shared" si="42"/>
        <v/>
      </c>
      <c r="L186" s="25" t="str">
        <f t="shared" si="43"/>
        <v/>
      </c>
      <c r="M186" s="2" t="str">
        <f t="shared" si="41"/>
        <v/>
      </c>
      <c r="N186" s="3" t="str">
        <f t="shared" si="38"/>
        <v/>
      </c>
      <c r="O186" t="str">
        <f>IF(M187&lt;&gt;"",MIN(N186*$B$3,$B$2*1.5-$B$9-SUM($H$3:$H$200)-SUM($O$3:O185)),"")</f>
        <v/>
      </c>
      <c r="P186" s="3" t="str">
        <f t="shared" si="39"/>
        <v/>
      </c>
      <c r="Q186" t="str">
        <f t="shared" si="32"/>
        <v/>
      </c>
      <c r="R186" t="str">
        <f t="shared" si="40"/>
        <v/>
      </c>
      <c r="S186" s="5"/>
      <c r="T186" s="5"/>
      <c r="U186" s="5"/>
      <c r="V186" s="21" t="str">
        <f t="shared" si="33"/>
        <v/>
      </c>
      <c r="W186" s="22" t="str">
        <f t="shared" si="34"/>
        <v/>
      </c>
      <c r="X186" s="21" t="str">
        <f t="shared" si="35"/>
        <v/>
      </c>
    </row>
    <row r="187" spans="1:24" x14ac:dyDescent="0.25">
      <c r="F187" s="2" t="str">
        <f t="shared" si="36"/>
        <v/>
      </c>
      <c r="G187" t="str">
        <f t="shared" si="45"/>
        <v/>
      </c>
      <c r="H187" s="3" t="str">
        <f>IF(F187&lt;&gt;"",MIN(G187*$B$20,$B$2*1.5-$B$9-SUM($H$3:H186)),"")</f>
        <v/>
      </c>
      <c r="I187" s="3" t="str">
        <f t="shared" si="44"/>
        <v/>
      </c>
      <c r="J187" s="5"/>
      <c r="K187" s="21" t="str">
        <f t="shared" si="42"/>
        <v/>
      </c>
      <c r="L187" s="25" t="str">
        <f t="shared" si="43"/>
        <v/>
      </c>
      <c r="M187" s="2" t="str">
        <f t="shared" si="41"/>
        <v/>
      </c>
      <c r="N187" s="3" t="str">
        <f t="shared" si="38"/>
        <v/>
      </c>
      <c r="O187" t="str">
        <f>IF(M188&lt;&gt;"",MIN(N187*$B$3,$B$2*1.5-$B$9-SUM($H$3:$H$200)-SUM($O$3:O186)),"")</f>
        <v/>
      </c>
      <c r="P187" s="3" t="str">
        <f t="shared" si="39"/>
        <v/>
      </c>
      <c r="Q187" t="str">
        <f t="shared" si="32"/>
        <v/>
      </c>
      <c r="R187" t="str">
        <f t="shared" si="40"/>
        <v/>
      </c>
      <c r="S187" s="5"/>
      <c r="T187" s="5"/>
      <c r="U187" s="5"/>
      <c r="V187" s="21" t="str">
        <f t="shared" si="33"/>
        <v/>
      </c>
      <c r="W187" s="22" t="str">
        <f t="shared" si="34"/>
        <v/>
      </c>
      <c r="X187" s="21" t="str">
        <f t="shared" si="35"/>
        <v/>
      </c>
    </row>
    <row r="188" spans="1:24" x14ac:dyDescent="0.25">
      <c r="F188" s="2" t="str">
        <f t="shared" si="36"/>
        <v/>
      </c>
      <c r="G188" t="str">
        <f t="shared" si="45"/>
        <v/>
      </c>
      <c r="H188" s="3" t="str">
        <f>IF(F188&lt;&gt;"",MIN(G188*$B$20,$B$2*1.5-$B$9-SUM($H$3:H187)),"")</f>
        <v/>
      </c>
      <c r="I188" s="3" t="str">
        <f t="shared" si="44"/>
        <v/>
      </c>
      <c r="J188" s="5"/>
      <c r="K188" s="21" t="str">
        <f t="shared" si="42"/>
        <v/>
      </c>
      <c r="L188" s="25" t="str">
        <f t="shared" si="43"/>
        <v/>
      </c>
      <c r="M188" s="2" t="str">
        <f t="shared" si="41"/>
        <v/>
      </c>
      <c r="N188" s="3" t="str">
        <f t="shared" si="38"/>
        <v/>
      </c>
      <c r="O188" t="str">
        <f>IF(M189&lt;&gt;"",MIN(N188*$B$3,$B$2*1.5-$B$9-SUM($H$3:$H$200)-SUM($O$3:O187)),"")</f>
        <v/>
      </c>
      <c r="P188" s="3" t="str">
        <f t="shared" si="39"/>
        <v/>
      </c>
      <c r="Q188" t="str">
        <f t="shared" si="32"/>
        <v/>
      </c>
      <c r="R188" t="str">
        <f t="shared" si="40"/>
        <v/>
      </c>
      <c r="S188" s="5"/>
      <c r="T188" s="5"/>
      <c r="U188" s="5"/>
      <c r="V188" s="21" t="str">
        <f t="shared" si="33"/>
        <v/>
      </c>
      <c r="W188" s="22" t="str">
        <f t="shared" si="34"/>
        <v/>
      </c>
      <c r="X188" s="21" t="str">
        <f t="shared" si="35"/>
        <v/>
      </c>
    </row>
    <row r="189" spans="1:24" x14ac:dyDescent="0.25">
      <c r="F189" s="2" t="str">
        <f t="shared" si="36"/>
        <v/>
      </c>
      <c r="G189" t="str">
        <f t="shared" si="45"/>
        <v/>
      </c>
      <c r="H189" s="3" t="str">
        <f>IF(F189&lt;&gt;"",MIN(G189*$B$20,$B$2*1.5-$B$9-SUM($H$3:H188)),"")</f>
        <v/>
      </c>
      <c r="I189" s="3" t="str">
        <f t="shared" si="44"/>
        <v/>
      </c>
      <c r="J189" s="5"/>
      <c r="K189" s="21" t="str">
        <f t="shared" si="42"/>
        <v/>
      </c>
      <c r="L189" s="25" t="str">
        <f t="shared" si="43"/>
        <v/>
      </c>
      <c r="M189" s="2" t="str">
        <f t="shared" si="41"/>
        <v/>
      </c>
      <c r="N189" s="3" t="str">
        <f t="shared" si="38"/>
        <v/>
      </c>
      <c r="O189" t="str">
        <f>IF(M190&lt;&gt;"",MIN(N189*$B$3,$B$2*1.5-$B$9-SUM($H$3:$H$200)-SUM($O$3:O188)),"")</f>
        <v/>
      </c>
      <c r="P189" s="3" t="str">
        <f t="shared" si="39"/>
        <v/>
      </c>
      <c r="Q189" t="str">
        <f t="shared" si="32"/>
        <v/>
      </c>
      <c r="R189" t="str">
        <f t="shared" si="40"/>
        <v/>
      </c>
      <c r="S189" s="5"/>
      <c r="T189" s="5"/>
      <c r="U189" s="5"/>
      <c r="V189" s="21" t="str">
        <f t="shared" si="33"/>
        <v/>
      </c>
      <c r="W189" s="22" t="str">
        <f t="shared" si="34"/>
        <v/>
      </c>
      <c r="X189" s="21" t="str">
        <f t="shared" si="35"/>
        <v/>
      </c>
    </row>
    <row r="190" spans="1:24" x14ac:dyDescent="0.25">
      <c r="F190" s="2" t="str">
        <f t="shared" si="36"/>
        <v/>
      </c>
      <c r="G190" t="str">
        <f t="shared" si="45"/>
        <v/>
      </c>
      <c r="H190" s="3" t="str">
        <f>IF(F190&lt;&gt;"",MIN(G190*$B$20,$B$2*1.5-$B$9-SUM($H$3:H189)),"")</f>
        <v/>
      </c>
      <c r="I190" s="3" t="str">
        <f t="shared" si="44"/>
        <v/>
      </c>
      <c r="J190" s="5"/>
      <c r="K190" s="21" t="str">
        <f t="shared" si="42"/>
        <v/>
      </c>
      <c r="L190" s="25" t="str">
        <f t="shared" si="43"/>
        <v/>
      </c>
      <c r="M190" s="2" t="str">
        <f t="shared" si="41"/>
        <v/>
      </c>
      <c r="N190" s="3" t="str">
        <f t="shared" si="38"/>
        <v/>
      </c>
      <c r="O190" t="str">
        <f>IF(M191&lt;&gt;"",MIN(N190*$B$3,$B$2*1.5-$B$9-SUM($H$3:$H$200)-SUM($O$3:O189)),"")</f>
        <v/>
      </c>
      <c r="P190" s="3" t="str">
        <f t="shared" si="39"/>
        <v/>
      </c>
      <c r="Q190" t="str">
        <f t="shared" si="32"/>
        <v/>
      </c>
      <c r="R190" t="str">
        <f t="shared" si="40"/>
        <v/>
      </c>
      <c r="S190" s="5"/>
      <c r="T190" s="5"/>
      <c r="U190" s="5"/>
      <c r="V190" s="21" t="str">
        <f t="shared" si="33"/>
        <v/>
      </c>
      <c r="W190" s="22" t="str">
        <f t="shared" si="34"/>
        <v/>
      </c>
      <c r="X190" s="21" t="str">
        <f t="shared" si="35"/>
        <v/>
      </c>
    </row>
    <row r="191" spans="1:24" x14ac:dyDescent="0.25">
      <c r="F191" s="2" t="str">
        <f t="shared" si="36"/>
        <v/>
      </c>
      <c r="G191" t="str">
        <f t="shared" si="45"/>
        <v/>
      </c>
      <c r="H191" s="3" t="str">
        <f>IF(F191&lt;&gt;"",MIN(G191*$B$20,$B$2*1.5-$B$9-SUM($H$3:H190)),"")</f>
        <v/>
      </c>
      <c r="I191" s="3" t="str">
        <f t="shared" si="44"/>
        <v/>
      </c>
      <c r="J191" s="5"/>
      <c r="K191" s="21" t="str">
        <f t="shared" si="42"/>
        <v/>
      </c>
      <c r="L191" s="25" t="str">
        <f t="shared" si="43"/>
        <v/>
      </c>
      <c r="M191" s="2" t="str">
        <f t="shared" si="41"/>
        <v/>
      </c>
      <c r="N191" s="3" t="str">
        <f t="shared" si="38"/>
        <v/>
      </c>
      <c r="O191" t="str">
        <f>IF(M192&lt;&gt;"",MIN(N191*$B$3,$B$2*1.5-$B$9-SUM($H$3:$H$200)-SUM($O$3:O190)),"")</f>
        <v/>
      </c>
      <c r="P191" s="3" t="str">
        <f t="shared" si="39"/>
        <v/>
      </c>
      <c r="Q191" t="str">
        <f t="shared" si="32"/>
        <v/>
      </c>
      <c r="R191" t="str">
        <f t="shared" si="40"/>
        <v/>
      </c>
      <c r="S191" s="5"/>
      <c r="T191" s="5"/>
      <c r="U191" s="5"/>
      <c r="V191" s="21" t="str">
        <f t="shared" si="33"/>
        <v/>
      </c>
      <c r="W191" s="22" t="str">
        <f t="shared" si="34"/>
        <v/>
      </c>
      <c r="X191" s="21" t="str">
        <f t="shared" si="35"/>
        <v/>
      </c>
    </row>
    <row r="192" spans="1:24" x14ac:dyDescent="0.25">
      <c r="F192" s="2" t="str">
        <f t="shared" si="36"/>
        <v/>
      </c>
      <c r="G192" t="str">
        <f t="shared" si="45"/>
        <v/>
      </c>
      <c r="H192" s="3" t="str">
        <f>IF(F192&lt;&gt;"",MIN(G192*$B$20,$B$2*1.5-$B$9-SUM($H$3:H191)),"")</f>
        <v/>
      </c>
      <c r="I192" s="3" t="str">
        <f t="shared" si="44"/>
        <v/>
      </c>
      <c r="J192" s="5"/>
      <c r="K192" s="21" t="str">
        <f t="shared" si="42"/>
        <v/>
      </c>
      <c r="L192" s="25" t="str">
        <f t="shared" si="43"/>
        <v/>
      </c>
      <c r="M192" s="2" t="str">
        <f t="shared" si="41"/>
        <v/>
      </c>
      <c r="N192" s="3" t="str">
        <f t="shared" si="38"/>
        <v/>
      </c>
      <c r="O192" t="str">
        <f>IF(M193&lt;&gt;"",MIN(N192*$B$3,$B$2*1.5-$B$9-SUM($H$3:$H$200)-SUM($O$3:O191)),"")</f>
        <v/>
      </c>
      <c r="P192" s="3" t="str">
        <f t="shared" si="39"/>
        <v/>
      </c>
      <c r="Q192" t="str">
        <f t="shared" si="32"/>
        <v/>
      </c>
      <c r="R192" t="str">
        <f t="shared" si="40"/>
        <v/>
      </c>
      <c r="S192" s="5"/>
      <c r="T192" s="5"/>
      <c r="U192" s="5"/>
      <c r="V192" s="21" t="str">
        <f t="shared" si="33"/>
        <v/>
      </c>
      <c r="W192" s="22" t="str">
        <f t="shared" si="34"/>
        <v/>
      </c>
      <c r="X192" s="21" t="str">
        <f t="shared" si="35"/>
        <v/>
      </c>
    </row>
    <row r="193" spans="6:24" x14ac:dyDescent="0.25">
      <c r="F193" s="2" t="str">
        <f t="shared" si="36"/>
        <v/>
      </c>
      <c r="G193" t="str">
        <f t="shared" si="45"/>
        <v/>
      </c>
      <c r="H193" s="3" t="str">
        <f>IF(F193&lt;&gt;"",MIN(G193*$B$20,$B$2*1.5-$B$9-SUM($H$3:H192)),"")</f>
        <v/>
      </c>
      <c r="I193" s="3" t="str">
        <f t="shared" si="44"/>
        <v/>
      </c>
      <c r="J193" s="5"/>
      <c r="K193" s="21" t="str">
        <f t="shared" si="42"/>
        <v/>
      </c>
      <c r="L193" s="25" t="str">
        <f t="shared" si="43"/>
        <v/>
      </c>
      <c r="M193" s="2" t="str">
        <f t="shared" si="41"/>
        <v/>
      </c>
      <c r="N193" s="3" t="str">
        <f t="shared" si="38"/>
        <v/>
      </c>
      <c r="O193" t="str">
        <f>IF(M194&lt;&gt;"",MIN(N193*$B$3,$B$2*1.5-$B$9-SUM($H$3:$H$200)-SUM($O$3:O192)),"")</f>
        <v/>
      </c>
      <c r="P193" s="3" t="str">
        <f t="shared" si="39"/>
        <v/>
      </c>
      <c r="Q193" t="str">
        <f t="shared" si="32"/>
        <v/>
      </c>
      <c r="R193" t="str">
        <f t="shared" si="40"/>
        <v/>
      </c>
      <c r="S193" s="5"/>
      <c r="T193" s="5"/>
      <c r="U193" s="5"/>
      <c r="V193" s="21" t="str">
        <f t="shared" si="33"/>
        <v/>
      </c>
      <c r="W193" s="22" t="str">
        <f t="shared" si="34"/>
        <v/>
      </c>
      <c r="X193" s="21" t="str">
        <f t="shared" si="35"/>
        <v/>
      </c>
    </row>
    <row r="194" spans="6:24" x14ac:dyDescent="0.25">
      <c r="F194" s="2" t="str">
        <f t="shared" si="36"/>
        <v/>
      </c>
      <c r="G194" t="str">
        <f t="shared" si="45"/>
        <v/>
      </c>
      <c r="H194" s="3" t="str">
        <f>IF(F194&lt;&gt;"",MIN(G194*$B$20,$B$2*1.5-$B$9-SUM($H$3:H193)),"")</f>
        <v/>
      </c>
      <c r="I194" s="3" t="str">
        <f t="shared" si="44"/>
        <v/>
      </c>
      <c r="J194" s="5"/>
      <c r="K194" s="21" t="str">
        <f t="shared" si="42"/>
        <v/>
      </c>
      <c r="L194" s="25" t="str">
        <f t="shared" si="43"/>
        <v/>
      </c>
      <c r="M194" s="2" t="str">
        <f t="shared" si="41"/>
        <v/>
      </c>
      <c r="N194" s="3" t="str">
        <f t="shared" si="38"/>
        <v/>
      </c>
      <c r="O194" t="str">
        <f>IF(M195&lt;&gt;"",MIN(N194*$B$3,$B$2*1.5-$B$9-SUM($H$3:$H$200)-SUM($O$3:O193)),"")</f>
        <v/>
      </c>
      <c r="P194" s="3" t="str">
        <f t="shared" si="39"/>
        <v/>
      </c>
      <c r="Q194" t="str">
        <f t="shared" si="32"/>
        <v/>
      </c>
      <c r="R194" t="str">
        <f t="shared" si="40"/>
        <v/>
      </c>
      <c r="S194" s="5"/>
      <c r="T194" s="5"/>
      <c r="U194" s="5"/>
      <c r="V194" s="21" t="str">
        <f t="shared" si="33"/>
        <v/>
      </c>
      <c r="W194" s="22" t="str">
        <f t="shared" si="34"/>
        <v/>
      </c>
      <c r="X194" s="21" t="str">
        <f t="shared" si="35"/>
        <v/>
      </c>
    </row>
    <row r="195" spans="6:24" x14ac:dyDescent="0.25">
      <c r="F195" s="2" t="str">
        <f t="shared" si="36"/>
        <v/>
      </c>
      <c r="G195" t="str">
        <f t="shared" si="45"/>
        <v/>
      </c>
      <c r="H195" s="3" t="str">
        <f>IF(F195&lt;&gt;"",MIN(G195*$B$20,$B$2*1.5-$B$9-SUM($H$3:H194)),"")</f>
        <v/>
      </c>
      <c r="I195" s="3" t="str">
        <f t="shared" si="44"/>
        <v/>
      </c>
      <c r="J195" s="5"/>
      <c r="K195" s="21" t="str">
        <f t="shared" si="42"/>
        <v/>
      </c>
      <c r="L195" s="25" t="str">
        <f t="shared" si="43"/>
        <v/>
      </c>
      <c r="M195" s="2" t="str">
        <f t="shared" si="41"/>
        <v/>
      </c>
      <c r="N195" s="3" t="str">
        <f t="shared" si="38"/>
        <v/>
      </c>
      <c r="O195" t="str">
        <f>IF(M196&lt;&gt;"",MIN(N195*$B$3,$B$2*1.5-$B$9-SUM($H$3:$H$200)-SUM($O$3:O194)),"")</f>
        <v/>
      </c>
      <c r="P195" s="3" t="str">
        <f t="shared" si="39"/>
        <v/>
      </c>
      <c r="Q195" t="str">
        <f t="shared" si="32"/>
        <v/>
      </c>
      <c r="R195" t="str">
        <f t="shared" si="40"/>
        <v/>
      </c>
      <c r="S195" s="5"/>
      <c r="T195" s="5"/>
      <c r="U195" s="5"/>
      <c r="V195" s="21" t="str">
        <f t="shared" si="33"/>
        <v/>
      </c>
      <c r="W195" s="22" t="str">
        <f t="shared" si="34"/>
        <v/>
      </c>
      <c r="X195" s="21" t="str">
        <f t="shared" si="35"/>
        <v/>
      </c>
    </row>
    <row r="196" spans="6:24" x14ac:dyDescent="0.25">
      <c r="F196" s="2" t="str">
        <f t="shared" si="36"/>
        <v/>
      </c>
      <c r="G196" t="str">
        <f t="shared" si="45"/>
        <v/>
      </c>
      <c r="H196" s="3" t="str">
        <f>IF(F196&lt;&gt;"",MIN(G196*$B$20,$B$2*1.5-$B$9-SUM($H$3:H195)),"")</f>
        <v/>
      </c>
      <c r="I196" s="3" t="str">
        <f t="shared" si="44"/>
        <v/>
      </c>
      <c r="J196" s="5"/>
      <c r="K196" s="21" t="str">
        <f t="shared" si="42"/>
        <v/>
      </c>
      <c r="L196" s="25" t="str">
        <f t="shared" si="43"/>
        <v/>
      </c>
      <c r="M196" s="2" t="str">
        <f t="shared" si="41"/>
        <v/>
      </c>
      <c r="N196" s="3" t="str">
        <f t="shared" si="38"/>
        <v/>
      </c>
      <c r="O196" t="str">
        <f>IF(M197&lt;&gt;"",MIN(N196*$B$3,$B$2*1.5-$B$9-SUM($H$3:$H$200)-SUM($O$3:O195)),"")</f>
        <v/>
      </c>
      <c r="P196" s="3" t="str">
        <f t="shared" si="39"/>
        <v/>
      </c>
      <c r="Q196" t="str">
        <f t="shared" ref="Q196:Q200" si="46">IF(M197&lt;&gt;"",IF(
OR(
AND($B$11&gt;0,OR(T196="",T196=0),M196&lt;&gt;$B$22),
AND(M196&gt;$B$13,M196&lt;$B$22,M196-$B$13&lt;100)),N196*0.01%,0),"")</f>
        <v/>
      </c>
      <c r="R196" t="str">
        <f t="shared" si="40"/>
        <v/>
      </c>
      <c r="S196" s="5"/>
      <c r="T196" s="5"/>
      <c r="U196" s="5"/>
      <c r="V196" s="21" t="str">
        <f t="shared" ref="V196:V200" si="47">IF(M196&lt;&gt;"",MAX(S196-R196,0),"")</f>
        <v/>
      </c>
      <c r="W196" s="22" t="str">
        <f t="shared" ref="W196:W200" si="48">IF(M196&lt;&gt;"",MAX(0,V196-P196),"")</f>
        <v/>
      </c>
      <c r="X196" s="21" t="str">
        <f t="shared" ref="X196:X200" si="49">IF(M196&lt;&gt;"",MAX(0,T196-R196),"")</f>
        <v/>
      </c>
    </row>
    <row r="197" spans="6:24" x14ac:dyDescent="0.25">
      <c r="F197" s="2" t="str">
        <f t="shared" ref="F197:F200" si="50">IF(F196&lt;$B$18-1,F196+1,"")</f>
        <v/>
      </c>
      <c r="G197" t="str">
        <f t="shared" si="45"/>
        <v/>
      </c>
      <c r="H197" s="3" t="str">
        <f>IF(F197&lt;&gt;"",MIN(G197*$B$20,$B$2*1.5-$B$9-SUM($H$3:H196)),"")</f>
        <v/>
      </c>
      <c r="I197" s="3" t="str">
        <f t="shared" si="44"/>
        <v/>
      </c>
      <c r="J197" s="5"/>
      <c r="K197" s="21" t="str">
        <f t="shared" si="42"/>
        <v/>
      </c>
      <c r="L197" s="25" t="str">
        <f t="shared" si="43"/>
        <v/>
      </c>
      <c r="M197" s="2" t="str">
        <f t="shared" si="41"/>
        <v/>
      </c>
      <c r="N197" s="3" t="str">
        <f t="shared" ref="N197:N200" si="51">IF(M197&lt;&gt;"",N196-W197,"")</f>
        <v/>
      </c>
      <c r="O197" t="str">
        <f>IF(M198&lt;&gt;"",MIN(N197*$B$3,$B$2*1.5-$B$9-SUM($H$3:$H$200)-SUM($O$3:O196)),"")</f>
        <v/>
      </c>
      <c r="P197" s="3" t="str">
        <f t="shared" ref="P197:P200" si="52">IF(M197&lt;&gt;"",MAX(P196+O196-V196-X196,0),"")</f>
        <v/>
      </c>
      <c r="Q197" t="str">
        <f t="shared" si="46"/>
        <v/>
      </c>
      <c r="R197" t="str">
        <f t="shared" ref="R197:R200" si="53">IF(M197&lt;&gt;"",MAX(0,Q196+R196-S196-T196),"")</f>
        <v/>
      </c>
      <c r="S197" s="5"/>
      <c r="T197" s="5"/>
      <c r="U197" s="5"/>
      <c r="V197" s="21" t="str">
        <f t="shared" si="47"/>
        <v/>
      </c>
      <c r="W197" s="22" t="str">
        <f t="shared" si="48"/>
        <v/>
      </c>
      <c r="X197" s="21" t="str">
        <f t="shared" si="49"/>
        <v/>
      </c>
    </row>
    <row r="198" spans="6:24" x14ac:dyDescent="0.25">
      <c r="F198" s="2" t="str">
        <f t="shared" si="50"/>
        <v/>
      </c>
      <c r="G198" t="str">
        <f t="shared" si="45"/>
        <v/>
      </c>
      <c r="H198" s="3" t="str">
        <f>IF(F198&lt;&gt;"",MIN(G198*$B$20,$B$2*1.5-$B$9-SUM($H$3:H197)),"")</f>
        <v/>
      </c>
      <c r="I198" s="3" t="str">
        <f t="shared" si="44"/>
        <v/>
      </c>
      <c r="J198" s="5"/>
      <c r="K198" s="21" t="str">
        <f t="shared" si="42"/>
        <v/>
      </c>
      <c r="L198" s="25" t="str">
        <f t="shared" si="43"/>
        <v/>
      </c>
      <c r="M198" s="2" t="str">
        <f t="shared" si="41"/>
        <v/>
      </c>
      <c r="N198" s="3" t="str">
        <f t="shared" si="51"/>
        <v/>
      </c>
      <c r="O198" t="str">
        <f>IF(M199&lt;&gt;"",MIN(N198*$B$3,$B$2*1.5-$B$9-SUM($H$3:$H$200)-SUM($O$3:O197)),"")</f>
        <v/>
      </c>
      <c r="P198" s="3" t="str">
        <f t="shared" si="52"/>
        <v/>
      </c>
      <c r="Q198" t="str">
        <f t="shared" si="46"/>
        <v/>
      </c>
      <c r="R198" t="str">
        <f t="shared" si="53"/>
        <v/>
      </c>
      <c r="S198" s="5"/>
      <c r="T198" s="5"/>
      <c r="U198" s="5"/>
      <c r="V198" s="21" t="str">
        <f t="shared" si="47"/>
        <v/>
      </c>
      <c r="W198" s="22" t="str">
        <f t="shared" si="48"/>
        <v/>
      </c>
      <c r="X198" s="21" t="str">
        <f t="shared" si="49"/>
        <v/>
      </c>
    </row>
    <row r="199" spans="6:24" x14ac:dyDescent="0.25">
      <c r="F199" s="2" t="str">
        <f t="shared" si="50"/>
        <v/>
      </c>
      <c r="G199" t="str">
        <f t="shared" si="45"/>
        <v/>
      </c>
      <c r="H199" s="3" t="str">
        <f>IF(F199&lt;&gt;"",MIN(G199*$B$20,$B$2*1.5-$B$9-SUM($H$3:H198)),"")</f>
        <v/>
      </c>
      <c r="I199" s="3" t="str">
        <f t="shared" si="44"/>
        <v/>
      </c>
      <c r="J199" s="5"/>
      <c r="K199" s="21" t="str">
        <f t="shared" si="42"/>
        <v/>
      </c>
      <c r="L199" s="25" t="str">
        <f t="shared" si="43"/>
        <v/>
      </c>
      <c r="M199" s="2" t="str">
        <f t="shared" si="41"/>
        <v/>
      </c>
      <c r="N199" s="3" t="str">
        <f t="shared" si="51"/>
        <v/>
      </c>
      <c r="O199" t="str">
        <f>IF(M200&lt;&gt;"",MIN(N199*$B$3,$B$2*1.5-$B$9-SUM($H$3:$H$200)-SUM($O$3:O198)),"")</f>
        <v/>
      </c>
      <c r="P199" s="3" t="str">
        <f t="shared" si="52"/>
        <v/>
      </c>
      <c r="Q199" t="str">
        <f t="shared" si="46"/>
        <v/>
      </c>
      <c r="R199" t="str">
        <f t="shared" si="53"/>
        <v/>
      </c>
      <c r="S199" s="5"/>
      <c r="T199" s="5"/>
      <c r="U199" s="5"/>
      <c r="V199" s="21" t="str">
        <f t="shared" si="47"/>
        <v/>
      </c>
      <c r="W199" s="22" t="str">
        <f t="shared" si="48"/>
        <v/>
      </c>
      <c r="X199" s="21" t="str">
        <f t="shared" si="49"/>
        <v/>
      </c>
    </row>
    <row r="200" spans="6:24" x14ac:dyDescent="0.25">
      <c r="F200" s="2" t="str">
        <f t="shared" si="50"/>
        <v/>
      </c>
      <c r="G200" t="str">
        <f t="shared" si="45"/>
        <v/>
      </c>
      <c r="H200" s="3" t="str">
        <f>IF(F200&lt;&gt;"",MIN(G200*$B$20,$B$2*1.5-$B$9-SUM($H$3:H199)),"")</f>
        <v/>
      </c>
      <c r="I200" s="3" t="str">
        <f t="shared" si="44"/>
        <v/>
      </c>
      <c r="J200" s="5"/>
      <c r="K200" s="21" t="str">
        <f t="shared" si="42"/>
        <v/>
      </c>
      <c r="L200" s="25" t="str">
        <f t="shared" si="43"/>
        <v/>
      </c>
      <c r="M200" s="2" t="str">
        <f t="shared" si="41"/>
        <v/>
      </c>
      <c r="N200" s="3" t="str">
        <f t="shared" si="51"/>
        <v/>
      </c>
      <c r="O200" t="str">
        <f t="shared" ref="O200" si="54">IF(M201&lt;&gt;"",MIN(N200*$B$3,$B$2*1.5-$B$9-SUM($H$3:$H$200)),"")</f>
        <v/>
      </c>
      <c r="P200" s="3" t="str">
        <f t="shared" si="52"/>
        <v/>
      </c>
      <c r="Q200" t="str">
        <f t="shared" si="46"/>
        <v/>
      </c>
      <c r="R200" t="str">
        <f t="shared" si="53"/>
        <v/>
      </c>
      <c r="S200" s="5"/>
      <c r="T200" s="5"/>
      <c r="U200" s="5"/>
      <c r="V200" s="21" t="str">
        <f t="shared" si="47"/>
        <v/>
      </c>
      <c r="W200" s="22" t="str">
        <f t="shared" si="48"/>
        <v/>
      </c>
      <c r="X200" s="21" t="str">
        <f t="shared" si="49"/>
        <v/>
      </c>
    </row>
    <row r="201" spans="6:24" x14ac:dyDescent="0.25">
      <c r="I201" s="3"/>
      <c r="M201" s="2"/>
      <c r="N201" s="3"/>
      <c r="P201" s="3"/>
      <c r="W201" s="3"/>
    </row>
  </sheetData>
  <mergeCells count="6">
    <mergeCell ref="A24:B24"/>
    <mergeCell ref="M1:X1"/>
    <mergeCell ref="F1:L1"/>
    <mergeCell ref="A1:B1"/>
    <mergeCell ref="A7:B7"/>
    <mergeCell ref="A16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91"/>
  <sheetViews>
    <sheetView zoomScale="85" zoomScaleNormal="85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AH95" sqref="AH95"/>
    </sheetView>
  </sheetViews>
  <sheetFormatPr defaultRowHeight="15" outlineLevelCol="1" x14ac:dyDescent="0.25"/>
  <cols>
    <col min="1" max="1" width="6.85546875" style="27" customWidth="1"/>
    <col min="2" max="2" width="46.5703125" style="156" customWidth="1"/>
    <col min="3" max="18" width="9" style="27" hidden="1" customWidth="1" outlineLevel="1"/>
    <col min="19" max="22" width="9" style="27" hidden="1" customWidth="1"/>
    <col min="23" max="23" width="0.7109375" style="27" hidden="1" customWidth="1"/>
    <col min="24" max="24" width="43.140625" style="27" hidden="1" customWidth="1"/>
    <col min="25" max="25" width="9" style="27" hidden="1" customWidth="1"/>
    <col min="26" max="26" width="1" style="26" hidden="1" customWidth="1"/>
    <col min="27" max="27" width="9.5703125" style="27" hidden="1" customWidth="1"/>
    <col min="28" max="28" width="11.5703125" style="27" hidden="1" customWidth="1"/>
    <col min="29" max="29" width="11.7109375" style="27" hidden="1" customWidth="1"/>
    <col min="30" max="31" width="12.28515625" hidden="1" customWidth="1" outlineLevel="1"/>
    <col min="32" max="32" width="26.5703125" style="27" hidden="1" customWidth="1" outlineLevel="1"/>
    <col min="33" max="33" width="9.5703125" style="27" customWidth="1" outlineLevel="1"/>
    <col min="34" max="34" width="17.42578125" style="27" customWidth="1" outlineLevel="1"/>
    <col min="35" max="36" width="18.7109375" style="28" customWidth="1" outlineLevel="1"/>
    <col min="37" max="37" width="17.5703125" style="27" customWidth="1"/>
    <col min="38" max="38" width="19.28515625" style="28" customWidth="1"/>
    <col min="39" max="39" width="9.140625" style="27" customWidth="1"/>
    <col min="40" max="40" width="25.28515625" style="29" bestFit="1" customWidth="1"/>
    <col min="41" max="256" width="9.140625" style="27"/>
    <col min="257" max="257" width="6.85546875" style="27" customWidth="1"/>
    <col min="258" max="258" width="46.5703125" style="27" customWidth="1"/>
    <col min="259" max="288" width="0" style="27" hidden="1" customWidth="1"/>
    <col min="289" max="289" width="9.5703125" style="27" customWidth="1"/>
    <col min="290" max="290" width="17.42578125" style="27" customWidth="1"/>
    <col min="291" max="292" width="18.7109375" style="27" customWidth="1"/>
    <col min="293" max="293" width="17.5703125" style="27" customWidth="1"/>
    <col min="294" max="294" width="19.28515625" style="27" customWidth="1"/>
    <col min="295" max="295" width="9.140625" style="27" customWidth="1"/>
    <col min="296" max="296" width="25.28515625" style="27" bestFit="1" customWidth="1"/>
    <col min="297" max="512" width="9.140625" style="27"/>
    <col min="513" max="513" width="6.85546875" style="27" customWidth="1"/>
    <col min="514" max="514" width="46.5703125" style="27" customWidth="1"/>
    <col min="515" max="544" width="0" style="27" hidden="1" customWidth="1"/>
    <col min="545" max="545" width="9.5703125" style="27" customWidth="1"/>
    <col min="546" max="546" width="17.42578125" style="27" customWidth="1"/>
    <col min="547" max="548" width="18.7109375" style="27" customWidth="1"/>
    <col min="549" max="549" width="17.5703125" style="27" customWidth="1"/>
    <col min="550" max="550" width="19.28515625" style="27" customWidth="1"/>
    <col min="551" max="551" width="9.140625" style="27" customWidth="1"/>
    <col min="552" max="552" width="25.28515625" style="27" bestFit="1" customWidth="1"/>
    <col min="553" max="768" width="9.140625" style="27"/>
    <col min="769" max="769" width="6.85546875" style="27" customWidth="1"/>
    <col min="770" max="770" width="46.5703125" style="27" customWidth="1"/>
    <col min="771" max="800" width="0" style="27" hidden="1" customWidth="1"/>
    <col min="801" max="801" width="9.5703125" style="27" customWidth="1"/>
    <col min="802" max="802" width="17.42578125" style="27" customWidth="1"/>
    <col min="803" max="804" width="18.7109375" style="27" customWidth="1"/>
    <col min="805" max="805" width="17.5703125" style="27" customWidth="1"/>
    <col min="806" max="806" width="19.28515625" style="27" customWidth="1"/>
    <col min="807" max="807" width="9.140625" style="27" customWidth="1"/>
    <col min="808" max="808" width="25.28515625" style="27" bestFit="1" customWidth="1"/>
    <col min="809" max="1024" width="9.140625" style="27"/>
    <col min="1025" max="1025" width="6.85546875" style="27" customWidth="1"/>
    <col min="1026" max="1026" width="46.5703125" style="27" customWidth="1"/>
    <col min="1027" max="1056" width="0" style="27" hidden="1" customWidth="1"/>
    <col min="1057" max="1057" width="9.5703125" style="27" customWidth="1"/>
    <col min="1058" max="1058" width="17.42578125" style="27" customWidth="1"/>
    <col min="1059" max="1060" width="18.7109375" style="27" customWidth="1"/>
    <col min="1061" max="1061" width="17.5703125" style="27" customWidth="1"/>
    <col min="1062" max="1062" width="19.28515625" style="27" customWidth="1"/>
    <col min="1063" max="1063" width="9.140625" style="27" customWidth="1"/>
    <col min="1064" max="1064" width="25.28515625" style="27" bestFit="1" customWidth="1"/>
    <col min="1065" max="1280" width="9.140625" style="27"/>
    <col min="1281" max="1281" width="6.85546875" style="27" customWidth="1"/>
    <col min="1282" max="1282" width="46.5703125" style="27" customWidth="1"/>
    <col min="1283" max="1312" width="0" style="27" hidden="1" customWidth="1"/>
    <col min="1313" max="1313" width="9.5703125" style="27" customWidth="1"/>
    <col min="1314" max="1314" width="17.42578125" style="27" customWidth="1"/>
    <col min="1315" max="1316" width="18.7109375" style="27" customWidth="1"/>
    <col min="1317" max="1317" width="17.5703125" style="27" customWidth="1"/>
    <col min="1318" max="1318" width="19.28515625" style="27" customWidth="1"/>
    <col min="1319" max="1319" width="9.140625" style="27" customWidth="1"/>
    <col min="1320" max="1320" width="25.28515625" style="27" bestFit="1" customWidth="1"/>
    <col min="1321" max="1536" width="9.140625" style="27"/>
    <col min="1537" max="1537" width="6.85546875" style="27" customWidth="1"/>
    <col min="1538" max="1538" width="46.5703125" style="27" customWidth="1"/>
    <col min="1539" max="1568" width="0" style="27" hidden="1" customWidth="1"/>
    <col min="1569" max="1569" width="9.5703125" style="27" customWidth="1"/>
    <col min="1570" max="1570" width="17.42578125" style="27" customWidth="1"/>
    <col min="1571" max="1572" width="18.7109375" style="27" customWidth="1"/>
    <col min="1573" max="1573" width="17.5703125" style="27" customWidth="1"/>
    <col min="1574" max="1574" width="19.28515625" style="27" customWidth="1"/>
    <col min="1575" max="1575" width="9.140625" style="27" customWidth="1"/>
    <col min="1576" max="1576" width="25.28515625" style="27" bestFit="1" customWidth="1"/>
    <col min="1577" max="1792" width="9.140625" style="27"/>
    <col min="1793" max="1793" width="6.85546875" style="27" customWidth="1"/>
    <col min="1794" max="1794" width="46.5703125" style="27" customWidth="1"/>
    <col min="1795" max="1824" width="0" style="27" hidden="1" customWidth="1"/>
    <col min="1825" max="1825" width="9.5703125" style="27" customWidth="1"/>
    <col min="1826" max="1826" width="17.42578125" style="27" customWidth="1"/>
    <col min="1827" max="1828" width="18.7109375" style="27" customWidth="1"/>
    <col min="1829" max="1829" width="17.5703125" style="27" customWidth="1"/>
    <col min="1830" max="1830" width="19.28515625" style="27" customWidth="1"/>
    <col min="1831" max="1831" width="9.140625" style="27" customWidth="1"/>
    <col min="1832" max="1832" width="25.28515625" style="27" bestFit="1" customWidth="1"/>
    <col min="1833" max="2048" width="9.140625" style="27"/>
    <col min="2049" max="2049" width="6.85546875" style="27" customWidth="1"/>
    <col min="2050" max="2050" width="46.5703125" style="27" customWidth="1"/>
    <col min="2051" max="2080" width="0" style="27" hidden="1" customWidth="1"/>
    <col min="2081" max="2081" width="9.5703125" style="27" customWidth="1"/>
    <col min="2082" max="2082" width="17.42578125" style="27" customWidth="1"/>
    <col min="2083" max="2084" width="18.7109375" style="27" customWidth="1"/>
    <col min="2085" max="2085" width="17.5703125" style="27" customWidth="1"/>
    <col min="2086" max="2086" width="19.28515625" style="27" customWidth="1"/>
    <col min="2087" max="2087" width="9.140625" style="27" customWidth="1"/>
    <col min="2088" max="2088" width="25.28515625" style="27" bestFit="1" customWidth="1"/>
    <col min="2089" max="2304" width="9.140625" style="27"/>
    <col min="2305" max="2305" width="6.85546875" style="27" customWidth="1"/>
    <col min="2306" max="2306" width="46.5703125" style="27" customWidth="1"/>
    <col min="2307" max="2336" width="0" style="27" hidden="1" customWidth="1"/>
    <col min="2337" max="2337" width="9.5703125" style="27" customWidth="1"/>
    <col min="2338" max="2338" width="17.42578125" style="27" customWidth="1"/>
    <col min="2339" max="2340" width="18.7109375" style="27" customWidth="1"/>
    <col min="2341" max="2341" width="17.5703125" style="27" customWidth="1"/>
    <col min="2342" max="2342" width="19.28515625" style="27" customWidth="1"/>
    <col min="2343" max="2343" width="9.140625" style="27" customWidth="1"/>
    <col min="2344" max="2344" width="25.28515625" style="27" bestFit="1" customWidth="1"/>
    <col min="2345" max="2560" width="9.140625" style="27"/>
    <col min="2561" max="2561" width="6.85546875" style="27" customWidth="1"/>
    <col min="2562" max="2562" width="46.5703125" style="27" customWidth="1"/>
    <col min="2563" max="2592" width="0" style="27" hidden="1" customWidth="1"/>
    <col min="2593" max="2593" width="9.5703125" style="27" customWidth="1"/>
    <col min="2594" max="2594" width="17.42578125" style="27" customWidth="1"/>
    <col min="2595" max="2596" width="18.7109375" style="27" customWidth="1"/>
    <col min="2597" max="2597" width="17.5703125" style="27" customWidth="1"/>
    <col min="2598" max="2598" width="19.28515625" style="27" customWidth="1"/>
    <col min="2599" max="2599" width="9.140625" style="27" customWidth="1"/>
    <col min="2600" max="2600" width="25.28515625" style="27" bestFit="1" customWidth="1"/>
    <col min="2601" max="2816" width="9.140625" style="27"/>
    <col min="2817" max="2817" width="6.85546875" style="27" customWidth="1"/>
    <col min="2818" max="2818" width="46.5703125" style="27" customWidth="1"/>
    <col min="2819" max="2848" width="0" style="27" hidden="1" customWidth="1"/>
    <col min="2849" max="2849" width="9.5703125" style="27" customWidth="1"/>
    <col min="2850" max="2850" width="17.42578125" style="27" customWidth="1"/>
    <col min="2851" max="2852" width="18.7109375" style="27" customWidth="1"/>
    <col min="2853" max="2853" width="17.5703125" style="27" customWidth="1"/>
    <col min="2854" max="2854" width="19.28515625" style="27" customWidth="1"/>
    <col min="2855" max="2855" width="9.140625" style="27" customWidth="1"/>
    <col min="2856" max="2856" width="25.28515625" style="27" bestFit="1" customWidth="1"/>
    <col min="2857" max="3072" width="9.140625" style="27"/>
    <col min="3073" max="3073" width="6.85546875" style="27" customWidth="1"/>
    <col min="3074" max="3074" width="46.5703125" style="27" customWidth="1"/>
    <col min="3075" max="3104" width="0" style="27" hidden="1" customWidth="1"/>
    <col min="3105" max="3105" width="9.5703125" style="27" customWidth="1"/>
    <col min="3106" max="3106" width="17.42578125" style="27" customWidth="1"/>
    <col min="3107" max="3108" width="18.7109375" style="27" customWidth="1"/>
    <col min="3109" max="3109" width="17.5703125" style="27" customWidth="1"/>
    <col min="3110" max="3110" width="19.28515625" style="27" customWidth="1"/>
    <col min="3111" max="3111" width="9.140625" style="27" customWidth="1"/>
    <col min="3112" max="3112" width="25.28515625" style="27" bestFit="1" customWidth="1"/>
    <col min="3113" max="3328" width="9.140625" style="27"/>
    <col min="3329" max="3329" width="6.85546875" style="27" customWidth="1"/>
    <col min="3330" max="3330" width="46.5703125" style="27" customWidth="1"/>
    <col min="3331" max="3360" width="0" style="27" hidden="1" customWidth="1"/>
    <col min="3361" max="3361" width="9.5703125" style="27" customWidth="1"/>
    <col min="3362" max="3362" width="17.42578125" style="27" customWidth="1"/>
    <col min="3363" max="3364" width="18.7109375" style="27" customWidth="1"/>
    <col min="3365" max="3365" width="17.5703125" style="27" customWidth="1"/>
    <col min="3366" max="3366" width="19.28515625" style="27" customWidth="1"/>
    <col min="3367" max="3367" width="9.140625" style="27" customWidth="1"/>
    <col min="3368" max="3368" width="25.28515625" style="27" bestFit="1" customWidth="1"/>
    <col min="3369" max="3584" width="9.140625" style="27"/>
    <col min="3585" max="3585" width="6.85546875" style="27" customWidth="1"/>
    <col min="3586" max="3586" width="46.5703125" style="27" customWidth="1"/>
    <col min="3587" max="3616" width="0" style="27" hidden="1" customWidth="1"/>
    <col min="3617" max="3617" width="9.5703125" style="27" customWidth="1"/>
    <col min="3618" max="3618" width="17.42578125" style="27" customWidth="1"/>
    <col min="3619" max="3620" width="18.7109375" style="27" customWidth="1"/>
    <col min="3621" max="3621" width="17.5703125" style="27" customWidth="1"/>
    <col min="3622" max="3622" width="19.28515625" style="27" customWidth="1"/>
    <col min="3623" max="3623" width="9.140625" style="27" customWidth="1"/>
    <col min="3624" max="3624" width="25.28515625" style="27" bestFit="1" customWidth="1"/>
    <col min="3625" max="3840" width="9.140625" style="27"/>
    <col min="3841" max="3841" width="6.85546875" style="27" customWidth="1"/>
    <col min="3842" max="3842" width="46.5703125" style="27" customWidth="1"/>
    <col min="3843" max="3872" width="0" style="27" hidden="1" customWidth="1"/>
    <col min="3873" max="3873" width="9.5703125" style="27" customWidth="1"/>
    <col min="3874" max="3874" width="17.42578125" style="27" customWidth="1"/>
    <col min="3875" max="3876" width="18.7109375" style="27" customWidth="1"/>
    <col min="3877" max="3877" width="17.5703125" style="27" customWidth="1"/>
    <col min="3878" max="3878" width="19.28515625" style="27" customWidth="1"/>
    <col min="3879" max="3879" width="9.140625" style="27" customWidth="1"/>
    <col min="3880" max="3880" width="25.28515625" style="27" bestFit="1" customWidth="1"/>
    <col min="3881" max="4096" width="9.140625" style="27"/>
    <col min="4097" max="4097" width="6.85546875" style="27" customWidth="1"/>
    <col min="4098" max="4098" width="46.5703125" style="27" customWidth="1"/>
    <col min="4099" max="4128" width="0" style="27" hidden="1" customWidth="1"/>
    <col min="4129" max="4129" width="9.5703125" style="27" customWidth="1"/>
    <col min="4130" max="4130" width="17.42578125" style="27" customWidth="1"/>
    <col min="4131" max="4132" width="18.7109375" style="27" customWidth="1"/>
    <col min="4133" max="4133" width="17.5703125" style="27" customWidth="1"/>
    <col min="4134" max="4134" width="19.28515625" style="27" customWidth="1"/>
    <col min="4135" max="4135" width="9.140625" style="27" customWidth="1"/>
    <col min="4136" max="4136" width="25.28515625" style="27" bestFit="1" customWidth="1"/>
    <col min="4137" max="4352" width="9.140625" style="27"/>
    <col min="4353" max="4353" width="6.85546875" style="27" customWidth="1"/>
    <col min="4354" max="4354" width="46.5703125" style="27" customWidth="1"/>
    <col min="4355" max="4384" width="0" style="27" hidden="1" customWidth="1"/>
    <col min="4385" max="4385" width="9.5703125" style="27" customWidth="1"/>
    <col min="4386" max="4386" width="17.42578125" style="27" customWidth="1"/>
    <col min="4387" max="4388" width="18.7109375" style="27" customWidth="1"/>
    <col min="4389" max="4389" width="17.5703125" style="27" customWidth="1"/>
    <col min="4390" max="4390" width="19.28515625" style="27" customWidth="1"/>
    <col min="4391" max="4391" width="9.140625" style="27" customWidth="1"/>
    <col min="4392" max="4392" width="25.28515625" style="27" bestFit="1" customWidth="1"/>
    <col min="4393" max="4608" width="9.140625" style="27"/>
    <col min="4609" max="4609" width="6.85546875" style="27" customWidth="1"/>
    <col min="4610" max="4610" width="46.5703125" style="27" customWidth="1"/>
    <col min="4611" max="4640" width="0" style="27" hidden="1" customWidth="1"/>
    <col min="4641" max="4641" width="9.5703125" style="27" customWidth="1"/>
    <col min="4642" max="4642" width="17.42578125" style="27" customWidth="1"/>
    <col min="4643" max="4644" width="18.7109375" style="27" customWidth="1"/>
    <col min="4645" max="4645" width="17.5703125" style="27" customWidth="1"/>
    <col min="4646" max="4646" width="19.28515625" style="27" customWidth="1"/>
    <col min="4647" max="4647" width="9.140625" style="27" customWidth="1"/>
    <col min="4648" max="4648" width="25.28515625" style="27" bestFit="1" customWidth="1"/>
    <col min="4649" max="4864" width="9.140625" style="27"/>
    <col min="4865" max="4865" width="6.85546875" style="27" customWidth="1"/>
    <col min="4866" max="4866" width="46.5703125" style="27" customWidth="1"/>
    <col min="4867" max="4896" width="0" style="27" hidden="1" customWidth="1"/>
    <col min="4897" max="4897" width="9.5703125" style="27" customWidth="1"/>
    <col min="4898" max="4898" width="17.42578125" style="27" customWidth="1"/>
    <col min="4899" max="4900" width="18.7109375" style="27" customWidth="1"/>
    <col min="4901" max="4901" width="17.5703125" style="27" customWidth="1"/>
    <col min="4902" max="4902" width="19.28515625" style="27" customWidth="1"/>
    <col min="4903" max="4903" width="9.140625" style="27" customWidth="1"/>
    <col min="4904" max="4904" width="25.28515625" style="27" bestFit="1" customWidth="1"/>
    <col min="4905" max="5120" width="9.140625" style="27"/>
    <col min="5121" max="5121" width="6.85546875" style="27" customWidth="1"/>
    <col min="5122" max="5122" width="46.5703125" style="27" customWidth="1"/>
    <col min="5123" max="5152" width="0" style="27" hidden="1" customWidth="1"/>
    <col min="5153" max="5153" width="9.5703125" style="27" customWidth="1"/>
    <col min="5154" max="5154" width="17.42578125" style="27" customWidth="1"/>
    <col min="5155" max="5156" width="18.7109375" style="27" customWidth="1"/>
    <col min="5157" max="5157" width="17.5703125" style="27" customWidth="1"/>
    <col min="5158" max="5158" width="19.28515625" style="27" customWidth="1"/>
    <col min="5159" max="5159" width="9.140625" style="27" customWidth="1"/>
    <col min="5160" max="5160" width="25.28515625" style="27" bestFit="1" customWidth="1"/>
    <col min="5161" max="5376" width="9.140625" style="27"/>
    <col min="5377" max="5377" width="6.85546875" style="27" customWidth="1"/>
    <col min="5378" max="5378" width="46.5703125" style="27" customWidth="1"/>
    <col min="5379" max="5408" width="0" style="27" hidden="1" customWidth="1"/>
    <col min="5409" max="5409" width="9.5703125" style="27" customWidth="1"/>
    <col min="5410" max="5410" width="17.42578125" style="27" customWidth="1"/>
    <col min="5411" max="5412" width="18.7109375" style="27" customWidth="1"/>
    <col min="5413" max="5413" width="17.5703125" style="27" customWidth="1"/>
    <col min="5414" max="5414" width="19.28515625" style="27" customWidth="1"/>
    <col min="5415" max="5415" width="9.140625" style="27" customWidth="1"/>
    <col min="5416" max="5416" width="25.28515625" style="27" bestFit="1" customWidth="1"/>
    <col min="5417" max="5632" width="9.140625" style="27"/>
    <col min="5633" max="5633" width="6.85546875" style="27" customWidth="1"/>
    <col min="5634" max="5634" width="46.5703125" style="27" customWidth="1"/>
    <col min="5635" max="5664" width="0" style="27" hidden="1" customWidth="1"/>
    <col min="5665" max="5665" width="9.5703125" style="27" customWidth="1"/>
    <col min="5666" max="5666" width="17.42578125" style="27" customWidth="1"/>
    <col min="5667" max="5668" width="18.7109375" style="27" customWidth="1"/>
    <col min="5669" max="5669" width="17.5703125" style="27" customWidth="1"/>
    <col min="5670" max="5670" width="19.28515625" style="27" customWidth="1"/>
    <col min="5671" max="5671" width="9.140625" style="27" customWidth="1"/>
    <col min="5672" max="5672" width="25.28515625" style="27" bestFit="1" customWidth="1"/>
    <col min="5673" max="5888" width="9.140625" style="27"/>
    <col min="5889" max="5889" width="6.85546875" style="27" customWidth="1"/>
    <col min="5890" max="5890" width="46.5703125" style="27" customWidth="1"/>
    <col min="5891" max="5920" width="0" style="27" hidden="1" customWidth="1"/>
    <col min="5921" max="5921" width="9.5703125" style="27" customWidth="1"/>
    <col min="5922" max="5922" width="17.42578125" style="27" customWidth="1"/>
    <col min="5923" max="5924" width="18.7109375" style="27" customWidth="1"/>
    <col min="5925" max="5925" width="17.5703125" style="27" customWidth="1"/>
    <col min="5926" max="5926" width="19.28515625" style="27" customWidth="1"/>
    <col min="5927" max="5927" width="9.140625" style="27" customWidth="1"/>
    <col min="5928" max="5928" width="25.28515625" style="27" bestFit="1" customWidth="1"/>
    <col min="5929" max="6144" width="9.140625" style="27"/>
    <col min="6145" max="6145" width="6.85546875" style="27" customWidth="1"/>
    <col min="6146" max="6146" width="46.5703125" style="27" customWidth="1"/>
    <col min="6147" max="6176" width="0" style="27" hidden="1" customWidth="1"/>
    <col min="6177" max="6177" width="9.5703125" style="27" customWidth="1"/>
    <col min="6178" max="6178" width="17.42578125" style="27" customWidth="1"/>
    <col min="6179" max="6180" width="18.7109375" style="27" customWidth="1"/>
    <col min="6181" max="6181" width="17.5703125" style="27" customWidth="1"/>
    <col min="6182" max="6182" width="19.28515625" style="27" customWidth="1"/>
    <col min="6183" max="6183" width="9.140625" style="27" customWidth="1"/>
    <col min="6184" max="6184" width="25.28515625" style="27" bestFit="1" customWidth="1"/>
    <col min="6185" max="6400" width="9.140625" style="27"/>
    <col min="6401" max="6401" width="6.85546875" style="27" customWidth="1"/>
    <col min="6402" max="6402" width="46.5703125" style="27" customWidth="1"/>
    <col min="6403" max="6432" width="0" style="27" hidden="1" customWidth="1"/>
    <col min="6433" max="6433" width="9.5703125" style="27" customWidth="1"/>
    <col min="6434" max="6434" width="17.42578125" style="27" customWidth="1"/>
    <col min="6435" max="6436" width="18.7109375" style="27" customWidth="1"/>
    <col min="6437" max="6437" width="17.5703125" style="27" customWidth="1"/>
    <col min="6438" max="6438" width="19.28515625" style="27" customWidth="1"/>
    <col min="6439" max="6439" width="9.140625" style="27" customWidth="1"/>
    <col min="6440" max="6440" width="25.28515625" style="27" bestFit="1" customWidth="1"/>
    <col min="6441" max="6656" width="9.140625" style="27"/>
    <col min="6657" max="6657" width="6.85546875" style="27" customWidth="1"/>
    <col min="6658" max="6658" width="46.5703125" style="27" customWidth="1"/>
    <col min="6659" max="6688" width="0" style="27" hidden="1" customWidth="1"/>
    <col min="6689" max="6689" width="9.5703125" style="27" customWidth="1"/>
    <col min="6690" max="6690" width="17.42578125" style="27" customWidth="1"/>
    <col min="6691" max="6692" width="18.7109375" style="27" customWidth="1"/>
    <col min="6693" max="6693" width="17.5703125" style="27" customWidth="1"/>
    <col min="6694" max="6694" width="19.28515625" style="27" customWidth="1"/>
    <col min="6695" max="6695" width="9.140625" style="27" customWidth="1"/>
    <col min="6696" max="6696" width="25.28515625" style="27" bestFit="1" customWidth="1"/>
    <col min="6697" max="6912" width="9.140625" style="27"/>
    <col min="6913" max="6913" width="6.85546875" style="27" customWidth="1"/>
    <col min="6914" max="6914" width="46.5703125" style="27" customWidth="1"/>
    <col min="6915" max="6944" width="0" style="27" hidden="1" customWidth="1"/>
    <col min="6945" max="6945" width="9.5703125" style="27" customWidth="1"/>
    <col min="6946" max="6946" width="17.42578125" style="27" customWidth="1"/>
    <col min="6947" max="6948" width="18.7109375" style="27" customWidth="1"/>
    <col min="6949" max="6949" width="17.5703125" style="27" customWidth="1"/>
    <col min="6950" max="6950" width="19.28515625" style="27" customWidth="1"/>
    <col min="6951" max="6951" width="9.140625" style="27" customWidth="1"/>
    <col min="6952" max="6952" width="25.28515625" style="27" bestFit="1" customWidth="1"/>
    <col min="6953" max="7168" width="9.140625" style="27"/>
    <col min="7169" max="7169" width="6.85546875" style="27" customWidth="1"/>
    <col min="7170" max="7170" width="46.5703125" style="27" customWidth="1"/>
    <col min="7171" max="7200" width="0" style="27" hidden="1" customWidth="1"/>
    <col min="7201" max="7201" width="9.5703125" style="27" customWidth="1"/>
    <col min="7202" max="7202" width="17.42578125" style="27" customWidth="1"/>
    <col min="7203" max="7204" width="18.7109375" style="27" customWidth="1"/>
    <col min="7205" max="7205" width="17.5703125" style="27" customWidth="1"/>
    <col min="7206" max="7206" width="19.28515625" style="27" customWidth="1"/>
    <col min="7207" max="7207" width="9.140625" style="27" customWidth="1"/>
    <col min="7208" max="7208" width="25.28515625" style="27" bestFit="1" customWidth="1"/>
    <col min="7209" max="7424" width="9.140625" style="27"/>
    <col min="7425" max="7425" width="6.85546875" style="27" customWidth="1"/>
    <col min="7426" max="7426" width="46.5703125" style="27" customWidth="1"/>
    <col min="7427" max="7456" width="0" style="27" hidden="1" customWidth="1"/>
    <col min="7457" max="7457" width="9.5703125" style="27" customWidth="1"/>
    <col min="7458" max="7458" width="17.42578125" style="27" customWidth="1"/>
    <col min="7459" max="7460" width="18.7109375" style="27" customWidth="1"/>
    <col min="7461" max="7461" width="17.5703125" style="27" customWidth="1"/>
    <col min="7462" max="7462" width="19.28515625" style="27" customWidth="1"/>
    <col min="7463" max="7463" width="9.140625" style="27" customWidth="1"/>
    <col min="7464" max="7464" width="25.28515625" style="27" bestFit="1" customWidth="1"/>
    <col min="7465" max="7680" width="9.140625" style="27"/>
    <col min="7681" max="7681" width="6.85546875" style="27" customWidth="1"/>
    <col min="7682" max="7682" width="46.5703125" style="27" customWidth="1"/>
    <col min="7683" max="7712" width="0" style="27" hidden="1" customWidth="1"/>
    <col min="7713" max="7713" width="9.5703125" style="27" customWidth="1"/>
    <col min="7714" max="7714" width="17.42578125" style="27" customWidth="1"/>
    <col min="7715" max="7716" width="18.7109375" style="27" customWidth="1"/>
    <col min="7717" max="7717" width="17.5703125" style="27" customWidth="1"/>
    <col min="7718" max="7718" width="19.28515625" style="27" customWidth="1"/>
    <col min="7719" max="7719" width="9.140625" style="27" customWidth="1"/>
    <col min="7720" max="7720" width="25.28515625" style="27" bestFit="1" customWidth="1"/>
    <col min="7721" max="7936" width="9.140625" style="27"/>
    <col min="7937" max="7937" width="6.85546875" style="27" customWidth="1"/>
    <col min="7938" max="7938" width="46.5703125" style="27" customWidth="1"/>
    <col min="7939" max="7968" width="0" style="27" hidden="1" customWidth="1"/>
    <col min="7969" max="7969" width="9.5703125" style="27" customWidth="1"/>
    <col min="7970" max="7970" width="17.42578125" style="27" customWidth="1"/>
    <col min="7971" max="7972" width="18.7109375" style="27" customWidth="1"/>
    <col min="7973" max="7973" width="17.5703125" style="27" customWidth="1"/>
    <col min="7974" max="7974" width="19.28515625" style="27" customWidth="1"/>
    <col min="7975" max="7975" width="9.140625" style="27" customWidth="1"/>
    <col min="7976" max="7976" width="25.28515625" style="27" bestFit="1" customWidth="1"/>
    <col min="7977" max="8192" width="9.140625" style="27"/>
    <col min="8193" max="8193" width="6.85546875" style="27" customWidth="1"/>
    <col min="8194" max="8194" width="46.5703125" style="27" customWidth="1"/>
    <col min="8195" max="8224" width="0" style="27" hidden="1" customWidth="1"/>
    <col min="8225" max="8225" width="9.5703125" style="27" customWidth="1"/>
    <col min="8226" max="8226" width="17.42578125" style="27" customWidth="1"/>
    <col min="8227" max="8228" width="18.7109375" style="27" customWidth="1"/>
    <col min="8229" max="8229" width="17.5703125" style="27" customWidth="1"/>
    <col min="8230" max="8230" width="19.28515625" style="27" customWidth="1"/>
    <col min="8231" max="8231" width="9.140625" style="27" customWidth="1"/>
    <col min="8232" max="8232" width="25.28515625" style="27" bestFit="1" customWidth="1"/>
    <col min="8233" max="8448" width="9.140625" style="27"/>
    <col min="8449" max="8449" width="6.85546875" style="27" customWidth="1"/>
    <col min="8450" max="8450" width="46.5703125" style="27" customWidth="1"/>
    <col min="8451" max="8480" width="0" style="27" hidden="1" customWidth="1"/>
    <col min="8481" max="8481" width="9.5703125" style="27" customWidth="1"/>
    <col min="8482" max="8482" width="17.42578125" style="27" customWidth="1"/>
    <col min="8483" max="8484" width="18.7109375" style="27" customWidth="1"/>
    <col min="8485" max="8485" width="17.5703125" style="27" customWidth="1"/>
    <col min="8486" max="8486" width="19.28515625" style="27" customWidth="1"/>
    <col min="8487" max="8487" width="9.140625" style="27" customWidth="1"/>
    <col min="8488" max="8488" width="25.28515625" style="27" bestFit="1" customWidth="1"/>
    <col min="8489" max="8704" width="9.140625" style="27"/>
    <col min="8705" max="8705" width="6.85546875" style="27" customWidth="1"/>
    <col min="8706" max="8706" width="46.5703125" style="27" customWidth="1"/>
    <col min="8707" max="8736" width="0" style="27" hidden="1" customWidth="1"/>
    <col min="8737" max="8737" width="9.5703125" style="27" customWidth="1"/>
    <col min="8738" max="8738" width="17.42578125" style="27" customWidth="1"/>
    <col min="8739" max="8740" width="18.7109375" style="27" customWidth="1"/>
    <col min="8741" max="8741" width="17.5703125" style="27" customWidth="1"/>
    <col min="8742" max="8742" width="19.28515625" style="27" customWidth="1"/>
    <col min="8743" max="8743" width="9.140625" style="27" customWidth="1"/>
    <col min="8744" max="8744" width="25.28515625" style="27" bestFit="1" customWidth="1"/>
    <col min="8745" max="8960" width="9.140625" style="27"/>
    <col min="8961" max="8961" width="6.85546875" style="27" customWidth="1"/>
    <col min="8962" max="8962" width="46.5703125" style="27" customWidth="1"/>
    <col min="8963" max="8992" width="0" style="27" hidden="1" customWidth="1"/>
    <col min="8993" max="8993" width="9.5703125" style="27" customWidth="1"/>
    <col min="8994" max="8994" width="17.42578125" style="27" customWidth="1"/>
    <col min="8995" max="8996" width="18.7109375" style="27" customWidth="1"/>
    <col min="8997" max="8997" width="17.5703125" style="27" customWidth="1"/>
    <col min="8998" max="8998" width="19.28515625" style="27" customWidth="1"/>
    <col min="8999" max="8999" width="9.140625" style="27" customWidth="1"/>
    <col min="9000" max="9000" width="25.28515625" style="27" bestFit="1" customWidth="1"/>
    <col min="9001" max="9216" width="9.140625" style="27"/>
    <col min="9217" max="9217" width="6.85546875" style="27" customWidth="1"/>
    <col min="9218" max="9218" width="46.5703125" style="27" customWidth="1"/>
    <col min="9219" max="9248" width="0" style="27" hidden="1" customWidth="1"/>
    <col min="9249" max="9249" width="9.5703125" style="27" customWidth="1"/>
    <col min="9250" max="9250" width="17.42578125" style="27" customWidth="1"/>
    <col min="9251" max="9252" width="18.7109375" style="27" customWidth="1"/>
    <col min="9253" max="9253" width="17.5703125" style="27" customWidth="1"/>
    <col min="9254" max="9254" width="19.28515625" style="27" customWidth="1"/>
    <col min="9255" max="9255" width="9.140625" style="27" customWidth="1"/>
    <col min="9256" max="9256" width="25.28515625" style="27" bestFit="1" customWidth="1"/>
    <col min="9257" max="9472" width="9.140625" style="27"/>
    <col min="9473" max="9473" width="6.85546875" style="27" customWidth="1"/>
    <col min="9474" max="9474" width="46.5703125" style="27" customWidth="1"/>
    <col min="9475" max="9504" width="0" style="27" hidden="1" customWidth="1"/>
    <col min="9505" max="9505" width="9.5703125" style="27" customWidth="1"/>
    <col min="9506" max="9506" width="17.42578125" style="27" customWidth="1"/>
    <col min="9507" max="9508" width="18.7109375" style="27" customWidth="1"/>
    <col min="9509" max="9509" width="17.5703125" style="27" customWidth="1"/>
    <col min="9510" max="9510" width="19.28515625" style="27" customWidth="1"/>
    <col min="9511" max="9511" width="9.140625" style="27" customWidth="1"/>
    <col min="9512" max="9512" width="25.28515625" style="27" bestFit="1" customWidth="1"/>
    <col min="9513" max="9728" width="9.140625" style="27"/>
    <col min="9729" max="9729" width="6.85546875" style="27" customWidth="1"/>
    <col min="9730" max="9730" width="46.5703125" style="27" customWidth="1"/>
    <col min="9731" max="9760" width="0" style="27" hidden="1" customWidth="1"/>
    <col min="9761" max="9761" width="9.5703125" style="27" customWidth="1"/>
    <col min="9762" max="9762" width="17.42578125" style="27" customWidth="1"/>
    <col min="9763" max="9764" width="18.7109375" style="27" customWidth="1"/>
    <col min="9765" max="9765" width="17.5703125" style="27" customWidth="1"/>
    <col min="9766" max="9766" width="19.28515625" style="27" customWidth="1"/>
    <col min="9767" max="9767" width="9.140625" style="27" customWidth="1"/>
    <col min="9768" max="9768" width="25.28515625" style="27" bestFit="1" customWidth="1"/>
    <col min="9769" max="9984" width="9.140625" style="27"/>
    <col min="9985" max="9985" width="6.85546875" style="27" customWidth="1"/>
    <col min="9986" max="9986" width="46.5703125" style="27" customWidth="1"/>
    <col min="9987" max="10016" width="0" style="27" hidden="1" customWidth="1"/>
    <col min="10017" max="10017" width="9.5703125" style="27" customWidth="1"/>
    <col min="10018" max="10018" width="17.42578125" style="27" customWidth="1"/>
    <col min="10019" max="10020" width="18.7109375" style="27" customWidth="1"/>
    <col min="10021" max="10021" width="17.5703125" style="27" customWidth="1"/>
    <col min="10022" max="10022" width="19.28515625" style="27" customWidth="1"/>
    <col min="10023" max="10023" width="9.140625" style="27" customWidth="1"/>
    <col min="10024" max="10024" width="25.28515625" style="27" bestFit="1" customWidth="1"/>
    <col min="10025" max="10240" width="9.140625" style="27"/>
    <col min="10241" max="10241" width="6.85546875" style="27" customWidth="1"/>
    <col min="10242" max="10242" width="46.5703125" style="27" customWidth="1"/>
    <col min="10243" max="10272" width="0" style="27" hidden="1" customWidth="1"/>
    <col min="10273" max="10273" width="9.5703125" style="27" customWidth="1"/>
    <col min="10274" max="10274" width="17.42578125" style="27" customWidth="1"/>
    <col min="10275" max="10276" width="18.7109375" style="27" customWidth="1"/>
    <col min="10277" max="10277" width="17.5703125" style="27" customWidth="1"/>
    <col min="10278" max="10278" width="19.28515625" style="27" customWidth="1"/>
    <col min="10279" max="10279" width="9.140625" style="27" customWidth="1"/>
    <col min="10280" max="10280" width="25.28515625" style="27" bestFit="1" customWidth="1"/>
    <col min="10281" max="10496" width="9.140625" style="27"/>
    <col min="10497" max="10497" width="6.85546875" style="27" customWidth="1"/>
    <col min="10498" max="10498" width="46.5703125" style="27" customWidth="1"/>
    <col min="10499" max="10528" width="0" style="27" hidden="1" customWidth="1"/>
    <col min="10529" max="10529" width="9.5703125" style="27" customWidth="1"/>
    <col min="10530" max="10530" width="17.42578125" style="27" customWidth="1"/>
    <col min="10531" max="10532" width="18.7109375" style="27" customWidth="1"/>
    <col min="10533" max="10533" width="17.5703125" style="27" customWidth="1"/>
    <col min="10534" max="10534" width="19.28515625" style="27" customWidth="1"/>
    <col min="10535" max="10535" width="9.140625" style="27" customWidth="1"/>
    <col min="10536" max="10536" width="25.28515625" style="27" bestFit="1" customWidth="1"/>
    <col min="10537" max="10752" width="9.140625" style="27"/>
    <col min="10753" max="10753" width="6.85546875" style="27" customWidth="1"/>
    <col min="10754" max="10754" width="46.5703125" style="27" customWidth="1"/>
    <col min="10755" max="10784" width="0" style="27" hidden="1" customWidth="1"/>
    <col min="10785" max="10785" width="9.5703125" style="27" customWidth="1"/>
    <col min="10786" max="10786" width="17.42578125" style="27" customWidth="1"/>
    <col min="10787" max="10788" width="18.7109375" style="27" customWidth="1"/>
    <col min="10789" max="10789" width="17.5703125" style="27" customWidth="1"/>
    <col min="10790" max="10790" width="19.28515625" style="27" customWidth="1"/>
    <col min="10791" max="10791" width="9.140625" style="27" customWidth="1"/>
    <col min="10792" max="10792" width="25.28515625" style="27" bestFit="1" customWidth="1"/>
    <col min="10793" max="11008" width="9.140625" style="27"/>
    <col min="11009" max="11009" width="6.85546875" style="27" customWidth="1"/>
    <col min="11010" max="11010" width="46.5703125" style="27" customWidth="1"/>
    <col min="11011" max="11040" width="0" style="27" hidden="1" customWidth="1"/>
    <col min="11041" max="11041" width="9.5703125" style="27" customWidth="1"/>
    <col min="11042" max="11042" width="17.42578125" style="27" customWidth="1"/>
    <col min="11043" max="11044" width="18.7109375" style="27" customWidth="1"/>
    <col min="11045" max="11045" width="17.5703125" style="27" customWidth="1"/>
    <col min="11046" max="11046" width="19.28515625" style="27" customWidth="1"/>
    <col min="11047" max="11047" width="9.140625" style="27" customWidth="1"/>
    <col min="11048" max="11048" width="25.28515625" style="27" bestFit="1" customWidth="1"/>
    <col min="11049" max="11264" width="9.140625" style="27"/>
    <col min="11265" max="11265" width="6.85546875" style="27" customWidth="1"/>
    <col min="11266" max="11266" width="46.5703125" style="27" customWidth="1"/>
    <col min="11267" max="11296" width="0" style="27" hidden="1" customWidth="1"/>
    <col min="11297" max="11297" width="9.5703125" style="27" customWidth="1"/>
    <col min="11298" max="11298" width="17.42578125" style="27" customWidth="1"/>
    <col min="11299" max="11300" width="18.7109375" style="27" customWidth="1"/>
    <col min="11301" max="11301" width="17.5703125" style="27" customWidth="1"/>
    <col min="11302" max="11302" width="19.28515625" style="27" customWidth="1"/>
    <col min="11303" max="11303" width="9.140625" style="27" customWidth="1"/>
    <col min="11304" max="11304" width="25.28515625" style="27" bestFit="1" customWidth="1"/>
    <col min="11305" max="11520" width="9.140625" style="27"/>
    <col min="11521" max="11521" width="6.85546875" style="27" customWidth="1"/>
    <col min="11522" max="11522" width="46.5703125" style="27" customWidth="1"/>
    <col min="11523" max="11552" width="0" style="27" hidden="1" customWidth="1"/>
    <col min="11553" max="11553" width="9.5703125" style="27" customWidth="1"/>
    <col min="11554" max="11554" width="17.42578125" style="27" customWidth="1"/>
    <col min="11555" max="11556" width="18.7109375" style="27" customWidth="1"/>
    <col min="11557" max="11557" width="17.5703125" style="27" customWidth="1"/>
    <col min="11558" max="11558" width="19.28515625" style="27" customWidth="1"/>
    <col min="11559" max="11559" width="9.140625" style="27" customWidth="1"/>
    <col min="11560" max="11560" width="25.28515625" style="27" bestFit="1" customWidth="1"/>
    <col min="11561" max="11776" width="9.140625" style="27"/>
    <col min="11777" max="11777" width="6.85546875" style="27" customWidth="1"/>
    <col min="11778" max="11778" width="46.5703125" style="27" customWidth="1"/>
    <col min="11779" max="11808" width="0" style="27" hidden="1" customWidth="1"/>
    <col min="11809" max="11809" width="9.5703125" style="27" customWidth="1"/>
    <col min="11810" max="11810" width="17.42578125" style="27" customWidth="1"/>
    <col min="11811" max="11812" width="18.7109375" style="27" customWidth="1"/>
    <col min="11813" max="11813" width="17.5703125" style="27" customWidth="1"/>
    <col min="11814" max="11814" width="19.28515625" style="27" customWidth="1"/>
    <col min="11815" max="11815" width="9.140625" style="27" customWidth="1"/>
    <col min="11816" max="11816" width="25.28515625" style="27" bestFit="1" customWidth="1"/>
    <col min="11817" max="12032" width="9.140625" style="27"/>
    <col min="12033" max="12033" width="6.85546875" style="27" customWidth="1"/>
    <col min="12034" max="12034" width="46.5703125" style="27" customWidth="1"/>
    <col min="12035" max="12064" width="0" style="27" hidden="1" customWidth="1"/>
    <col min="12065" max="12065" width="9.5703125" style="27" customWidth="1"/>
    <col min="12066" max="12066" width="17.42578125" style="27" customWidth="1"/>
    <col min="12067" max="12068" width="18.7109375" style="27" customWidth="1"/>
    <col min="12069" max="12069" width="17.5703125" style="27" customWidth="1"/>
    <col min="12070" max="12070" width="19.28515625" style="27" customWidth="1"/>
    <col min="12071" max="12071" width="9.140625" style="27" customWidth="1"/>
    <col min="12072" max="12072" width="25.28515625" style="27" bestFit="1" customWidth="1"/>
    <col min="12073" max="12288" width="9.140625" style="27"/>
    <col min="12289" max="12289" width="6.85546875" style="27" customWidth="1"/>
    <col min="12290" max="12290" width="46.5703125" style="27" customWidth="1"/>
    <col min="12291" max="12320" width="0" style="27" hidden="1" customWidth="1"/>
    <col min="12321" max="12321" width="9.5703125" style="27" customWidth="1"/>
    <col min="12322" max="12322" width="17.42578125" style="27" customWidth="1"/>
    <col min="12323" max="12324" width="18.7109375" style="27" customWidth="1"/>
    <col min="12325" max="12325" width="17.5703125" style="27" customWidth="1"/>
    <col min="12326" max="12326" width="19.28515625" style="27" customWidth="1"/>
    <col min="12327" max="12327" width="9.140625" style="27" customWidth="1"/>
    <col min="12328" max="12328" width="25.28515625" style="27" bestFit="1" customWidth="1"/>
    <col min="12329" max="12544" width="9.140625" style="27"/>
    <col min="12545" max="12545" width="6.85546875" style="27" customWidth="1"/>
    <col min="12546" max="12546" width="46.5703125" style="27" customWidth="1"/>
    <col min="12547" max="12576" width="0" style="27" hidden="1" customWidth="1"/>
    <col min="12577" max="12577" width="9.5703125" style="27" customWidth="1"/>
    <col min="12578" max="12578" width="17.42578125" style="27" customWidth="1"/>
    <col min="12579" max="12580" width="18.7109375" style="27" customWidth="1"/>
    <col min="12581" max="12581" width="17.5703125" style="27" customWidth="1"/>
    <col min="12582" max="12582" width="19.28515625" style="27" customWidth="1"/>
    <col min="12583" max="12583" width="9.140625" style="27" customWidth="1"/>
    <col min="12584" max="12584" width="25.28515625" style="27" bestFit="1" customWidth="1"/>
    <col min="12585" max="12800" width="9.140625" style="27"/>
    <col min="12801" max="12801" width="6.85546875" style="27" customWidth="1"/>
    <col min="12802" max="12802" width="46.5703125" style="27" customWidth="1"/>
    <col min="12803" max="12832" width="0" style="27" hidden="1" customWidth="1"/>
    <col min="12833" max="12833" width="9.5703125" style="27" customWidth="1"/>
    <col min="12834" max="12834" width="17.42578125" style="27" customWidth="1"/>
    <col min="12835" max="12836" width="18.7109375" style="27" customWidth="1"/>
    <col min="12837" max="12837" width="17.5703125" style="27" customWidth="1"/>
    <col min="12838" max="12838" width="19.28515625" style="27" customWidth="1"/>
    <col min="12839" max="12839" width="9.140625" style="27" customWidth="1"/>
    <col min="12840" max="12840" width="25.28515625" style="27" bestFit="1" customWidth="1"/>
    <col min="12841" max="13056" width="9.140625" style="27"/>
    <col min="13057" max="13057" width="6.85546875" style="27" customWidth="1"/>
    <col min="13058" max="13058" width="46.5703125" style="27" customWidth="1"/>
    <col min="13059" max="13088" width="0" style="27" hidden="1" customWidth="1"/>
    <col min="13089" max="13089" width="9.5703125" style="27" customWidth="1"/>
    <col min="13090" max="13090" width="17.42578125" style="27" customWidth="1"/>
    <col min="13091" max="13092" width="18.7109375" style="27" customWidth="1"/>
    <col min="13093" max="13093" width="17.5703125" style="27" customWidth="1"/>
    <col min="13094" max="13094" width="19.28515625" style="27" customWidth="1"/>
    <col min="13095" max="13095" width="9.140625" style="27" customWidth="1"/>
    <col min="13096" max="13096" width="25.28515625" style="27" bestFit="1" customWidth="1"/>
    <col min="13097" max="13312" width="9.140625" style="27"/>
    <col min="13313" max="13313" width="6.85546875" style="27" customWidth="1"/>
    <col min="13314" max="13314" width="46.5703125" style="27" customWidth="1"/>
    <col min="13315" max="13344" width="0" style="27" hidden="1" customWidth="1"/>
    <col min="13345" max="13345" width="9.5703125" style="27" customWidth="1"/>
    <col min="13346" max="13346" width="17.42578125" style="27" customWidth="1"/>
    <col min="13347" max="13348" width="18.7109375" style="27" customWidth="1"/>
    <col min="13349" max="13349" width="17.5703125" style="27" customWidth="1"/>
    <col min="13350" max="13350" width="19.28515625" style="27" customWidth="1"/>
    <col min="13351" max="13351" width="9.140625" style="27" customWidth="1"/>
    <col min="13352" max="13352" width="25.28515625" style="27" bestFit="1" customWidth="1"/>
    <col min="13353" max="13568" width="9.140625" style="27"/>
    <col min="13569" max="13569" width="6.85546875" style="27" customWidth="1"/>
    <col min="13570" max="13570" width="46.5703125" style="27" customWidth="1"/>
    <col min="13571" max="13600" width="0" style="27" hidden="1" customWidth="1"/>
    <col min="13601" max="13601" width="9.5703125" style="27" customWidth="1"/>
    <col min="13602" max="13602" width="17.42578125" style="27" customWidth="1"/>
    <col min="13603" max="13604" width="18.7109375" style="27" customWidth="1"/>
    <col min="13605" max="13605" width="17.5703125" style="27" customWidth="1"/>
    <col min="13606" max="13606" width="19.28515625" style="27" customWidth="1"/>
    <col min="13607" max="13607" width="9.140625" style="27" customWidth="1"/>
    <col min="13608" max="13608" width="25.28515625" style="27" bestFit="1" customWidth="1"/>
    <col min="13609" max="13824" width="9.140625" style="27"/>
    <col min="13825" max="13825" width="6.85546875" style="27" customWidth="1"/>
    <col min="13826" max="13826" width="46.5703125" style="27" customWidth="1"/>
    <col min="13827" max="13856" width="0" style="27" hidden="1" customWidth="1"/>
    <col min="13857" max="13857" width="9.5703125" style="27" customWidth="1"/>
    <col min="13858" max="13858" width="17.42578125" style="27" customWidth="1"/>
    <col min="13859" max="13860" width="18.7109375" style="27" customWidth="1"/>
    <col min="13861" max="13861" width="17.5703125" style="27" customWidth="1"/>
    <col min="13862" max="13862" width="19.28515625" style="27" customWidth="1"/>
    <col min="13863" max="13863" width="9.140625" style="27" customWidth="1"/>
    <col min="13864" max="13864" width="25.28515625" style="27" bestFit="1" customWidth="1"/>
    <col min="13865" max="14080" width="9.140625" style="27"/>
    <col min="14081" max="14081" width="6.85546875" style="27" customWidth="1"/>
    <col min="14082" max="14082" width="46.5703125" style="27" customWidth="1"/>
    <col min="14083" max="14112" width="0" style="27" hidden="1" customWidth="1"/>
    <col min="14113" max="14113" width="9.5703125" style="27" customWidth="1"/>
    <col min="14114" max="14114" width="17.42578125" style="27" customWidth="1"/>
    <col min="14115" max="14116" width="18.7109375" style="27" customWidth="1"/>
    <col min="14117" max="14117" width="17.5703125" style="27" customWidth="1"/>
    <col min="14118" max="14118" width="19.28515625" style="27" customWidth="1"/>
    <col min="14119" max="14119" width="9.140625" style="27" customWidth="1"/>
    <col min="14120" max="14120" width="25.28515625" style="27" bestFit="1" customWidth="1"/>
    <col min="14121" max="14336" width="9.140625" style="27"/>
    <col min="14337" max="14337" width="6.85546875" style="27" customWidth="1"/>
    <col min="14338" max="14338" width="46.5703125" style="27" customWidth="1"/>
    <col min="14339" max="14368" width="0" style="27" hidden="1" customWidth="1"/>
    <col min="14369" max="14369" width="9.5703125" style="27" customWidth="1"/>
    <col min="14370" max="14370" width="17.42578125" style="27" customWidth="1"/>
    <col min="14371" max="14372" width="18.7109375" style="27" customWidth="1"/>
    <col min="14373" max="14373" width="17.5703125" style="27" customWidth="1"/>
    <col min="14374" max="14374" width="19.28515625" style="27" customWidth="1"/>
    <col min="14375" max="14375" width="9.140625" style="27" customWidth="1"/>
    <col min="14376" max="14376" width="25.28515625" style="27" bestFit="1" customWidth="1"/>
    <col min="14377" max="14592" width="9.140625" style="27"/>
    <col min="14593" max="14593" width="6.85546875" style="27" customWidth="1"/>
    <col min="14594" max="14594" width="46.5703125" style="27" customWidth="1"/>
    <col min="14595" max="14624" width="0" style="27" hidden="1" customWidth="1"/>
    <col min="14625" max="14625" width="9.5703125" style="27" customWidth="1"/>
    <col min="14626" max="14626" width="17.42578125" style="27" customWidth="1"/>
    <col min="14627" max="14628" width="18.7109375" style="27" customWidth="1"/>
    <col min="14629" max="14629" width="17.5703125" style="27" customWidth="1"/>
    <col min="14630" max="14630" width="19.28515625" style="27" customWidth="1"/>
    <col min="14631" max="14631" width="9.140625" style="27" customWidth="1"/>
    <col min="14632" max="14632" width="25.28515625" style="27" bestFit="1" customWidth="1"/>
    <col min="14633" max="14848" width="9.140625" style="27"/>
    <col min="14849" max="14849" width="6.85546875" style="27" customWidth="1"/>
    <col min="14850" max="14850" width="46.5703125" style="27" customWidth="1"/>
    <col min="14851" max="14880" width="0" style="27" hidden="1" customWidth="1"/>
    <col min="14881" max="14881" width="9.5703125" style="27" customWidth="1"/>
    <col min="14882" max="14882" width="17.42578125" style="27" customWidth="1"/>
    <col min="14883" max="14884" width="18.7109375" style="27" customWidth="1"/>
    <col min="14885" max="14885" width="17.5703125" style="27" customWidth="1"/>
    <col min="14886" max="14886" width="19.28515625" style="27" customWidth="1"/>
    <col min="14887" max="14887" width="9.140625" style="27" customWidth="1"/>
    <col min="14888" max="14888" width="25.28515625" style="27" bestFit="1" customWidth="1"/>
    <col min="14889" max="15104" width="9.140625" style="27"/>
    <col min="15105" max="15105" width="6.85546875" style="27" customWidth="1"/>
    <col min="15106" max="15106" width="46.5703125" style="27" customWidth="1"/>
    <col min="15107" max="15136" width="0" style="27" hidden="1" customWidth="1"/>
    <col min="15137" max="15137" width="9.5703125" style="27" customWidth="1"/>
    <col min="15138" max="15138" width="17.42578125" style="27" customWidth="1"/>
    <col min="15139" max="15140" width="18.7109375" style="27" customWidth="1"/>
    <col min="15141" max="15141" width="17.5703125" style="27" customWidth="1"/>
    <col min="15142" max="15142" width="19.28515625" style="27" customWidth="1"/>
    <col min="15143" max="15143" width="9.140625" style="27" customWidth="1"/>
    <col min="15144" max="15144" width="25.28515625" style="27" bestFit="1" customWidth="1"/>
    <col min="15145" max="15360" width="9.140625" style="27"/>
    <col min="15361" max="15361" width="6.85546875" style="27" customWidth="1"/>
    <col min="15362" max="15362" width="46.5703125" style="27" customWidth="1"/>
    <col min="15363" max="15392" width="0" style="27" hidden="1" customWidth="1"/>
    <col min="15393" max="15393" width="9.5703125" style="27" customWidth="1"/>
    <col min="15394" max="15394" width="17.42578125" style="27" customWidth="1"/>
    <col min="15395" max="15396" width="18.7109375" style="27" customWidth="1"/>
    <col min="15397" max="15397" width="17.5703125" style="27" customWidth="1"/>
    <col min="15398" max="15398" width="19.28515625" style="27" customWidth="1"/>
    <col min="15399" max="15399" width="9.140625" style="27" customWidth="1"/>
    <col min="15400" max="15400" width="25.28515625" style="27" bestFit="1" customWidth="1"/>
    <col min="15401" max="15616" width="9.140625" style="27"/>
    <col min="15617" max="15617" width="6.85546875" style="27" customWidth="1"/>
    <col min="15618" max="15618" width="46.5703125" style="27" customWidth="1"/>
    <col min="15619" max="15648" width="0" style="27" hidden="1" customWidth="1"/>
    <col min="15649" max="15649" width="9.5703125" style="27" customWidth="1"/>
    <col min="15650" max="15650" width="17.42578125" style="27" customWidth="1"/>
    <col min="15651" max="15652" width="18.7109375" style="27" customWidth="1"/>
    <col min="15653" max="15653" width="17.5703125" style="27" customWidth="1"/>
    <col min="15654" max="15654" width="19.28515625" style="27" customWidth="1"/>
    <col min="15655" max="15655" width="9.140625" style="27" customWidth="1"/>
    <col min="15656" max="15656" width="25.28515625" style="27" bestFit="1" customWidth="1"/>
    <col min="15657" max="15872" width="9.140625" style="27"/>
    <col min="15873" max="15873" width="6.85546875" style="27" customWidth="1"/>
    <col min="15874" max="15874" width="46.5703125" style="27" customWidth="1"/>
    <col min="15875" max="15904" width="0" style="27" hidden="1" customWidth="1"/>
    <col min="15905" max="15905" width="9.5703125" style="27" customWidth="1"/>
    <col min="15906" max="15906" width="17.42578125" style="27" customWidth="1"/>
    <col min="15907" max="15908" width="18.7109375" style="27" customWidth="1"/>
    <col min="15909" max="15909" width="17.5703125" style="27" customWidth="1"/>
    <col min="15910" max="15910" width="19.28515625" style="27" customWidth="1"/>
    <col min="15911" max="15911" width="9.140625" style="27" customWidth="1"/>
    <col min="15912" max="15912" width="25.28515625" style="27" bestFit="1" customWidth="1"/>
    <col min="15913" max="16128" width="9.140625" style="27"/>
    <col min="16129" max="16129" width="6.85546875" style="27" customWidth="1"/>
    <col min="16130" max="16130" width="46.5703125" style="27" customWidth="1"/>
    <col min="16131" max="16160" width="0" style="27" hidden="1" customWidth="1"/>
    <col min="16161" max="16161" width="9.5703125" style="27" customWidth="1"/>
    <col min="16162" max="16162" width="17.42578125" style="27" customWidth="1"/>
    <col min="16163" max="16164" width="18.7109375" style="27" customWidth="1"/>
    <col min="16165" max="16165" width="17.5703125" style="27" customWidth="1"/>
    <col min="16166" max="16166" width="19.28515625" style="27" customWidth="1"/>
    <col min="16167" max="16167" width="9.140625" style="27" customWidth="1"/>
    <col min="16168" max="16168" width="25.28515625" style="27" bestFit="1" customWidth="1"/>
    <col min="16169" max="16384" width="9.140625" style="27"/>
  </cols>
  <sheetData>
    <row r="1" spans="1:46" ht="17.25" customHeight="1" thickTop="1" thickBot="1" x14ac:dyDescent="0.3">
      <c r="A1" s="178" t="s">
        <v>40</v>
      </c>
      <c r="B1" s="170" t="s">
        <v>41</v>
      </c>
      <c r="C1" s="183" t="s">
        <v>42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4"/>
      <c r="AA1" s="185" t="s">
        <v>43</v>
      </c>
      <c r="AB1" s="186"/>
      <c r="AC1" s="170" t="s">
        <v>44</v>
      </c>
      <c r="AD1" s="170" t="s">
        <v>45</v>
      </c>
      <c r="AE1" s="170" t="s">
        <v>46</v>
      </c>
    </row>
    <row r="2" spans="1:46" ht="15" customHeight="1" thickTop="1" x14ac:dyDescent="0.25">
      <c r="A2" s="179"/>
      <c r="B2" s="181"/>
      <c r="C2" s="30" t="s">
        <v>47</v>
      </c>
      <c r="D2" s="31" t="s">
        <v>48</v>
      </c>
      <c r="E2" s="31" t="s">
        <v>49</v>
      </c>
      <c r="F2" s="31" t="s">
        <v>50</v>
      </c>
      <c r="G2" s="31" t="s">
        <v>51</v>
      </c>
      <c r="H2" s="31" t="s">
        <v>52</v>
      </c>
      <c r="I2" s="31" t="s">
        <v>53</v>
      </c>
      <c r="J2" s="31" t="s">
        <v>54</v>
      </c>
      <c r="K2" s="31" t="s">
        <v>55</v>
      </c>
      <c r="L2" s="32" t="s">
        <v>56</v>
      </c>
      <c r="M2" s="32" t="s">
        <v>57</v>
      </c>
      <c r="N2" s="32" t="s">
        <v>58</v>
      </c>
      <c r="O2" s="32" t="s">
        <v>59</v>
      </c>
      <c r="P2" s="32" t="s">
        <v>60</v>
      </c>
      <c r="Q2" s="32" t="s">
        <v>61</v>
      </c>
      <c r="R2" s="32" t="s">
        <v>62</v>
      </c>
      <c r="S2" s="32" t="s">
        <v>63</v>
      </c>
      <c r="T2" s="32" t="s">
        <v>64</v>
      </c>
      <c r="U2" s="32" t="s">
        <v>65</v>
      </c>
      <c r="V2" s="32" t="s">
        <v>66</v>
      </c>
      <c r="W2" s="32" t="s">
        <v>67</v>
      </c>
      <c r="X2" s="32" t="s">
        <v>68</v>
      </c>
      <c r="Y2" s="33" t="s">
        <v>69</v>
      </c>
      <c r="AA2" s="173" t="s">
        <v>70</v>
      </c>
      <c r="AB2" s="175" t="s">
        <v>71</v>
      </c>
      <c r="AC2" s="181"/>
      <c r="AD2" s="171"/>
      <c r="AE2" s="171"/>
      <c r="AH2" s="161">
        <v>43921</v>
      </c>
      <c r="AI2" s="162"/>
      <c r="AJ2" s="34"/>
      <c r="AK2" s="177" t="s">
        <v>72</v>
      </c>
      <c r="AL2" s="177"/>
    </row>
    <row r="3" spans="1:46" ht="46.15" customHeight="1" thickBot="1" x14ac:dyDescent="0.3">
      <c r="A3" s="180"/>
      <c r="B3" s="182"/>
      <c r="C3" s="35"/>
      <c r="D3" s="36"/>
      <c r="E3" s="36"/>
      <c r="F3" s="36"/>
      <c r="G3" s="36"/>
      <c r="H3" s="36"/>
      <c r="I3" s="36"/>
      <c r="J3" s="36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8"/>
      <c r="AA3" s="174"/>
      <c r="AB3" s="176"/>
      <c r="AC3" s="187"/>
      <c r="AD3" s="172"/>
      <c r="AE3" s="172"/>
      <c r="AF3" s="39" t="s">
        <v>73</v>
      </c>
      <c r="AH3" s="40" t="s">
        <v>74</v>
      </c>
      <c r="AI3" s="41" t="s">
        <v>75</v>
      </c>
      <c r="AJ3" s="42"/>
      <c r="AK3" s="40" t="s">
        <v>74</v>
      </c>
      <c r="AL3" s="41" t="s">
        <v>75</v>
      </c>
    </row>
    <row r="4" spans="1:46" ht="27" thickTop="1" thickBot="1" x14ac:dyDescent="0.3">
      <c r="A4" s="43" t="s">
        <v>76</v>
      </c>
      <c r="B4" s="44" t="s">
        <v>77</v>
      </c>
      <c r="C4" s="45">
        <v>50.537999999999997</v>
      </c>
      <c r="D4" s="46">
        <v>53.411000000000001</v>
      </c>
      <c r="E4" s="47">
        <v>58.381999999999998</v>
      </c>
      <c r="F4" s="47">
        <v>61.473999999999997</v>
      </c>
      <c r="G4" s="47">
        <v>65.575000000000003</v>
      </c>
      <c r="H4" s="47">
        <v>64.748999999999995</v>
      </c>
      <c r="I4" s="47">
        <v>61.110999999999997</v>
      </c>
      <c r="J4" s="47">
        <v>63.037999999999997</v>
      </c>
      <c r="K4" s="47">
        <v>67.555999999999997</v>
      </c>
      <c r="L4" s="48">
        <v>66.132999999999996</v>
      </c>
      <c r="M4" s="48">
        <v>69.153999999999996</v>
      </c>
      <c r="N4" s="48">
        <v>66.677000000000007</v>
      </c>
      <c r="O4" s="48">
        <v>69.616</v>
      </c>
      <c r="P4" s="48">
        <v>77.501000000000005</v>
      </c>
      <c r="Q4" s="48">
        <v>74.028999999999996</v>
      </c>
      <c r="R4" s="48">
        <v>76.302000000000007</v>
      </c>
      <c r="S4" s="48">
        <v>75.344999999999999</v>
      </c>
      <c r="T4" s="48">
        <v>75.31</v>
      </c>
      <c r="U4" s="48">
        <v>77.722999999999999</v>
      </c>
      <c r="V4" s="48">
        <v>77.936999999999998</v>
      </c>
      <c r="W4" s="48">
        <v>77.902000000000001</v>
      </c>
      <c r="X4" s="48">
        <v>73.665000000000006</v>
      </c>
      <c r="Y4" s="49">
        <v>71.959999999999994</v>
      </c>
      <c r="AA4" s="50">
        <f>Y4+Y4/3</f>
        <v>95.946666666666658</v>
      </c>
      <c r="AB4" s="51">
        <f>AA4/365/100</f>
        <v>2.6286757990867577E-3</v>
      </c>
      <c r="AC4" s="52">
        <f>(Y4-X4)/X4</f>
        <v>-2.3145320029865097E-2</v>
      </c>
      <c r="AD4" s="52">
        <f>1-X4/Y4</f>
        <v>-2.3693718732629376E-2</v>
      </c>
      <c r="AE4" s="53">
        <f>Y4/365/100</f>
        <v>1.9715068493150684E-3</v>
      </c>
      <c r="AF4" s="54">
        <f>X4/3*2</f>
        <v>49.110000000000007</v>
      </c>
      <c r="AH4" s="40"/>
      <c r="AI4" s="55"/>
      <c r="AJ4" s="42"/>
      <c r="AK4" s="56"/>
      <c r="AL4" s="55"/>
      <c r="AT4" s="28"/>
    </row>
    <row r="5" spans="1:46" ht="13.9" hidden="1" thickTop="1" x14ac:dyDescent="0.3">
      <c r="A5" s="57" t="s">
        <v>78</v>
      </c>
      <c r="B5" s="58" t="s">
        <v>79</v>
      </c>
      <c r="C5" s="59"/>
      <c r="D5" s="60"/>
      <c r="E5" s="60"/>
      <c r="F5" s="60"/>
      <c r="G5" s="60"/>
      <c r="H5" s="60"/>
      <c r="I5" s="60"/>
      <c r="J5" s="60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AA5" s="63"/>
      <c r="AB5" s="64"/>
      <c r="AC5" s="65"/>
      <c r="AD5" s="66"/>
      <c r="AE5" s="67"/>
      <c r="AF5" s="68"/>
      <c r="AH5" s="69"/>
      <c r="AI5" s="70"/>
      <c r="AJ5" s="71"/>
      <c r="AK5" s="72"/>
      <c r="AL5" s="55"/>
      <c r="AT5" s="28"/>
    </row>
    <row r="6" spans="1:46" ht="13.9" hidden="1" thickTop="1" x14ac:dyDescent="0.3">
      <c r="A6" s="73" t="s">
        <v>80</v>
      </c>
      <c r="B6" s="74" t="s">
        <v>81</v>
      </c>
      <c r="C6" s="75">
        <v>78.075999999999993</v>
      </c>
      <c r="D6" s="76">
        <v>87.322000000000003</v>
      </c>
      <c r="E6" s="77">
        <v>96.603999999999999</v>
      </c>
      <c r="F6" s="77">
        <v>110.607</v>
      </c>
      <c r="G6" s="77">
        <v>85.364999999999995</v>
      </c>
      <c r="H6" s="77">
        <v>83.721999999999994</v>
      </c>
      <c r="I6" s="77">
        <v>83.277000000000001</v>
      </c>
      <c r="J6" s="77">
        <v>86.623999999999995</v>
      </c>
      <c r="K6" s="77">
        <v>86.182000000000002</v>
      </c>
      <c r="L6" s="78">
        <v>90.266999999999996</v>
      </c>
      <c r="M6" s="78">
        <v>91.120999999999995</v>
      </c>
      <c r="N6" s="78">
        <v>90.1</v>
      </c>
      <c r="O6" s="78">
        <v>94.986999999999995</v>
      </c>
      <c r="P6" s="78">
        <v>92.691999999999993</v>
      </c>
      <c r="Q6" s="78">
        <v>96.352000000000004</v>
      </c>
      <c r="R6" s="78">
        <v>91.393000000000001</v>
      </c>
      <c r="S6" s="78">
        <v>91.347999999999999</v>
      </c>
      <c r="T6" s="78">
        <v>94.143000000000001</v>
      </c>
      <c r="U6" s="78">
        <v>98.08</v>
      </c>
      <c r="V6" s="78">
        <v>95.248999999999995</v>
      </c>
      <c r="W6" s="78">
        <v>95.778000000000006</v>
      </c>
      <c r="X6" s="78">
        <v>99.438000000000002</v>
      </c>
      <c r="Y6" s="79">
        <v>96.233000000000004</v>
      </c>
      <c r="AA6" s="80">
        <f>Y6+Y6/3</f>
        <v>128.31066666666666</v>
      </c>
      <c r="AB6" s="81">
        <f>AA6/365/100</f>
        <v>3.5153607305936072E-3</v>
      </c>
      <c r="AC6" s="52">
        <f>(Y6-X6)/X6</f>
        <v>-3.2231139001186654E-2</v>
      </c>
      <c r="AD6" s="52">
        <f>1-X6/Y6</f>
        <v>-3.3304583666725618E-2</v>
      </c>
      <c r="AE6" s="53">
        <f>Y6/365/100</f>
        <v>2.636520547945206E-3</v>
      </c>
      <c r="AF6" s="68">
        <f t="shared" ref="AF6:AF29" si="0">X6/3*2</f>
        <v>66.292000000000002</v>
      </c>
      <c r="AH6" s="82">
        <f>W6*2/3/365</f>
        <v>0.17493698630136986</v>
      </c>
      <c r="AI6" s="70">
        <f>ROUNDDOWN(AH6,3)</f>
        <v>0.17399999999999999</v>
      </c>
      <c r="AJ6" s="71"/>
      <c r="AK6" s="82">
        <f>X6*2/3/365</f>
        <v>0.18162191780821918</v>
      </c>
      <c r="AL6" s="70">
        <f>ROUNDDOWN(AK6,3)</f>
        <v>0.18099999999999999</v>
      </c>
      <c r="AN6" s="83"/>
      <c r="AT6" s="28"/>
    </row>
    <row r="7" spans="1:46" ht="15.75" hidden="1" customHeight="1" thickBot="1" x14ac:dyDescent="0.35">
      <c r="A7" s="84" t="s">
        <v>82</v>
      </c>
      <c r="B7" s="85" t="s">
        <v>83</v>
      </c>
      <c r="C7" s="86">
        <v>42.247999999999998</v>
      </c>
      <c r="D7" s="87">
        <v>54.978000000000002</v>
      </c>
      <c r="E7" s="88">
        <v>60.454999999999998</v>
      </c>
      <c r="F7" s="88">
        <v>69.013000000000005</v>
      </c>
      <c r="G7" s="88">
        <v>49.390999999999998</v>
      </c>
      <c r="H7" s="88">
        <v>58.631</v>
      </c>
      <c r="I7" s="88">
        <v>61.006</v>
      </c>
      <c r="J7" s="88">
        <v>53.985999999999997</v>
      </c>
      <c r="K7" s="88">
        <v>47.143000000000001</v>
      </c>
      <c r="L7" s="89">
        <v>50.701000000000001</v>
      </c>
      <c r="M7" s="89">
        <v>52.851999999999997</v>
      </c>
      <c r="N7" s="89">
        <v>51.186</v>
      </c>
      <c r="O7" s="89">
        <v>49.046999999999997</v>
      </c>
      <c r="P7" s="89">
        <v>47.466000000000001</v>
      </c>
      <c r="Q7" s="89">
        <v>46.902000000000001</v>
      </c>
      <c r="R7" s="89">
        <v>48.982999999999997</v>
      </c>
      <c r="S7" s="89">
        <v>44.125999999999998</v>
      </c>
      <c r="T7" s="89">
        <v>42.173999999999999</v>
      </c>
      <c r="U7" s="89">
        <v>41.725000000000001</v>
      </c>
      <c r="V7" s="89">
        <v>46.45</v>
      </c>
      <c r="W7" s="89">
        <v>46.408999999999999</v>
      </c>
      <c r="X7" s="89">
        <v>48.606999999999999</v>
      </c>
      <c r="Y7" s="90">
        <v>50.103000000000002</v>
      </c>
      <c r="AA7" s="80">
        <f>Y7+Y7/3</f>
        <v>66.804000000000002</v>
      </c>
      <c r="AB7" s="81">
        <f>AA7/365/100</f>
        <v>1.8302465753424657E-3</v>
      </c>
      <c r="AC7" s="52">
        <f>(Y7-X7)/X7</f>
        <v>3.0777460036620286E-2</v>
      </c>
      <c r="AD7" s="52">
        <f>1-X7/Y7</f>
        <v>2.9858491507494644E-2</v>
      </c>
      <c r="AE7" s="53">
        <f>Y7/365/100</f>
        <v>1.3726849315068492E-3</v>
      </c>
      <c r="AF7" s="68">
        <f t="shared" si="0"/>
        <v>32.404666666666664</v>
      </c>
      <c r="AH7" s="82">
        <f t="shared" ref="AH7:AH29" si="1">W7*2/3/365</f>
        <v>8.4765296803652967E-2</v>
      </c>
      <c r="AI7" s="70">
        <f t="shared" ref="AI7:AI29" si="2">ROUNDDOWN(AH7,3)</f>
        <v>8.4000000000000005E-2</v>
      </c>
      <c r="AJ7" s="71"/>
      <c r="AK7" s="82">
        <f t="shared" ref="AK7:AK29" si="3">X7*2/3/365</f>
        <v>8.8779908675799074E-2</v>
      </c>
      <c r="AL7" s="70">
        <f t="shared" ref="AL7:AL28" si="4">ROUNDDOWN(AK7,3)</f>
        <v>8.7999999999999995E-2</v>
      </c>
      <c r="AN7" s="83"/>
      <c r="AT7" s="28"/>
    </row>
    <row r="8" spans="1:46" ht="13.5" thickTop="1" x14ac:dyDescent="0.25">
      <c r="A8" s="91" t="s">
        <v>84</v>
      </c>
      <c r="B8" s="58" t="s">
        <v>85</v>
      </c>
      <c r="C8" s="92"/>
      <c r="D8" s="60"/>
      <c r="E8" s="93"/>
      <c r="F8" s="93"/>
      <c r="G8" s="93"/>
      <c r="H8" s="93"/>
      <c r="I8" s="93"/>
      <c r="J8" s="93"/>
      <c r="K8" s="93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AA8" s="63"/>
      <c r="AB8" s="64"/>
      <c r="AC8" s="65"/>
      <c r="AD8" s="66"/>
      <c r="AE8" s="67"/>
      <c r="AF8" s="68"/>
      <c r="AG8" s="28"/>
      <c r="AH8" s="82"/>
      <c r="AI8" s="70"/>
      <c r="AJ8" s="71"/>
      <c r="AK8" s="82"/>
      <c r="AL8" s="70"/>
      <c r="AN8" s="83"/>
      <c r="AT8" s="28"/>
    </row>
    <row r="9" spans="1:46" ht="12.75" x14ac:dyDescent="0.25">
      <c r="A9" s="96" t="s">
        <v>86</v>
      </c>
      <c r="B9" s="97" t="s">
        <v>87</v>
      </c>
      <c r="C9" s="98"/>
      <c r="D9" s="99"/>
      <c r="E9" s="100"/>
      <c r="F9" s="100"/>
      <c r="G9" s="100"/>
      <c r="H9" s="100"/>
      <c r="I9" s="100"/>
      <c r="J9" s="100"/>
      <c r="K9" s="100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2"/>
      <c r="AA9" s="63"/>
      <c r="AB9" s="63"/>
      <c r="AC9" s="63"/>
      <c r="AD9" s="66"/>
      <c r="AE9" s="67"/>
      <c r="AF9" s="68"/>
      <c r="AH9" s="82"/>
      <c r="AI9" s="70"/>
      <c r="AJ9" s="71"/>
      <c r="AK9" s="82"/>
      <c r="AL9" s="70"/>
      <c r="AN9" s="83"/>
      <c r="AT9" s="28"/>
    </row>
    <row r="10" spans="1:46" s="26" customFormat="1" ht="15" customHeight="1" x14ac:dyDescent="0.25">
      <c r="A10" s="103" t="s">
        <v>88</v>
      </c>
      <c r="B10" s="104" t="s">
        <v>89</v>
      </c>
      <c r="C10" s="105">
        <v>686.08900000000006</v>
      </c>
      <c r="D10" s="106">
        <v>651.31299999999999</v>
      </c>
      <c r="E10" s="107">
        <v>642.33600000000001</v>
      </c>
      <c r="F10" s="107">
        <v>679.97900000000004</v>
      </c>
      <c r="G10" s="107">
        <v>660.15899999999999</v>
      </c>
      <c r="H10" s="107">
        <v>605.21299999999997</v>
      </c>
      <c r="I10" s="107">
        <v>613.64599999999996</v>
      </c>
      <c r="J10" s="107">
        <v>613.17700000000002</v>
      </c>
      <c r="K10" s="107">
        <v>596.36400000000003</v>
      </c>
      <c r="L10" s="108">
        <v>599.36699999999996</v>
      </c>
      <c r="M10" s="108">
        <v>599.31100000000004</v>
      </c>
      <c r="N10" s="108">
        <v>596.72699999999998</v>
      </c>
      <c r="O10" s="108">
        <v>614.56700000000001</v>
      </c>
      <c r="P10" s="108">
        <v>615.06399999999996</v>
      </c>
      <c r="Q10" s="108">
        <v>612.91399999999999</v>
      </c>
      <c r="R10" s="108">
        <v>631.33699999999999</v>
      </c>
      <c r="S10" s="108">
        <v>637.822</v>
      </c>
      <c r="T10" s="108">
        <v>641.774</v>
      </c>
      <c r="U10" s="108">
        <v>546.84400000000005</v>
      </c>
      <c r="V10" s="108">
        <v>505.63099999999997</v>
      </c>
      <c r="W10" s="108">
        <v>350.34899999999999</v>
      </c>
      <c r="X10" s="108">
        <v>348.97399999999999</v>
      </c>
      <c r="Y10" s="109">
        <v>352.36399999999998</v>
      </c>
      <c r="AA10" s="50">
        <v>365</v>
      </c>
      <c r="AB10" s="110">
        <f>AA10/365/100</f>
        <v>0.01</v>
      </c>
      <c r="AC10" s="111">
        <f>(Y10-X10)/X10</f>
        <v>9.7141907420036627E-3</v>
      </c>
      <c r="AD10" s="111">
        <f>1-X10/Y10</f>
        <v>9.6207331055385703E-3</v>
      </c>
      <c r="AE10" s="112">
        <f>Y10/365/100</f>
        <v>9.6538082191780818E-3</v>
      </c>
      <c r="AF10" s="54">
        <f t="shared" si="0"/>
        <v>232.64933333333332</v>
      </c>
      <c r="AG10" s="28"/>
      <c r="AH10" s="82">
        <f t="shared" si="1"/>
        <v>0.63990684931506847</v>
      </c>
      <c r="AI10" s="70">
        <f t="shared" si="2"/>
        <v>0.63900000000000001</v>
      </c>
      <c r="AJ10" s="71"/>
      <c r="AK10" s="82">
        <f t="shared" si="3"/>
        <v>0.63739543378995434</v>
      </c>
      <c r="AL10" s="70">
        <f t="shared" si="4"/>
        <v>0.63700000000000001</v>
      </c>
      <c r="AN10" s="83"/>
      <c r="AT10" s="113"/>
    </row>
    <row r="11" spans="1:46" ht="15" customHeight="1" thickBot="1" x14ac:dyDescent="0.3">
      <c r="A11" s="114" t="s">
        <v>90</v>
      </c>
      <c r="B11" s="115" t="s">
        <v>91</v>
      </c>
      <c r="C11" s="86">
        <v>251.065</v>
      </c>
      <c r="D11" s="87">
        <v>112.44799999999999</v>
      </c>
      <c r="E11" s="88">
        <v>98.921000000000006</v>
      </c>
      <c r="F11" s="88">
        <v>130.45699999999999</v>
      </c>
      <c r="G11" s="88">
        <v>104.598</v>
      </c>
      <c r="H11" s="88">
        <v>100.35</v>
      </c>
      <c r="I11" s="88">
        <v>116.206</v>
      </c>
      <c r="J11" s="88">
        <v>114.801</v>
      </c>
      <c r="K11" s="88">
        <v>112.708</v>
      </c>
      <c r="L11" s="89">
        <v>105.258</v>
      </c>
      <c r="M11" s="89">
        <v>105.238</v>
      </c>
      <c r="N11" s="89">
        <v>101.72799999999999</v>
      </c>
      <c r="O11" s="89">
        <v>99.406999999999996</v>
      </c>
      <c r="P11" s="89">
        <v>109.15</v>
      </c>
      <c r="Q11" s="89">
        <v>103.386</v>
      </c>
      <c r="R11" s="89">
        <v>102.501</v>
      </c>
      <c r="S11" s="89">
        <v>106.45399999999999</v>
      </c>
      <c r="T11" s="89">
        <v>107.467</v>
      </c>
      <c r="U11" s="89">
        <v>108.982</v>
      </c>
      <c r="V11" s="89">
        <v>108.901</v>
      </c>
      <c r="W11" s="89">
        <v>109.992</v>
      </c>
      <c r="X11" s="89">
        <v>106.157</v>
      </c>
      <c r="Y11" s="90">
        <v>108.461</v>
      </c>
      <c r="AA11" s="80">
        <f>Y11+Y11/3</f>
        <v>144.61466666666666</v>
      </c>
      <c r="AB11" s="81">
        <f>AA11/365/100</f>
        <v>3.9620456621004569E-3</v>
      </c>
      <c r="AC11" s="52">
        <f>(Y11-X11)/X11</f>
        <v>2.1703703005925206E-2</v>
      </c>
      <c r="AD11" s="52">
        <f>1-X11/Y11</f>
        <v>2.1242658651496882E-2</v>
      </c>
      <c r="AE11" s="53">
        <f>Y11/365/100</f>
        <v>2.9715342465753427E-3</v>
      </c>
      <c r="AF11" s="54">
        <f t="shared" si="0"/>
        <v>70.771333333333331</v>
      </c>
      <c r="AG11" s="116"/>
      <c r="AH11" s="82">
        <f t="shared" si="1"/>
        <v>0.20089863013698631</v>
      </c>
      <c r="AI11" s="70">
        <f t="shared" si="2"/>
        <v>0.2</v>
      </c>
      <c r="AJ11" s="71"/>
      <c r="AK11" s="82">
        <f t="shared" si="3"/>
        <v>0.19389406392694064</v>
      </c>
      <c r="AL11" s="70">
        <f t="shared" si="4"/>
        <v>0.193</v>
      </c>
      <c r="AN11" s="83"/>
      <c r="AT11" s="28"/>
    </row>
    <row r="12" spans="1:46" ht="15.75" thickTop="1" x14ac:dyDescent="0.25">
      <c r="A12" s="91" t="s">
        <v>92</v>
      </c>
      <c r="B12" s="58" t="s">
        <v>93</v>
      </c>
      <c r="C12" s="92"/>
      <c r="D12" s="60"/>
      <c r="E12" s="60"/>
      <c r="F12" s="60"/>
      <c r="G12" s="60"/>
      <c r="H12" s="60"/>
      <c r="I12" s="60"/>
      <c r="J12" s="60"/>
      <c r="K12" s="60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2"/>
      <c r="AA12" s="63"/>
      <c r="AB12" s="64"/>
      <c r="AC12" s="65"/>
      <c r="AD12" s="117"/>
      <c r="AE12" s="118"/>
      <c r="AF12" s="68"/>
      <c r="AG12" s="28"/>
      <c r="AH12" s="82"/>
      <c r="AI12" s="70"/>
      <c r="AJ12" s="71"/>
      <c r="AK12" s="82"/>
      <c r="AL12" s="70"/>
      <c r="AN12" s="83"/>
      <c r="AT12" s="28"/>
    </row>
    <row r="13" spans="1:46" ht="15" customHeight="1" x14ac:dyDescent="0.25">
      <c r="A13" s="119" t="s">
        <v>94</v>
      </c>
      <c r="B13" s="120" t="s">
        <v>95</v>
      </c>
      <c r="C13" s="121">
        <v>351.22899999999998</v>
      </c>
      <c r="D13" s="122">
        <v>378.77600000000001</v>
      </c>
      <c r="E13" s="123">
        <v>418.4</v>
      </c>
      <c r="F13" s="123">
        <v>362.34199999999998</v>
      </c>
      <c r="G13" s="123">
        <v>319.11599999999999</v>
      </c>
      <c r="H13" s="123">
        <v>316.32600000000002</v>
      </c>
      <c r="I13" s="123">
        <v>307.84699999999998</v>
      </c>
      <c r="J13" s="123">
        <v>301.18900000000002</v>
      </c>
      <c r="K13" s="123">
        <v>310.017</v>
      </c>
      <c r="L13" s="124">
        <v>310.596</v>
      </c>
      <c r="M13" s="124">
        <v>303.423</v>
      </c>
      <c r="N13" s="124">
        <v>301.22000000000003</v>
      </c>
      <c r="O13" s="124">
        <v>303.58</v>
      </c>
      <c r="P13" s="124">
        <v>299.88</v>
      </c>
      <c r="Q13" s="124">
        <v>298.69299999999998</v>
      </c>
      <c r="R13" s="124">
        <v>300.69299999999998</v>
      </c>
      <c r="S13" s="124">
        <v>294.21100000000001</v>
      </c>
      <c r="T13" s="124">
        <v>291.07100000000003</v>
      </c>
      <c r="U13" s="124">
        <v>292.17500000000001</v>
      </c>
      <c r="V13" s="124">
        <v>295.57799999999997</v>
      </c>
      <c r="W13" s="124">
        <v>297.51</v>
      </c>
      <c r="X13" s="124">
        <v>300.262</v>
      </c>
      <c r="Y13" s="125">
        <v>304.40899999999999</v>
      </c>
      <c r="AA13" s="50">
        <v>365</v>
      </c>
      <c r="AB13" s="110">
        <f>AA13/365/100</f>
        <v>0.01</v>
      </c>
      <c r="AC13" s="52">
        <f>(Y13-X13)/X13</f>
        <v>1.3811271489565751E-2</v>
      </c>
      <c r="AD13" s="52">
        <f>1-X13/Y13</f>
        <v>1.3623118895959019E-2</v>
      </c>
      <c r="AE13" s="53">
        <f>Y13/365/100</f>
        <v>8.3399726027397255E-3</v>
      </c>
      <c r="AF13" s="54">
        <f t="shared" si="0"/>
        <v>200.17466666666667</v>
      </c>
      <c r="AG13" s="28"/>
      <c r="AH13" s="82">
        <f t="shared" si="1"/>
        <v>0.54339726027397262</v>
      </c>
      <c r="AI13" s="70">
        <f t="shared" si="2"/>
        <v>0.54300000000000004</v>
      </c>
      <c r="AJ13" s="71"/>
      <c r="AK13" s="82">
        <f t="shared" si="3"/>
        <v>0.54842374429223739</v>
      </c>
      <c r="AL13" s="70">
        <f t="shared" si="4"/>
        <v>0.54800000000000004</v>
      </c>
      <c r="AN13" s="83"/>
      <c r="AT13" s="28"/>
    </row>
    <row r="14" spans="1:46" ht="15" customHeight="1" thickBot="1" x14ac:dyDescent="0.3">
      <c r="A14" s="114" t="s">
        <v>96</v>
      </c>
      <c r="B14" s="115" t="s">
        <v>91</v>
      </c>
      <c r="C14" s="86">
        <v>40.386000000000003</v>
      </c>
      <c r="D14" s="87">
        <v>98.168999999999997</v>
      </c>
      <c r="E14" s="88">
        <v>95.429000000000002</v>
      </c>
      <c r="F14" s="88">
        <v>123.363</v>
      </c>
      <c r="G14" s="88">
        <v>130.923</v>
      </c>
      <c r="H14" s="88">
        <v>82.817999999999998</v>
      </c>
      <c r="I14" s="88">
        <v>104.869</v>
      </c>
      <c r="J14" s="88">
        <v>90.768000000000001</v>
      </c>
      <c r="K14" s="88">
        <v>92.721000000000004</v>
      </c>
      <c r="L14" s="89">
        <v>91.701999999999998</v>
      </c>
      <c r="M14" s="89">
        <v>84.638999999999996</v>
      </c>
      <c r="N14" s="89">
        <v>93.197999999999993</v>
      </c>
      <c r="O14" s="89">
        <v>93.099000000000004</v>
      </c>
      <c r="P14" s="89">
        <v>93.795000000000002</v>
      </c>
      <c r="Q14" s="89">
        <v>99.379000000000005</v>
      </c>
      <c r="R14" s="89">
        <v>99.715000000000003</v>
      </c>
      <c r="S14" s="89">
        <v>96.29</v>
      </c>
      <c r="T14" s="89">
        <v>101.64</v>
      </c>
      <c r="U14" s="89">
        <v>95.447999999999993</v>
      </c>
      <c r="V14" s="89">
        <v>96.335999999999999</v>
      </c>
      <c r="W14" s="89">
        <v>96.698999999999998</v>
      </c>
      <c r="X14" s="89">
        <v>81.491</v>
      </c>
      <c r="Y14" s="90">
        <v>79.983999999999995</v>
      </c>
      <c r="AA14" s="80">
        <f>Y14+Y14/3</f>
        <v>106.64533333333333</v>
      </c>
      <c r="AB14" s="81">
        <f>AA14/365/100</f>
        <v>2.9217899543378997E-3</v>
      </c>
      <c r="AC14" s="52">
        <f>(Y14-X14)/X14</f>
        <v>-1.8492839700089643E-2</v>
      </c>
      <c r="AD14" s="52">
        <f>1-X14/Y14</f>
        <v>-1.8841268253650734E-2</v>
      </c>
      <c r="AE14" s="53">
        <f>Y14/365/100</f>
        <v>2.1913424657534243E-3</v>
      </c>
      <c r="AF14" s="54">
        <f t="shared" si="0"/>
        <v>54.327333333333335</v>
      </c>
      <c r="AG14" s="28"/>
      <c r="AH14" s="82">
        <f t="shared" si="1"/>
        <v>0.17661917808219177</v>
      </c>
      <c r="AI14" s="70">
        <f t="shared" si="2"/>
        <v>0.17599999999999999</v>
      </c>
      <c r="AJ14" s="71"/>
      <c r="AK14" s="82">
        <f t="shared" si="3"/>
        <v>0.1488420091324201</v>
      </c>
      <c r="AL14" s="70">
        <f t="shared" si="4"/>
        <v>0.14799999999999999</v>
      </c>
      <c r="AN14" s="83"/>
      <c r="AT14" s="28"/>
    </row>
    <row r="15" spans="1:46" ht="15.75" thickTop="1" x14ac:dyDescent="0.25">
      <c r="A15" s="91" t="s">
        <v>97</v>
      </c>
      <c r="B15" s="58" t="s">
        <v>98</v>
      </c>
      <c r="C15" s="92"/>
      <c r="D15" s="60"/>
      <c r="E15" s="60"/>
      <c r="F15" s="60"/>
      <c r="G15" s="60"/>
      <c r="H15" s="60"/>
      <c r="I15" s="60"/>
      <c r="J15" s="60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2"/>
      <c r="AA15" s="63"/>
      <c r="AB15" s="64"/>
      <c r="AC15" s="65"/>
      <c r="AD15" s="117"/>
      <c r="AE15" s="118"/>
      <c r="AF15" s="68"/>
      <c r="AH15" s="82"/>
      <c r="AI15" s="70"/>
      <c r="AJ15" s="71"/>
      <c r="AK15" s="82"/>
      <c r="AL15" s="70"/>
      <c r="AN15" s="83"/>
      <c r="AT15" s="28"/>
    </row>
    <row r="16" spans="1:46" ht="15" customHeight="1" x14ac:dyDescent="0.25">
      <c r="A16" s="119" t="s">
        <v>99</v>
      </c>
      <c r="B16" s="120" t="s">
        <v>95</v>
      </c>
      <c r="C16" s="121">
        <v>284.589</v>
      </c>
      <c r="D16" s="122">
        <v>250.078</v>
      </c>
      <c r="E16" s="123">
        <v>248.727</v>
      </c>
      <c r="F16" s="123">
        <v>232.96199999999999</v>
      </c>
      <c r="G16" s="123">
        <v>228.85400000000001</v>
      </c>
      <c r="H16" s="123">
        <v>235.547</v>
      </c>
      <c r="I16" s="123">
        <v>212.35599999999999</v>
      </c>
      <c r="J16" s="123">
        <v>211.74</v>
      </c>
      <c r="K16" s="123">
        <v>212.77</v>
      </c>
      <c r="L16" s="124">
        <v>228.19499999999999</v>
      </c>
      <c r="M16" s="124">
        <v>229.233</v>
      </c>
      <c r="N16" s="124">
        <v>230.42099999999999</v>
      </c>
      <c r="O16" s="124">
        <v>229.364</v>
      </c>
      <c r="P16" s="124">
        <v>234.93350000000001</v>
      </c>
      <c r="Q16" s="124">
        <v>234.44800000000001</v>
      </c>
      <c r="R16" s="124">
        <v>235.905</v>
      </c>
      <c r="S16" s="124">
        <v>238.011</v>
      </c>
      <c r="T16" s="124">
        <v>230.036</v>
      </c>
      <c r="U16" s="124">
        <v>238.96299999999999</v>
      </c>
      <c r="V16" s="124">
        <v>250.07900000000001</v>
      </c>
      <c r="W16" s="124">
        <v>267.64299999999997</v>
      </c>
      <c r="X16" s="124">
        <v>265.95699999999999</v>
      </c>
      <c r="Y16" s="125">
        <v>275.113</v>
      </c>
      <c r="AA16" s="126">
        <v>365</v>
      </c>
      <c r="AB16" s="110">
        <f>AA16/365/100</f>
        <v>0.01</v>
      </c>
      <c r="AC16" s="52">
        <f>(Y16-X16)/X16</f>
        <v>3.4426617836717986E-2</v>
      </c>
      <c r="AD16" s="52">
        <f>1-X16/Y16</f>
        <v>3.3280870042491695E-2</v>
      </c>
      <c r="AE16" s="53">
        <f>Y16/365/100</f>
        <v>7.5373424657534252E-3</v>
      </c>
      <c r="AF16" s="54">
        <f t="shared" si="0"/>
        <v>177.30466666666666</v>
      </c>
      <c r="AG16" s="28"/>
      <c r="AH16" s="82">
        <f t="shared" si="1"/>
        <v>0.4888456621004566</v>
      </c>
      <c r="AI16" s="70">
        <f t="shared" si="2"/>
        <v>0.48799999999999999</v>
      </c>
      <c r="AJ16" s="71"/>
      <c r="AK16" s="82">
        <f t="shared" si="3"/>
        <v>0.48576621004566206</v>
      </c>
      <c r="AL16" s="70">
        <f t="shared" si="4"/>
        <v>0.48499999999999999</v>
      </c>
      <c r="AN16" s="83"/>
      <c r="AT16" s="28"/>
    </row>
    <row r="17" spans="1:46" ht="23.25" customHeight="1" x14ac:dyDescent="0.25">
      <c r="A17" s="119" t="s">
        <v>100</v>
      </c>
      <c r="B17" s="120" t="s">
        <v>101</v>
      </c>
      <c r="C17" s="121">
        <v>279.875</v>
      </c>
      <c r="D17" s="122">
        <v>197.40899999999999</v>
      </c>
      <c r="E17" s="123">
        <v>254.67699999999999</v>
      </c>
      <c r="F17" s="123">
        <v>199.71799999999999</v>
      </c>
      <c r="G17" s="123">
        <v>230.96199999999999</v>
      </c>
      <c r="H17" s="123">
        <v>213.239</v>
      </c>
      <c r="I17" s="123">
        <v>243.53200000000001</v>
      </c>
      <c r="J17" s="123">
        <v>219.49600000000001</v>
      </c>
      <c r="K17" s="123">
        <v>240.553</v>
      </c>
      <c r="L17" s="124">
        <v>245.29300000000001</v>
      </c>
      <c r="M17" s="124">
        <v>252.28100000000001</v>
      </c>
      <c r="N17" s="124">
        <v>262.00599999999997</v>
      </c>
      <c r="O17" s="124">
        <v>266.09699999999998</v>
      </c>
      <c r="P17" s="124">
        <v>268.43799999999999</v>
      </c>
      <c r="Q17" s="124">
        <v>278.73099999999999</v>
      </c>
      <c r="R17" s="124">
        <v>283.64999999999998</v>
      </c>
      <c r="S17" s="124">
        <v>288.64600000000002</v>
      </c>
      <c r="T17" s="124">
        <v>287.32400000000001</v>
      </c>
      <c r="U17" s="124">
        <v>302.08999999999997</v>
      </c>
      <c r="V17" s="124">
        <v>295</v>
      </c>
      <c r="W17" s="124">
        <v>292.74299999999999</v>
      </c>
      <c r="X17" s="124">
        <v>299.90600000000001</v>
      </c>
      <c r="Y17" s="125">
        <v>296.37900000000002</v>
      </c>
      <c r="AA17" s="50">
        <v>365</v>
      </c>
      <c r="AB17" s="110">
        <f>AA17/365/100</f>
        <v>0.01</v>
      </c>
      <c r="AC17" s="52">
        <f>(Y17-X17)/X17</f>
        <v>-1.1760351576827362E-2</v>
      </c>
      <c r="AD17" s="52">
        <f>1-X17/Y17</f>
        <v>-1.1900303327833539E-2</v>
      </c>
      <c r="AE17" s="53">
        <f>Y17/365/100</f>
        <v>8.1199726027397275E-3</v>
      </c>
      <c r="AF17" s="54">
        <f t="shared" si="0"/>
        <v>199.93733333333333</v>
      </c>
      <c r="AG17" s="28"/>
      <c r="AH17" s="82">
        <f t="shared" si="1"/>
        <v>0.53469041095890413</v>
      </c>
      <c r="AI17" s="70">
        <f t="shared" si="2"/>
        <v>0.53400000000000003</v>
      </c>
      <c r="AJ17" s="71"/>
      <c r="AK17" s="82">
        <f t="shared" si="3"/>
        <v>0.54777351598173518</v>
      </c>
      <c r="AL17" s="70">
        <f t="shared" si="4"/>
        <v>0.54700000000000004</v>
      </c>
      <c r="AN17" s="83"/>
      <c r="AT17" s="28"/>
    </row>
    <row r="18" spans="1:46" ht="15" hidden="1" customHeight="1" thickBot="1" x14ac:dyDescent="0.35">
      <c r="A18" s="114" t="s">
        <v>102</v>
      </c>
      <c r="B18" s="115" t="s">
        <v>103</v>
      </c>
      <c r="C18" s="86">
        <v>32.564999999999998</v>
      </c>
      <c r="D18" s="87">
        <v>30.108000000000001</v>
      </c>
      <c r="E18" s="88">
        <v>40.155000000000001</v>
      </c>
      <c r="F18" s="88">
        <v>60.936999999999998</v>
      </c>
      <c r="G18" s="88">
        <v>54.454000000000001</v>
      </c>
      <c r="H18" s="88">
        <v>40.993000000000002</v>
      </c>
      <c r="I18" s="88">
        <v>45.978000000000002</v>
      </c>
      <c r="J18" s="88">
        <v>44.71</v>
      </c>
      <c r="K18" s="88">
        <v>43.396999999999998</v>
      </c>
      <c r="L18" s="89">
        <v>56.613</v>
      </c>
      <c r="M18" s="89">
        <v>54.226999999999997</v>
      </c>
      <c r="N18" s="89">
        <v>57.96</v>
      </c>
      <c r="O18" s="89">
        <v>56.348999999999997</v>
      </c>
      <c r="P18" s="89">
        <v>59.344000000000001</v>
      </c>
      <c r="Q18" s="89">
        <v>58.936999999999998</v>
      </c>
      <c r="R18" s="89">
        <v>57.011000000000003</v>
      </c>
      <c r="S18" s="89">
        <v>54.154000000000003</v>
      </c>
      <c r="T18" s="89">
        <v>53.161000000000001</v>
      </c>
      <c r="U18" s="89">
        <v>54.5</v>
      </c>
      <c r="V18" s="89">
        <v>60.73</v>
      </c>
      <c r="W18" s="89">
        <v>64.983000000000004</v>
      </c>
      <c r="X18" s="89">
        <v>57.624000000000002</v>
      </c>
      <c r="Y18" s="90">
        <v>69.528999999999996</v>
      </c>
      <c r="AA18" s="80">
        <f>Y18+Y18/3</f>
        <v>92.705333333333328</v>
      </c>
      <c r="AB18" s="81">
        <f>AA18/365/100</f>
        <v>2.5398721461187212E-3</v>
      </c>
      <c r="AC18" s="52">
        <f>(Y18-X18)/X18</f>
        <v>0.2065979453005691</v>
      </c>
      <c r="AD18" s="52">
        <f>1-X18/Y18</f>
        <v>0.1712235182441858</v>
      </c>
      <c r="AE18" s="53">
        <f>Y18/365/100</f>
        <v>1.904904109589041E-3</v>
      </c>
      <c r="AF18" s="68">
        <f t="shared" si="0"/>
        <v>38.416000000000004</v>
      </c>
      <c r="AH18" s="82">
        <f t="shared" si="1"/>
        <v>0.11869041095890412</v>
      </c>
      <c r="AI18" s="70">
        <f t="shared" si="2"/>
        <v>0.11799999999999999</v>
      </c>
      <c r="AJ18" s="71"/>
      <c r="AK18" s="82">
        <f t="shared" si="3"/>
        <v>0.10524931506849317</v>
      </c>
      <c r="AL18" s="70">
        <f t="shared" si="4"/>
        <v>0.105</v>
      </c>
      <c r="AN18" s="83"/>
      <c r="AT18" s="28"/>
    </row>
    <row r="19" spans="1:46" ht="14.45" hidden="1" x14ac:dyDescent="0.3">
      <c r="A19" s="91" t="s">
        <v>104</v>
      </c>
      <c r="B19" s="58" t="s">
        <v>105</v>
      </c>
      <c r="C19" s="92"/>
      <c r="D19" s="60"/>
      <c r="E19" s="60"/>
      <c r="F19" s="60"/>
      <c r="G19" s="60"/>
      <c r="H19" s="60"/>
      <c r="I19" s="60"/>
      <c r="J19" s="60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2"/>
      <c r="AA19" s="63"/>
      <c r="AB19" s="64"/>
      <c r="AC19" s="65"/>
      <c r="AD19" s="117"/>
      <c r="AE19" s="118"/>
      <c r="AF19" s="68"/>
      <c r="AH19" s="82"/>
      <c r="AI19" s="70"/>
      <c r="AJ19" s="71"/>
      <c r="AK19" s="82"/>
      <c r="AL19" s="70"/>
      <c r="AN19" s="83"/>
      <c r="AT19" s="28"/>
    </row>
    <row r="20" spans="1:46" ht="15" hidden="1" customHeight="1" x14ac:dyDescent="0.3">
      <c r="A20" s="119" t="s">
        <v>106</v>
      </c>
      <c r="B20" s="120" t="s">
        <v>95</v>
      </c>
      <c r="C20" s="121">
        <v>200.672</v>
      </c>
      <c r="D20" s="122">
        <v>189.37899999999999</v>
      </c>
      <c r="E20" s="123">
        <v>189.12299999999999</v>
      </c>
      <c r="F20" s="123">
        <v>193.31200000000001</v>
      </c>
      <c r="G20" s="123">
        <v>171.41200000000001</v>
      </c>
      <c r="H20" s="123">
        <v>145.12</v>
      </c>
      <c r="I20" s="123">
        <v>139.12100000000001</v>
      </c>
      <c r="J20" s="123">
        <v>143.65799999999999</v>
      </c>
      <c r="K20" s="123">
        <v>141.17599999999999</v>
      </c>
      <c r="L20" s="124">
        <v>140.03100000000001</v>
      </c>
      <c r="M20" s="124">
        <v>139.98599999999999</v>
      </c>
      <c r="N20" s="124">
        <v>145.51400000000001</v>
      </c>
      <c r="O20" s="124">
        <v>150.00299999999999</v>
      </c>
      <c r="P20" s="124">
        <v>148.16399999999999</v>
      </c>
      <c r="Q20" s="124">
        <v>146.76900000000001</v>
      </c>
      <c r="R20" s="124">
        <v>148.62799999999999</v>
      </c>
      <c r="S20" s="124">
        <v>147.47399999999999</v>
      </c>
      <c r="T20" s="124">
        <v>144.59899999999999</v>
      </c>
      <c r="U20" s="124">
        <v>138.13900000000001</v>
      </c>
      <c r="V20" s="124">
        <v>141.339</v>
      </c>
      <c r="W20" s="124">
        <v>137.483</v>
      </c>
      <c r="X20" s="124">
        <v>138.541</v>
      </c>
      <c r="Y20" s="125">
        <v>142.41800000000001</v>
      </c>
      <c r="AA20" s="80">
        <f>Y20+Y20/3</f>
        <v>189.89066666666668</v>
      </c>
      <c r="AB20" s="81">
        <f>AA20/365/100</f>
        <v>5.2024840182648404E-3</v>
      </c>
      <c r="AC20" s="52">
        <f>(Y20-X20)/X20</f>
        <v>2.7984495564490005E-2</v>
      </c>
      <c r="AD20" s="52">
        <f>1-X20/Y20</f>
        <v>2.7222682526085284E-2</v>
      </c>
      <c r="AE20" s="53">
        <f>Y20/365/100</f>
        <v>3.9018630136986305E-3</v>
      </c>
      <c r="AF20" s="68">
        <f t="shared" si="0"/>
        <v>92.36066666666666</v>
      </c>
      <c r="AH20" s="82">
        <f t="shared" si="1"/>
        <v>0.251110502283105</v>
      </c>
      <c r="AI20" s="70">
        <f t="shared" si="2"/>
        <v>0.251</v>
      </c>
      <c r="AJ20" s="71"/>
      <c r="AK20" s="82">
        <f t="shared" si="3"/>
        <v>0.25304292237442921</v>
      </c>
      <c r="AL20" s="70">
        <f t="shared" si="4"/>
        <v>0.253</v>
      </c>
      <c r="AN20" s="83"/>
      <c r="AT20" s="28"/>
    </row>
    <row r="21" spans="1:46" ht="12.75" hidden="1" customHeight="1" x14ac:dyDescent="0.3">
      <c r="A21" s="127" t="s">
        <v>107</v>
      </c>
      <c r="B21" s="128" t="s">
        <v>108</v>
      </c>
      <c r="C21" s="98">
        <v>178.31100000000001</v>
      </c>
      <c r="D21" s="99">
        <v>169.654</v>
      </c>
      <c r="E21" s="100">
        <v>183.17599999999999</v>
      </c>
      <c r="F21" s="100">
        <v>203.768</v>
      </c>
      <c r="G21" s="100">
        <v>180.12799999999999</v>
      </c>
      <c r="H21" s="100">
        <v>154.99299999999999</v>
      </c>
      <c r="I21" s="100">
        <v>155.376</v>
      </c>
      <c r="J21" s="129" t="s">
        <v>109</v>
      </c>
      <c r="K21" s="129" t="s">
        <v>109</v>
      </c>
      <c r="L21" s="130" t="s">
        <v>109</v>
      </c>
      <c r="M21" s="130" t="s">
        <v>109</v>
      </c>
      <c r="N21" s="130" t="s">
        <v>109</v>
      </c>
      <c r="O21" s="130" t="s">
        <v>109</v>
      </c>
      <c r="P21" s="130" t="s">
        <v>109</v>
      </c>
      <c r="Q21" s="130" t="s">
        <v>109</v>
      </c>
      <c r="R21" s="130" t="s">
        <v>109</v>
      </c>
      <c r="S21" s="130" t="s">
        <v>109</v>
      </c>
      <c r="T21" s="130" t="s">
        <v>109</v>
      </c>
      <c r="U21" s="130" t="s">
        <v>109</v>
      </c>
      <c r="V21" s="130" t="s">
        <v>109</v>
      </c>
      <c r="W21" s="130" t="s">
        <v>109</v>
      </c>
      <c r="X21" s="130" t="s">
        <v>109</v>
      </c>
      <c r="Y21" s="131"/>
      <c r="AA21" s="63" t="s">
        <v>109</v>
      </c>
      <c r="AB21" s="132" t="s">
        <v>109</v>
      </c>
      <c r="AC21" s="133" t="s">
        <v>109</v>
      </c>
      <c r="AD21" s="133" t="s">
        <v>109</v>
      </c>
      <c r="AE21" s="134" t="s">
        <v>109</v>
      </c>
      <c r="AF21" s="68"/>
      <c r="AH21" s="82"/>
      <c r="AI21" s="70"/>
      <c r="AJ21" s="71"/>
      <c r="AK21" s="82"/>
      <c r="AL21" s="70"/>
      <c r="AN21" s="83"/>
      <c r="AT21" s="28"/>
    </row>
    <row r="22" spans="1:46" ht="11.25" hidden="1" customHeight="1" x14ac:dyDescent="0.3">
      <c r="A22" s="127" t="s">
        <v>110</v>
      </c>
      <c r="B22" s="128" t="s">
        <v>111</v>
      </c>
      <c r="C22" s="98">
        <v>184.78299999999999</v>
      </c>
      <c r="D22" s="99">
        <v>188.73400000000001</v>
      </c>
      <c r="E22" s="100">
        <v>175.821</v>
      </c>
      <c r="F22" s="100">
        <v>200.08</v>
      </c>
      <c r="G22" s="100">
        <v>197.22499999999999</v>
      </c>
      <c r="H22" s="100">
        <v>173.374</v>
      </c>
      <c r="I22" s="100">
        <v>183.48599999999999</v>
      </c>
      <c r="J22" s="129" t="s">
        <v>109</v>
      </c>
      <c r="K22" s="129" t="s">
        <v>109</v>
      </c>
      <c r="L22" s="130" t="s">
        <v>109</v>
      </c>
      <c r="M22" s="130" t="s">
        <v>109</v>
      </c>
      <c r="N22" s="130" t="s">
        <v>109</v>
      </c>
      <c r="O22" s="130" t="s">
        <v>109</v>
      </c>
      <c r="P22" s="135" t="s">
        <v>109</v>
      </c>
      <c r="Q22" s="135" t="s">
        <v>109</v>
      </c>
      <c r="R22" s="135" t="s">
        <v>109</v>
      </c>
      <c r="S22" s="135" t="s">
        <v>109</v>
      </c>
      <c r="T22" s="135" t="s">
        <v>109</v>
      </c>
      <c r="U22" s="135" t="s">
        <v>109</v>
      </c>
      <c r="V22" s="135" t="s">
        <v>109</v>
      </c>
      <c r="W22" s="135" t="s">
        <v>109</v>
      </c>
      <c r="X22" s="135" t="s">
        <v>109</v>
      </c>
      <c r="Y22" s="136"/>
      <c r="AA22" s="63" t="s">
        <v>109</v>
      </c>
      <c r="AB22" s="132" t="s">
        <v>109</v>
      </c>
      <c r="AC22" s="133" t="s">
        <v>109</v>
      </c>
      <c r="AD22" s="133" t="s">
        <v>109</v>
      </c>
      <c r="AE22" s="134" t="s">
        <v>109</v>
      </c>
      <c r="AF22" s="68"/>
      <c r="AH22" s="82"/>
      <c r="AI22" s="70"/>
      <c r="AJ22" s="71"/>
      <c r="AK22" s="82"/>
      <c r="AL22" s="70"/>
      <c r="AN22" s="83"/>
      <c r="AT22" s="28"/>
    </row>
    <row r="23" spans="1:46" ht="23.25" hidden="1" customHeight="1" x14ac:dyDescent="0.3">
      <c r="A23" s="119" t="s">
        <v>112</v>
      </c>
      <c r="B23" s="120" t="s">
        <v>101</v>
      </c>
      <c r="C23" s="121"/>
      <c r="D23" s="122"/>
      <c r="E23" s="123"/>
      <c r="F23" s="123"/>
      <c r="G23" s="123"/>
      <c r="H23" s="123"/>
      <c r="I23" s="123"/>
      <c r="J23" s="123">
        <v>144.10499999999999</v>
      </c>
      <c r="K23" s="123">
        <v>155.96799999999999</v>
      </c>
      <c r="L23" s="124">
        <v>160.732</v>
      </c>
      <c r="M23" s="124">
        <v>162.31399999999999</v>
      </c>
      <c r="N23" s="124">
        <v>160.227</v>
      </c>
      <c r="O23" s="124">
        <v>164.471</v>
      </c>
      <c r="P23" s="124">
        <v>170.22900000000001</v>
      </c>
      <c r="Q23" s="124">
        <v>166.858</v>
      </c>
      <c r="R23" s="124">
        <v>154.946</v>
      </c>
      <c r="S23" s="124">
        <v>155.18100000000001</v>
      </c>
      <c r="T23" s="124">
        <v>150.86799999999999</v>
      </c>
      <c r="U23" s="124">
        <v>145.36799999999999</v>
      </c>
      <c r="V23" s="124">
        <v>155.15600000000001</v>
      </c>
      <c r="W23" s="124">
        <v>151.07499999999999</v>
      </c>
      <c r="X23" s="124">
        <v>151.34200000000001</v>
      </c>
      <c r="Y23" s="125">
        <v>153.37299999999999</v>
      </c>
      <c r="AA23" s="137">
        <f>Y23+Y23/3</f>
        <v>204.49733333333333</v>
      </c>
      <c r="AB23" s="138">
        <f>AA23/365/100</f>
        <v>5.6026666666666673E-3</v>
      </c>
      <c r="AC23" s="52">
        <f>(Y23-X23)/X23</f>
        <v>1.3419936303207156E-2</v>
      </c>
      <c r="AD23" s="52">
        <f>1-X23/Y23</f>
        <v>1.3242226467500617E-2</v>
      </c>
      <c r="AE23" s="53">
        <f>Y23/365/100</f>
        <v>4.202E-3</v>
      </c>
      <c r="AF23" s="68">
        <f t="shared" si="0"/>
        <v>100.89466666666668</v>
      </c>
      <c r="AH23" s="82">
        <f t="shared" si="1"/>
        <v>0.27593607305936069</v>
      </c>
      <c r="AI23" s="70">
        <f t="shared" si="2"/>
        <v>0.27500000000000002</v>
      </c>
      <c r="AJ23" s="71"/>
      <c r="AK23" s="82">
        <f t="shared" si="3"/>
        <v>0.27642374429223748</v>
      </c>
      <c r="AL23" s="70">
        <f t="shared" si="4"/>
        <v>0.27600000000000002</v>
      </c>
      <c r="AN23" s="83"/>
      <c r="AT23" s="28"/>
    </row>
    <row r="24" spans="1:46" ht="15" hidden="1" customHeight="1" thickBot="1" x14ac:dyDescent="0.35">
      <c r="A24" s="114" t="s">
        <v>113</v>
      </c>
      <c r="B24" s="115" t="s">
        <v>103</v>
      </c>
      <c r="C24" s="86">
        <v>29.899000000000001</v>
      </c>
      <c r="D24" s="87">
        <v>44.656999999999996</v>
      </c>
      <c r="E24" s="88">
        <v>23.324000000000002</v>
      </c>
      <c r="F24" s="88">
        <v>34.743000000000002</v>
      </c>
      <c r="G24" s="88">
        <v>33.558999999999997</v>
      </c>
      <c r="H24" s="88">
        <v>43.584000000000003</v>
      </c>
      <c r="I24" s="88">
        <v>36.578000000000003</v>
      </c>
      <c r="J24" s="88">
        <v>38.1</v>
      </c>
      <c r="K24" s="88">
        <v>35.941000000000003</v>
      </c>
      <c r="L24" s="89">
        <v>34.941000000000003</v>
      </c>
      <c r="M24" s="89">
        <v>37.075000000000003</v>
      </c>
      <c r="N24" s="89">
        <v>35.137999999999998</v>
      </c>
      <c r="O24" s="89">
        <v>37.677999999999997</v>
      </c>
      <c r="P24" s="89">
        <v>37.1</v>
      </c>
      <c r="Q24" s="89">
        <v>35.993000000000002</v>
      </c>
      <c r="R24" s="89">
        <v>36.027000000000001</v>
      </c>
      <c r="S24" s="89">
        <v>35.533000000000001</v>
      </c>
      <c r="T24" s="89">
        <v>38.442999999999998</v>
      </c>
      <c r="U24" s="89">
        <v>39.354999999999997</v>
      </c>
      <c r="V24" s="89">
        <v>36.234999999999999</v>
      </c>
      <c r="W24" s="89">
        <v>36.732999999999997</v>
      </c>
      <c r="X24" s="89">
        <v>34.868000000000002</v>
      </c>
      <c r="Y24" s="90">
        <v>35.933</v>
      </c>
      <c r="AA24" s="137">
        <f>Y24+Y24/3</f>
        <v>47.910666666666664</v>
      </c>
      <c r="AB24" s="138">
        <f>AA24/365/100</f>
        <v>1.3126210045662098E-3</v>
      </c>
      <c r="AC24" s="52">
        <f>(Y24-X24)/X24</f>
        <v>3.0543765056785525E-2</v>
      </c>
      <c r="AD24" s="52">
        <f>1-X24/Y24</f>
        <v>2.9638493863579418E-2</v>
      </c>
      <c r="AE24" s="53">
        <f>Y24/365/100</f>
        <v>9.8446575342465764E-4</v>
      </c>
      <c r="AF24" s="68">
        <f t="shared" si="0"/>
        <v>23.245333333333335</v>
      </c>
      <c r="AH24" s="82">
        <f t="shared" si="1"/>
        <v>6.7092237442922364E-2</v>
      </c>
      <c r="AI24" s="70">
        <f t="shared" si="2"/>
        <v>6.7000000000000004E-2</v>
      </c>
      <c r="AJ24" s="71"/>
      <c r="AK24" s="82">
        <f t="shared" si="3"/>
        <v>6.3685844748858453E-2</v>
      </c>
      <c r="AL24" s="70">
        <f t="shared" si="4"/>
        <v>6.3E-2</v>
      </c>
      <c r="AN24" s="83"/>
      <c r="AT24" s="28"/>
    </row>
    <row r="25" spans="1:46" ht="14.45" hidden="1" x14ac:dyDescent="0.3">
      <c r="A25" s="91" t="s">
        <v>114</v>
      </c>
      <c r="B25" s="139" t="s">
        <v>115</v>
      </c>
      <c r="C25" s="92"/>
      <c r="D25" s="60"/>
      <c r="E25" s="60"/>
      <c r="F25" s="60"/>
      <c r="G25" s="60"/>
      <c r="H25" s="60"/>
      <c r="I25" s="60"/>
      <c r="J25" s="60"/>
      <c r="K25" s="60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2"/>
      <c r="AA25" s="63"/>
      <c r="AB25" s="64"/>
      <c r="AC25" s="65"/>
      <c r="AD25" s="117"/>
      <c r="AE25" s="118"/>
      <c r="AF25" s="68"/>
      <c r="AH25" s="82"/>
      <c r="AI25" s="70"/>
      <c r="AJ25" s="71"/>
      <c r="AK25" s="82"/>
      <c r="AL25" s="70"/>
      <c r="AN25" s="83"/>
      <c r="AT25" s="28"/>
    </row>
    <row r="26" spans="1:46" ht="15" hidden="1" customHeight="1" x14ac:dyDescent="0.3">
      <c r="A26" s="119" t="s">
        <v>116</v>
      </c>
      <c r="B26" s="120" t="s">
        <v>95</v>
      </c>
      <c r="C26" s="121">
        <v>97.350999999999999</v>
      </c>
      <c r="D26" s="122">
        <v>96.507999999999996</v>
      </c>
      <c r="E26" s="123">
        <v>115.898</v>
      </c>
      <c r="F26" s="123">
        <v>102.018</v>
      </c>
      <c r="G26" s="123">
        <v>77.126000000000005</v>
      </c>
      <c r="H26" s="123">
        <v>63.503999999999998</v>
      </c>
      <c r="I26" s="123">
        <v>56.344999999999999</v>
      </c>
      <c r="J26" s="123">
        <v>58.536000000000001</v>
      </c>
      <c r="K26" s="123">
        <v>55.662999999999997</v>
      </c>
      <c r="L26" s="124">
        <v>56.529000000000003</v>
      </c>
      <c r="M26" s="124">
        <v>56.828000000000003</v>
      </c>
      <c r="N26" s="124">
        <v>54.305999999999997</v>
      </c>
      <c r="O26" s="124">
        <v>53.682000000000002</v>
      </c>
      <c r="P26" s="124">
        <v>54.709000000000003</v>
      </c>
      <c r="Q26" s="124">
        <v>54.420999999999999</v>
      </c>
      <c r="R26" s="124">
        <v>54.43</v>
      </c>
      <c r="S26" s="124">
        <v>54.292999999999999</v>
      </c>
      <c r="T26" s="124">
        <v>57.695</v>
      </c>
      <c r="U26" s="124">
        <v>53.517000000000003</v>
      </c>
      <c r="V26" s="124">
        <v>55.115000000000002</v>
      </c>
      <c r="W26" s="124">
        <v>54.027000000000001</v>
      </c>
      <c r="X26" s="124">
        <v>54.322000000000003</v>
      </c>
      <c r="Y26" s="125">
        <v>55.152999999999999</v>
      </c>
      <c r="AA26" s="137">
        <f>Y26+Y26/3</f>
        <v>73.537333333333336</v>
      </c>
      <c r="AB26" s="138">
        <f>AA26/365/100</f>
        <v>2.0147214611872149E-3</v>
      </c>
      <c r="AC26" s="52">
        <f>(Y26-X26)/X26</f>
        <v>1.5297669452523765E-2</v>
      </c>
      <c r="AD26" s="52">
        <f>1-X26/Y26</f>
        <v>1.506717676282332E-2</v>
      </c>
      <c r="AE26" s="53">
        <f>Y26/365/100</f>
        <v>1.5110410958904107E-3</v>
      </c>
      <c r="AF26" s="68">
        <f t="shared" si="0"/>
        <v>36.214666666666666</v>
      </c>
      <c r="AH26" s="82">
        <f t="shared" si="1"/>
        <v>9.8679452054794517E-2</v>
      </c>
      <c r="AI26" s="70">
        <f t="shared" si="2"/>
        <v>9.8000000000000004E-2</v>
      </c>
      <c r="AJ26" s="71"/>
      <c r="AK26" s="82">
        <f t="shared" si="3"/>
        <v>9.9218264840182646E-2</v>
      </c>
      <c r="AL26" s="70">
        <f t="shared" si="4"/>
        <v>9.9000000000000005E-2</v>
      </c>
      <c r="AN26" s="83"/>
      <c r="AT26" s="28"/>
    </row>
    <row r="27" spans="1:46" ht="24" hidden="1" customHeight="1" x14ac:dyDescent="0.3">
      <c r="A27" s="119" t="s">
        <v>117</v>
      </c>
      <c r="B27" s="120" t="s">
        <v>118</v>
      </c>
      <c r="C27" s="121">
        <v>92.486999999999995</v>
      </c>
      <c r="D27" s="122">
        <v>110.55500000000001</v>
      </c>
      <c r="E27" s="123">
        <v>125.229</v>
      </c>
      <c r="F27" s="123">
        <v>125.09699999999999</v>
      </c>
      <c r="G27" s="123">
        <v>71.346000000000004</v>
      </c>
      <c r="H27" s="123">
        <v>57.859000000000002</v>
      </c>
      <c r="I27" s="123">
        <v>66.694000000000003</v>
      </c>
      <c r="J27" s="123">
        <v>53.518999999999998</v>
      </c>
      <c r="K27" s="123">
        <v>52.76</v>
      </c>
      <c r="L27" s="124">
        <v>51.468000000000004</v>
      </c>
      <c r="M27" s="124">
        <v>53.915999999999997</v>
      </c>
      <c r="N27" s="124">
        <v>49.186999999999998</v>
      </c>
      <c r="O27" s="124">
        <v>48.576999999999998</v>
      </c>
      <c r="P27" s="124">
        <v>45.554000000000002</v>
      </c>
      <c r="Q27" s="124">
        <v>45.526000000000003</v>
      </c>
      <c r="R27" s="124">
        <v>50.066000000000003</v>
      </c>
      <c r="S27" s="124">
        <v>49.673999999999999</v>
      </c>
      <c r="T27" s="124">
        <v>54.331000000000003</v>
      </c>
      <c r="U27" s="124">
        <v>53.35</v>
      </c>
      <c r="V27" s="124">
        <v>54.055999999999997</v>
      </c>
      <c r="W27" s="124">
        <v>52.823999999999998</v>
      </c>
      <c r="X27" s="124">
        <v>53.296999999999997</v>
      </c>
      <c r="Y27" s="125">
        <v>53.353000000000002</v>
      </c>
      <c r="AA27" s="137">
        <f>Y27+Y27/3</f>
        <v>71.137333333333331</v>
      </c>
      <c r="AB27" s="138">
        <f>AA27/365/100</f>
        <v>1.9489680365296802E-3</v>
      </c>
      <c r="AC27" s="52">
        <f>(Y27-X27)/X27</f>
        <v>1.0507158001389289E-3</v>
      </c>
      <c r="AD27" s="52">
        <f>1-X27/Y27</f>
        <v>1.0496129552228783E-3</v>
      </c>
      <c r="AE27" s="53">
        <f>Y27/365/100</f>
        <v>1.4617260273972605E-3</v>
      </c>
      <c r="AF27" s="68">
        <f t="shared" si="0"/>
        <v>35.531333333333329</v>
      </c>
      <c r="AH27" s="82">
        <f t="shared" si="1"/>
        <v>9.6482191780821916E-2</v>
      </c>
      <c r="AI27" s="70">
        <f t="shared" si="2"/>
        <v>9.6000000000000002E-2</v>
      </c>
      <c r="AJ27" s="71"/>
      <c r="AK27" s="82">
        <f t="shared" si="3"/>
        <v>9.7346118721461178E-2</v>
      </c>
      <c r="AL27" s="70">
        <f t="shared" si="4"/>
        <v>9.7000000000000003E-2</v>
      </c>
      <c r="AN27" s="83"/>
      <c r="AT27" s="28"/>
    </row>
    <row r="28" spans="1:46" ht="24" hidden="1" customHeight="1" x14ac:dyDescent="0.3">
      <c r="A28" s="119" t="s">
        <v>119</v>
      </c>
      <c r="B28" s="120" t="s">
        <v>120</v>
      </c>
      <c r="C28" s="121">
        <v>60.152999999999999</v>
      </c>
      <c r="D28" s="122">
        <v>80.683999999999997</v>
      </c>
      <c r="E28" s="123">
        <v>74.432000000000002</v>
      </c>
      <c r="F28" s="123">
        <v>87.897999999999996</v>
      </c>
      <c r="G28" s="123">
        <v>68.186000000000007</v>
      </c>
      <c r="H28" s="123">
        <v>55.463000000000001</v>
      </c>
      <c r="I28" s="123">
        <v>56.137</v>
      </c>
      <c r="J28" s="123">
        <v>46.691000000000003</v>
      </c>
      <c r="K28" s="123">
        <v>47.72</v>
      </c>
      <c r="L28" s="124">
        <v>46.302999999999997</v>
      </c>
      <c r="M28" s="124">
        <v>46.738999999999997</v>
      </c>
      <c r="N28" s="124">
        <v>45.643999999999998</v>
      </c>
      <c r="O28" s="124">
        <v>45.622</v>
      </c>
      <c r="P28" s="124">
        <v>42.997999999999998</v>
      </c>
      <c r="Q28" s="124">
        <v>42.704000000000001</v>
      </c>
      <c r="R28" s="124">
        <v>46.887999999999998</v>
      </c>
      <c r="S28" s="124">
        <v>46.661000000000001</v>
      </c>
      <c r="T28" s="124">
        <v>50.747</v>
      </c>
      <c r="U28" s="124">
        <v>50.383000000000003</v>
      </c>
      <c r="V28" s="124">
        <v>50.859000000000002</v>
      </c>
      <c r="W28" s="124">
        <v>49.875</v>
      </c>
      <c r="X28" s="124">
        <v>50.548000000000002</v>
      </c>
      <c r="Y28" s="125">
        <v>49.53</v>
      </c>
      <c r="AA28" s="137">
        <f>Y28+Y28/3</f>
        <v>66.040000000000006</v>
      </c>
      <c r="AB28" s="138">
        <f>AA28/365/100</f>
        <v>1.8093150684931507E-3</v>
      </c>
      <c r="AC28" s="52">
        <f>(Y28-X28)/X28</f>
        <v>-2.013927356176309E-2</v>
      </c>
      <c r="AD28" s="52">
        <f>1-X28/Y28</f>
        <v>-2.0553200080759115E-2</v>
      </c>
      <c r="AE28" s="53">
        <f>Y28/365/100</f>
        <v>1.356986301369863E-3</v>
      </c>
      <c r="AF28" s="68">
        <f t="shared" si="0"/>
        <v>33.698666666666668</v>
      </c>
      <c r="AH28" s="82">
        <f t="shared" si="1"/>
        <v>9.1095890410958905E-2</v>
      </c>
      <c r="AI28" s="70">
        <f t="shared" si="2"/>
        <v>9.0999999999999998E-2</v>
      </c>
      <c r="AJ28" s="71"/>
      <c r="AK28" s="82">
        <f t="shared" si="3"/>
        <v>9.2325114155251145E-2</v>
      </c>
      <c r="AL28" s="70">
        <f t="shared" si="4"/>
        <v>9.1999999999999998E-2</v>
      </c>
      <c r="AN28" s="83"/>
      <c r="AT28" s="28"/>
    </row>
    <row r="29" spans="1:46" ht="15" hidden="1" customHeight="1" thickBot="1" x14ac:dyDescent="0.35">
      <c r="A29" s="114" t="s">
        <v>121</v>
      </c>
      <c r="B29" s="115" t="s">
        <v>103</v>
      </c>
      <c r="C29" s="86">
        <v>37.475000000000001</v>
      </c>
      <c r="D29" s="87">
        <v>40.588999999999999</v>
      </c>
      <c r="E29" s="88">
        <v>66.355000000000004</v>
      </c>
      <c r="F29" s="88">
        <v>70.725999999999999</v>
      </c>
      <c r="G29" s="88">
        <v>57.795999999999999</v>
      </c>
      <c r="H29" s="88">
        <v>44.012</v>
      </c>
      <c r="I29" s="88">
        <v>40.368000000000002</v>
      </c>
      <c r="J29" s="88">
        <v>42.301000000000002</v>
      </c>
      <c r="K29" s="88">
        <v>33.941000000000003</v>
      </c>
      <c r="L29" s="89">
        <v>33.536999999999999</v>
      </c>
      <c r="M29" s="89">
        <v>34.15</v>
      </c>
      <c r="N29" s="89">
        <v>33.49</v>
      </c>
      <c r="O29" s="89">
        <v>32.543999999999997</v>
      </c>
      <c r="P29" s="89">
        <v>32.231999999999999</v>
      </c>
      <c r="Q29" s="89">
        <v>31.86</v>
      </c>
      <c r="R29" s="89">
        <v>31.414999999999999</v>
      </c>
      <c r="S29" s="89">
        <v>31.986999999999998</v>
      </c>
      <c r="T29" s="89">
        <v>32.503999999999998</v>
      </c>
      <c r="U29" s="89">
        <v>33.411999999999999</v>
      </c>
      <c r="V29" s="89">
        <v>35.173999999999999</v>
      </c>
      <c r="W29" s="89">
        <v>36.417000000000002</v>
      </c>
      <c r="X29" s="89">
        <v>35.014000000000003</v>
      </c>
      <c r="Y29" s="90">
        <v>32.835999999999999</v>
      </c>
      <c r="AA29" s="137">
        <f>Y29+Y29/3</f>
        <v>43.781333333333329</v>
      </c>
      <c r="AB29" s="138">
        <f>AA29/365/100</f>
        <v>1.1994885844748859E-3</v>
      </c>
      <c r="AC29" s="52">
        <f>(Y29-X29)/X29</f>
        <v>-6.2203689952590513E-2</v>
      </c>
      <c r="AD29" s="52">
        <f>1-X29/Y29</f>
        <v>-6.6329638201973573E-2</v>
      </c>
      <c r="AE29" s="53">
        <f>Y29/365/100</f>
        <v>8.996164383561643E-4</v>
      </c>
      <c r="AF29" s="68">
        <f t="shared" si="0"/>
        <v>23.34266666666667</v>
      </c>
      <c r="AH29" s="82">
        <f t="shared" si="1"/>
        <v>6.6515068493150697E-2</v>
      </c>
      <c r="AI29" s="70">
        <f t="shared" si="2"/>
        <v>6.6000000000000003E-2</v>
      </c>
      <c r="AJ29" s="71"/>
      <c r="AK29" s="82">
        <f t="shared" si="3"/>
        <v>6.3952511415525118E-2</v>
      </c>
      <c r="AL29" s="70">
        <f>ROUNDDOWN(AK29,3)</f>
        <v>6.3E-2</v>
      </c>
      <c r="AN29" s="83"/>
      <c r="AT29" s="28"/>
    </row>
    <row r="30" spans="1:46" hidden="1" thickTop="1" x14ac:dyDescent="0.3">
      <c r="A30" s="91" t="s">
        <v>122</v>
      </c>
      <c r="B30" s="140" t="s">
        <v>123</v>
      </c>
      <c r="C30" s="141"/>
      <c r="D30" s="142"/>
      <c r="E30" s="143"/>
      <c r="F30" s="143"/>
      <c r="G30" s="143"/>
      <c r="H30" s="143"/>
      <c r="I30" s="143"/>
      <c r="J30" s="143"/>
      <c r="K30" s="143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5"/>
      <c r="AA30" s="63"/>
      <c r="AB30" s="64"/>
      <c r="AC30" s="65"/>
      <c r="AD30" s="117"/>
      <c r="AE30" s="117"/>
      <c r="AH30" s="28"/>
      <c r="AK30" s="146"/>
      <c r="AT30" s="28"/>
    </row>
    <row r="31" spans="1:46" ht="14.45" hidden="1" x14ac:dyDescent="0.3">
      <c r="A31" s="91" t="s">
        <v>124</v>
      </c>
      <c r="B31" s="58" t="s">
        <v>125</v>
      </c>
      <c r="C31" s="92"/>
      <c r="D31" s="60"/>
      <c r="E31" s="60"/>
      <c r="F31" s="60"/>
      <c r="G31" s="60"/>
      <c r="H31" s="60"/>
      <c r="I31" s="60"/>
      <c r="J31" s="60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2"/>
      <c r="AA31" s="63"/>
      <c r="AB31" s="64"/>
      <c r="AC31" s="65"/>
      <c r="AD31" s="117"/>
      <c r="AE31" s="117"/>
      <c r="AH31" s="28"/>
      <c r="AK31" s="146"/>
      <c r="AT31" s="28"/>
    </row>
    <row r="32" spans="1:46" ht="15" hidden="1" customHeight="1" x14ac:dyDescent="0.3">
      <c r="A32" s="119" t="s">
        <v>126</v>
      </c>
      <c r="B32" s="120" t="s">
        <v>95</v>
      </c>
      <c r="C32" s="98"/>
      <c r="D32" s="99"/>
      <c r="E32" s="100"/>
      <c r="F32" s="100"/>
      <c r="G32" s="100"/>
      <c r="H32" s="100"/>
      <c r="I32" s="100"/>
      <c r="J32" s="123">
        <v>66.635999999999996</v>
      </c>
      <c r="K32" s="123">
        <v>68.147000000000006</v>
      </c>
      <c r="L32" s="124">
        <v>61.337000000000003</v>
      </c>
      <c r="M32" s="124">
        <v>60.109000000000002</v>
      </c>
      <c r="N32" s="124">
        <v>56.506999999999998</v>
      </c>
      <c r="O32" s="124">
        <v>55.170999999999999</v>
      </c>
      <c r="P32" s="124">
        <v>52.258000000000003</v>
      </c>
      <c r="Q32" s="124">
        <v>45.308</v>
      </c>
      <c r="R32" s="124">
        <v>45.011000000000003</v>
      </c>
      <c r="S32" s="124">
        <v>42.969000000000001</v>
      </c>
      <c r="T32" s="124">
        <v>40.515000000000001</v>
      </c>
      <c r="U32" s="124">
        <v>38.003</v>
      </c>
      <c r="V32" s="124">
        <v>35.369999999999997</v>
      </c>
      <c r="W32" s="124">
        <v>32.688000000000002</v>
      </c>
      <c r="X32" s="124">
        <v>34.659999999999997</v>
      </c>
      <c r="Y32" s="125">
        <v>30.96</v>
      </c>
      <c r="AA32" s="137">
        <f>Y32+Y32/3</f>
        <v>41.28</v>
      </c>
      <c r="AB32" s="138">
        <f>AA32/365/100</f>
        <v>1.1309589041095891E-3</v>
      </c>
      <c r="AC32" s="52">
        <f>(Y32-X32)/X32</f>
        <v>-0.10675129832660116</v>
      </c>
      <c r="AD32" s="52">
        <f>1-X32/Y32</f>
        <v>-0.1195090439276485</v>
      </c>
      <c r="AE32" s="52">
        <f>Y32/365/100</f>
        <v>8.4821917808219178E-4</v>
      </c>
      <c r="AK32" s="146"/>
      <c r="AT32" s="28"/>
    </row>
    <row r="33" spans="1:46" ht="27" hidden="1" customHeight="1" x14ac:dyDescent="0.3">
      <c r="A33" s="119" t="s">
        <v>127</v>
      </c>
      <c r="B33" s="120" t="s">
        <v>101</v>
      </c>
      <c r="C33" s="98"/>
      <c r="D33" s="99"/>
      <c r="E33" s="100"/>
      <c r="F33" s="100"/>
      <c r="G33" s="100"/>
      <c r="H33" s="100"/>
      <c r="I33" s="100"/>
      <c r="J33" s="123">
        <v>61.499000000000002</v>
      </c>
      <c r="K33" s="123">
        <v>59.313000000000002</v>
      </c>
      <c r="L33" s="124">
        <v>53.677999999999997</v>
      </c>
      <c r="M33" s="124">
        <v>52.988</v>
      </c>
      <c r="N33" s="124">
        <v>49.777000000000001</v>
      </c>
      <c r="O33" s="124">
        <v>49.976999999999997</v>
      </c>
      <c r="P33" s="124">
        <v>39.835999999999999</v>
      </c>
      <c r="Q33" s="124">
        <v>38.457999999999998</v>
      </c>
      <c r="R33" s="124">
        <v>36.941000000000003</v>
      </c>
      <c r="S33" s="124">
        <v>38.289000000000001</v>
      </c>
      <c r="T33" s="124">
        <v>33.152999999999999</v>
      </c>
      <c r="U33" s="124">
        <v>32.109000000000002</v>
      </c>
      <c r="V33" s="124">
        <v>31.385000000000002</v>
      </c>
      <c r="W33" s="124">
        <v>28.143000000000001</v>
      </c>
      <c r="X33" s="124">
        <v>29.364999999999998</v>
      </c>
      <c r="Y33" s="125">
        <v>27.58</v>
      </c>
      <c r="AA33" s="137">
        <f>Y33+Y33/3</f>
        <v>36.773333333333333</v>
      </c>
      <c r="AB33" s="138">
        <f>AA33/365/100</f>
        <v>1.0074885844748858E-3</v>
      </c>
      <c r="AC33" s="52">
        <f>(Y33-X33)/X33</f>
        <v>-6.0786650774731832E-2</v>
      </c>
      <c r="AD33" s="52">
        <f>1-X33/Y33</f>
        <v>-6.4720812182741172E-2</v>
      </c>
      <c r="AE33" s="52">
        <f>Y33/365/100</f>
        <v>7.5561643835616438E-4</v>
      </c>
      <c r="AK33" s="146"/>
      <c r="AT33" s="28"/>
    </row>
    <row r="34" spans="1:46" ht="15" hidden="1" customHeight="1" x14ac:dyDescent="0.3">
      <c r="A34" s="119" t="s">
        <v>128</v>
      </c>
      <c r="B34" s="74" t="s">
        <v>103</v>
      </c>
      <c r="C34" s="98"/>
      <c r="D34" s="99"/>
      <c r="E34" s="100"/>
      <c r="F34" s="100"/>
      <c r="G34" s="100"/>
      <c r="H34" s="100"/>
      <c r="I34" s="100"/>
      <c r="J34" s="123">
        <v>42.67</v>
      </c>
      <c r="K34" s="123">
        <v>49.51</v>
      </c>
      <c r="L34" s="124">
        <v>54.936</v>
      </c>
      <c r="M34" s="124">
        <v>34.78</v>
      </c>
      <c r="N34" s="124">
        <v>46.468000000000004</v>
      </c>
      <c r="O34" s="124">
        <v>32.122</v>
      </c>
      <c r="P34" s="124">
        <v>34.386000000000003</v>
      </c>
      <c r="Q34" s="124">
        <v>32.484000000000002</v>
      </c>
      <c r="R34" s="124">
        <v>31.981999999999999</v>
      </c>
      <c r="S34" s="124">
        <v>29.225000000000001</v>
      </c>
      <c r="T34" s="124">
        <v>29.798999999999999</v>
      </c>
      <c r="U34" s="124">
        <v>29.22</v>
      </c>
      <c r="V34" s="124">
        <v>27.789000000000001</v>
      </c>
      <c r="W34" s="124">
        <v>25.818999999999999</v>
      </c>
      <c r="X34" s="124">
        <v>29.08</v>
      </c>
      <c r="Y34" s="125">
        <v>25.939</v>
      </c>
      <c r="AA34" s="137">
        <f>Y34+Y34/3</f>
        <v>34.585333333333331</v>
      </c>
      <c r="AB34" s="138">
        <f>AA34/365/100</f>
        <v>9.475433789954338E-4</v>
      </c>
      <c r="AC34" s="52">
        <f>(Y34-X34)/X34</f>
        <v>-0.10801237964236583</v>
      </c>
      <c r="AD34" s="52">
        <f>1-X34/Y34</f>
        <v>-0.12109179228189215</v>
      </c>
      <c r="AE34" s="52">
        <f>Y34/365/100</f>
        <v>7.1065753424657543E-4</v>
      </c>
      <c r="AK34" s="146"/>
      <c r="AT34" s="28"/>
    </row>
    <row r="35" spans="1:46" ht="15" hidden="1" customHeight="1" thickBot="1" x14ac:dyDescent="0.35">
      <c r="A35" s="147" t="s">
        <v>129</v>
      </c>
      <c r="B35" s="148" t="s">
        <v>83</v>
      </c>
      <c r="C35" s="149"/>
      <c r="D35" s="150"/>
      <c r="E35" s="151"/>
      <c r="F35" s="151"/>
      <c r="G35" s="151"/>
      <c r="H35" s="151"/>
      <c r="I35" s="151"/>
      <c r="J35" s="88">
        <v>48.194000000000003</v>
      </c>
      <c r="K35" s="88">
        <v>50.427</v>
      </c>
      <c r="L35" s="89">
        <v>47.609000000000002</v>
      </c>
      <c r="M35" s="89">
        <v>45.442</v>
      </c>
      <c r="N35" s="89">
        <v>41.686999999999998</v>
      </c>
      <c r="O35" s="89">
        <v>39.994</v>
      </c>
      <c r="P35" s="89">
        <v>36.502000000000002</v>
      </c>
      <c r="Q35" s="89">
        <v>33.656999999999996</v>
      </c>
      <c r="R35" s="89">
        <v>31.74</v>
      </c>
      <c r="S35" s="89">
        <v>30.355</v>
      </c>
      <c r="T35" s="89">
        <v>29.212</v>
      </c>
      <c r="U35" s="89">
        <v>28.128</v>
      </c>
      <c r="V35" s="89">
        <v>26.846</v>
      </c>
      <c r="W35" s="89">
        <v>26.401</v>
      </c>
      <c r="X35" s="89">
        <v>25.373999999999999</v>
      </c>
      <c r="Y35" s="90">
        <v>24.788</v>
      </c>
      <c r="AA35" s="152">
        <f>Y35+Y35/3</f>
        <v>33.050666666666665</v>
      </c>
      <c r="AB35" s="153">
        <f>AA35/365/100</f>
        <v>9.0549771689497709E-4</v>
      </c>
      <c r="AC35" s="154">
        <f>(Y35-X35)/X35</f>
        <v>-2.3094506187435901E-2</v>
      </c>
      <c r="AD35" s="154">
        <f>1-X35/Y35</f>
        <v>-2.3640471195739865E-2</v>
      </c>
      <c r="AE35" s="154">
        <f>Y35/365/100</f>
        <v>6.7912328767123287E-4</v>
      </c>
      <c r="AK35" s="146"/>
      <c r="AT35" s="28"/>
    </row>
    <row r="36" spans="1:46" ht="14.45" hidden="1" x14ac:dyDescent="0.3">
      <c r="A36" s="155"/>
    </row>
    <row r="37" spans="1:46" ht="14.45" hidden="1" x14ac:dyDescent="0.3">
      <c r="A37" s="155"/>
    </row>
    <row r="38" spans="1:46" ht="14.45" hidden="1" x14ac:dyDescent="0.3">
      <c r="A38" s="155"/>
    </row>
    <row r="39" spans="1:46" ht="14.45" hidden="1" x14ac:dyDescent="0.3"/>
    <row r="40" spans="1:46" ht="14.45" hidden="1" x14ac:dyDescent="0.3">
      <c r="A40" s="157"/>
    </row>
    <row r="41" spans="1:46" ht="14.45" hidden="1" x14ac:dyDescent="0.3">
      <c r="A41" s="158"/>
    </row>
    <row r="42" spans="1:46" ht="14.45" hidden="1" x14ac:dyDescent="0.3"/>
    <row r="43" spans="1:46" ht="14.45" hidden="1" x14ac:dyDescent="0.3">
      <c r="A43" s="157"/>
    </row>
    <row r="44" spans="1:46" ht="14.45" hidden="1" x14ac:dyDescent="0.3">
      <c r="A44" s="159"/>
    </row>
    <row r="45" spans="1:46" ht="14.45" hidden="1" x14ac:dyDescent="0.3">
      <c r="A45" s="159"/>
    </row>
    <row r="46" spans="1:46" ht="14.45" hidden="1" x14ac:dyDescent="0.3">
      <c r="A46" s="157"/>
    </row>
    <row r="47" spans="1:46" ht="14.45" hidden="1" x14ac:dyDescent="0.3">
      <c r="A47" s="159"/>
    </row>
    <row r="48" spans="1:46" ht="14.45" hidden="1" x14ac:dyDescent="0.3">
      <c r="A48" s="160"/>
    </row>
    <row r="49" spans="1:1" ht="14.45" hidden="1" x14ac:dyDescent="0.3">
      <c r="A49" s="160"/>
    </row>
    <row r="50" spans="1:1" ht="14.45" hidden="1" x14ac:dyDescent="0.3">
      <c r="A50" s="159"/>
    </row>
    <row r="51" spans="1:1" ht="14.45" hidden="1" x14ac:dyDescent="0.3">
      <c r="A51" s="160"/>
    </row>
    <row r="52" spans="1:1" ht="14.45" hidden="1" x14ac:dyDescent="0.3">
      <c r="A52" s="160"/>
    </row>
    <row r="53" spans="1:1" ht="14.45" hidden="1" x14ac:dyDescent="0.3">
      <c r="A53" s="159"/>
    </row>
    <row r="54" spans="1:1" ht="14.45" hidden="1" x14ac:dyDescent="0.3">
      <c r="A54" s="160"/>
    </row>
    <row r="55" spans="1:1" ht="14.45" hidden="1" x14ac:dyDescent="0.3">
      <c r="A55" s="160"/>
    </row>
    <row r="56" spans="1:1" ht="14.45" hidden="1" x14ac:dyDescent="0.3">
      <c r="A56" s="160"/>
    </row>
    <row r="57" spans="1:1" ht="14.45" hidden="1" x14ac:dyDescent="0.3">
      <c r="A57" s="159"/>
    </row>
    <row r="58" spans="1:1" ht="14.45" hidden="1" x14ac:dyDescent="0.3">
      <c r="A58" s="160"/>
    </row>
    <row r="59" spans="1:1" ht="14.45" hidden="1" x14ac:dyDescent="0.3">
      <c r="A59" s="160"/>
    </row>
    <row r="60" spans="1:1" ht="14.45" hidden="1" x14ac:dyDescent="0.3">
      <c r="A60" s="160"/>
    </row>
    <row r="61" spans="1:1" ht="14.45" hidden="1" x14ac:dyDescent="0.3">
      <c r="A61" s="160"/>
    </row>
    <row r="62" spans="1:1" ht="14.45" hidden="1" x14ac:dyDescent="0.3">
      <c r="A62" s="159"/>
    </row>
    <row r="63" spans="1:1" ht="14.45" hidden="1" x14ac:dyDescent="0.3">
      <c r="A63" s="160"/>
    </row>
    <row r="64" spans="1:1" ht="14.45" hidden="1" x14ac:dyDescent="0.3">
      <c r="A64" s="160"/>
    </row>
    <row r="65" spans="1:1" ht="14.45" hidden="1" x14ac:dyDescent="0.3">
      <c r="A65" s="160"/>
    </row>
    <row r="66" spans="1:1" ht="14.45" hidden="1" x14ac:dyDescent="0.3">
      <c r="A66" s="160"/>
    </row>
    <row r="67" spans="1:1" ht="14.45" hidden="1" x14ac:dyDescent="0.3"/>
    <row r="68" spans="1:1" ht="14.45" hidden="1" x14ac:dyDescent="0.3"/>
    <row r="69" spans="1:1" ht="14.45" hidden="1" x14ac:dyDescent="0.3"/>
    <row r="70" spans="1:1" ht="14.45" hidden="1" x14ac:dyDescent="0.3"/>
    <row r="71" spans="1:1" ht="14.45" hidden="1" x14ac:dyDescent="0.3"/>
    <row r="72" spans="1:1" ht="14.45" hidden="1" x14ac:dyDescent="0.3"/>
    <row r="73" spans="1:1" ht="14.45" hidden="1" x14ac:dyDescent="0.3"/>
    <row r="74" spans="1:1" ht="14.45" hidden="1" x14ac:dyDescent="0.3"/>
    <row r="75" spans="1:1" ht="14.45" hidden="1" x14ac:dyDescent="0.3"/>
    <row r="76" spans="1:1" ht="14.45" hidden="1" x14ac:dyDescent="0.3"/>
    <row r="77" spans="1:1" ht="14.45" hidden="1" x14ac:dyDescent="0.3"/>
    <row r="78" spans="1:1" ht="14.45" hidden="1" x14ac:dyDescent="0.3"/>
    <row r="79" spans="1:1" ht="14.45" hidden="1" x14ac:dyDescent="0.3"/>
    <row r="80" spans="1:1" ht="14.45" hidden="1" x14ac:dyDescent="0.3"/>
    <row r="81" ht="14.45" hidden="1" x14ac:dyDescent="0.3"/>
    <row r="82" ht="14.45" hidden="1" x14ac:dyDescent="0.3"/>
    <row r="83" ht="14.45" hidden="1" x14ac:dyDescent="0.3"/>
    <row r="84" ht="14.45" hidden="1" x14ac:dyDescent="0.3"/>
    <row r="85" ht="14.45" hidden="1" x14ac:dyDescent="0.3"/>
    <row r="86" ht="14.45" hidden="1" x14ac:dyDescent="0.3"/>
    <row r="87" ht="14.45" hidden="1" x14ac:dyDescent="0.3"/>
    <row r="88" ht="14.45" hidden="1" x14ac:dyDescent="0.3"/>
    <row r="89" ht="14.45" hidden="1" x14ac:dyDescent="0.3"/>
    <row r="90" ht="14.45" hidden="1" x14ac:dyDescent="0.3"/>
    <row r="91" ht="14.45" hidden="1" x14ac:dyDescent="0.3"/>
  </sheetData>
  <mergeCells count="10">
    <mergeCell ref="AE1:AE3"/>
    <mergeCell ref="AA2:AA3"/>
    <mergeCell ref="AB2:AB3"/>
    <mergeCell ref="AK2:AL2"/>
    <mergeCell ref="A1:A3"/>
    <mergeCell ref="B1:B3"/>
    <mergeCell ref="C1:Y1"/>
    <mergeCell ref="AA1:AB1"/>
    <mergeCell ref="AC1:AC3"/>
    <mergeCell ref="AD1:AD3"/>
  </mergeCells>
  <conditionalFormatting sqref="C4:H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X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X1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H2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H3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H3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0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X2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X3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X21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X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X1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5 AC7:AC8 AC23:AC35 AC10:AC20">
    <cfRule type="cellIs" dxfId="35" priority="248" stopIfTrue="1" operator="lessThan">
      <formula>0</formula>
    </cfRule>
    <cfRule type="cellIs" dxfId="34" priority="249" stopIfTrue="1" operator="greaterThan">
      <formula>0</formula>
    </cfRule>
  </conditionalFormatting>
  <conditionalFormatting sqref="P6:X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X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">
    <cfRule type="cellIs" dxfId="33" priority="240" stopIfTrue="1" operator="lessThan">
      <formula>0</formula>
    </cfRule>
    <cfRule type="cellIs" dxfId="32" priority="241" stopIfTrue="1" operator="greaterThan">
      <formula>0</formula>
    </cfRule>
  </conditionalFormatting>
  <conditionalFormatting sqref="P7:X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X7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X1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X1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H1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X13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X1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H1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X1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X1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X1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X1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X1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X1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X2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X2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I2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X2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X2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X2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X2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8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X2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X2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2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X2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X2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X2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X2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X3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X3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X3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X3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X3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X3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35 AD4">
    <cfRule type="cellIs" dxfId="31" priority="147" stopIfTrue="1" operator="lessThan">
      <formula>0</formula>
    </cfRule>
    <cfRule type="cellIs" dxfId="30" priority="148" stopIfTrue="1" operator="greaterThan">
      <formula>0</formula>
    </cfRule>
  </conditionalFormatting>
  <conditionalFormatting sqref="AE4 AE32:AE35">
    <cfRule type="cellIs" dxfId="29" priority="145" stopIfTrue="1" operator="lessThan">
      <formula>0</formula>
    </cfRule>
    <cfRule type="cellIs" dxfId="28" priority="146" stopIfTrue="1" operator="greaterThan">
      <formula>0</formula>
    </cfRule>
  </conditionalFormatting>
  <conditionalFormatting sqref="Y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Y1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Y1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:Y3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:Y3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Y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Z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Y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Y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Y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Y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Y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Y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Y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Y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Y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Y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Y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Y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Y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Y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Y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Y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Y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Y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Y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:AD7">
    <cfRule type="cellIs" dxfId="27" priority="27" stopIfTrue="1" operator="lessThan">
      <formula>0</formula>
    </cfRule>
    <cfRule type="cellIs" dxfId="26" priority="28" stopIfTrue="1" operator="greaterThan">
      <formula>0</formula>
    </cfRule>
  </conditionalFormatting>
  <conditionalFormatting sqref="AE6:AE7">
    <cfRule type="cellIs" dxfId="25" priority="25" stopIfTrue="1" operator="lessThan">
      <formula>0</formula>
    </cfRule>
    <cfRule type="cellIs" dxfId="24" priority="26" stopIfTrue="1" operator="greaterThan">
      <formula>0</formula>
    </cfRule>
  </conditionalFormatting>
  <conditionalFormatting sqref="AD10:AD11">
    <cfRule type="cellIs" dxfId="23" priority="23" stopIfTrue="1" operator="lessThan">
      <formula>0</formula>
    </cfRule>
    <cfRule type="cellIs" dxfId="22" priority="24" stopIfTrue="1" operator="greaterThan">
      <formula>0</formula>
    </cfRule>
  </conditionalFormatting>
  <conditionalFormatting sqref="AE10:AE11">
    <cfRule type="cellIs" dxfId="21" priority="21" stopIfTrue="1" operator="lessThan">
      <formula>0</formula>
    </cfRule>
    <cfRule type="cellIs" dxfId="20" priority="22" stopIfTrue="1" operator="greaterThan">
      <formula>0</formula>
    </cfRule>
  </conditionalFormatting>
  <conditionalFormatting sqref="AD13:AD14">
    <cfRule type="cellIs" dxfId="19" priority="19" stopIfTrue="1" operator="lessThan">
      <formula>0</formula>
    </cfRule>
    <cfRule type="cellIs" dxfId="18" priority="20" stopIfTrue="1" operator="greaterThan">
      <formula>0</formula>
    </cfRule>
  </conditionalFormatting>
  <conditionalFormatting sqref="AE13:AE14">
    <cfRule type="cellIs" dxfId="17" priority="17" stopIfTrue="1" operator="lessThan">
      <formula>0</formula>
    </cfRule>
    <cfRule type="cellIs" dxfId="16" priority="18" stopIfTrue="1" operator="greaterThan">
      <formula>0</formula>
    </cfRule>
  </conditionalFormatting>
  <conditionalFormatting sqref="AD16:AD18">
    <cfRule type="cellIs" dxfId="15" priority="15" stopIfTrue="1" operator="lessThan">
      <formula>0</formula>
    </cfRule>
    <cfRule type="cellIs" dxfId="14" priority="16" stopIfTrue="1" operator="greaterThan">
      <formula>0</formula>
    </cfRule>
  </conditionalFormatting>
  <conditionalFormatting sqref="AE16:AE18">
    <cfRule type="cellIs" dxfId="13" priority="13" stopIfTrue="1" operator="lessThan">
      <formula>0</formula>
    </cfRule>
    <cfRule type="cellIs" dxfId="12" priority="14" stopIfTrue="1" operator="greaterThan">
      <formula>0</formula>
    </cfRule>
  </conditionalFormatting>
  <conditionalFormatting sqref="AD20">
    <cfRule type="cellIs" dxfId="11" priority="11" stopIfTrue="1" operator="lessThan">
      <formula>0</formula>
    </cfRule>
    <cfRule type="cellIs" dxfId="10" priority="12" stopIfTrue="1" operator="greaterThan">
      <formula>0</formula>
    </cfRule>
  </conditionalFormatting>
  <conditionalFormatting sqref="AE20"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AD23:AD24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AE23:AE24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AD26:AD2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AE26:AE2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Header>&amp;C&amp;A</oddHeader>
    <oddFooter>&amp;L&amp;F&amp;CСтраница &amp;P из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сопоставление ПСК МФО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2020-07-16T12:45:25Z</dcterms:created>
  <dcterms:modified xsi:type="dcterms:W3CDTF">2020-08-11T10:09:14Z</dcterms:modified>
</cp:coreProperties>
</file>